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XXXXXX" sheetId="1" state="hidden" r:id="rId3"/>
    <sheet name="Financing Assumptions" sheetId="2" state="visible" r:id="rId4"/>
    <sheet name="Drawdown" sheetId="3" state="visible" r:id="rId5"/>
    <sheet name="Enron Proposal" sheetId="4" state="visible" r:id="rId6"/>
    <sheet name="Mark to Market" sheetId="5" state="visible" r:id="rId7"/>
    <sheet name="Transco Z3" sheetId="6" state="visible" r:id="rId8"/>
    <sheet name="Point 1 - Transco" sheetId="7" state="visible" r:id="rId9"/>
    <sheet name="TGT ZSL" sheetId="8" state="visible" r:id="rId10"/>
    <sheet name="Point 2 - TGT" sheetId="9" state="visible" r:id="rId11"/>
    <sheet name="ColGulf-LA" sheetId="10" state="visible" r:id="rId12"/>
    <sheet name="Point 3 - ColGulf" sheetId="11" state="visible" r:id="rId13"/>
    <sheet name="Tetco ELA" sheetId="12" state="visible" r:id="rId14"/>
    <sheet name="Point 4 - Tetco" sheetId="13" state="visible" r:id="rId15"/>
    <sheet name="M2M by yr" sheetId="14" state="visible" r:id="rId16"/>
    <sheet name="PV Cash Flows" sheetId="15" state="visible" r:id="rId17"/>
    <sheet name="Non PV Cash Flows" sheetId="16" state="visible" r:id="rId18"/>
    <sheet name="Summary" sheetId="17" state="visible" r:id="rId19"/>
    <sheet name="Curves" sheetId="18" state="visible" r:id="rId20"/>
  </sheets>
  <definedNames>
    <definedName function="false" hidden="false" name="Curves" vbProcedure="false">Curves!$A$4:$P$4</definedName>
    <definedName function="false" hidden="false" name="Curves1" vbProcedure="false">Summary!$A$22:$E$22</definedName>
    <definedName function="false" hidden="false" name="Curves2" vbProcedure="false">Summary!$G$22:$K$22</definedName>
    <definedName function="false" hidden="false" name="mthbeg" vbProcedure="false">#REF!</definedName>
    <definedName function="false" hidden="false" name="mthend" vbProcedure="false">#REF!</definedName>
    <definedName function="false" hidden="false" name="Table" vbProcedure="false">Curves!$A$4:$P$61</definedName>
    <definedName function="false" hidden="false" name="Table1" vbProcedure="false">Summary!$A$22:$E$85</definedName>
    <definedName function="false" hidden="false" name="Table2" vbProcedure="false">Summary!$G$22:$K$85</definedName>
    <definedName function="false" hidden="false" localSheetId="5" name="mthbeg" vbProcedure="false">'Transco Z3'!$A$3</definedName>
    <definedName function="false" hidden="false" localSheetId="5" name="mthend" vbProcedure="false">'Transco Z3'!$B$3</definedName>
    <definedName function="false" hidden="false" localSheetId="7" name="mthbeg" vbProcedure="false">'TGT ZSL'!$A$3</definedName>
    <definedName function="false" hidden="false" localSheetId="7" name="mthend" vbProcedure="false">'TGT ZSL'!$B$3</definedName>
    <definedName function="false" hidden="false" localSheetId="9" name="mthbeg" vbProcedure="false">'ColGulf-LA'!$A$3</definedName>
    <definedName function="false" hidden="false" localSheetId="9" name="mthend" vbProcedure="false">'ColGulf-LA'!$B$3</definedName>
    <definedName function="false" hidden="false" localSheetId="11" name="mthbeg" vbProcedure="false">'Tetco ELA'!$A$3</definedName>
    <definedName function="false" hidden="false" localSheetId="11" name="mthend" vbProcedure="false">'Tetco ELA'!$B$3</definedName>
    <definedName function="true" hidden="false" name="Spline" vbProcedure="true"/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<sst xmlns="http://schemas.openxmlformats.org/spreadsheetml/2006/main" count="994" uniqueCount="241">
  <si>
    <t xml:space="preserve">Mahonia/Stoneville Prepay</t>
  </si>
  <si>
    <t xml:space="preserve">Key Financing Assumptions</t>
  </si>
  <si>
    <t xml:space="preserve">Bank Lending:</t>
  </si>
  <si>
    <t xml:space="preserve">Value</t>
  </si>
  <si>
    <t xml:space="preserve">Spread</t>
  </si>
  <si>
    <t xml:space="preserve">Upfront</t>
  </si>
  <si>
    <t xml:space="preserve">Additional</t>
  </si>
  <si>
    <t xml:space="preserve">Rate Reconciliation:</t>
  </si>
  <si>
    <t xml:space="preserve">Chase</t>
  </si>
  <si>
    <t xml:space="preserve">Libor Without Spread Base Rate</t>
  </si>
  <si>
    <t xml:space="preserve">Fleet</t>
  </si>
  <si>
    <t xml:space="preserve">Libor All-in Rate</t>
  </si>
  <si>
    <t xml:space="preserve">Total Funding</t>
  </si>
  <si>
    <t xml:space="preserve">All-in Spread</t>
  </si>
  <si>
    <t xml:space="preserve">Surety Bonds:</t>
  </si>
  <si>
    <t xml:space="preserve">Surety Bonds Required:</t>
  </si>
  <si>
    <t xml:space="preserve">1st Tranche</t>
  </si>
  <si>
    <t xml:space="preserve">2nd Tranche</t>
  </si>
  <si>
    <t xml:space="preserve">Enron Cost of Funds:</t>
  </si>
  <si>
    <t xml:space="preserve">Period</t>
  </si>
  <si>
    <t xml:space="preserve">Curve Date</t>
  </si>
  <si>
    <t xml:space="preserve">Cost Reconciliation:</t>
  </si>
  <si>
    <t xml:space="preserve">Funds Timing:</t>
  </si>
  <si>
    <t xml:space="preserve">Additional Chase Fees</t>
  </si>
  <si>
    <t xml:space="preserve">Surety Bond Cost</t>
  </si>
  <si>
    <t xml:space="preserve">Upfront Fees</t>
  </si>
  <si>
    <t xml:space="preserve">Total Fees</t>
  </si>
  <si>
    <t xml:space="preserve">PV of Gas Volumes</t>
  </si>
  <si>
    <t xml:space="preserve">Prepay Proceeds</t>
  </si>
  <si>
    <t xml:space="preserve">Total MTM (ENE Cost of Funds)</t>
  </si>
  <si>
    <t xml:space="preserve">Total MTM (Trade Timing in Risk Book)</t>
  </si>
  <si>
    <t xml:space="preserve">Total Cost of Transaction</t>
  </si>
  <si>
    <t xml:space="preserve">Holidays:</t>
  </si>
  <si>
    <t xml:space="preserve">Summary Of Prepay:</t>
  </si>
  <si>
    <t xml:space="preserve">Start Date</t>
  </si>
  <si>
    <t xml:space="preserve">End Date</t>
  </si>
  <si>
    <t xml:space="preserve">Vol/Day</t>
  </si>
  <si>
    <t xml:space="preserve">Price</t>
  </si>
  <si>
    <t xml:space="preserve">Volumes Per Point:</t>
  </si>
  <si>
    <t xml:space="preserve">Transco Z3</t>
  </si>
  <si>
    <t xml:space="preserve">TGT ZSL</t>
  </si>
  <si>
    <t xml:space="preserve">Curve Date:</t>
  </si>
  <si>
    <t xml:space="preserve">ColGulf - La</t>
  </si>
  <si>
    <t xml:space="preserve">Tetco ELA</t>
  </si>
  <si>
    <t xml:space="preserve">Summary of Nymex Margin Pricing:</t>
  </si>
  <si>
    <t xml:space="preserve">Total Daily Volumes</t>
  </si>
  <si>
    <t xml:space="preserve">Mahonia Drawdown Summary</t>
  </si>
  <si>
    <t xml:space="preserve">Amortization With Spread:</t>
  </si>
  <si>
    <t xml:space="preserve">Amortization Without Spread:</t>
  </si>
  <si>
    <t xml:space="preserve">Surety Bond Reconciliation:</t>
  </si>
  <si>
    <t xml:space="preserve">Fully-Loaded Spread Calculation:</t>
  </si>
  <si>
    <t xml:space="preserve">Summary of Revenues:</t>
  </si>
  <si>
    <t xml:space="preserve">Point 1</t>
  </si>
  <si>
    <t xml:space="preserve">Point 2</t>
  </si>
  <si>
    <t xml:space="preserve">Point 3</t>
  </si>
  <si>
    <t xml:space="preserve">Point 4</t>
  </si>
  <si>
    <t xml:space="preserve">Assumed Interest</t>
  </si>
  <si>
    <t xml:space="preserve">Total Surety Costs</t>
  </si>
  <si>
    <t xml:space="preserve">Daily Revenues</t>
  </si>
  <si>
    <t xml:space="preserve">Average Life</t>
  </si>
  <si>
    <t xml:space="preserve">Total Upfront Fees</t>
  </si>
  <si>
    <t xml:space="preserve">Interest Diff Without Spread</t>
  </si>
  <si>
    <t xml:space="preserve">PV Revenue (L+0)</t>
  </si>
  <si>
    <t xml:space="preserve">Ending Debt</t>
  </si>
  <si>
    <t xml:space="preserve">Interest Differential</t>
  </si>
  <si>
    <t xml:space="preserve">Interest Diff With Spread</t>
  </si>
  <si>
    <t xml:space="preserve">PV Revenue (L+S)</t>
  </si>
  <si>
    <t xml:space="preserve">Total</t>
  </si>
  <si>
    <t xml:space="preserve">Cash</t>
  </si>
  <si>
    <t xml:space="preserve">Delivery</t>
  </si>
  <si>
    <t xml:space="preserve">Monthly</t>
  </si>
  <si>
    <t xml:space="preserve">Debt</t>
  </si>
  <si>
    <t xml:space="preserve">Fraction </t>
  </si>
  <si>
    <t xml:space="preserve">Tranche 1</t>
  </si>
  <si>
    <t xml:space="preserve">Tranche 2</t>
  </si>
  <si>
    <t xml:space="preserve">Date</t>
  </si>
  <si>
    <t xml:space="preserve">Days</t>
  </si>
  <si>
    <t xml:space="preserve">Payment</t>
  </si>
  <si>
    <t xml:space="preserve">Interest</t>
  </si>
  <si>
    <t xml:space="preserve">Outstanding</t>
  </si>
  <si>
    <t xml:space="preserve">of Year</t>
  </si>
  <si>
    <t xml:space="preserve">Surety</t>
  </si>
  <si>
    <t xml:space="preserve">Surety Cost</t>
  </si>
  <si>
    <t xml:space="preserve">Surey</t>
  </si>
  <si>
    <t xml:space="preserve">Enron Proposal for Mahonia</t>
  </si>
  <si>
    <t xml:space="preserve">Transco</t>
  </si>
  <si>
    <t xml:space="preserve">TGT</t>
  </si>
  <si>
    <t xml:space="preserve">ColGulf</t>
  </si>
  <si>
    <t xml:space="preserve">Tetco</t>
  </si>
  <si>
    <t xml:space="preserve">Repayment </t>
  </si>
  <si>
    <t xml:space="preserve">Discount</t>
  </si>
  <si>
    <t xml:space="preserve">Daily</t>
  </si>
  <si>
    <t xml:space="preserve">Gross</t>
  </si>
  <si>
    <t xml:space="preserve">Volume</t>
  </si>
  <si>
    <t xml:space="preserve">Cash Flow</t>
  </si>
  <si>
    <t xml:space="preserve">Sum Cash Flow</t>
  </si>
  <si>
    <t xml:space="preserve">Enron Mahonia Prepay</t>
  </si>
  <si>
    <t xml:space="preserve">Mark-to-Market Calculation</t>
  </si>
  <si>
    <t xml:space="preserve">Point 1: Transco</t>
  </si>
  <si>
    <t xml:space="preserve">Point 2: TGT</t>
  </si>
  <si>
    <t xml:space="preserve">Point 3: ColGulf - LA</t>
  </si>
  <si>
    <t xml:space="preserve">Point 4: Tetco</t>
  </si>
  <si>
    <t xml:space="preserve">Summary:</t>
  </si>
  <si>
    <t xml:space="preserve">Nymex Strips for Margin Setting:</t>
  </si>
  <si>
    <t xml:space="preserve">Total MTM (Cost of Funds)</t>
  </si>
  <si>
    <t xml:space="preserve">Total Curve Revenue</t>
  </si>
  <si>
    <t xml:space="preserve">Total MTM (Timing of Repay on Physical)</t>
  </si>
  <si>
    <t xml:space="preserve">Total Contract Revenue</t>
  </si>
  <si>
    <t xml:space="preserve">Total Mark-to-Market</t>
  </si>
  <si>
    <t xml:space="preserve">Physical</t>
  </si>
  <si>
    <t xml:space="preserve">Total </t>
  </si>
  <si>
    <t xml:space="preserve">Base</t>
  </si>
  <si>
    <t xml:space="preserve">Financial</t>
  </si>
  <si>
    <t xml:space="preserve">Nymex</t>
  </si>
  <si>
    <t xml:space="preserve">Libor Plus</t>
  </si>
  <si>
    <t xml:space="preserve">Basis </t>
  </si>
  <si>
    <t xml:space="preserve">Contract</t>
  </si>
  <si>
    <t xml:space="preserve">PV</t>
  </si>
  <si>
    <t xml:space="preserve">Curve </t>
  </si>
  <si>
    <t xml:space="preserve">Contract </t>
  </si>
  <si>
    <t xml:space="preserve">Libor </t>
  </si>
  <si>
    <t xml:space="preserve">Discount </t>
  </si>
  <si>
    <t xml:space="preserve">Factor</t>
  </si>
  <si>
    <t xml:space="preserve">Margin </t>
  </si>
  <si>
    <t xml:space="preserve">ENE Spread</t>
  </si>
  <si>
    <t xml:space="preserve">Plus Index</t>
  </si>
  <si>
    <t xml:space="preserve">Volume/day</t>
  </si>
  <si>
    <t xml:space="preserve">Revenue</t>
  </si>
  <si>
    <t xml:space="preserve">Mark-to-market</t>
  </si>
  <si>
    <t xml:space="preserve">Curve</t>
  </si>
  <si>
    <t xml:space="preserve">(Monthly Libor)</t>
  </si>
  <si>
    <t xml:space="preserve">Volumes</t>
  </si>
  <si>
    <t xml:space="preserve">Revenues</t>
  </si>
  <si>
    <t xml:space="preserve">Total Revenue</t>
  </si>
  <si>
    <t xml:space="preserve">Differential</t>
  </si>
  <si>
    <t xml:space="preserve">a</t>
  </si>
  <si>
    <t xml:space="preserve">Mahonia Prepay</t>
  </si>
  <si>
    <t xml:space="preserve">MMBtu/day 1</t>
  </si>
  <si>
    <t xml:space="preserve">Basis</t>
  </si>
  <si>
    <t xml:space="preserve">Index</t>
  </si>
  <si>
    <t xml:space="preserve">Cost of Funds</t>
  </si>
  <si>
    <t xml:space="preserve">INPUT</t>
  </si>
  <si>
    <t xml:space="preserve">Stop Date</t>
  </si>
  <si>
    <t xml:space="preserve">Mark Date</t>
  </si>
  <si>
    <t xml:space="preserve">Term</t>
  </si>
  <si>
    <t xml:space="preserve">Phy1 Fin2</t>
  </si>
  <si>
    <t xml:space="preserve">Buy1 Sell2</t>
  </si>
  <si>
    <t xml:space="preserve">MMBtu/month 2</t>
  </si>
  <si>
    <t xml:space="preserve">Delivery Pt.</t>
  </si>
  <si>
    <t xml:space="preserve">Adjustment (bp)</t>
  </si>
  <si>
    <t xml:space="preserve">Desk Value</t>
  </si>
  <si>
    <t xml:space="preserve">Origination Value</t>
  </si>
  <si>
    <t xml:space="preserve">IF-TRANSCO/Z3</t>
  </si>
  <si>
    <t xml:space="preserve">TOTAL</t>
  </si>
  <si>
    <t xml:space="preserve">Real</t>
  </si>
  <si>
    <t xml:space="preserve">NG-P</t>
  </si>
  <si>
    <t xml:space="preserve">Accum</t>
  </si>
  <si>
    <t xml:space="preserve">LIBOR-AA</t>
  </si>
  <si>
    <t xml:space="preserve">NYMEX</t>
  </si>
  <si>
    <t xml:space="preserve">BASIS</t>
  </si>
  <si>
    <t xml:space="preserve">INDEX</t>
  </si>
  <si>
    <t xml:space="preserve">Calendar</t>
  </si>
  <si>
    <t xml:space="preserve">Libor</t>
  </si>
  <si>
    <t xml:space="preserve">Active</t>
  </si>
  <si>
    <t xml:space="preserve">Month</t>
  </si>
  <si>
    <t xml:space="preserve">MMBtu</t>
  </si>
  <si>
    <t xml:space="preserve">MMbtu</t>
  </si>
  <si>
    <t xml:space="preserve">Mid</t>
  </si>
  <si>
    <t xml:space="preserve">AA</t>
  </si>
  <si>
    <t xml:space="preserve">Months</t>
  </si>
  <si>
    <t xml:space="preserve">VALUE</t>
  </si>
  <si>
    <t xml:space="preserve">SWAP PRICE</t>
  </si>
  <si>
    <t xml:space="preserve">Point 1 - Transco Z3</t>
  </si>
  <si>
    <t xml:space="preserve">Daily Volue:</t>
  </si>
  <si>
    <t xml:space="preserve">Sum PV Volumes</t>
  </si>
  <si>
    <t xml:space="preserve">Proceeds Target</t>
  </si>
  <si>
    <t xml:space="preserve">Present Value Revenue (Libor)</t>
  </si>
  <si>
    <t xml:space="preserve">Sum PV Revenues</t>
  </si>
  <si>
    <t xml:space="preserve">Proceeds Percent</t>
  </si>
  <si>
    <t xml:space="preserve">Present Value Revenue (Libor + Spread)</t>
  </si>
  <si>
    <t xml:space="preserve">Annual Strip Fixed Price</t>
  </si>
  <si>
    <t xml:space="preserve">Proceeds Over/(Under)</t>
  </si>
  <si>
    <t xml:space="preserve">Fixed Price Calculation</t>
  </si>
  <si>
    <t xml:space="preserve">Debt Tranche Calculation</t>
  </si>
  <si>
    <t xml:space="preserve">Annual</t>
  </si>
  <si>
    <t xml:space="preserve">Week</t>
  </si>
  <si>
    <t xml:space="preserve">Strip</t>
  </si>
  <si>
    <t xml:space="preserve">Cummulative</t>
  </si>
  <si>
    <t xml:space="preserve">Total PV</t>
  </si>
  <si>
    <t xml:space="preserve">Curve PV</t>
  </si>
  <si>
    <t xml:space="preserve">New</t>
  </si>
  <si>
    <t xml:space="preserve">Round</t>
  </si>
  <si>
    <t xml:space="preserve">Day</t>
  </si>
  <si>
    <t xml:space="preserve">(Libor)</t>
  </si>
  <si>
    <t xml:space="preserve">Fixed Price</t>
  </si>
  <si>
    <t xml:space="preserve">With Fixed</t>
  </si>
  <si>
    <t xml:space="preserve">(Libor+Spread)</t>
  </si>
  <si>
    <t xml:space="preserve">PV Revenue</t>
  </si>
  <si>
    <t xml:space="preserve">Sum Differential</t>
  </si>
  <si>
    <t xml:space="preserve">l</t>
  </si>
  <si>
    <t xml:space="preserve">IF-TGT/ZSL</t>
  </si>
  <si>
    <t xml:space="preserve">Point 2 - TGT ZSL</t>
  </si>
  <si>
    <t xml:space="preserve">IF-COLGULF/LA</t>
  </si>
  <si>
    <t xml:space="preserve">Point 3 - ColGulf - LA</t>
  </si>
  <si>
    <t xml:space="preserve">IF-TETCO/ELA</t>
  </si>
  <si>
    <t xml:space="preserve">Point 4 - TetCo ELA</t>
  </si>
  <si>
    <t xml:space="preserve">M2M by month and year</t>
  </si>
  <si>
    <t xml:space="preserve">As of: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</si>
  <si>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</si>
  <si>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</si>
  <si>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</si>
  <si>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</si>
  <si>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</si>
  <si>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Cash Flows based on Libor mid curve</t>
  </si>
  <si>
    <t xml:space="preserve">Nominal Cash Flows</t>
  </si>
  <si>
    <t xml:space="preserve">SUMMARY</t>
  </si>
  <si>
    <t xml:space="preserve">From</t>
  </si>
  <si>
    <t xml:space="preserve">To</t>
  </si>
  <si>
    <t xml:space="preserve">Chase-Stoneville-Mahonia Prepay</t>
  </si>
  <si>
    <t xml:space="preserve">MTM $</t>
  </si>
  <si>
    <t xml:space="preserve">Prepay $</t>
  </si>
  <si>
    <t xml:space="preserve">Delta</t>
  </si>
  <si>
    <t xml:space="preserve">CGT-LA</t>
  </si>
  <si>
    <t xml:space="preserve">Total Prepay</t>
  </si>
  <si>
    <t xml:space="preserve">Difference</t>
  </si>
  <si>
    <t xml:space="preserve">P R I C E ($/MMBtu)</t>
  </si>
  <si>
    <t xml:space="preserve">V O L U M E (MMBtu/d)</t>
  </si>
  <si>
    <t xml:space="preserve">Curves</t>
  </si>
  <si>
    <t xml:space="preserve">IF-TRANSCO/Z3-D</t>
  </si>
  <si>
    <t xml:space="preserve">IF-TRANSCO/Z3-I</t>
  </si>
  <si>
    <t xml:space="preserve">IF-TGT/ZSL-D</t>
  </si>
  <si>
    <t xml:space="preserve">IF-TGT/ZSL-I</t>
  </si>
  <si>
    <t xml:space="preserve">IF-COLGULF/LA-D</t>
  </si>
  <si>
    <t xml:space="preserve">IF-COLGULF/LA-I</t>
  </si>
  <si>
    <t xml:space="preserve">IF-TETCO/ELA-D</t>
  </si>
  <si>
    <t xml:space="preserve">IF-TETCO/ELA-I</t>
  </si>
  <si>
    <t xml:space="preserve">Libor AA</t>
  </si>
  <si>
    <t xml:space="preserve">Semi - 360</t>
  </si>
  <si>
    <t xml:space="preserve">Annual - 360</t>
  </si>
  <si>
    <t xml:space="preserve">Monthly - 360</t>
  </si>
  <si>
    <t xml:space="preserve">Monthly + Spread</t>
  </si>
</sst>
</file>

<file path=xl/styles.xml><?xml version="1.0" encoding="utf-8"?>
<styleSheet xmlns="http://schemas.openxmlformats.org/spreadsheetml/2006/main">
  <numFmts count="62">
    <numFmt numFmtId="164" formatCode="General"/>
    <numFmt numFmtId="165" formatCode="0"/>
    <numFmt numFmtId="166" formatCode="[$-409]#,##0_);[RED]\(#,##0\)"/>
    <numFmt numFmtId="167" formatCode="\$#,##0_);[RED]&quot;($&quot;#,##0\)"/>
    <numFmt numFmtId="168" formatCode="[$-409]#,##0.00_);[RED]\(#,##0.00\)"/>
    <numFmt numFmtId="169" formatCode="\$#,##0.00_);[RED]&quot;($&quot;#,##0.00\)"/>
    <numFmt numFmtId="170" formatCode="#,##0;\(#,##0\)"/>
    <numFmt numFmtId="171" formatCode="_(* #,##0_);_(* \(#,##0\);_(* \-_);_(@_)"/>
    <numFmt numFmtId="172" formatCode="_-* #,##0\ _F_-;\-* #,##0\ _F_-;_-* &quot;- &quot;_F_-;_-@_-"/>
    <numFmt numFmtId="173" formatCode="_-* #,##0\ _P_t_s_-;\-* #,##0\ _P_t_s_-;_-* &quot;- &quot;_P_t_s_-;_-@_-"/>
    <numFmt numFmtId="174" formatCode="_-* #,##0_-;\-* #,##0_-;_-* \-_-;_-@_-"/>
    <numFmt numFmtId="175" formatCode="_ * #,##0_ ;_ * \-#,##0_ ;_ * \-_ ;_ @_ "/>
    <numFmt numFmtId="176" formatCode="#,##0.0_);[RED]\(#,##0.0\)"/>
    <numFmt numFmtId="177" formatCode="_(* #,##0.00_);_(* \(#,##0.00\);_(* \-??_);_(@_)"/>
    <numFmt numFmtId="178" formatCode="#,##0.00"/>
    <numFmt numFmtId="179" formatCode="_-* #,##0.00\ _F_-;\-* #,##0.00\ _F_-;_-* \-??\ _F_-;_-@_-"/>
    <numFmt numFmtId="180" formatCode="_-* #,##0.00\ _P_t_s_-;\-* #,##0.00\ _P_t_s_-;_-* \-??\ _P_t_s_-;_-@_-"/>
    <numFmt numFmtId="181" formatCode="_-* #,##0.00_-;\-* #,##0.00_-;_-* \-??_-;_-@_-"/>
    <numFmt numFmtId="182" formatCode="_ * #,##0.00_ ;_ * \-#,##0.00_ ;_ * \-??_ ;_ @_ "/>
    <numFmt numFmtId="183" formatCode="_(\$* #,##0_);_(\$* \(#,##0\);_(\$* \-_);_(@_)"/>
    <numFmt numFmtId="184" formatCode="_-* #,##0&quot; Pts&quot;_-;\-* #,##0&quot; Pts&quot;_-;_-* &quot;- Pts&quot;_-;_-@_-"/>
    <numFmt numFmtId="185" formatCode="_-* #,##0&quot; F&quot;_-;\-* #,##0&quot; F&quot;_-;_-* &quot;- F&quot;_-;_-@_-"/>
    <numFmt numFmtId="186" formatCode="_-&quot;S/. &quot;* #,##0_-;&quot;-S/. &quot;* #,##0_-;_-&quot;S/. &quot;* \-_-;_-@_-"/>
    <numFmt numFmtId="187" formatCode="_-\$* #,##0_-;&quot;-$&quot;* #,##0_-;_-\$* \-_-;_-@_-"/>
    <numFmt numFmtId="188" formatCode="_ &quot;$ &quot;* #,##0_ ;_ &quot;$ &quot;* \-#,##0_ ;_ &quot;$ &quot;* \-_ ;_ @_ "/>
    <numFmt numFmtId="189" formatCode="\$#,##0;[RED]&quot;-$&quot;#,##0"/>
    <numFmt numFmtId="190" formatCode="_(\$* #,##0.00_);_(\$* \(#,##0.00\);_(\$* \-??_);_(@_)"/>
    <numFmt numFmtId="191" formatCode="_-* #,##0.00&quot; Pts&quot;_-;\-* #,##0.00&quot; Pts&quot;_-;_-* \-??&quot; Pts&quot;_-;_-@_-"/>
    <numFmt numFmtId="192" formatCode="_-* #,##0.00&quot; F&quot;_-;\-* #,##0.00&quot; F&quot;_-;_-* \-??&quot; F&quot;_-;_-@_-"/>
    <numFmt numFmtId="193" formatCode="_-&quot;S/. &quot;* #,##0.00_-;&quot;-S/. &quot;* #,##0.00_-;_-&quot;S/. &quot;* \-??_-;_-@_-"/>
    <numFmt numFmtId="194" formatCode="_-\$* #,##0.00_-;&quot;-$&quot;* #,##0.00_-;_-\$* \-??_-;_-@_-"/>
    <numFmt numFmtId="195" formatCode="_ &quot;$ &quot;* #,##0.00_ ;_ &quot;$ &quot;* \-#,##0.00_ ;_ &quot;$ &quot;* \-??_ ;_ @_ "/>
    <numFmt numFmtId="196" formatCode="\$#,##0.00;[RED]&quot;-$&quot;#,##0.00"/>
    <numFmt numFmtId="197" formatCode="0.00"/>
    <numFmt numFmtId="198" formatCode="0.0000&quot;  &quot;"/>
    <numFmt numFmtId="199" formatCode="#,##0.00&quot; $&quot;;[RED]\-#,##0.00&quot; $&quot;"/>
    <numFmt numFmtId="200" formatCode="#,##0.;\-#,##0."/>
    <numFmt numFmtId="201" formatCode="[$-409]#,##0_);\(#,##0\)"/>
    <numFmt numFmtId="202" formatCode="General_)"/>
    <numFmt numFmtId="203" formatCode="#,##0.0_);\(#,##0.0\)"/>
    <numFmt numFmtId="204" formatCode="#,##0"/>
    <numFmt numFmtId="205" formatCode="#,##0.00;\(#,##0.00\)"/>
    <numFmt numFmtId="206" formatCode="0.00%"/>
    <numFmt numFmtId="207" formatCode="_(* #,##0_);_(* \(#,##0\);_(* \-??_);_(@_)"/>
    <numFmt numFmtId="208" formatCode="0%"/>
    <numFmt numFmtId="209" formatCode="0.000%"/>
    <numFmt numFmtId="210" formatCode="0.000"/>
    <numFmt numFmtId="211" formatCode="[$-409]m/d/yyyy"/>
    <numFmt numFmtId="212" formatCode="[$-409]mmm\-yy"/>
    <numFmt numFmtId="213" formatCode="0.0000"/>
    <numFmt numFmtId="214" formatCode="mm/dd/yy"/>
    <numFmt numFmtId="215" formatCode="0.00000"/>
    <numFmt numFmtId="216" formatCode="0.0000_);\(0.0000\)"/>
    <numFmt numFmtId="217" formatCode="\$#,##0.0000_);[RED]&quot;($&quot;#,##0.0000\)"/>
    <numFmt numFmtId="218" formatCode="\$#,##0.0000"/>
    <numFmt numFmtId="219" formatCode="\$#,##0.000"/>
    <numFmt numFmtId="220" formatCode="\$#,##0.00"/>
    <numFmt numFmtId="221" formatCode="mm/yy"/>
    <numFmt numFmtId="222" formatCode="0.0000000"/>
    <numFmt numFmtId="223" formatCode="0.0%"/>
    <numFmt numFmtId="224" formatCode="0.000000"/>
    <numFmt numFmtId="225" formatCode="_(\$* #,##0_);_(\$* \(#,##0\);_(\$* \-??_);_(@_)"/>
  </numFmts>
  <fonts count="7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sz val="10"/>
      <name val="Arial"/>
      <family val="0"/>
    </font>
    <font>
      <b val="true"/>
      <sz val="8"/>
      <name val="Arial"/>
      <family val="0"/>
    </font>
    <font>
      <sz val="11"/>
      <name val="Times New Roman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0"/>
      <name val="Courier New"/>
      <family val="0"/>
    </font>
    <font>
      <sz val="20"/>
      <name val="Letter Gothic (W1)"/>
      <family val="0"/>
    </font>
    <font>
      <sz val="12"/>
      <name val="Arial"/>
      <family val="2"/>
    </font>
    <font>
      <sz val="10"/>
      <name val="Times New Roman"/>
      <family val="0"/>
    </font>
    <font>
      <sz val="12"/>
      <name val="Courier New"/>
      <family val="3"/>
    </font>
    <font>
      <sz val="14"/>
      <name val="Times New Roman"/>
      <family val="0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1"/>
    </font>
    <font>
      <sz val="8"/>
      <name val=""/>
      <family val="0"/>
    </font>
    <font>
      <sz val="11"/>
      <name val="Arial"/>
      <family val="0"/>
    </font>
    <font>
      <sz val="12"/>
      <name val="arial"/>
      <family val="0"/>
    </font>
    <font>
      <sz val="7"/>
      <name val="Arial"/>
      <family val="0"/>
    </font>
    <font>
      <sz val="12"/>
      <name val="Times New Roman"/>
      <family val="1"/>
    </font>
    <font>
      <sz val="12"/>
      <name val="Arial"/>
      <family val="0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2"/>
      <name val="Arial MT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sz val="10"/>
      <name val="CG Times"/>
      <family val="0"/>
    </font>
    <font>
      <b val="true"/>
      <sz val="14"/>
      <name val="Times New Roman"/>
      <family val="0"/>
    </font>
    <font>
      <sz val="10"/>
      <name val="Century Schoolbook"/>
      <family val="0"/>
    </font>
    <font>
      <sz val="10"/>
      <name val="Geneva"/>
      <family val="0"/>
    </font>
    <font>
      <sz val="14"/>
      <name val="AngsanaUPC"/>
      <family val="1"/>
    </font>
    <font>
      <sz val="11"/>
      <name val="CG Times"/>
      <family val="0"/>
    </font>
    <font>
      <sz val="9"/>
      <name val="Arial Narrow"/>
      <family val="2"/>
    </font>
    <font>
      <sz val="7"/>
      <name val="Arial"/>
      <family val="2"/>
    </font>
    <font>
      <sz val="8"/>
      <name val="Times New Roman"/>
      <family val="0"/>
    </font>
    <font>
      <sz val="12"/>
      <name val="EucrosiaUPC"/>
      <family val="1"/>
    </font>
    <font>
      <sz val="10"/>
      <color rgb="FF000000"/>
      <name val="MS Sans Serif"/>
      <family val="0"/>
    </font>
    <font>
      <sz val="14"/>
      <name val="CordiaUPC"/>
      <family val="1"/>
    </font>
    <font>
      <sz val="10"/>
      <name val="Advisor SSi"/>
      <family val="1"/>
    </font>
    <font>
      <sz val="8"/>
      <color rgb="FF000000"/>
      <name val="Arial"/>
      <family val="0"/>
    </font>
    <font>
      <sz val="14"/>
      <name val="FreesiaUPC"/>
      <family val="1"/>
    </font>
    <font>
      <sz val="12"/>
      <name val="PathWay Access 3.0"/>
      <family val="3"/>
    </font>
    <font>
      <sz val="8.5"/>
      <name val="MS Sans Serif"/>
      <family val="2"/>
    </font>
    <font>
      <sz val="10"/>
      <name val="Arial Narrow"/>
      <family val="2"/>
    </font>
    <font>
      <sz val="9"/>
      <name val="Arial"/>
      <family val="0"/>
    </font>
    <font>
      <sz val="11"/>
      <name val="Book Antiqua"/>
      <family val="1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u val="single"/>
      <sz val="10"/>
      <name val="Arial"/>
      <family val="2"/>
    </font>
    <font>
      <sz val="10"/>
      <color rgb="FF000000"/>
      <name val="Arial"/>
      <family val="2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  <font>
      <b val="true"/>
      <u val="single"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FF6600"/>
        <bgColor rgb="FFFF9900"/>
      </patternFill>
    </fill>
    <fill>
      <patternFill patternType="solid">
        <fgColor rgb="FF00FFFF"/>
        <bgColor rgb="FF00FFFF"/>
      </patternFill>
    </fill>
    <fill>
      <patternFill patternType="solid">
        <fgColor rgb="FF33CCCC"/>
        <bgColor rgb="FF00CCFF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9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08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9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8" fillId="0" borderId="3" applyFont="true" applyBorder="true" applyAlignment="false" applyProtection="false"/>
    <xf numFmtId="164" fontId="16" fillId="4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9" fillId="0" borderId="0" applyFont="true" applyBorder="false" applyAlignment="false" applyProtection="false"/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0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0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7" fontId="7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09" fontId="70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0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09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07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7" fontId="7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0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04" fontId="7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9" fontId="7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4" fontId="6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9" fontId="71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09" fontId="71" fillId="0" borderId="1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1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4" fontId="6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1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0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3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2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0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3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1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0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9" fontId="6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13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9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20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1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1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1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1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7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7" fontId="6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3" fontId="1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3" fontId="1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3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2" fontId="72" fillId="6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2" fontId="72" fillId="6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4" fontId="1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6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6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6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9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9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9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2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0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8" fontId="7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1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2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8" fontId="72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0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2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2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21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22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1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12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2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14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" xfId="20"/>
    <cellStyle name="?? [0]_94???" xfId="21"/>
    <cellStyle name="?? [0]_94???_demand analysisrevised" xfId="22"/>
    <cellStyle name="?? [0]_??" xfId="23"/>
    <cellStyle name="?? [0]_???" xfId="24"/>
    <cellStyle name="?? [0]_?????" xfId="25"/>
    <cellStyle name="?? [0]_?????_???" xfId="26"/>
    <cellStyle name="?? [0]_?????_???_demand analysisrevised" xfId="27"/>
    <cellStyle name="?? [0]_?????_demand analysisrevised" xfId="28"/>
    <cellStyle name="?? [0]_???_demand analysisrevised" xfId="29"/>
    <cellStyle name="?? [0]_??_demand analysisrevised" xfId="30"/>
    <cellStyle name="?? [0]_dimon" xfId="31"/>
    <cellStyle name="?? [0]_form" xfId="32"/>
    <cellStyle name="?? [0]_form_demand analysisrevised" xfId="33"/>
    <cellStyle name="?? [0]_laroux" xfId="34"/>
    <cellStyle name="?? [0]_laroux_1" xfId="35"/>
    <cellStyle name="?? [0]_laroux_1_demand analysisrevised" xfId="36"/>
    <cellStyle name="?? [0]_laroux_2" xfId="37"/>
    <cellStyle name="?? [0]_laroux_demand analysisrevised" xfId="38"/>
    <cellStyle name="?? [0]_PERSONAL" xfId="39"/>
    <cellStyle name="?? [0]_PERSONAL_1" xfId="40"/>
    <cellStyle name="?? [0]_PERSONAL_1_demand analysisrevised" xfId="41"/>
    <cellStyle name="?? [0]_PERSONAL_2" xfId="42"/>
    <cellStyle name="?? [0]_PERSONAL_2_demand analysisrevised" xfId="43"/>
    <cellStyle name="?? [0]_PERSONAL_3" xfId="44"/>
    <cellStyle name="?? [0]_PERSONAL_demand analysisrevised" xfId="45"/>
    <cellStyle name="?? [0]_Sheet2" xfId="46"/>
    <cellStyle name="??_94???" xfId="47"/>
    <cellStyle name="??_94???_demand analysisrevised" xfId="48"/>
    <cellStyle name="??_970120" xfId="49"/>
    <cellStyle name="??_97???" xfId="50"/>
    <cellStyle name="??_?.????" xfId="51"/>
    <cellStyle name="??_??" xfId="52"/>
    <cellStyle name="??_???" xfId="53"/>
    <cellStyle name="??_????" xfId="54"/>
    <cellStyle name="??_?????" xfId="55"/>
    <cellStyle name="??_?????_1" xfId="56"/>
    <cellStyle name="??_?????_2" xfId="57"/>
    <cellStyle name="??_?????_???" xfId="58"/>
    <cellStyle name="??_?????_???_demand analysisrevised" xfId="59"/>
    <cellStyle name="??_?????_???_demand analysisrevised_1" xfId="60"/>
    <cellStyle name="??_?????_demand analysisrevised" xfId="61"/>
    <cellStyle name="??_?????_demand analysisrevised_1" xfId="62"/>
    <cellStyle name="??_????_1" xfId="63"/>
    <cellStyle name="??_???_demand analysisrevised" xfId="64"/>
    <cellStyle name="??_???_demand analysisrevised_1" xfId="65"/>
    <cellStyle name="??_??_1" xfId="66"/>
    <cellStyle name="??_??_????" xfId="67"/>
    <cellStyle name="??_??_????_demand analysisrevised" xfId="68"/>
    <cellStyle name="??_??_demand analysisrevised" xfId="69"/>
    <cellStyle name="??_??_demand analysisrevised_1" xfId="70"/>
    <cellStyle name="??_??_demand analysisrevised_2" xfId="71"/>
    <cellStyle name="??_BEBU_GI" xfId="72"/>
    <cellStyle name="??_dimon" xfId="73"/>
    <cellStyle name="??_dimon_demand analysisrevised" xfId="74"/>
    <cellStyle name="??_form" xfId="75"/>
    <cellStyle name="??_form_demand analysisrevised" xfId="76"/>
    <cellStyle name="??_form_demand analysisrevised_1" xfId="77"/>
    <cellStyle name="??_ga_PB" xfId="78"/>
    <cellStyle name="??_laroux" xfId="79"/>
    <cellStyle name="??_laroux_1" xfId="80"/>
    <cellStyle name="??_laroux_1_demand analysisrevised" xfId="81"/>
    <cellStyle name="??_laroux_1_demand analysisrevised_1" xfId="82"/>
    <cellStyle name="??_laroux_2" xfId="83"/>
    <cellStyle name="??_laroux_2_demand analysisrevised" xfId="84"/>
    <cellStyle name="??_laroux_3" xfId="85"/>
    <cellStyle name="??_laroux_4" xfId="86"/>
    <cellStyle name="??_laroux_5" xfId="87"/>
    <cellStyle name="??_laroux_6" xfId="88"/>
    <cellStyle name="??_laroux_7" xfId="89"/>
    <cellStyle name="??_laroux_8" xfId="90"/>
    <cellStyle name="??_laroux_demand analysisrevised" xfId="91"/>
    <cellStyle name="??_laroux_demand analysisrevised_1" xfId="92"/>
    <cellStyle name="??_PERSONAL" xfId="93"/>
    <cellStyle name="??_PERSONAL_1" xfId="94"/>
    <cellStyle name="??_PERSONAL_1_demand analysisrevised" xfId="95"/>
    <cellStyle name="??_PERSONAL_1_demand analysisrevised_1" xfId="96"/>
    <cellStyle name="??_PERSONAL_2" xfId="97"/>
    <cellStyle name="??_PERSONAL_2_demand analysisrevised" xfId="98"/>
    <cellStyle name="??_PERSONAL_2_demand analysisrevised_1" xfId="99"/>
    <cellStyle name="??_PERSONAL_3" xfId="100"/>
    <cellStyle name="??_PERSONAL_3_demand analysisrevised" xfId="101"/>
    <cellStyle name="??_PERSONAL_4" xfId="102"/>
    <cellStyle name="??_PERSONAL_demand analysisrevised" xfId="103"/>
    <cellStyle name="??_PERSONAL_demand analysisrevised_1" xfId="104"/>
    <cellStyle name="??_Query11" xfId="105"/>
    <cellStyle name="??_Sheet1" xfId="106"/>
    <cellStyle name="??_Sheet1 (2)" xfId="107"/>
    <cellStyle name="??_Sheet2" xfId="108"/>
    <cellStyle name="??_Sheet2_demand analysisrevised" xfId="109"/>
    <cellStyle name="Actual Date" xfId="110"/>
    <cellStyle name="Column_Title" xfId="111"/>
    <cellStyle name="Comma [0]_0694ODD" xfId="112"/>
    <cellStyle name="Comma [0]_12matrix" xfId="113"/>
    <cellStyle name="Comma [0]_1995" xfId="114"/>
    <cellStyle name="Comma [0]_353HHC" xfId="115"/>
    <cellStyle name="Comma [0]_353HHC_Atlanta_Unwind_Model_11.04.99" xfId="116"/>
    <cellStyle name="Comma [0]_694COVR" xfId="117"/>
    <cellStyle name="Comma [0]_94BUDALL" xfId="118"/>
    <cellStyle name="Comma [0]_95summary" xfId="119"/>
    <cellStyle name="Comma [0]_96_WIN" xfId="120"/>
    <cellStyle name="Comma [0]_96_WIN (2)" xfId="121"/>
    <cellStyle name="Comma [0]_A" xfId="122"/>
    <cellStyle name="Comma [0]_A_dimon" xfId="123"/>
    <cellStyle name="Comma [0]_ACT_3BUD" xfId="124"/>
    <cellStyle name="Comma [0]_ACT_3BUD (2)" xfId="125"/>
    <cellStyle name="Comma [0]_ACTUAL" xfId="126"/>
    <cellStyle name="Comma [0]_ACTUAL NA -OBU" xfId="127"/>
    <cellStyle name="Comma [0]_Actual vs." xfId="128"/>
    <cellStyle name="Comma [0]_ADMNO694" xfId="129"/>
    <cellStyle name="Comma [0]_algasdefault" xfId="130"/>
    <cellStyle name="Comma [0]_ALL_IBT95 " xfId="131"/>
    <cellStyle name="Comma [0]_Alternative1" xfId="132"/>
    <cellStyle name="Comma [0]_Alternative1_1" xfId="133"/>
    <cellStyle name="Comma [0]_App E" xfId="134"/>
    <cellStyle name="Comma [0]_Apr" xfId="135"/>
    <cellStyle name="Comma [0]_Arapahoe" xfId="136"/>
    <cellStyle name="Comma [0]_Assumptions" xfId="137"/>
    <cellStyle name="Comma [0]_bahiadefault" xfId="138"/>
    <cellStyle name="Comma [0]_Book3" xfId="139"/>
    <cellStyle name="Comma [0]_BOP" xfId="140"/>
    <cellStyle name="Comma [0]_BOPBAL1" xfId="141"/>
    <cellStyle name="Comma [0]_BOPCBU" xfId="142"/>
    <cellStyle name="Comma [0]_BOPCBU (2)" xfId="143"/>
    <cellStyle name="Comma [0]_BOPCBU96" xfId="144"/>
    <cellStyle name="Comma [0]_BSAPPE.XLS" xfId="145"/>
    <cellStyle name="Comma [0]_Calculations" xfId="146"/>
    <cellStyle name="Comma [0]_Calculations (2)" xfId="147"/>
    <cellStyle name="Comma [0]_Calculations II" xfId="148"/>
    <cellStyle name="Comma [0]_Calculations III" xfId="149"/>
    <cellStyle name="Comma [0]_Calculations_1" xfId="150"/>
    <cellStyle name="Comma [0]_CAPEX" xfId="151"/>
    <cellStyle name="Comma [0]_CAPEX94" xfId="152"/>
    <cellStyle name="Comma [0]_CBU BOX CHART V PLAN" xfId="153"/>
    <cellStyle name="Comma [0]_CCA" xfId="154"/>
    <cellStyle name="Comma [0]_CCOCPX" xfId="155"/>
    <cellStyle name="Comma [0]_CHANGES.XLS" xfId="156"/>
    <cellStyle name="Comma [0]_Charts" xfId="157"/>
    <cellStyle name="Comma [0]_combo-3 (2)" xfId="158"/>
    <cellStyle name="Comma [0]_combo-3 (4)" xfId="159"/>
    <cellStyle name="Comma [0]_Comm File" xfId="160"/>
    <cellStyle name="Comma [0]_coperdefault" xfId="161"/>
    <cellStyle name="Comma [0]_Corp method" xfId="162"/>
    <cellStyle name="Comma [0]_CTCUR" xfId="163"/>
    <cellStyle name="Comma [0]_CUMPLTCH" xfId="164"/>
    <cellStyle name="Comma [0]_DEFAULT" xfId="165"/>
    <cellStyle name="Comma [0]_dimon" xfId="166"/>
    <cellStyle name="Comma [0]_Dowell C1b" xfId="167"/>
    <cellStyle name="Comma [0]_Dowell-C1a" xfId="168"/>
    <cellStyle name="Comma [0]_E&amp;ONW1" xfId="169"/>
    <cellStyle name="Comma [0]_E&amp;ONW2" xfId="170"/>
    <cellStyle name="Comma [0]_E&amp;OOCPX" xfId="171"/>
    <cellStyle name="Comma [0]_emserdefault" xfId="172"/>
    <cellStyle name="Comma [0]_EPL 304 CA BDE" xfId="173"/>
    <cellStyle name="Comma [0]_EPL 304 CA BDE_Atlanta_Unwind_Model_11.04.99" xfId="174"/>
    <cellStyle name="Comma [0]_F&amp;COCPX" xfId="175"/>
    <cellStyle name="Comma [0]_FCST95" xfId="176"/>
    <cellStyle name="Comma [0]_FCST_FSC" xfId="177"/>
    <cellStyle name="Comma [0]_FCST_FSC (2)" xfId="178"/>
    <cellStyle name="Comma [0]_FCST_LSI" xfId="179"/>
    <cellStyle name="Comma [0]_FCST_LSI (2)" xfId="180"/>
    <cellStyle name="Comma [0]_FCST_PLT" xfId="181"/>
    <cellStyle name="Comma [0]_FCST_PLT (2)" xfId="182"/>
    <cellStyle name="Comma [0]_FCST_PLT_FCST_PLT (2)" xfId="183"/>
    <cellStyle name="Comma [0]_FCST_RFC" xfId="184"/>
    <cellStyle name="Comma [0]_FCST_RFC (2)" xfId="185"/>
    <cellStyle name="Comma [0]_FCST_SPC" xfId="186"/>
    <cellStyle name="Comma [0]_FCST_SPC (2)" xfId="187"/>
    <cellStyle name="Comma [0]_FCST_WB" xfId="188"/>
    <cellStyle name="Comma [0]_FCST_WB (2)" xfId="189"/>
    <cellStyle name="Comma [0]_FEBRUARY" xfId="190"/>
    <cellStyle name="Comma [0]_FF" xfId="191"/>
    <cellStyle name="Comma [0]_FOODSHOW" xfId="192"/>
    <cellStyle name="Comma [0]_FP 20 A (1)" xfId="193"/>
    <cellStyle name="Comma [0]_FP 20 A (2)" xfId="194"/>
    <cellStyle name="Comma [0]_FP-20 (App. E)" xfId="195"/>
    <cellStyle name="Comma [0]_FP-20 (App.A) " xfId="196"/>
    <cellStyle name="Comma [0]_FP-20 (App.D)" xfId="197"/>
    <cellStyle name="Comma [0]_FP-20(App.B)" xfId="198"/>
    <cellStyle name="Comma [0]_FP-20(C1) (a)" xfId="199"/>
    <cellStyle name="Comma [0]_FP-20(C1) (a) (2)" xfId="200"/>
    <cellStyle name="Comma [0]_FP-20(C1) (b)" xfId="201"/>
    <cellStyle name="Comma [0]_FP-20(C1) (b) " xfId="202"/>
    <cellStyle name="Comma [0]_FP-20(C1) (b) (2)" xfId="203"/>
    <cellStyle name="Comma [0]_FY97COB1." xfId="204"/>
    <cellStyle name="Comma [0]_GABS Rec." xfId="205"/>
    <cellStyle name="Comma [0]_GABS Rec. (2)" xfId="206"/>
    <cellStyle name="Comma [0]_gap_clsr (8)" xfId="207"/>
    <cellStyle name="Comma [0]_GCM" xfId="208"/>
    <cellStyle name="Comma [0]_GenAssum" xfId="209"/>
    <cellStyle name="Comma [0]_GOLF" xfId="210"/>
    <cellStyle name="Comma [0]_GP C1a" xfId="211"/>
    <cellStyle name="Comma [0]_GP C1b" xfId="212"/>
    <cellStyle name="Comma [0]_GP_EI_3" xfId="213"/>
    <cellStyle name="Comma [0]_GQ C1A" xfId="214"/>
    <cellStyle name="Comma [0]_GQ C1B" xfId="215"/>
    <cellStyle name="Comma [0]_In millions" xfId="216"/>
    <cellStyle name="Comma [0]_In millions_combo-3 (2)" xfId="217"/>
    <cellStyle name="Comma [0]_In millions_combo-3 (4)" xfId="218"/>
    <cellStyle name="Comma [0]_In millions_non sec restruc (2)" xfId="219"/>
    <cellStyle name="Comma [0]_In millions_RJRT % to Total (2)" xfId="220"/>
    <cellStyle name="Comma [0]_In millions_severance" xfId="221"/>
    <cellStyle name="Comma [0]_index" xfId="222"/>
    <cellStyle name="Comma [0]_Inputs" xfId="223"/>
    <cellStyle name="Comma [0]_IPM C1b" xfId="224"/>
    <cellStyle name="Comma [0]_IPMC1a" xfId="225"/>
    <cellStyle name="Comma [0]_IS-Hold" xfId="226"/>
    <cellStyle name="Comma [0]_issues" xfId="227"/>
    <cellStyle name="Comma [0]_ITOCPX" xfId="228"/>
    <cellStyle name="Comma [0]_jancf" xfId="229"/>
    <cellStyle name="Comma [0]_JUNMTH55" xfId="230"/>
    <cellStyle name="Comma [0]_JUNMTH57" xfId="231"/>
    <cellStyle name="Comma [0]_JUNYTD55" xfId="232"/>
    <cellStyle name="Comma [0]_JUNYTD57" xfId="233"/>
    <cellStyle name="Comma [0]_laroux" xfId="234"/>
    <cellStyle name="Comma [0]_laroux_1" xfId="235"/>
    <cellStyle name="Comma [0]_laroux_1995" xfId="236"/>
    <cellStyle name="Comma [0]_laroux_1_dimon" xfId="237"/>
    <cellStyle name="Comma [0]_laroux_1_dimon_1" xfId="238"/>
    <cellStyle name="Comma [0]_laroux_1_laroux" xfId="239"/>
    <cellStyle name="Comma [0]_laroux_1_laroux_1" xfId="240"/>
    <cellStyle name="Comma [0]_laroux_1_laroux_PERSON2" xfId="241"/>
    <cellStyle name="Comma [0]_laroux_1_PERSON2" xfId="242"/>
    <cellStyle name="Comma [0]_laroux_1_pldt" xfId="243"/>
    <cellStyle name="Comma [0]_laroux_1_PLDT_dimon" xfId="244"/>
    <cellStyle name="Comma [0]_laroux_1_Sheet1 (2)" xfId="245"/>
    <cellStyle name="Comma [0]_laroux_1_VERA" xfId="246"/>
    <cellStyle name="Comma [0]_laroux_1_VIRUS-EDY" xfId="247"/>
    <cellStyle name="Comma [0]_laroux_2" xfId="248"/>
    <cellStyle name="Comma [0]_laroux_2_dimon" xfId="249"/>
    <cellStyle name="Comma [0]_laroux_2_dimon_1" xfId="250"/>
    <cellStyle name="Comma [0]_laroux_2_dimon_2" xfId="251"/>
    <cellStyle name="Comma [0]_laroux_2_laroux" xfId="252"/>
    <cellStyle name="Comma [0]_laroux_2_laroux_dimon" xfId="253"/>
    <cellStyle name="Comma [0]_laroux_2_laroux_PERSON2" xfId="254"/>
    <cellStyle name="Comma [0]_laroux_2_laroux_PERSON2_Atlanta_Unwind_Model_11.04.99" xfId="255"/>
    <cellStyle name="Comma [0]_laroux_2_PERSON2" xfId="256"/>
    <cellStyle name="Comma [0]_laroux_2_pldt" xfId="257"/>
    <cellStyle name="Comma [0]_laroux_2_Sheet1 (2)" xfId="258"/>
    <cellStyle name="Comma [0]_laroux_2_Sheet1 (2)_Atlanta_Unwind_Model_11.04.99" xfId="259"/>
    <cellStyle name="Comma [0]_laroux_2_VERA" xfId="260"/>
    <cellStyle name="Comma [0]_laroux_3" xfId="261"/>
    <cellStyle name="Comma [0]_laroux_3_dimon" xfId="262"/>
    <cellStyle name="Comma [0]_laroux_3_laroux" xfId="263"/>
    <cellStyle name="Comma [0]_laroux_3_PERSON2" xfId="264"/>
    <cellStyle name="Comma [0]_laroux_4" xfId="265"/>
    <cellStyle name="Comma [0]_laroux_dimon" xfId="266"/>
    <cellStyle name="Comma [0]_laroux_dimon_1" xfId="267"/>
    <cellStyle name="Comma [0]_laroux_EPL 304 CA BDE" xfId="268"/>
    <cellStyle name="Comma [0]_laroux_EPL 304 CA BDE_Atlanta_Unwind_Model_11.04.99" xfId="269"/>
    <cellStyle name="Comma [0]_laroux_laroux" xfId="270"/>
    <cellStyle name="Comma [0]_laroux_laroux_1" xfId="271"/>
    <cellStyle name="Comma [0]_laroux_laroux_1_PERSON2" xfId="272"/>
    <cellStyle name="Comma [0]_laroux_laroux_1_PERSON2_Atlanta_Unwind_Model_11.04.99" xfId="273"/>
    <cellStyle name="Comma [0]_laroux_laroux_dimon" xfId="274"/>
    <cellStyle name="Comma [0]_laroux_laroux_PERSON2" xfId="275"/>
    <cellStyle name="Comma [0]_laroux_MATERAL2" xfId="276"/>
    <cellStyle name="Comma [0]_laroux_MATERAL2_dimon" xfId="277"/>
    <cellStyle name="Comma [0]_laroux_MATERAL2_laroux" xfId="278"/>
    <cellStyle name="Comma [0]_laroux_MATERAL2_laroux_dimon" xfId="279"/>
    <cellStyle name="Comma [0]_laroux_MATERAL2_laroux_PERSON2" xfId="280"/>
    <cellStyle name="Comma [0]_laroux_MATERAL2_laroux_PERSON2_Atlanta_Unwind_Model_11.04.99" xfId="281"/>
    <cellStyle name="Comma [0]_laroux_MATERAL2_PERSON2" xfId="282"/>
    <cellStyle name="Comma [0]_laroux_MATERAL2_pldt" xfId="283"/>
    <cellStyle name="Comma [0]_laroux_MATERAL2_VERA" xfId="284"/>
    <cellStyle name="Comma [0]_laroux_MATERAL2_VIRUS-EDY" xfId="285"/>
    <cellStyle name="Comma [0]_laroux_mud plant bolted" xfId="286"/>
    <cellStyle name="Comma [0]_laroux_mud plant bolted_dimon" xfId="287"/>
    <cellStyle name="Comma [0]_laroux_mud plant bolted_dimon_1" xfId="288"/>
    <cellStyle name="Comma [0]_laroux_mud plant bolted_PERSON2" xfId="289"/>
    <cellStyle name="Comma [0]_laroux_PERSON2" xfId="290"/>
    <cellStyle name="Comma [0]_laroux_pldt" xfId="291"/>
    <cellStyle name="Comma [0]_laroux_Sheet1 (2)" xfId="292"/>
    <cellStyle name="Comma [0]_laroux_VERA" xfId="293"/>
    <cellStyle name="Comma [0]_laroux_VERA_1" xfId="294"/>
    <cellStyle name="Comma [0]_laroux_VIRUS-EDY" xfId="295"/>
    <cellStyle name="Comma [0]_MATERAL2" xfId="296"/>
    <cellStyle name="Comma [0]_MATERAL2_dimon" xfId="297"/>
    <cellStyle name="Comma [0]_MATERAL2_dimon_1" xfId="298"/>
    <cellStyle name="Comma [0]_MATERAL2_PERSON2" xfId="299"/>
    <cellStyle name="Comma [0]_MKGOCPX" xfId="300"/>
    <cellStyle name="Comma [0]_MOBCPX" xfId="301"/>
    <cellStyle name="Comma [0]_MTHLYR&amp;O" xfId="302"/>
    <cellStyle name="Comma [0]_mud plant bolted" xfId="303"/>
    <cellStyle name="Comma [0]_mud plant bolted_dimon" xfId="304"/>
    <cellStyle name="Comma [0]_mud plant bolted_laroux" xfId="305"/>
    <cellStyle name="Comma [0]_mud plant bolted_laroux_dimon" xfId="306"/>
    <cellStyle name="Comma [0]_mud plant bolted_laroux_PERSON2" xfId="307"/>
    <cellStyle name="Comma [0]_mud plant bolted_laroux_PERSON2_Atlanta_Unwind_Model_11.04.99" xfId="308"/>
    <cellStyle name="Comma [0]_mud plant bolted_PERSON2" xfId="309"/>
    <cellStyle name="Comma [0]_mud plant bolted_pldt" xfId="310"/>
    <cellStyle name="Comma [0]_mud plant bolted_VERA" xfId="311"/>
    <cellStyle name="Comma [0]_mud plant bolted_VIRUS-EDY" xfId="312"/>
    <cellStyle name="Comma [0]_NA WITHOUT GOV'T &amp; PNX" xfId="313"/>
    <cellStyle name="Comma [0]_NAOBU10" xfId="314"/>
    <cellStyle name="Comma [0]_NAT ACCT" xfId="315"/>
    <cellStyle name="Comma [0]_non sec restruc (2)" xfId="316"/>
    <cellStyle name="Comma [0]_NSACTUAL.XLS" xfId="317"/>
    <cellStyle name="Comma [0]_NTG_PJE" xfId="318"/>
    <cellStyle name="Comma [0]_NX00" xfId="319"/>
    <cellStyle name="Comma [0]_Odner" xfId="320"/>
    <cellStyle name="Comma [0]_Odner (2)" xfId="321"/>
    <cellStyle name="Comma [0]_Odner (3)" xfId="322"/>
    <cellStyle name="Comma [0]_OSMOCPX" xfId="323"/>
    <cellStyle name="Comma [0]_Other Months" xfId="324"/>
    <cellStyle name="Comma [0]_Outlook" xfId="325"/>
    <cellStyle name="Comma [0]_P7INVENT" xfId="326"/>
    <cellStyle name="Comma [0]_pbdefault" xfId="327"/>
    <cellStyle name="Comma [0]_percentages" xfId="328"/>
    <cellStyle name="Comma [0]_PERSON2" xfId="329"/>
    <cellStyle name="Comma [0]_PERSONAL" xfId="330"/>
    <cellStyle name="Comma [0]_PGMKOCPX" xfId="331"/>
    <cellStyle name="Comma [0]_PGNW1" xfId="332"/>
    <cellStyle name="Comma [0]_PGNW2" xfId="333"/>
    <cellStyle name="Comma [0]_PGNWOCPX" xfId="334"/>
    <cellStyle name="Comma [0]_Pink" xfId="335"/>
    <cellStyle name="Comma [0]_Plan" xfId="336"/>
    <cellStyle name="Comma [0]_PLANT" xfId="337"/>
    <cellStyle name="Comma [0]_PLDT" xfId="338"/>
    <cellStyle name="Comma [0]_pldt_1" xfId="339"/>
    <cellStyle name="Comma [0]_PLDT_1_dimon" xfId="340"/>
    <cellStyle name="Comma [0]_pldt_Calculations" xfId="341"/>
    <cellStyle name="Comma [0]_PLDT_dimon" xfId="342"/>
    <cellStyle name="Comma [0]_priccurv" xfId="343"/>
    <cellStyle name="Comma [0]_PROCDS&amp;G" xfId="344"/>
    <cellStyle name="Comma [0]_PROFILE4" xfId="345"/>
    <cellStyle name="Comma [0]_Projects" xfId="346"/>
    <cellStyle name="Comma [0]_PURAZV12" xfId="347"/>
    <cellStyle name="Comma [0]_Quarter End Months" xfId="348"/>
    <cellStyle name="Comma [0]_r1" xfId="349"/>
    <cellStyle name="Comma [0]_RELO-MOS" xfId="350"/>
    <cellStyle name="Comma [0]_RELO694" xfId="351"/>
    <cellStyle name="Comma [0]_RFI" xfId="352"/>
    <cellStyle name="Comma [0]_RFI_1" xfId="353"/>
    <cellStyle name="Comma [0]_risk_op" xfId="354"/>
    <cellStyle name="Comma [0]_risk_op (+)" xfId="355"/>
    <cellStyle name="Comma [0]_RJRN Roadmap" xfId="356"/>
    <cellStyle name="Comma [0]_RJRN Roadmap (2)" xfId="357"/>
    <cellStyle name="Comma [0]_RJRT % to Total (2)" xfId="358"/>
    <cellStyle name="Comma [0]_ROAD" xfId="359"/>
    <cellStyle name="Comma [0]_ROAD_1" xfId="360"/>
    <cellStyle name="Comma [0]_Sales Order" xfId="361"/>
    <cellStyle name="Comma [0]_SATOCPX" xfId="362"/>
    <cellStyle name="Comma [0]_SCH1_SIL" xfId="363"/>
    <cellStyle name="Comma [0]_SCH2_SIL" xfId="364"/>
    <cellStyle name="Comma [0]_severance" xfId="365"/>
    <cellStyle name="Comma [0]_Sheet1" xfId="366"/>
    <cellStyle name="Comma [0]_Sheet1 (2)" xfId="367"/>
    <cellStyle name="Comma [0]_Sheet1 (2)_FCST95" xfId="368"/>
    <cellStyle name="Comma [0]_Sheet1 (2)_laroux" xfId="369"/>
    <cellStyle name="Comma [0]_Sheet1 (2)_laroux_Atlanta_Unwind_Model_11.04.99" xfId="370"/>
    <cellStyle name="Comma [0]_Sheet1_dimon" xfId="371"/>
    <cellStyle name="Comma [0]_Sheet1_laroux" xfId="372"/>
    <cellStyle name="Comma [0]_Sheet1_PERSON2" xfId="373"/>
    <cellStyle name="Comma [0]_Sheet2" xfId="374"/>
    <cellStyle name="Comma [0]_Sheet3" xfId="375"/>
    <cellStyle name="Comma [0]_Sheet4" xfId="376"/>
    <cellStyle name="Comma [0]_Sheet5" xfId="377"/>
    <cellStyle name="Comma [0]_SHENREPT" xfId="378"/>
    <cellStyle name="Comma [0]_Snr. CO" xfId="379"/>
    <cellStyle name="Comma [0]_sprint contr" xfId="380"/>
    <cellStyle name="Comma [0]_Subcont File" xfId="381"/>
    <cellStyle name="Comma [0]_Summ Rest" xfId="382"/>
    <cellStyle name="Comma [0]_Summ Rest (2)" xfId="383"/>
    <cellStyle name="Comma [0]_Summary Info" xfId="384"/>
    <cellStyle name="Comma [0]_SUMPAGE" xfId="385"/>
    <cellStyle name="Comma [0]_TMSNW1" xfId="386"/>
    <cellStyle name="Comma [0]_TMSNW2" xfId="387"/>
    <cellStyle name="Comma [0]_TMSOCPX" xfId="388"/>
    <cellStyle name="Comma [0]_TOTAL MTH" xfId="389"/>
    <cellStyle name="Comma [0]_TOTAL YTD" xfId="390"/>
    <cellStyle name="Comma [0]_TRANSDSC.XLS" xfId="391"/>
    <cellStyle name="Comma [0]_TRANSFXA.XLS" xfId="392"/>
    <cellStyle name="Comma [0]_TRANSFXA.XLS_1" xfId="393"/>
    <cellStyle name="Comma [0]_TRANSIME.XLS" xfId="394"/>
    <cellStyle name="Comma [0]_TRANSIME.XLS_TRANSDSC.XLS" xfId="395"/>
    <cellStyle name="Comma [0]_TRANSIME.XLS_TRANSFXA.XLS" xfId="396"/>
    <cellStyle name="Comma [0]_util94" xfId="397"/>
    <cellStyle name="Comma [0]_Variance" xfId="398"/>
    <cellStyle name="Comma [0]_version2 (2)" xfId="399"/>
    <cellStyle name="Comma [0]_version2.A" xfId="400"/>
    <cellStyle name="Comma [0]_VIRUS-EDY" xfId="401"/>
    <cellStyle name="Comma [0]_White" xfId="402"/>
    <cellStyle name="Comma [0]_WO Var. &amp; Tot. Exp." xfId="403"/>
    <cellStyle name="Comma [0]_WSP" xfId="404"/>
    <cellStyle name="Comma [0]_yrcao" xfId="405"/>
    <cellStyle name="Comma [0]_YREND55" xfId="406"/>
    <cellStyle name="Comma [0]_YREND57" xfId="407"/>
    <cellStyle name="Comma [0]_YTDCUR" xfId="408"/>
    <cellStyle name="Comma_0694ODD" xfId="409"/>
    <cellStyle name="Comma_12matrix" xfId="410"/>
    <cellStyle name="Comma_1995" xfId="411"/>
    <cellStyle name="Comma_353HHC" xfId="412"/>
    <cellStyle name="Comma_353HHC_Atlanta_Unwind_Model_11.04.99" xfId="413"/>
    <cellStyle name="Comma_694COVR" xfId="414"/>
    <cellStyle name="Comma_94BUDALL" xfId="415"/>
    <cellStyle name="Comma_94BUDALL_laroux" xfId="416"/>
    <cellStyle name="Comma_94BUDALL_laroux_UNIMAP (2)" xfId="417"/>
    <cellStyle name="Comma_94BUDALL_UNIMAP (2)" xfId="418"/>
    <cellStyle name="Comma_95summary" xfId="419"/>
    <cellStyle name="Comma_96_WIN" xfId="420"/>
    <cellStyle name="Comma_96_WIN (2)" xfId="421"/>
    <cellStyle name="Comma_A" xfId="422"/>
    <cellStyle name="Comma_A_dimon" xfId="423"/>
    <cellStyle name="Comma_ACT_3BUD" xfId="424"/>
    <cellStyle name="Comma_ACT_3BUD (2)" xfId="425"/>
    <cellStyle name="Comma_ACTUAL" xfId="426"/>
    <cellStyle name="Comma_ACTUAL NA -OBU" xfId="427"/>
    <cellStyle name="Comma_Actual vs." xfId="428"/>
    <cellStyle name="Comma_ADMNO694" xfId="429"/>
    <cellStyle name="Comma_algasdefault" xfId="430"/>
    <cellStyle name="Comma_algasdefault_1" xfId="431"/>
    <cellStyle name="Comma_ALL_IBT95 " xfId="432"/>
    <cellStyle name="Comma_Alternative1" xfId="433"/>
    <cellStyle name="Comma_Alternative1_1" xfId="434"/>
    <cellStyle name="Comma_App E" xfId="435"/>
    <cellStyle name="Comma_Apr" xfId="436"/>
    <cellStyle name="Comma_Arapahoe" xfId="437"/>
    <cellStyle name="Comma_Assumptions" xfId="438"/>
    <cellStyle name="Comma_bahiadefault" xfId="439"/>
    <cellStyle name="Comma_bahiadefault_1" xfId="440"/>
    <cellStyle name="Comma_Book3" xfId="441"/>
    <cellStyle name="Comma_BOP" xfId="442"/>
    <cellStyle name="Comma_BOPBAL1" xfId="443"/>
    <cellStyle name="Comma_BOPCBU" xfId="444"/>
    <cellStyle name="Comma_BOPCBU (2)" xfId="445"/>
    <cellStyle name="Comma_BOPCBU96" xfId="446"/>
    <cellStyle name="Comma_BSAPPE.XLS" xfId="447"/>
    <cellStyle name="Comma_C-Cap intensity" xfId="448"/>
    <cellStyle name="Comma_C-Capex%rev" xfId="449"/>
    <cellStyle name="Comma_C-Line per Staff" xfId="450"/>
    <cellStyle name="Comma_C-lines distribution" xfId="451"/>
    <cellStyle name="Comma_C-Orig PLDT lines" xfId="452"/>
    <cellStyle name="Comma_C-Ret on Rev" xfId="453"/>
    <cellStyle name="Comma_C-ROACE" xfId="454"/>
    <cellStyle name="Comma_Calculations" xfId="455"/>
    <cellStyle name="Comma_Calculations (2)" xfId="456"/>
    <cellStyle name="Comma_Calculations II" xfId="457"/>
    <cellStyle name="Comma_Calculations III" xfId="458"/>
    <cellStyle name="Comma_Calculations_1" xfId="459"/>
    <cellStyle name="Comma_Capex" xfId="460"/>
    <cellStyle name="Comma_Capex per line" xfId="461"/>
    <cellStyle name="Comma_Capex%rev" xfId="462"/>
    <cellStyle name="Comma_CAPEX94" xfId="463"/>
    <cellStyle name="Comma_CAPEX_dimon" xfId="464"/>
    <cellStyle name="Comma_CBU BOX CHART V PLAN" xfId="465"/>
    <cellStyle name="Comma_CCA" xfId="466"/>
    <cellStyle name="Comma_CCOCPX" xfId="467"/>
    <cellStyle name="Comma_CHANGES.XLS" xfId="468"/>
    <cellStyle name="Comma_Charts" xfId="469"/>
    <cellStyle name="Comma_Cht-Capex per line" xfId="470"/>
    <cellStyle name="Comma_Cht-Cum Real Opr Cf" xfId="471"/>
    <cellStyle name="Comma_Cht-Dep%Rev" xfId="472"/>
    <cellStyle name="Comma_Cht-Real Opr Cf" xfId="473"/>
    <cellStyle name="Comma_Cht-Rev dist" xfId="474"/>
    <cellStyle name="Comma_Cht-Rev p line" xfId="475"/>
    <cellStyle name="Comma_Cht-Rev per Staff" xfId="476"/>
    <cellStyle name="Comma_Cht-Staff cost%revenue" xfId="477"/>
    <cellStyle name="Comma_combo-3 (2)" xfId="478"/>
    <cellStyle name="Comma_combo-3 (2)_laroux" xfId="479"/>
    <cellStyle name="Comma_combo-3 (2)_laroux_UNIMAP (2)" xfId="480"/>
    <cellStyle name="Comma_combo-3 (2)_UNIMAP (2)" xfId="481"/>
    <cellStyle name="Comma_combo-3 (4)" xfId="482"/>
    <cellStyle name="Comma_Comm File" xfId="483"/>
    <cellStyle name="Comma_coperdefault" xfId="484"/>
    <cellStyle name="Comma_coperdefault_1" xfId="485"/>
    <cellStyle name="Comma_Corp method" xfId="486"/>
    <cellStyle name="Comma_CROCF" xfId="487"/>
    <cellStyle name="Comma_CTCUR" xfId="488"/>
    <cellStyle name="Comma_Cum Real Opr Cf" xfId="489"/>
    <cellStyle name="Comma_CUMPLTCH" xfId="490"/>
    <cellStyle name="Comma_DEFAULT" xfId="491"/>
    <cellStyle name="Comma_Demand Fcst." xfId="492"/>
    <cellStyle name="Comma_Dep%Rev" xfId="493"/>
    <cellStyle name="Comma_dimon" xfId="494"/>
    <cellStyle name="Comma_Dowell C1b" xfId="495"/>
    <cellStyle name="Comma_Dowell-C1a" xfId="496"/>
    <cellStyle name="Comma_E&amp;ONW1" xfId="497"/>
    <cellStyle name="Comma_E&amp;ONW2" xfId="498"/>
    <cellStyle name="Comma_E&amp;OOCPX" xfId="499"/>
    <cellStyle name="Comma_emserdefault" xfId="500"/>
    <cellStyle name="Comma_emserdefault_1" xfId="501"/>
    <cellStyle name="Comma_EPL 304 CA BDE" xfId="502"/>
    <cellStyle name="Comma_EPL 304 CA BDE_Atlanta_Unwind_Model_11.04.99" xfId="503"/>
    <cellStyle name="Comma_EPS" xfId="504"/>
    <cellStyle name="Comma_F&amp;COCPX" xfId="505"/>
    <cellStyle name="Comma_FCST95" xfId="506"/>
    <cellStyle name="Comma_FCST_FSC" xfId="507"/>
    <cellStyle name="Comma_FCST_FSC (2)" xfId="508"/>
    <cellStyle name="Comma_FCST_LSI" xfId="509"/>
    <cellStyle name="Comma_FCST_LSI (2)" xfId="510"/>
    <cellStyle name="Comma_FCST_PLT" xfId="511"/>
    <cellStyle name="Comma_FCST_PLT (2)" xfId="512"/>
    <cellStyle name="Comma_FCST_PLT_FCST_PLT (2)" xfId="513"/>
    <cellStyle name="Comma_FCST_RFC" xfId="514"/>
    <cellStyle name="Comma_FCST_RFC (2)" xfId="515"/>
    <cellStyle name="Comma_FCST_SPC" xfId="516"/>
    <cellStyle name="Comma_FCST_SPC (2)" xfId="517"/>
    <cellStyle name="Comma_FCST_WB" xfId="518"/>
    <cellStyle name="Comma_FCST_WB (2)" xfId="519"/>
    <cellStyle name="Comma_FEBRUARY" xfId="520"/>
    <cellStyle name="Comma_FF" xfId="521"/>
    <cellStyle name="Comma_FOODSHOW" xfId="522"/>
    <cellStyle name="Comma_FP 20 A (1)" xfId="523"/>
    <cellStyle name="Comma_FP 20 A (2)" xfId="524"/>
    <cellStyle name="Comma_FP-20 (App. E)" xfId="525"/>
    <cellStyle name="Comma_FP-20 (App.A) " xfId="526"/>
    <cellStyle name="Comma_FP-20 (App.D)" xfId="527"/>
    <cellStyle name="Comma_FP-20(App.B)" xfId="528"/>
    <cellStyle name="Comma_FP-20(C1) (a)" xfId="529"/>
    <cellStyle name="Comma_FP-20(C1) (a) (2)" xfId="530"/>
    <cellStyle name="Comma_FP-20(C1) (b)" xfId="531"/>
    <cellStyle name="Comma_FP-20(C1) (b) " xfId="532"/>
    <cellStyle name="Comma_FP-20(C1) (b) (2)" xfId="533"/>
    <cellStyle name="Comma_FY97COB1." xfId="534"/>
    <cellStyle name="Comma_GABS Rec." xfId="535"/>
    <cellStyle name="Comma_GABS Rec. (2)" xfId="536"/>
    <cellStyle name="Comma_gap_clsr (8)" xfId="537"/>
    <cellStyle name="Comma_GCM" xfId="538"/>
    <cellStyle name="Comma_GenAssum" xfId="539"/>
    <cellStyle name="Comma_GOLF" xfId="540"/>
    <cellStyle name="Comma_GP C1a" xfId="541"/>
    <cellStyle name="Comma_GP C1b" xfId="542"/>
    <cellStyle name="Comma_GP_EI_3" xfId="543"/>
    <cellStyle name="Comma_GQ C1A" xfId="544"/>
    <cellStyle name="Comma_GQ C1B" xfId="545"/>
    <cellStyle name="Comma_In millions" xfId="546"/>
    <cellStyle name="Comma_In millions_combo-3 (2)" xfId="547"/>
    <cellStyle name="Comma_In millions_combo-3 (4)" xfId="548"/>
    <cellStyle name="Comma_In millions_combo-3 (4)_laroux" xfId="549"/>
    <cellStyle name="Comma_In millions_combo-3 (4)_laroux_UNIMAP (2)" xfId="550"/>
    <cellStyle name="Comma_In millions_combo-3 (4)_UNIMAP (2)" xfId="551"/>
    <cellStyle name="Comma_In millions_non sec restruc (2)" xfId="552"/>
    <cellStyle name="Comma_In millions_RJRT % to Total (2)" xfId="553"/>
    <cellStyle name="Comma_In millions_RJRT % to Total (2)_laroux" xfId="554"/>
    <cellStyle name="Comma_In millions_RJRT % to Total (2)_laroux_UNIMAP (2)" xfId="555"/>
    <cellStyle name="Comma_In millions_RJRT % to Total (2)_UNIMAP (2)" xfId="556"/>
    <cellStyle name="Comma_In millions_severance" xfId="557"/>
    <cellStyle name="Comma_index" xfId="558"/>
    <cellStyle name="Comma_Inputs" xfId="559"/>
    <cellStyle name="Comma_IPM C1b" xfId="560"/>
    <cellStyle name="Comma_IPMC1a" xfId="561"/>
    <cellStyle name="Comma_IRR" xfId="562"/>
    <cellStyle name="Comma_IS-Hold" xfId="563"/>
    <cellStyle name="Comma_issues" xfId="564"/>
    <cellStyle name="Comma_ITOCPX" xfId="565"/>
    <cellStyle name="Comma_jancf" xfId="566"/>
    <cellStyle name="Comma_JUNMTH55" xfId="567"/>
    <cellStyle name="Comma_JUNMTH57" xfId="568"/>
    <cellStyle name="Comma_JUNYTD55" xfId="569"/>
    <cellStyle name="Comma_JUNYTD57" xfId="570"/>
    <cellStyle name="Comma_laroux" xfId="571"/>
    <cellStyle name="Comma_laroux_1" xfId="572"/>
    <cellStyle name="Comma_laroux_1995" xfId="573"/>
    <cellStyle name="Comma_laroux_1_dimon" xfId="574"/>
    <cellStyle name="Comma_laroux_1_dimon_1" xfId="575"/>
    <cellStyle name="Comma_laroux_1_laroux" xfId="576"/>
    <cellStyle name="Comma_laroux_1_laroux_1" xfId="577"/>
    <cellStyle name="Comma_laroux_1_laroux_PERSON2" xfId="578"/>
    <cellStyle name="Comma_laroux_1_PERSON2" xfId="579"/>
    <cellStyle name="Comma_laroux_1_pldt" xfId="580"/>
    <cellStyle name="Comma_laroux_1_pldt_1" xfId="581"/>
    <cellStyle name="Comma_laroux_1_PLDT_dimon" xfId="582"/>
    <cellStyle name="Comma_laroux_1_Sheet1 (2)" xfId="583"/>
    <cellStyle name="Comma_laroux_1_VERA" xfId="584"/>
    <cellStyle name="Comma_laroux_1_VERA_1" xfId="585"/>
    <cellStyle name="Comma_laroux_1_VIRUS-EDY" xfId="586"/>
    <cellStyle name="Comma_laroux_2" xfId="587"/>
    <cellStyle name="Comma_laroux_2_dimon" xfId="588"/>
    <cellStyle name="Comma_laroux_2_dimon_1" xfId="589"/>
    <cellStyle name="Comma_laroux_2_dimon_2" xfId="590"/>
    <cellStyle name="Comma_laroux_2_laroux" xfId="591"/>
    <cellStyle name="Comma_laroux_2_laroux_dimon" xfId="592"/>
    <cellStyle name="Comma_laroux_2_laroux_PERSON2" xfId="593"/>
    <cellStyle name="Comma_laroux_2_laroux_PERSON2_Atlanta_Unwind_Model_11.04.99" xfId="594"/>
    <cellStyle name="Comma_laroux_2_PERSON2" xfId="595"/>
    <cellStyle name="Comma_laroux_2_PERSON2_Supply_Value_Model_10.11.99" xfId="596"/>
    <cellStyle name="Comma_laroux_2_pldt" xfId="597"/>
    <cellStyle name="Comma_laroux_2_pldt_1" xfId="598"/>
    <cellStyle name="Comma_laroux_2_PLDT_dimon" xfId="599"/>
    <cellStyle name="Comma_laroux_2_Sheet1 (2)" xfId="600"/>
    <cellStyle name="Comma_laroux_2_Sheet1 (2)_Atlanta_Unwind_Model_11.04.99" xfId="601"/>
    <cellStyle name="Comma_laroux_2_VERA" xfId="602"/>
    <cellStyle name="Comma_laroux_2_VERA_1" xfId="603"/>
    <cellStyle name="Comma_laroux_3" xfId="604"/>
    <cellStyle name="Comma_laroux_3_dimon" xfId="605"/>
    <cellStyle name="Comma_laroux_3_dimon_1" xfId="606"/>
    <cellStyle name="Comma_laroux_3_dimon_2" xfId="607"/>
    <cellStyle name="Comma_laroux_3_laroux" xfId="608"/>
    <cellStyle name="Comma_laroux_3_PERSON2" xfId="609"/>
    <cellStyle name="Comma_laroux_4" xfId="610"/>
    <cellStyle name="Comma_laroux_dimon" xfId="611"/>
    <cellStyle name="Comma_laroux_dimon_1" xfId="612"/>
    <cellStyle name="Comma_laroux_EPL 304 CA BDE" xfId="613"/>
    <cellStyle name="Comma_laroux_EPL 304 CA BDE_Atlanta_Unwind_Model_11.04.99" xfId="614"/>
    <cellStyle name="Comma_laroux_laroux" xfId="615"/>
    <cellStyle name="Comma_laroux_laroux_1" xfId="616"/>
    <cellStyle name="Comma_laroux_laroux_1_PERSON2" xfId="617"/>
    <cellStyle name="Comma_laroux_laroux_1_PERSON2_Atlanta_Unwind_Model_11.04.99" xfId="618"/>
    <cellStyle name="Comma_laroux_laroux_dimon" xfId="619"/>
    <cellStyle name="Comma_laroux_laroux_PERSON2" xfId="620"/>
    <cellStyle name="Comma_laroux_PERSON2" xfId="621"/>
    <cellStyle name="Comma_laroux_pldt" xfId="622"/>
    <cellStyle name="Comma_laroux_pldt_1" xfId="623"/>
    <cellStyle name="Comma_laroux_Sheet1 (2)" xfId="624"/>
    <cellStyle name="Comma_laroux_VERA" xfId="625"/>
    <cellStyle name="Comma_laroux_VERA_1" xfId="626"/>
    <cellStyle name="Comma_laroux_VIRUS-EDY" xfId="627"/>
    <cellStyle name="Comma_Line Inst." xfId="628"/>
    <cellStyle name="Comma_MATERAL2" xfId="629"/>
    <cellStyle name="Comma_MATERAL2_dimon" xfId="630"/>
    <cellStyle name="Comma_MATERAL2_dimon_1" xfId="631"/>
    <cellStyle name="Comma_MATERAL2_PERSON2" xfId="632"/>
    <cellStyle name="Comma_MKGOCPX" xfId="633"/>
    <cellStyle name="Comma_Mkt Shr" xfId="634"/>
    <cellStyle name="Comma_MOBCPX" xfId="635"/>
    <cellStyle name="Comma_MTHLYR&amp;O" xfId="636"/>
    <cellStyle name="Comma_mud plant bolted" xfId="637"/>
    <cellStyle name="Comma_NA WITHOUT GOV'T &amp; PNX" xfId="638"/>
    <cellStyle name="Comma_NAOBU10" xfId="639"/>
    <cellStyle name="Comma_NAT ACCT" xfId="640"/>
    <cellStyle name="Comma_NCR-C&amp;W Val" xfId="641"/>
    <cellStyle name="Comma_NCR-Cap intensity" xfId="642"/>
    <cellStyle name="Comma_NCR-Line per Staff" xfId="643"/>
    <cellStyle name="Comma_NCR-Rev dist" xfId="644"/>
    <cellStyle name="Comma_non sec restruc (2)" xfId="645"/>
    <cellStyle name="Comma_non sec restruc (2)_laroux" xfId="646"/>
    <cellStyle name="Comma_non sec restruc (2)_laroux_UNIMAP (2)" xfId="647"/>
    <cellStyle name="Comma_non sec restruc (2)_UNIMAP (2)" xfId="648"/>
    <cellStyle name="Comma_NSACTUAL.XLS" xfId="649"/>
    <cellStyle name="Comma_NTG_PJE" xfId="650"/>
    <cellStyle name="Comma_NX00" xfId="651"/>
    <cellStyle name="Comma_Odner" xfId="652"/>
    <cellStyle name="Comma_Odner (2)" xfId="653"/>
    <cellStyle name="Comma_Odner (3)" xfId="654"/>
    <cellStyle name="Comma_Op Cost Break" xfId="655"/>
    <cellStyle name="Comma_OSMOCPX" xfId="656"/>
    <cellStyle name="Comma_Other Months" xfId="657"/>
    <cellStyle name="Comma_Outlook" xfId="658"/>
    <cellStyle name="Comma_P7INVENT" xfId="659"/>
    <cellStyle name="Comma_pbdefault" xfId="660"/>
    <cellStyle name="Comma_pbdefault_1" xfId="661"/>
    <cellStyle name="Comma_percentages" xfId="662"/>
    <cellStyle name="Comma_PERSON2" xfId="663"/>
    <cellStyle name="Comma_PERSON2_Supply_Value_Model_10.11.99" xfId="664"/>
    <cellStyle name="Comma_PERSONAL" xfId="665"/>
    <cellStyle name="Comma_PGMKOCPX" xfId="666"/>
    <cellStyle name="Comma_PGNW1" xfId="667"/>
    <cellStyle name="Comma_PGNW2" xfId="668"/>
    <cellStyle name="Comma_PGNWOCPX" xfId="669"/>
    <cellStyle name="Comma_Pink" xfId="670"/>
    <cellStyle name="Comma_Plan" xfId="671"/>
    <cellStyle name="Comma_PLANT" xfId="672"/>
    <cellStyle name="Comma_PLDT" xfId="673"/>
    <cellStyle name="Comma_pldt_1" xfId="674"/>
    <cellStyle name="Comma_PLDT_1_dimon" xfId="675"/>
    <cellStyle name="Comma_pldt_2" xfId="676"/>
    <cellStyle name="Comma_pldt_Calculations" xfId="677"/>
    <cellStyle name="Comma_PLDT_dimon" xfId="678"/>
    <cellStyle name="Comma_priccurv" xfId="679"/>
    <cellStyle name="Comma_PROCDS&amp;G" xfId="680"/>
    <cellStyle name="Comma_PROFILE4" xfId="681"/>
    <cellStyle name="Comma_Projects" xfId="682"/>
    <cellStyle name="Comma_PURAZV12" xfId="683"/>
    <cellStyle name="Comma_Quarter End Months" xfId="684"/>
    <cellStyle name="Comma_r1" xfId="685"/>
    <cellStyle name="Comma_Real Opr Cf" xfId="686"/>
    <cellStyle name="Comma_Real Rev per Staff (1)" xfId="687"/>
    <cellStyle name="Comma_Real Rev per Staff (2)" xfId="688"/>
    <cellStyle name="Comma_Region 2-C&amp;W" xfId="689"/>
    <cellStyle name="Comma_RELO-MOS" xfId="690"/>
    <cellStyle name="Comma_RELO694" xfId="691"/>
    <cellStyle name="Comma_Return on Rev" xfId="692"/>
    <cellStyle name="Comma_Rev p line" xfId="693"/>
    <cellStyle name="Comma_RFI" xfId="694"/>
    <cellStyle name="Comma_RFI_1" xfId="695"/>
    <cellStyle name="Comma_risk_op" xfId="696"/>
    <cellStyle name="Comma_risk_op (+)" xfId="697"/>
    <cellStyle name="Comma_RJRN Roadmap" xfId="698"/>
    <cellStyle name="Comma_RJRN Roadmap (2)" xfId="699"/>
    <cellStyle name="Comma_RJRT % to Total (2)" xfId="700"/>
    <cellStyle name="Comma_ROACE" xfId="701"/>
    <cellStyle name="Comma_ROAD" xfId="702"/>
    <cellStyle name="Comma_ROAD_1" xfId="703"/>
    <cellStyle name="Comma_ROCF (Tot)" xfId="704"/>
    <cellStyle name="Comma_Sales Order" xfId="705"/>
    <cellStyle name="Comma_SATOCPX" xfId="706"/>
    <cellStyle name="Comma_SCH1_SIL" xfId="707"/>
    <cellStyle name="Comma_SCH2_SIL" xfId="708"/>
    <cellStyle name="Comma_severance" xfId="709"/>
    <cellStyle name="Comma_severance_laroux" xfId="710"/>
    <cellStyle name="Comma_severance_laroux_UNIMAP (2)" xfId="711"/>
    <cellStyle name="Comma_severance_UNIMAP (2)" xfId="712"/>
    <cellStyle name="Comma_Sheet1" xfId="713"/>
    <cellStyle name="Comma_Sheet1 (2)" xfId="714"/>
    <cellStyle name="Comma_Sheet1 (2)_FCST95" xfId="715"/>
    <cellStyle name="Comma_Sheet1 (2)_laroux" xfId="716"/>
    <cellStyle name="Comma_Sheet1 (2)_laroux_1" xfId="717"/>
    <cellStyle name="Comma_Sheet1 (2)_laroux_1_UNIMAP (2)" xfId="718"/>
    <cellStyle name="Comma_Sheet1 (2)_laroux_2" xfId="719"/>
    <cellStyle name="Comma_Sheet1 (2)_laroux_2_Atlanta_Unwind_Model_11.04.99" xfId="720"/>
    <cellStyle name="Comma_Sheet1 (2)_SCH1_SIL" xfId="721"/>
    <cellStyle name="Comma_Sheet1 (2)_SCH1_SIL_laroux" xfId="722"/>
    <cellStyle name="Comma_Sheet1 (2)_SCH1_SIL_laroux_UNIMAP (2)" xfId="723"/>
    <cellStyle name="Comma_Sheet1 (2)_SCH1_SIL_UNIMAP (2)" xfId="724"/>
    <cellStyle name="Comma_Sheet1 (2)_SCH2_SIL" xfId="725"/>
    <cellStyle name="Comma_Sheet1 (2)_UNIMAP (2)" xfId="726"/>
    <cellStyle name="Comma_Sheet1_dimon" xfId="727"/>
    <cellStyle name="Comma_Sheet1_laroux" xfId="728"/>
    <cellStyle name="Comma_Sheet1_laroux_1" xfId="729"/>
    <cellStyle name="Comma_Sheet1_laroux_1_UNIMAP (2)" xfId="730"/>
    <cellStyle name="Comma_Sheet1_PERSON2" xfId="731"/>
    <cellStyle name="Comma_Sheet1_UNIMAP (2)" xfId="732"/>
    <cellStyle name="Comma_Sheet2" xfId="733"/>
    <cellStyle name="Comma_Sheet3" xfId="734"/>
    <cellStyle name="Comma_Sheet4" xfId="735"/>
    <cellStyle name="Comma_Sheet5" xfId="736"/>
    <cellStyle name="Comma_SHENREPT" xfId="737"/>
    <cellStyle name="Comma_Snr. CO" xfId="738"/>
    <cellStyle name="Comma_sprint contr" xfId="739"/>
    <cellStyle name="Comma_Staff cost%rev" xfId="740"/>
    <cellStyle name="Comma_Subcont File" xfId="741"/>
    <cellStyle name="Comma_Summ Rest" xfId="742"/>
    <cellStyle name="Comma_Summ Rest (2)" xfId="743"/>
    <cellStyle name="Comma_Summary Info" xfId="744"/>
    <cellStyle name="Comma_SUMPAGE" xfId="745"/>
    <cellStyle name="Comma_TMSNW1" xfId="746"/>
    <cellStyle name="Comma_TMSNW2" xfId="747"/>
    <cellStyle name="Comma_TMSOCPX" xfId="748"/>
    <cellStyle name="Comma_TOTAL MTH" xfId="749"/>
    <cellStyle name="Comma_TOTAL YTD" xfId="750"/>
    <cellStyle name="Comma_Total-Rev dist." xfId="751"/>
    <cellStyle name="Comma_TRANSDSC.XLS" xfId="752"/>
    <cellStyle name="Comma_TRANSFXA.XLS" xfId="753"/>
    <cellStyle name="Comma_TRANSFXA.XLS_1" xfId="754"/>
    <cellStyle name="Comma_TRANSIME.XLS" xfId="755"/>
    <cellStyle name="Comma_TRANSIME.XLS_TRANSDSC.XLS" xfId="756"/>
    <cellStyle name="Comma_TRANSIME.XLS_TRANSFXA.XLS" xfId="757"/>
    <cellStyle name="Comma_util94" xfId="758"/>
    <cellStyle name="Comma_Variance" xfId="759"/>
    <cellStyle name="Comma_version2 (2)" xfId="760"/>
    <cellStyle name="Comma_version2.A" xfId="761"/>
    <cellStyle name="Comma_VIRUS-EDY" xfId="762"/>
    <cellStyle name="Comma_White" xfId="763"/>
    <cellStyle name="Comma_WO Var. &amp; Tot. Exp." xfId="764"/>
    <cellStyle name="Comma_WSP" xfId="765"/>
    <cellStyle name="Comma_yrcao" xfId="766"/>
    <cellStyle name="Comma_YREND55" xfId="767"/>
    <cellStyle name="Comma_YREND57" xfId="768"/>
    <cellStyle name="Comma_YTDCUR" xfId="769"/>
    <cellStyle name="Currency [0]_0694ODD" xfId="770"/>
    <cellStyle name="Currency [0]_12matrix" xfId="771"/>
    <cellStyle name="Currency [0]_1995" xfId="772"/>
    <cellStyle name="Currency [0]_353HHC" xfId="773"/>
    <cellStyle name="Currency [0]_694COVR" xfId="774"/>
    <cellStyle name="Currency [0]_94BUDALL" xfId="775"/>
    <cellStyle name="Currency [0]_95summary" xfId="776"/>
    <cellStyle name="Currency [0]_96_WIN" xfId="777"/>
    <cellStyle name="Currency [0]_96_WIN (2)" xfId="778"/>
    <cellStyle name="Currency [0]_A" xfId="779"/>
    <cellStyle name="Currency [0]_A_dimon" xfId="780"/>
    <cellStyle name="Currency [0]_ACT_3BUD" xfId="781"/>
    <cellStyle name="Currency [0]_ACT_3BUD (2)" xfId="782"/>
    <cellStyle name="Currency [0]_ACTUAL" xfId="783"/>
    <cellStyle name="Currency [0]_ACTUAL NA -OBU" xfId="784"/>
    <cellStyle name="Currency [0]_Actual vs." xfId="785"/>
    <cellStyle name="Currency [0]_ADMNO694" xfId="786"/>
    <cellStyle name="Currency [0]_algasdefault" xfId="787"/>
    <cellStyle name="Currency [0]_ALL_IBT95 " xfId="788"/>
    <cellStyle name="Currency [0]_Alternative1" xfId="789"/>
    <cellStyle name="Currency [0]_Alternative1_1" xfId="790"/>
    <cellStyle name="Currency [0]_App E" xfId="791"/>
    <cellStyle name="Currency [0]_Apr" xfId="792"/>
    <cellStyle name="Currency [0]_Arapahoe" xfId="793"/>
    <cellStyle name="Currency [0]_Assumptions" xfId="794"/>
    <cellStyle name="Currency [0]_bahiadefault" xfId="795"/>
    <cellStyle name="Currency [0]_Book3" xfId="796"/>
    <cellStyle name="Currency [0]_BOP" xfId="797"/>
    <cellStyle name="Currency [0]_BOPBAL1" xfId="798"/>
    <cellStyle name="Currency [0]_BOPCBU" xfId="799"/>
    <cellStyle name="Currency [0]_BOPCBU (2)" xfId="800"/>
    <cellStyle name="Currency [0]_BOPCBU96" xfId="801"/>
    <cellStyle name="Currency [0]_BSAPPE.XLS" xfId="802"/>
    <cellStyle name="Currency [0]_Calculations" xfId="803"/>
    <cellStyle name="Currency [0]_Calculations (2)" xfId="804"/>
    <cellStyle name="Currency [0]_Calculations II" xfId="805"/>
    <cellStyle name="Currency [0]_Calculations III" xfId="806"/>
    <cellStyle name="Currency [0]_Calculations_1" xfId="807"/>
    <cellStyle name="Currency [0]_CAPEX" xfId="808"/>
    <cellStyle name="Currency [0]_CAPEX94" xfId="809"/>
    <cellStyle name="Currency [0]_Cardig GHS" xfId="810"/>
    <cellStyle name="Currency [0]_Cash Flows" xfId="811"/>
    <cellStyle name="Currency [0]_CBU BOX CHART V PLAN" xfId="812"/>
    <cellStyle name="Currency [0]_CCA" xfId="813"/>
    <cellStyle name="Currency [0]_CCOCPX" xfId="814"/>
    <cellStyle name="Currency [0]_CHANGES.XLS" xfId="815"/>
    <cellStyle name="Currency [0]_Charts" xfId="816"/>
    <cellStyle name="Currency [0]_combo-3 (2)" xfId="817"/>
    <cellStyle name="Currency [0]_combo-3 (4)" xfId="818"/>
    <cellStyle name="Currency [0]_Comm File" xfId="819"/>
    <cellStyle name="Currency [0]_coperdefault" xfId="820"/>
    <cellStyle name="Currency [0]_Corp method" xfId="821"/>
    <cellStyle name="Currency [0]_Cost Code" xfId="822"/>
    <cellStyle name="Currency [0]_CTCUR" xfId="823"/>
    <cellStyle name="Currency [0]_CUMPLTCH" xfId="824"/>
    <cellStyle name="Currency [0]_DEFAULT" xfId="825"/>
    <cellStyle name="Currency [0]_dimon" xfId="826"/>
    <cellStyle name="Currency [0]_dimon_1" xfId="827"/>
    <cellStyle name="Currency [0]_dimon_2" xfId="828"/>
    <cellStyle name="Currency [0]_Dowell C1b" xfId="829"/>
    <cellStyle name="Currency [0]_Dowell-C1a" xfId="830"/>
    <cellStyle name="Currency [0]_E&amp;ONW1" xfId="831"/>
    <cellStyle name="Currency [0]_E&amp;ONW2" xfId="832"/>
    <cellStyle name="Currency [0]_E&amp;OOCPX" xfId="833"/>
    <cellStyle name="Currency [0]_emserdefault" xfId="834"/>
    <cellStyle name="Currency [0]_EPL 304 CA BDE" xfId="835"/>
    <cellStyle name="Currency [0]_F&amp;COCPX" xfId="836"/>
    <cellStyle name="Currency [0]_FCST95" xfId="837"/>
    <cellStyle name="Currency [0]_FCST_FSC" xfId="838"/>
    <cellStyle name="Currency [0]_FCST_FSC (2)" xfId="839"/>
    <cellStyle name="Currency [0]_FCST_LSI" xfId="840"/>
    <cellStyle name="Currency [0]_FCST_LSI (2)" xfId="841"/>
    <cellStyle name="Currency [0]_FCST_PLT" xfId="842"/>
    <cellStyle name="Currency [0]_FCST_PLT (2)" xfId="843"/>
    <cellStyle name="Currency [0]_FCST_PLT_FCST_PLT (2)" xfId="844"/>
    <cellStyle name="Currency [0]_FCST_RFC" xfId="845"/>
    <cellStyle name="Currency [0]_FCST_RFC (2)" xfId="846"/>
    <cellStyle name="Currency [0]_FCST_SPC" xfId="847"/>
    <cellStyle name="Currency [0]_FCST_SPC (2)" xfId="848"/>
    <cellStyle name="Currency [0]_FCST_WB" xfId="849"/>
    <cellStyle name="Currency [0]_FCST_WB (2)" xfId="850"/>
    <cellStyle name="Currency [0]_FEBRUARY" xfId="851"/>
    <cellStyle name="Currency [0]_FF" xfId="852"/>
    <cellStyle name="Currency [0]_FOODSHOW" xfId="853"/>
    <cellStyle name="Currency [0]_FP 20 A (1)" xfId="854"/>
    <cellStyle name="Currency [0]_FP 20 A (2)" xfId="855"/>
    <cellStyle name="Currency [0]_FP-20 (App. E)" xfId="856"/>
    <cellStyle name="Currency [0]_FP-20 (App.A) " xfId="857"/>
    <cellStyle name="Currency [0]_FP-20 (App.D)" xfId="858"/>
    <cellStyle name="Currency [0]_FP-20(App.B)" xfId="859"/>
    <cellStyle name="Currency [0]_FP-20(C1) (a)" xfId="860"/>
    <cellStyle name="Currency [0]_FP-20(C1) (a) (2)" xfId="861"/>
    <cellStyle name="Currency [0]_FP-20(C1) (b)" xfId="862"/>
    <cellStyle name="Currency [0]_FP-20(C1) (b) " xfId="863"/>
    <cellStyle name="Currency [0]_FP-20(C1) (b) (2)" xfId="864"/>
    <cellStyle name="Currency [0]_FY97COB1." xfId="865"/>
    <cellStyle name="Currency [0]_GABS Rec." xfId="866"/>
    <cellStyle name="Currency [0]_GABS Rec. (2)" xfId="867"/>
    <cellStyle name="Currency [0]_gap_clsr (8)" xfId="868"/>
    <cellStyle name="Currency [0]_GCM" xfId="869"/>
    <cellStyle name="Currency [0]_GenAssum" xfId="870"/>
    <cellStyle name="Currency [0]_GOLF" xfId="871"/>
    <cellStyle name="Currency [0]_GP C1a" xfId="872"/>
    <cellStyle name="Currency [0]_GP C1b" xfId="873"/>
    <cellStyle name="Currency [0]_GP_EI_3" xfId="874"/>
    <cellStyle name="Currency [0]_GQ C1A" xfId="875"/>
    <cellStyle name="Currency [0]_GQ C1B" xfId="876"/>
    <cellStyle name="Currency [0]_In millions" xfId="877"/>
    <cellStyle name="Currency [0]_In millions_combo-3 (2)" xfId="878"/>
    <cellStyle name="Currency [0]_In millions_combo-3 (4)" xfId="879"/>
    <cellStyle name="Currency [0]_In millions_non sec restruc (2)" xfId="880"/>
    <cellStyle name="Currency [0]_In millions_RJRT % to Total (2)" xfId="881"/>
    <cellStyle name="Currency [0]_In millions_severance" xfId="882"/>
    <cellStyle name="Currency [0]_index" xfId="883"/>
    <cellStyle name="Currency [0]_Inputs" xfId="884"/>
    <cellStyle name="Currency [0]_IPM C1b" xfId="885"/>
    <cellStyle name="Currency [0]_IPMC1a" xfId="886"/>
    <cellStyle name="Currency [0]_IS-Hold" xfId="887"/>
    <cellStyle name="Currency [0]_issues" xfId="888"/>
    <cellStyle name="Currency [0]_ITOCPX" xfId="889"/>
    <cellStyle name="Currency [0]_jancf" xfId="890"/>
    <cellStyle name="Currency [0]_JUNMTH55" xfId="891"/>
    <cellStyle name="Currency [0]_JUNMTH57" xfId="892"/>
    <cellStyle name="Currency [0]_JUNYTD55" xfId="893"/>
    <cellStyle name="Currency [0]_JUNYTD57" xfId="894"/>
    <cellStyle name="Currency [0]_laroux" xfId="895"/>
    <cellStyle name="Currency [0]_laroux_1" xfId="896"/>
    <cellStyle name="Currency [0]_laroux_1995" xfId="897"/>
    <cellStyle name="Currency [0]_laroux_1_dimon" xfId="898"/>
    <cellStyle name="Currency [0]_laroux_1_dimon_1" xfId="899"/>
    <cellStyle name="Currency [0]_laroux_1_dimon_2" xfId="900"/>
    <cellStyle name="Currency [0]_laroux_1_dimon_3" xfId="901"/>
    <cellStyle name="Currency [0]_laroux_1_laroux" xfId="902"/>
    <cellStyle name="Currency [0]_laroux_1_laroux_1" xfId="903"/>
    <cellStyle name="Currency [0]_laroux_1_laroux_1_PERSON2" xfId="904"/>
    <cellStyle name="Currency [0]_laroux_1_laroux_dimon" xfId="905"/>
    <cellStyle name="Currency [0]_laroux_1_laroux_PERSON2" xfId="906"/>
    <cellStyle name="Currency [0]_laroux_1_Locas" xfId="907"/>
    <cellStyle name="Currency [0]_laroux_1_PERSON2" xfId="908"/>
    <cellStyle name="Currency [0]_laroux_1_pldt" xfId="909"/>
    <cellStyle name="Currency [0]_laroux_1_PLDT_dimon" xfId="910"/>
    <cellStyle name="Currency [0]_laroux_1_Sheet1 (2)" xfId="911"/>
    <cellStyle name="Currency [0]_laroux_1_VERA" xfId="912"/>
    <cellStyle name="Currency [0]_laroux_1_VERA_1" xfId="913"/>
    <cellStyle name="Currency [0]_laroux_1_VIRUS-EDY" xfId="914"/>
    <cellStyle name="Currency [0]_laroux_2" xfId="915"/>
    <cellStyle name="Currency [0]_laroux_2_dimon" xfId="916"/>
    <cellStyle name="Currency [0]_laroux_2_dimon_1" xfId="917"/>
    <cellStyle name="Currency [0]_laroux_2_dimon_2" xfId="918"/>
    <cellStyle name="Currency [0]_laroux_2_dimon_3" xfId="919"/>
    <cellStyle name="Currency [0]_laroux_2_laroux" xfId="920"/>
    <cellStyle name="Currency [0]_laroux_2_laroux_dimon" xfId="921"/>
    <cellStyle name="Currency [0]_laroux_2_laroux_PERSON2" xfId="922"/>
    <cellStyle name="Currency [0]_laroux_2_Locas" xfId="923"/>
    <cellStyle name="Currency [0]_laroux_2_PERSON2" xfId="924"/>
    <cellStyle name="Currency [0]_laroux_2_pldt" xfId="925"/>
    <cellStyle name="Currency [0]_laroux_2_PLDT_dimon" xfId="926"/>
    <cellStyle name="Currency [0]_laroux_2_Sheet1 (2)" xfId="927"/>
    <cellStyle name="Currency [0]_laroux_2_VIRUS-EDY" xfId="928"/>
    <cellStyle name="Currency [0]_laroux_3" xfId="929"/>
    <cellStyle name="Currency [0]_laroux_3_dimon" xfId="930"/>
    <cellStyle name="Currency [0]_laroux_3_dimon_1" xfId="931"/>
    <cellStyle name="Currency [0]_laroux_3_dimon_2" xfId="932"/>
    <cellStyle name="Currency [0]_laroux_3_dimon_3" xfId="933"/>
    <cellStyle name="Currency [0]_laroux_3_laroux" xfId="934"/>
    <cellStyle name="Currency [0]_laroux_3_PERSON2" xfId="935"/>
    <cellStyle name="Currency [0]_laroux_4" xfId="936"/>
    <cellStyle name="Currency [0]_laroux_4_dimon" xfId="937"/>
    <cellStyle name="Currency [0]_laroux_4_dimon_1" xfId="938"/>
    <cellStyle name="Currency [0]_laroux_4_PERSON2" xfId="939"/>
    <cellStyle name="Currency [0]_laroux_5" xfId="940"/>
    <cellStyle name="Currency [0]_laroux_5_PERSON2" xfId="941"/>
    <cellStyle name="Currency [0]_laroux_6" xfId="942"/>
    <cellStyle name="Currency [0]_laroux_6_PERSON2" xfId="943"/>
    <cellStyle name="Currency [0]_laroux_7" xfId="944"/>
    <cellStyle name="Currency [0]_laroux_dimon" xfId="945"/>
    <cellStyle name="Currency [0]_laroux_dimon_1" xfId="946"/>
    <cellStyle name="Currency [0]_laroux_dimon_2" xfId="947"/>
    <cellStyle name="Currency [0]_laroux_dimon_3" xfId="948"/>
    <cellStyle name="Currency [0]_laroux_EPL 304 CA BDE" xfId="949"/>
    <cellStyle name="Currency [0]_laroux_laroux" xfId="950"/>
    <cellStyle name="Currency [0]_laroux_laroux_1" xfId="951"/>
    <cellStyle name="Currency [0]_laroux_laroux_1_dimon" xfId="952"/>
    <cellStyle name="Currency [0]_laroux_laroux_1_PERSON2" xfId="953"/>
    <cellStyle name="Currency [0]_laroux_laroux_dimon" xfId="954"/>
    <cellStyle name="Currency [0]_laroux_laroux_PERSON2" xfId="955"/>
    <cellStyle name="Currency [0]_laroux_laroux_PERSON2_Atlanta_Unwind_Model_11.04.99" xfId="956"/>
    <cellStyle name="Currency [0]_laroux_laroux_PERSON2_Supply_Value_Model_10.11.99" xfId="957"/>
    <cellStyle name="Currency [0]_laroux_Locas" xfId="958"/>
    <cellStyle name="Currency [0]_laroux_MATERAL2" xfId="959"/>
    <cellStyle name="Currency [0]_laroux_MATERAL2_dimon" xfId="960"/>
    <cellStyle name="Currency [0]_laroux_MATERAL2_dimon_1" xfId="961"/>
    <cellStyle name="Currency [0]_laroux_MATERAL2_laroux" xfId="962"/>
    <cellStyle name="Currency [0]_laroux_MATERAL2_laroux_dimon" xfId="963"/>
    <cellStyle name="Currency [0]_laroux_MATERAL2_laroux_PERSON2" xfId="964"/>
    <cellStyle name="Currency [0]_laroux_MATERAL2_PERSON2" xfId="965"/>
    <cellStyle name="Currency [0]_laroux_MATERAL2_pldt" xfId="966"/>
    <cellStyle name="Currency [0]_laroux_MATERAL2_VERA" xfId="967"/>
    <cellStyle name="Currency [0]_laroux_MATERAL2_VIRUS-EDY" xfId="968"/>
    <cellStyle name="Currency [0]_laroux_mud plant bolted" xfId="969"/>
    <cellStyle name="Currency [0]_laroux_mud plant bolted_dimon" xfId="970"/>
    <cellStyle name="Currency [0]_laroux_mud plant bolted_dimon_1" xfId="971"/>
    <cellStyle name="Currency [0]_laroux_mud plant bolted_PERSON2" xfId="972"/>
    <cellStyle name="Currency [0]_laroux_PERSON2" xfId="973"/>
    <cellStyle name="Currency [0]_laroux_pldt" xfId="974"/>
    <cellStyle name="Currency [0]_laroux_pldt_1" xfId="975"/>
    <cellStyle name="Currency [0]_laroux_Sheet1 (2)" xfId="976"/>
    <cellStyle name="Currency [0]_laroux_VERA" xfId="977"/>
    <cellStyle name="Currency [0]_laroux_VERA_1" xfId="978"/>
    <cellStyle name="Currency [0]_laroux_VIRUS-EDY" xfId="979"/>
    <cellStyle name="Currency [0]_List" xfId="980"/>
    <cellStyle name="Currency [0]_MATERAL2" xfId="981"/>
    <cellStyle name="Currency [0]_MATERAL2_dimon" xfId="982"/>
    <cellStyle name="Currency [0]_MATERAL2_dimon_1" xfId="983"/>
    <cellStyle name="Currency [0]_MATERAL2_PERSON2" xfId="984"/>
    <cellStyle name="Currency [0]_MKGOCPX" xfId="985"/>
    <cellStyle name="Currency [0]_MOBCPX" xfId="986"/>
    <cellStyle name="Currency [0]_MTHLYR&amp;O" xfId="987"/>
    <cellStyle name="Currency [0]_mud plant bolted" xfId="988"/>
    <cellStyle name="Currency [0]_mud plant bolted_dimon" xfId="989"/>
    <cellStyle name="Currency [0]_mud plant bolted_dimon_1" xfId="990"/>
    <cellStyle name="Currency [0]_mud plant bolted_laroux" xfId="991"/>
    <cellStyle name="Currency [0]_mud plant bolted_laroux_dimon" xfId="992"/>
    <cellStyle name="Currency [0]_mud plant bolted_laroux_PERSON2" xfId="993"/>
    <cellStyle name="Currency [0]_mud plant bolted_PERSON2" xfId="994"/>
    <cellStyle name="Currency [0]_mud plant bolted_pldt" xfId="995"/>
    <cellStyle name="Currency [0]_mud plant bolted_VERA" xfId="996"/>
    <cellStyle name="Currency [0]_mud plant bolted_VIRUS-EDY" xfId="997"/>
    <cellStyle name="Currency [0]_NA WITHOUT GOV'T &amp; PNX" xfId="998"/>
    <cellStyle name="Currency [0]_NAOBU10" xfId="999"/>
    <cellStyle name="Currency [0]_NAT ACCT" xfId="1000"/>
    <cellStyle name="Currency [0]_non sec restruc (2)" xfId="1001"/>
    <cellStyle name="Currency [0]_NSACTUAL.XLS" xfId="1002"/>
    <cellStyle name="Currency [0]_NTG_PJE" xfId="1003"/>
    <cellStyle name="Currency [0]_NX00" xfId="1004"/>
    <cellStyle name="Currency [0]_Odner" xfId="1005"/>
    <cellStyle name="Currency [0]_Odner (2)" xfId="1006"/>
    <cellStyle name="Currency [0]_Odner (3)" xfId="1007"/>
    <cellStyle name="Currency [0]_OSMOCPX" xfId="1008"/>
    <cellStyle name="Currency [0]_Other Months" xfId="1009"/>
    <cellStyle name="Currency [0]_Outlook" xfId="1010"/>
    <cellStyle name="Currency [0]_P7INVENT" xfId="1011"/>
    <cellStyle name="Currency [0]_pbdefault" xfId="1012"/>
    <cellStyle name="Currency [0]_percentages" xfId="1013"/>
    <cellStyle name="Currency [0]_PERSON2" xfId="1014"/>
    <cellStyle name="Currency [0]_PERSONAL" xfId="1015"/>
    <cellStyle name="Currency [0]_PGMKOCPX" xfId="1016"/>
    <cellStyle name="Currency [0]_PGNW1" xfId="1017"/>
    <cellStyle name="Currency [0]_PGNW2" xfId="1018"/>
    <cellStyle name="Currency [0]_PGNWOCPX" xfId="1019"/>
    <cellStyle name="Currency [0]_Pink" xfId="1020"/>
    <cellStyle name="Currency [0]_Plan" xfId="1021"/>
    <cellStyle name="Currency [0]_PLANT" xfId="1022"/>
    <cellStyle name="Currency [0]_PLDT" xfId="1023"/>
    <cellStyle name="Currency [0]_pldt_1" xfId="1024"/>
    <cellStyle name="Currency [0]_PLDT_1_dimon" xfId="1025"/>
    <cellStyle name="Currency [0]_pldt_1_dimon_1" xfId="1026"/>
    <cellStyle name="Currency [0]_pldt_2" xfId="1027"/>
    <cellStyle name="Currency [0]_pldt_Calculations" xfId="1028"/>
    <cellStyle name="Currency [0]_PLDT_dimon" xfId="1029"/>
    <cellStyle name="Currency [0]_pldt_dimon_1" xfId="1030"/>
    <cellStyle name="Currency [0]_priccurv" xfId="1031"/>
    <cellStyle name="Currency [0]_PROCDS&amp;G" xfId="1032"/>
    <cellStyle name="Currency [0]_PROFILE4" xfId="1033"/>
    <cellStyle name="Currency [0]_Projects" xfId="1034"/>
    <cellStyle name="Currency [0]_PURAZV12" xfId="1035"/>
    <cellStyle name="Currency [0]_Quarter End Months" xfId="1036"/>
    <cellStyle name="Currency [0]_r1" xfId="1037"/>
    <cellStyle name="Currency [0]_RELO-MOS" xfId="1038"/>
    <cellStyle name="Currency [0]_RELO694" xfId="1039"/>
    <cellStyle name="Currency [0]_RFI" xfId="1040"/>
    <cellStyle name="Currency [0]_RFI_1" xfId="1041"/>
    <cellStyle name="Currency [0]_risk_op" xfId="1042"/>
    <cellStyle name="Currency [0]_risk_op (+)" xfId="1043"/>
    <cellStyle name="Currency [0]_RJRN Roadmap" xfId="1044"/>
    <cellStyle name="Currency [0]_RJRN Roadmap (2)" xfId="1045"/>
    <cellStyle name="Currency [0]_RJRT % to Total (2)" xfId="1046"/>
    <cellStyle name="Currency [0]_ROAD" xfId="1047"/>
    <cellStyle name="Currency [0]_ROAD_1" xfId="1048"/>
    <cellStyle name="Currency [0]_Sales Order" xfId="1049"/>
    <cellStyle name="Currency [0]_SATOCPX" xfId="1050"/>
    <cellStyle name="Currency [0]_SCH1_SIL" xfId="1051"/>
    <cellStyle name="Currency [0]_SCH2_SIL" xfId="1052"/>
    <cellStyle name="Currency [0]_severance" xfId="1053"/>
    <cellStyle name="Currency [0]_Sheet1" xfId="1054"/>
    <cellStyle name="Currency [0]_Sheet1 (2)" xfId="1055"/>
    <cellStyle name="Currency [0]_Sheet1 (2)_FCST95" xfId="1056"/>
    <cellStyle name="Currency [0]_Sheet1 (2)_laroux" xfId="1057"/>
    <cellStyle name="Currency [0]_Sheet1 (2)_PERSON2" xfId="1058"/>
    <cellStyle name="Currency [0]_Sheet1_dimon" xfId="1059"/>
    <cellStyle name="Currency [0]_Sheet1_laroux" xfId="1060"/>
    <cellStyle name="Currency [0]_Sheet1_PERSON2" xfId="1061"/>
    <cellStyle name="Currency [0]_Sheet2" xfId="1062"/>
    <cellStyle name="Currency [0]_Sheet3" xfId="1063"/>
    <cellStyle name="Currency [0]_Sheet4" xfId="1064"/>
    <cellStyle name="Currency [0]_Sheet5" xfId="1065"/>
    <cellStyle name="Currency [0]_SHENREPT" xfId="1066"/>
    <cellStyle name="Currency [0]_Snr. CO" xfId="1067"/>
    <cellStyle name="Currency [0]_sprint contr" xfId="1068"/>
    <cellStyle name="Currency [0]_Subcont File" xfId="1069"/>
    <cellStyle name="Currency [0]_Summ Rest" xfId="1070"/>
    <cellStyle name="Currency [0]_Summ Rest (2)" xfId="1071"/>
    <cellStyle name="Currency [0]_Summary Info" xfId="1072"/>
    <cellStyle name="Currency [0]_SUMPAGE" xfId="1073"/>
    <cellStyle name="Currency [0]_TMSNW1" xfId="1074"/>
    <cellStyle name="Currency [0]_TMSNW2" xfId="1075"/>
    <cellStyle name="Currency [0]_TMSOCPX" xfId="1076"/>
    <cellStyle name="Currency [0]_TOTAL MTH" xfId="1077"/>
    <cellStyle name="Currency [0]_TOTAL YTD" xfId="1078"/>
    <cellStyle name="Currency [0]_TRANSDSC.XLS" xfId="1079"/>
    <cellStyle name="Currency [0]_TRANSFXA.XLS" xfId="1080"/>
    <cellStyle name="Currency [0]_TRANSFXA.XLS_1" xfId="1081"/>
    <cellStyle name="Currency [0]_TRANSIME.XLS" xfId="1082"/>
    <cellStyle name="Currency [0]_TRANSIME.XLS_TRANSDSC.XLS" xfId="1083"/>
    <cellStyle name="Currency [0]_TRANSIME.XLS_TRANSFXA.XLS" xfId="1084"/>
    <cellStyle name="Currency [0]_util94" xfId="1085"/>
    <cellStyle name="Currency [0]_Variance" xfId="1086"/>
    <cellStyle name="Currency [0]_VERA" xfId="1087"/>
    <cellStyle name="Currency [0]_version2 (2)" xfId="1088"/>
    <cellStyle name="Currency [0]_version2.A" xfId="1089"/>
    <cellStyle name="Currency [0]_VIRUS-EDY" xfId="1090"/>
    <cellStyle name="Currency [0]_VIRUS-EDY_1" xfId="1091"/>
    <cellStyle name="Currency [0]_White" xfId="1092"/>
    <cellStyle name="Currency [0]_WO Var. &amp; Tot. Exp." xfId="1093"/>
    <cellStyle name="Currency [0]_WSP" xfId="1094"/>
    <cellStyle name="Currency [0]_yrcao" xfId="1095"/>
    <cellStyle name="Currency [0]_YREND55" xfId="1096"/>
    <cellStyle name="Currency [0]_YREND57" xfId="1097"/>
    <cellStyle name="Currency [0]_YTDCUR" xfId="1098"/>
    <cellStyle name="Currency_0694ODD" xfId="1099"/>
    <cellStyle name="Currency_12matrix" xfId="1100"/>
    <cellStyle name="Currency_1995" xfId="1101"/>
    <cellStyle name="Currency_353HHC" xfId="1102"/>
    <cellStyle name="Currency_694COVR" xfId="1103"/>
    <cellStyle name="Currency_94BUDALL" xfId="1104"/>
    <cellStyle name="Currency_95summary" xfId="1105"/>
    <cellStyle name="Currency_96_WIN" xfId="1106"/>
    <cellStyle name="Currency_96_WIN (2)" xfId="1107"/>
    <cellStyle name="Currency_A" xfId="1108"/>
    <cellStyle name="Currency_A_dimon" xfId="1109"/>
    <cellStyle name="Currency_ACT_3BUD" xfId="1110"/>
    <cellStyle name="Currency_ACT_3BUD (2)" xfId="1111"/>
    <cellStyle name="Currency_ACTUAL" xfId="1112"/>
    <cellStyle name="Currency_ACTUAL NA -OBU" xfId="1113"/>
    <cellStyle name="Currency_Actual vs." xfId="1114"/>
    <cellStyle name="Currency_ADMNO694" xfId="1115"/>
    <cellStyle name="Currency_algasdefault" xfId="1116"/>
    <cellStyle name="Currency_algasdefault_1" xfId="1117"/>
    <cellStyle name="Currency_ALL_IBT95 " xfId="1118"/>
    <cellStyle name="Currency_Alternative1" xfId="1119"/>
    <cellStyle name="Currency_Alternative1_1" xfId="1120"/>
    <cellStyle name="Currency_App E" xfId="1121"/>
    <cellStyle name="Currency_Apr" xfId="1122"/>
    <cellStyle name="Currency_Arapahoe" xfId="1123"/>
    <cellStyle name="Currency_Assumptions" xfId="1124"/>
    <cellStyle name="Currency_bahiadefault" xfId="1125"/>
    <cellStyle name="Currency_bahiadefault_1" xfId="1126"/>
    <cellStyle name="Currency_BIGOUT" xfId="1127"/>
    <cellStyle name="Currency_Book3" xfId="1128"/>
    <cellStyle name="Currency_BOP" xfId="1129"/>
    <cellStyle name="Currency_BOPBAL1" xfId="1130"/>
    <cellStyle name="Currency_BOPCBU" xfId="1131"/>
    <cellStyle name="Currency_BOPCBU (2)" xfId="1132"/>
    <cellStyle name="Currency_BOPCBU96" xfId="1133"/>
    <cellStyle name="Currency_BSAPPE.XLS" xfId="1134"/>
    <cellStyle name="Currency_Calculations" xfId="1135"/>
    <cellStyle name="Currency_Calculations (2)" xfId="1136"/>
    <cellStyle name="Currency_Calculations II" xfId="1137"/>
    <cellStyle name="Currency_Calculations III" xfId="1138"/>
    <cellStyle name="Currency_Calculations_1" xfId="1139"/>
    <cellStyle name="Currency_CAPEX" xfId="1140"/>
    <cellStyle name="Currency_CAPEX94" xfId="1141"/>
    <cellStyle name="Currency_Cardig GHS" xfId="1142"/>
    <cellStyle name="Currency_Cash Flows" xfId="1143"/>
    <cellStyle name="Currency_CBU BOX CHART V PLAN" xfId="1144"/>
    <cellStyle name="Currency_CCA" xfId="1145"/>
    <cellStyle name="Currency_CCOCPX" xfId="1146"/>
    <cellStyle name="Currency_CHANGES.XLS" xfId="1147"/>
    <cellStyle name="Currency_Charts" xfId="1148"/>
    <cellStyle name="Currency_combo-3 (2)" xfId="1149"/>
    <cellStyle name="Currency_combo-3 (4)" xfId="1150"/>
    <cellStyle name="Currency_Comm File" xfId="1151"/>
    <cellStyle name="Currency_coperdefault" xfId="1152"/>
    <cellStyle name="Currency_coperdefault_1" xfId="1153"/>
    <cellStyle name="Currency_Corp method" xfId="1154"/>
    <cellStyle name="Currency_Cost Code" xfId="1155"/>
    <cellStyle name="Currency_CTCUR" xfId="1156"/>
    <cellStyle name="Currency_CUMPLTCH" xfId="1157"/>
    <cellStyle name="Currency_DEFAULT" xfId="1158"/>
    <cellStyle name="Currency_dimon" xfId="1159"/>
    <cellStyle name="Currency_dimon_1" xfId="1160"/>
    <cellStyle name="Currency_dimon_2" xfId="1161"/>
    <cellStyle name="Currency_Dowell C1b" xfId="1162"/>
    <cellStyle name="Currency_Dowell-C1a" xfId="1163"/>
    <cellStyle name="Currency_E&amp;ONW1" xfId="1164"/>
    <cellStyle name="Currency_E&amp;ONW2" xfId="1165"/>
    <cellStyle name="Currency_E&amp;OOCPX" xfId="1166"/>
    <cellStyle name="Currency_emserdefault" xfId="1167"/>
    <cellStyle name="Currency_emserdefault_1" xfId="1168"/>
    <cellStyle name="Currency_EPL 304 CA BDE" xfId="1169"/>
    <cellStyle name="Currency_F&amp;COCPX" xfId="1170"/>
    <cellStyle name="Currency_FCST95" xfId="1171"/>
    <cellStyle name="Currency_FCST_FSC" xfId="1172"/>
    <cellStyle name="Currency_FCST_FSC (2)" xfId="1173"/>
    <cellStyle name="Currency_FCST_LSI" xfId="1174"/>
    <cellStyle name="Currency_FCST_LSI (2)" xfId="1175"/>
    <cellStyle name="Currency_FCST_PLT" xfId="1176"/>
    <cellStyle name="Currency_FCST_PLT (2)" xfId="1177"/>
    <cellStyle name="Currency_FCST_PLT_FCST_PLT (2)" xfId="1178"/>
    <cellStyle name="Currency_FCST_RFC" xfId="1179"/>
    <cellStyle name="Currency_FCST_RFC (2)" xfId="1180"/>
    <cellStyle name="Currency_FCST_SPC" xfId="1181"/>
    <cellStyle name="Currency_FCST_SPC (2)" xfId="1182"/>
    <cellStyle name="Currency_FCST_WB" xfId="1183"/>
    <cellStyle name="Currency_FCST_WB (2)" xfId="1184"/>
    <cellStyle name="Currency_FEBRUARY" xfId="1185"/>
    <cellStyle name="Currency_FF" xfId="1186"/>
    <cellStyle name="Currency_FOODSHOW" xfId="1187"/>
    <cellStyle name="Currency_FP 20 A (1)" xfId="1188"/>
    <cellStyle name="Currency_FP 20 A (2)" xfId="1189"/>
    <cellStyle name="Currency_FP-20 (App. E)" xfId="1190"/>
    <cellStyle name="Currency_FP-20 (App.A) " xfId="1191"/>
    <cellStyle name="Currency_FP-20 (App.D)" xfId="1192"/>
    <cellStyle name="Currency_FP-20(App.B)" xfId="1193"/>
    <cellStyle name="Currency_FP-20(C1) (a)" xfId="1194"/>
    <cellStyle name="Currency_FP-20(C1) (a) (2)" xfId="1195"/>
    <cellStyle name="Currency_FP-20(C1) (b)" xfId="1196"/>
    <cellStyle name="Currency_FP-20(C1) (b) " xfId="1197"/>
    <cellStyle name="Currency_FP-20(C1) (b) (2)" xfId="1198"/>
    <cellStyle name="Currency_FY97COB1." xfId="1199"/>
    <cellStyle name="Currency_GABS Rec." xfId="1200"/>
    <cellStyle name="Currency_GABS Rec. (2)" xfId="1201"/>
    <cellStyle name="Currency_gap_clsr (8)" xfId="1202"/>
    <cellStyle name="Currency_GCM" xfId="1203"/>
    <cellStyle name="Currency_GenAssum" xfId="1204"/>
    <cellStyle name="Currency_GOLF" xfId="1205"/>
    <cellStyle name="Currency_GP C1a" xfId="1206"/>
    <cellStyle name="Currency_GP C1b" xfId="1207"/>
    <cellStyle name="Currency_GP_EI_3" xfId="1208"/>
    <cellStyle name="Currency_GQ C1A" xfId="1209"/>
    <cellStyle name="Currency_GQ C1B" xfId="1210"/>
    <cellStyle name="Currency_GSS ConEd" xfId="1211"/>
    <cellStyle name="Currency_In millions" xfId="1212"/>
    <cellStyle name="Currency_In millions_combo-3 (2)" xfId="1213"/>
    <cellStyle name="Currency_In millions_combo-3 (4)" xfId="1214"/>
    <cellStyle name="Currency_In millions_non sec restruc (2)" xfId="1215"/>
    <cellStyle name="Currency_In millions_RJRT % to Total (2)" xfId="1216"/>
    <cellStyle name="Currency_In millions_severance" xfId="1217"/>
    <cellStyle name="Currency_index" xfId="1218"/>
    <cellStyle name="Currency_Inputs" xfId="1219"/>
    <cellStyle name="Currency_IPM C1b" xfId="1220"/>
    <cellStyle name="Currency_IPMC1a" xfId="1221"/>
    <cellStyle name="Currency_IS-Hold" xfId="1222"/>
    <cellStyle name="Currency_issues" xfId="1223"/>
    <cellStyle name="Currency_ITOCPX" xfId="1224"/>
    <cellStyle name="Currency_jancf" xfId="1225"/>
    <cellStyle name="Currency_JUNMTH55" xfId="1226"/>
    <cellStyle name="Currency_JUNMTH57" xfId="1227"/>
    <cellStyle name="Currency_JUNYTD55" xfId="1228"/>
    <cellStyle name="Currency_JUNYTD57" xfId="1229"/>
    <cellStyle name="Currency_laroux" xfId="1230"/>
    <cellStyle name="Currency_laroux_1" xfId="1231"/>
    <cellStyle name="Currency_laroux_1995" xfId="1232"/>
    <cellStyle name="Currency_laroux_1_dimon" xfId="1233"/>
    <cellStyle name="Currency_laroux_1_dimon_1" xfId="1234"/>
    <cellStyle name="Currency_laroux_1_dimon_2" xfId="1235"/>
    <cellStyle name="Currency_laroux_1_dimon_3" xfId="1236"/>
    <cellStyle name="Currency_laroux_1_laroux" xfId="1237"/>
    <cellStyle name="Currency_laroux_1_laroux_1" xfId="1238"/>
    <cellStyle name="Currency_laroux_1_laroux_1_PERSON2" xfId="1239"/>
    <cellStyle name="Currency_laroux_1_laroux_dimon" xfId="1240"/>
    <cellStyle name="Currency_laroux_1_laroux_PERSON2" xfId="1241"/>
    <cellStyle name="Currency_laroux_1_Locas" xfId="1242"/>
    <cellStyle name="Currency_laroux_1_PERSON2" xfId="1243"/>
    <cellStyle name="Currency_laroux_1_pldt" xfId="1244"/>
    <cellStyle name="Currency_laroux_1_PLDT_dimon" xfId="1245"/>
    <cellStyle name="Currency_laroux_1_Sheet1 (2)" xfId="1246"/>
    <cellStyle name="Currency_laroux_1_VERA" xfId="1247"/>
    <cellStyle name="Currency_laroux_1_VERA_1" xfId="1248"/>
    <cellStyle name="Currency_laroux_1_VIRUS-EDY" xfId="1249"/>
    <cellStyle name="Currency_laroux_2" xfId="1250"/>
    <cellStyle name="Currency_laroux_2_dimon" xfId="1251"/>
    <cellStyle name="Currency_laroux_2_dimon_1" xfId="1252"/>
    <cellStyle name="Currency_laroux_2_dimon_2" xfId="1253"/>
    <cellStyle name="Currency_laroux_2_dimon_3" xfId="1254"/>
    <cellStyle name="Currency_laroux_2_laroux" xfId="1255"/>
    <cellStyle name="Currency_laroux_2_laroux_dimon" xfId="1256"/>
    <cellStyle name="Currency_laroux_2_laroux_PERSON2" xfId="1257"/>
    <cellStyle name="Currency_laroux_2_Locas" xfId="1258"/>
    <cellStyle name="Currency_laroux_2_PERSON2" xfId="1259"/>
    <cellStyle name="Currency_laroux_2_pldt" xfId="1260"/>
    <cellStyle name="Currency_laroux_2_PLDT_dimon" xfId="1261"/>
    <cellStyle name="Currency_laroux_2_Sheet1 (2)" xfId="1262"/>
    <cellStyle name="Currency_laroux_2_VIRUS-EDY" xfId="1263"/>
    <cellStyle name="Currency_laroux_3" xfId="1264"/>
    <cellStyle name="Currency_laroux_3_dimon" xfId="1265"/>
    <cellStyle name="Currency_laroux_3_dimon_1" xfId="1266"/>
    <cellStyle name="Currency_laroux_3_dimon_2" xfId="1267"/>
    <cellStyle name="Currency_laroux_3_dimon_3" xfId="1268"/>
    <cellStyle name="Currency_laroux_3_laroux" xfId="1269"/>
    <cellStyle name="Currency_laroux_3_PERSON2" xfId="1270"/>
    <cellStyle name="Currency_laroux_4" xfId="1271"/>
    <cellStyle name="Currency_laroux_4_dimon" xfId="1272"/>
    <cellStyle name="Currency_laroux_4_dimon_1" xfId="1273"/>
    <cellStyle name="Currency_laroux_4_PERSON2" xfId="1274"/>
    <cellStyle name="Currency_laroux_5" xfId="1275"/>
    <cellStyle name="Currency_laroux_5_PERSON2" xfId="1276"/>
    <cellStyle name="Currency_laroux_6" xfId="1277"/>
    <cellStyle name="Currency_laroux_6_PERSON2" xfId="1278"/>
    <cellStyle name="Currency_laroux_7" xfId="1279"/>
    <cellStyle name="Currency_laroux_8" xfId="1280"/>
    <cellStyle name="Currency_laroux_dimon" xfId="1281"/>
    <cellStyle name="Currency_laroux_dimon_1" xfId="1282"/>
    <cellStyle name="Currency_laroux_dimon_2" xfId="1283"/>
    <cellStyle name="Currency_laroux_dimon_3" xfId="1284"/>
    <cellStyle name="Currency_laroux_EPL 304 CA BDE" xfId="1285"/>
    <cellStyle name="Currency_laroux_laroux" xfId="1286"/>
    <cellStyle name="Currency_laroux_laroux_1" xfId="1287"/>
    <cellStyle name="Currency_laroux_laroux_1_dimon" xfId="1288"/>
    <cellStyle name="Currency_laroux_laroux_1_PERSON2" xfId="1289"/>
    <cellStyle name="Currency_laroux_laroux_dimon" xfId="1290"/>
    <cellStyle name="Currency_laroux_laroux_PERSON2" xfId="1291"/>
    <cellStyle name="Currency_laroux_Locas" xfId="1292"/>
    <cellStyle name="Currency_laroux_PERSON2" xfId="1293"/>
    <cellStyle name="Currency_laroux_pldt" xfId="1294"/>
    <cellStyle name="Currency_laroux_pldt_1" xfId="1295"/>
    <cellStyle name="Currency_laroux_Sheet1 (2)" xfId="1296"/>
    <cellStyle name="Currency_laroux_VERA" xfId="1297"/>
    <cellStyle name="Currency_laroux_VERA_1" xfId="1298"/>
    <cellStyle name="Currency_laroux_VIRUS-EDY" xfId="1299"/>
    <cellStyle name="Currency_List" xfId="1300"/>
    <cellStyle name="Currency_MATERAL2" xfId="1301"/>
    <cellStyle name="Currency_MATERAL2_dimon" xfId="1302"/>
    <cellStyle name="Currency_MATERAL2_dimon_1" xfId="1303"/>
    <cellStyle name="Currency_MATERAL2_PERSON2" xfId="1304"/>
    <cellStyle name="Currency_MKGOCPX" xfId="1305"/>
    <cellStyle name="Currency_MOBCPX" xfId="1306"/>
    <cellStyle name="Currency_MTHLYR&amp;O" xfId="1307"/>
    <cellStyle name="Currency_mud plant bolted" xfId="1308"/>
    <cellStyle name="Currency_mud plant bolted_dimon" xfId="1309"/>
    <cellStyle name="Currency_mud plant bolted_dimon_1" xfId="1310"/>
    <cellStyle name="Currency_mud plant bolted_PERSON2" xfId="1311"/>
    <cellStyle name="Currency_mud plant bolted_PLDT" xfId="1312"/>
    <cellStyle name="Currency_mud plant bolted_VERA" xfId="1313"/>
    <cellStyle name="Currency_mud plant bolted_VERA_1" xfId="1314"/>
    <cellStyle name="Currency_NA WITHOUT GOV'T &amp; PNX" xfId="1315"/>
    <cellStyle name="Currency_NAOBU10" xfId="1316"/>
    <cellStyle name="Currency_NAT ACCT" xfId="1317"/>
    <cellStyle name="Currency_non sec restruc (2)" xfId="1318"/>
    <cellStyle name="Currency_NSACTUAL.XLS" xfId="1319"/>
    <cellStyle name="Currency_NTG_PJE" xfId="1320"/>
    <cellStyle name="Currency_NX00" xfId="1321"/>
    <cellStyle name="Currency_Odner" xfId="1322"/>
    <cellStyle name="Currency_Odner (2)" xfId="1323"/>
    <cellStyle name="Currency_Odner (3)" xfId="1324"/>
    <cellStyle name="Currency_OSMOCPX" xfId="1325"/>
    <cellStyle name="Currency_Other Months" xfId="1326"/>
    <cellStyle name="Currency_Outlook" xfId="1327"/>
    <cellStyle name="Currency_P7INVENT" xfId="1328"/>
    <cellStyle name="Currency_pbdefault" xfId="1329"/>
    <cellStyle name="Currency_pbdefault_1" xfId="1330"/>
    <cellStyle name="Currency_percentages" xfId="1331"/>
    <cellStyle name="Currency_PERSON2" xfId="1332"/>
    <cellStyle name="Currency_PERSONAL" xfId="1333"/>
    <cellStyle name="Currency_PGMKOCPX" xfId="1334"/>
    <cellStyle name="Currency_PGNW1" xfId="1335"/>
    <cellStyle name="Currency_PGNW2" xfId="1336"/>
    <cellStyle name="Currency_PGNWOCPX" xfId="1337"/>
    <cellStyle name="Currency_Pink" xfId="1338"/>
    <cellStyle name="Currency_Plan" xfId="1339"/>
    <cellStyle name="Currency_PLANT" xfId="1340"/>
    <cellStyle name="Currency_PLDT" xfId="1341"/>
    <cellStyle name="Currency_pldt_1" xfId="1342"/>
    <cellStyle name="Currency_PLDT_1_dimon" xfId="1343"/>
    <cellStyle name="Currency_pldt_1_dimon_1" xfId="1344"/>
    <cellStyle name="Currency_pldt_2" xfId="1345"/>
    <cellStyle name="Currency_pldt_Calculations" xfId="1346"/>
    <cellStyle name="Currency_PLDT_dimon" xfId="1347"/>
    <cellStyle name="Currency_pldt_dimon_1" xfId="1348"/>
    <cellStyle name="Currency_priccurv" xfId="1349"/>
    <cellStyle name="Currency_PROCDS&amp;G" xfId="1350"/>
    <cellStyle name="Currency_PROFILE4" xfId="1351"/>
    <cellStyle name="Currency_Projects" xfId="1352"/>
    <cellStyle name="Currency_PURAZV12" xfId="1353"/>
    <cellStyle name="Currency_Quarter End Months" xfId="1354"/>
    <cellStyle name="Currency_r1" xfId="1355"/>
    <cellStyle name="Currency_RELO-MOS" xfId="1356"/>
    <cellStyle name="Currency_RELO694" xfId="1357"/>
    <cellStyle name="Currency_RFI" xfId="1358"/>
    <cellStyle name="Currency_RFI_1" xfId="1359"/>
    <cellStyle name="Currency_risk_op" xfId="1360"/>
    <cellStyle name="Currency_risk_op (+)" xfId="1361"/>
    <cellStyle name="Currency_RJRN Roadmap" xfId="1362"/>
    <cellStyle name="Currency_RJRN Roadmap (2)" xfId="1363"/>
    <cellStyle name="Currency_RJRT % to Total (2)" xfId="1364"/>
    <cellStyle name="Currency_ROAD" xfId="1365"/>
    <cellStyle name="Currency_ROAD_1" xfId="1366"/>
    <cellStyle name="Currency_Sales Order" xfId="1367"/>
    <cellStyle name="Currency_SATOCPX" xfId="1368"/>
    <cellStyle name="Currency_SCH1_SIL" xfId="1369"/>
    <cellStyle name="Currency_SCH2_SIL" xfId="1370"/>
    <cellStyle name="Currency_severance" xfId="1371"/>
    <cellStyle name="Currency_Sheet1" xfId="1372"/>
    <cellStyle name="Currency_Sheet1 (2)" xfId="1373"/>
    <cellStyle name="Currency_Sheet1 (2)_FCST95" xfId="1374"/>
    <cellStyle name="Currency_Sheet1 (2)_laroux" xfId="1375"/>
    <cellStyle name="Currency_Sheet1 (2)_PERSON2" xfId="1376"/>
    <cellStyle name="Currency_Sheet1_dimon" xfId="1377"/>
    <cellStyle name="Currency_Sheet1_laroux" xfId="1378"/>
    <cellStyle name="Currency_Sheet1_PERSON2" xfId="1379"/>
    <cellStyle name="Currency_Sheet2" xfId="1380"/>
    <cellStyle name="Currency_Sheet3" xfId="1381"/>
    <cellStyle name="Currency_Sheet4" xfId="1382"/>
    <cellStyle name="Currency_Sheet5" xfId="1383"/>
    <cellStyle name="Currency_SHENREPT" xfId="1384"/>
    <cellStyle name="Currency_Snr. CO" xfId="1385"/>
    <cellStyle name="Currency_sprint contr" xfId="1386"/>
    <cellStyle name="Currency_Subcont File" xfId="1387"/>
    <cellStyle name="Currency_Summ Rest" xfId="1388"/>
    <cellStyle name="Currency_Summ Rest (2)" xfId="1389"/>
    <cellStyle name="Currency_Summary Info" xfId="1390"/>
    <cellStyle name="Currency_SUMPAGE" xfId="1391"/>
    <cellStyle name="Currency_TMSNW1" xfId="1392"/>
    <cellStyle name="Currency_TMSNW2" xfId="1393"/>
    <cellStyle name="Currency_TMSOCPX" xfId="1394"/>
    <cellStyle name="Currency_TOTAL MTH" xfId="1395"/>
    <cellStyle name="Currency_TOTAL YTD" xfId="1396"/>
    <cellStyle name="Currency_TRANSDSC.XLS" xfId="1397"/>
    <cellStyle name="Currency_TRANSFXA.XLS" xfId="1398"/>
    <cellStyle name="Currency_TRANSFXA.XLS_1" xfId="1399"/>
    <cellStyle name="Currency_TRANSIME.XLS" xfId="1400"/>
    <cellStyle name="Currency_TRANSIME.XLS_TRANSDSC.XLS" xfId="1401"/>
    <cellStyle name="Currency_TRANSIME.XLS_TRANSFXA.XLS" xfId="1402"/>
    <cellStyle name="Currency_util94" xfId="1403"/>
    <cellStyle name="Currency_Variance" xfId="1404"/>
    <cellStyle name="Currency_VERA" xfId="1405"/>
    <cellStyle name="Currency_version2 (2)" xfId="1406"/>
    <cellStyle name="Currency_version2.A" xfId="1407"/>
    <cellStyle name="Currency_VIRUS-EDY" xfId="1408"/>
    <cellStyle name="Currency_VIRUS-EDY_1" xfId="1409"/>
    <cellStyle name="Currency_White" xfId="1410"/>
    <cellStyle name="Currency_WO Var. &amp; Tot. Exp." xfId="1411"/>
    <cellStyle name="Currency_WSP" xfId="1412"/>
    <cellStyle name="Currency_WSS ConEd" xfId="1413"/>
    <cellStyle name="Currency_yrcao" xfId="1414"/>
    <cellStyle name="Currency_YREND55" xfId="1415"/>
    <cellStyle name="Currency_YREND57" xfId="1416"/>
    <cellStyle name="Currency_YTDCUR" xfId="1417"/>
    <cellStyle name="Date" xfId="1418"/>
    <cellStyle name="Fixed" xfId="1419"/>
    <cellStyle name="Grey" xfId="1420"/>
    <cellStyle name="HEADER" xfId="1421"/>
    <cellStyle name="Heading 1" xfId="1422"/>
    <cellStyle name="Heading2" xfId="1423"/>
    <cellStyle name="HIGHLIGHT" xfId="1424"/>
    <cellStyle name="Input [yellow]" xfId="1425"/>
    <cellStyle name="Milliers [0]_laroux" xfId="1426"/>
    <cellStyle name="Milliers [0]_laroux_Atlanta_Unwind_Model_11.04.99" xfId="1427"/>
    <cellStyle name="Milliers_laroux" xfId="1428"/>
    <cellStyle name="Milliers_laroux_Atlanta_Unwind_Model_11.04.99" xfId="1429"/>
    <cellStyle name="Monétaire [0]_laroux" xfId="1430"/>
    <cellStyle name="Monétaire [0]_laroux_Atlanta_Unwind_Model_11.04.99" xfId="1431"/>
    <cellStyle name="Monétaire_laroux" xfId="1432"/>
    <cellStyle name="Monétaire_laroux_Atlanta_Unwind_Model_11.04.99" xfId="1433"/>
    <cellStyle name="no dec" xfId="1434"/>
    <cellStyle name="Normal - Style1" xfId="1435"/>
    <cellStyle name="Normal - Style1_dimon" xfId="1436"/>
    <cellStyle name="Normal_0694ODD" xfId="1437"/>
    <cellStyle name="Normal_12matrix" xfId="1438"/>
    <cellStyle name="Normal_20196" xfId="1439"/>
    <cellStyle name="Normal_321st" xfId="1440"/>
    <cellStyle name="Normal_353HHC" xfId="1441"/>
    <cellStyle name="Normal_4018fin" xfId="1442"/>
    <cellStyle name="Normal_4021fin" xfId="1443"/>
    <cellStyle name="Normal_694COVR" xfId="1444"/>
    <cellStyle name="Normal_89_95FNL" xfId="1445"/>
    <cellStyle name="Normal_89_95FNL_laroux" xfId="1446"/>
    <cellStyle name="Normal_89_95FNL_UNIMAP (2)" xfId="1447"/>
    <cellStyle name="Normal_94BUDALL" xfId="1448"/>
    <cellStyle name="Normal_94BUDALL_1" xfId="1449"/>
    <cellStyle name="Normal_94BUDALL_laroux" xfId="1450"/>
    <cellStyle name="Normal_94BUDALL_laroux_UNIMAP (2)" xfId="1451"/>
    <cellStyle name="Normal_94BUDALL_UNIMAP (2)" xfId="1452"/>
    <cellStyle name="Normal_94RES_D" xfId="1453"/>
    <cellStyle name="Normal_95CHART" xfId="1454"/>
    <cellStyle name="Normal_95summary" xfId="1455"/>
    <cellStyle name="Normal_96_WIN" xfId="1456"/>
    <cellStyle name="Normal_96_WIN (2)" xfId="1457"/>
    <cellStyle name="Normal_A" xfId="1458"/>
    <cellStyle name="Normal_A (2)" xfId="1459"/>
    <cellStyle name="Normal_A_dimon" xfId="1460"/>
    <cellStyle name="Normal_A_VERA" xfId="1461"/>
    <cellStyle name="Normal_ACT_3BUD" xfId="1462"/>
    <cellStyle name="Normal_ACT_3BUD (2)" xfId="1463"/>
    <cellStyle name="Normal_ACT_3BUD (2)_laroux" xfId="1464"/>
    <cellStyle name="Normal_ACT_3BUD (2)_UNIMAP (2)" xfId="1465"/>
    <cellStyle name="Normal_ACTUAL" xfId="1466"/>
    <cellStyle name="Normal_ACTUAL NA -OBU" xfId="1467"/>
    <cellStyle name="Normal_Actual vs." xfId="1468"/>
    <cellStyle name="Normal_ACTUAL_1" xfId="1469"/>
    <cellStyle name="Normal_ACTUAL_NA WITHOUT GOV'T &amp; PNX" xfId="1470"/>
    <cellStyle name="Normal_ADMNO694" xfId="1471"/>
    <cellStyle name="Normal_algasdefault" xfId="1472"/>
    <cellStyle name="Normal_algasdefault_1" xfId="1473"/>
    <cellStyle name="Normal_ALL_IBT95 " xfId="1474"/>
    <cellStyle name="Normal_ALL_IBT95 _laroux" xfId="1475"/>
    <cellStyle name="Normal_ALL_IBT95 _UNIMAP (2)" xfId="1476"/>
    <cellStyle name="Normal_Alternative1" xfId="1477"/>
    <cellStyle name="Normal_Alternative1_1" xfId="1478"/>
    <cellStyle name="Normal_ANALINTL" xfId="1479"/>
    <cellStyle name="Normal_ANALYSIS" xfId="1480"/>
    <cellStyle name="Normal_ANALYSIS (2)" xfId="1481"/>
    <cellStyle name="Normal_ANLS_LHK (2)" xfId="1482"/>
    <cellStyle name="Normal_ANLS_LHK (2)_laroux" xfId="1483"/>
    <cellStyle name="Normal_ANLS_LHK (2)_UNIMAP (2)" xfId="1484"/>
    <cellStyle name="Normal_AOPS" xfId="1485"/>
    <cellStyle name="Normal_App E" xfId="1486"/>
    <cellStyle name="Normal_APR" xfId="1487"/>
    <cellStyle name="Normal_APR_laroux" xfId="1488"/>
    <cellStyle name="Normal_Apr_pldt" xfId="1489"/>
    <cellStyle name="Normal_Arapahoe" xfId="1490"/>
    <cellStyle name="Normal_Assumptions" xfId="1491"/>
    <cellStyle name="Normal_bahiadefault" xfId="1492"/>
    <cellStyle name="Normal_bahiadefault_1" xfId="1493"/>
    <cellStyle name="Normal_BASMARY" xfId="1494"/>
    <cellStyle name="Normal_BIGOUT" xfId="1495"/>
    <cellStyle name="Normal_Book3" xfId="1496"/>
    <cellStyle name="Normal_BOP" xfId="1497"/>
    <cellStyle name="Normal_BOPBAL1" xfId="1498"/>
    <cellStyle name="Normal_BOPCBU" xfId="1499"/>
    <cellStyle name="Normal_BOPCBU (2)" xfId="1500"/>
    <cellStyle name="Normal_BOPCBU96" xfId="1501"/>
    <cellStyle name="Normal_BREPAIR" xfId="1502"/>
    <cellStyle name="Normal_BSAPPE.XLS" xfId="1503"/>
    <cellStyle name="Normal_BUDGET" xfId="1504"/>
    <cellStyle name="Normal_C-Cap intensity" xfId="1505"/>
    <cellStyle name="Normal_C-Capex%rev" xfId="1506"/>
    <cellStyle name="Normal_C-Line per Staff" xfId="1507"/>
    <cellStyle name="Normal_C-lines distribution" xfId="1508"/>
    <cellStyle name="Normal_C-Orig PLDT lines" xfId="1509"/>
    <cellStyle name="Normal_C-Ret on Rev" xfId="1510"/>
    <cellStyle name="Normal_C-ROACE" xfId="1511"/>
    <cellStyle name="Normal_Calculations" xfId="1512"/>
    <cellStyle name="Normal_Calculations (2)" xfId="1513"/>
    <cellStyle name="Normal_Calculations II" xfId="1514"/>
    <cellStyle name="Normal_Calculations II_1" xfId="1515"/>
    <cellStyle name="Normal_Calculations III" xfId="1516"/>
    <cellStyle name="Normal_Calculations_1" xfId="1517"/>
    <cellStyle name="Normal_Calculations_2" xfId="1518"/>
    <cellStyle name="Normal_Capex" xfId="1519"/>
    <cellStyle name="Normal_Capex per line" xfId="1520"/>
    <cellStyle name="Normal_Capex%rev" xfId="1521"/>
    <cellStyle name="Normal_CAPEX2" xfId="1522"/>
    <cellStyle name="Normal_CAPEX94" xfId="1523"/>
    <cellStyle name="Normal_CAPEX_dimon" xfId="1524"/>
    <cellStyle name="Normal_CAPEX_VERA" xfId="1525"/>
    <cellStyle name="Normal_CAPEXPWI.XLS" xfId="1526"/>
    <cellStyle name="Normal_CAPEXPWO.XLS" xfId="1527"/>
    <cellStyle name="Normal_Cardig GHS" xfId="1528"/>
    <cellStyle name="Normal_Cash Flows" xfId="1529"/>
    <cellStyle name="Normal_CBU BOX CHART V PLAN" xfId="1530"/>
    <cellStyle name="Normal_CBU BOX CHART V PLAN_1" xfId="1531"/>
    <cellStyle name="Normal_CCOCPX" xfId="1532"/>
    <cellStyle name="Normal_CEL-C-CO.XLS" xfId="1533"/>
    <cellStyle name="Normal_Certs Q2" xfId="1534"/>
    <cellStyle name="Normal_Certs Q2 (2)" xfId="1535"/>
    <cellStyle name="Normal_CFMACROS.XLM" xfId="1536"/>
    <cellStyle name="Normal_CFMODEL.XLS" xfId="1537"/>
    <cellStyle name="Normal_CHANGES.XLS" xfId="1538"/>
    <cellStyle name="Normal_CHANGES.XLS_1" xfId="1539"/>
    <cellStyle name="Normal_CHGOUT" xfId="1540"/>
    <cellStyle name="Normal_Cht-Capex per line" xfId="1541"/>
    <cellStyle name="Normal_Cht-Cum Real Opr Cf" xfId="1542"/>
    <cellStyle name="Normal_Cht-Dep%Rev" xfId="1543"/>
    <cellStyle name="Normal_Cht-Real Opr Cf" xfId="1544"/>
    <cellStyle name="Normal_Cht-Rev dist" xfId="1545"/>
    <cellStyle name="Normal_Cht-Rev p line" xfId="1546"/>
    <cellStyle name="Normal_Cht-Rev per Staff" xfId="1547"/>
    <cellStyle name="Normal_Cht-Staff cost%revenue" xfId="1548"/>
    <cellStyle name="Normal_Co-wide Monthly" xfId="1549"/>
    <cellStyle name="Normal_Co-wide Monthly_dimon" xfId="1550"/>
    <cellStyle name="Normal_combo-3 (2)" xfId="1551"/>
    <cellStyle name="Normal_combo-3 (2)_laroux" xfId="1552"/>
    <cellStyle name="Normal_combo-3 (2)_laroux_UNIMAP (2)" xfId="1553"/>
    <cellStyle name="Normal_combo-3 (2)_UNIMAP (2)" xfId="1554"/>
    <cellStyle name="Normal_combo-3 (4)" xfId="1555"/>
    <cellStyle name="Normal_COMOTH" xfId="0"/>
    <cellStyle name="Normal_coperdefault" xfId="0"/>
    <cellStyle name="Normal_coperdefault_1" xfId="0"/>
    <cellStyle name="Normal_Corp method" xfId="0"/>
    <cellStyle name="Normal_Cost Code" xfId="0"/>
    <cellStyle name="Normal_CROCF" xfId="0"/>
    <cellStyle name="Normal_CSWH112" xfId="0"/>
    <cellStyle name="Normal_CSWH181" xfId="0"/>
    <cellStyle name="Normal_CTCUR" xfId="0"/>
    <cellStyle name="Normal_Cum Real Opr Cf" xfId="0"/>
    <cellStyle name="Normal_CUMPLTCH" xfId="0"/>
    <cellStyle name="Normal_Curves" xfId="0"/>
    <cellStyle name="Normal_DB" xfId="0"/>
    <cellStyle name="Normal_DEFAULT" xfId="0"/>
    <cellStyle name="Normal_Demand Fcst." xfId="0"/>
    <cellStyle name="Normal_Dep%Rev" xfId="0"/>
    <cellStyle name="Normal_dimon" xfId="0"/>
    <cellStyle name="Normal_dimon_1" xfId="0"/>
    <cellStyle name="Normal_dimon_2" xfId="0"/>
    <cellStyle name="Normal_dimon_3" xfId="0"/>
    <cellStyle name="Normal_Direct" xfId="0"/>
    <cellStyle name="Normal_Direct_laroux" xfId="0"/>
    <cellStyle name="Normal_Direct_UNIMAP (2)" xfId="0"/>
    <cellStyle name="Normal_DIV" xfId="0"/>
    <cellStyle name="Normal_Dowell C1b" xfId="0"/>
    <cellStyle name="Normal_Dowell-C1a" xfId="0"/>
    <cellStyle name="Normal_Draft" xfId="0"/>
    <cellStyle name="Normal_Draft (2)" xfId="0"/>
    <cellStyle name="Normal_DRAFT Order Summary" xfId="0"/>
    <cellStyle name="Normal_E&amp;ONW1" xfId="0"/>
    <cellStyle name="Normal_E&amp;ONW2" xfId="0"/>
    <cellStyle name="Normal_E&amp;OOCPX" xfId="0"/>
    <cellStyle name="Normal_emserdefault" xfId="0"/>
    <cellStyle name="Normal_emserdefault_1" xfId="0"/>
    <cellStyle name="Normal_EPL 304 CA BDE" xfId="0"/>
    <cellStyle name="Normal_EPS" xfId="0"/>
    <cellStyle name="Normal_EQCON" xfId="0"/>
    <cellStyle name="Normal_F&amp;COCPX" xfId="0"/>
    <cellStyle name="Normal_FCST95" xfId="0"/>
    <cellStyle name="Normal_FCST_FSC" xfId="0"/>
    <cellStyle name="Normal_FCST_FSC (2)" xfId="0"/>
    <cellStyle name="Normal_FCST_LSI" xfId="0"/>
    <cellStyle name="Normal_FCST_LSI (2)" xfId="0"/>
    <cellStyle name="Normal_FCST_PLT" xfId="0"/>
    <cellStyle name="Normal_FCST_PLT (2)" xfId="0"/>
    <cellStyle name="Normal_FCST_PLT_1" xfId="0"/>
    <cellStyle name="Normal_FCST_PLT_FCST_PLT (2)" xfId="0"/>
    <cellStyle name="Normal_FCST_RFC" xfId="0"/>
    <cellStyle name="Normal_FCST_RFC (2)" xfId="0"/>
    <cellStyle name="Normal_FCST_SPC" xfId="0"/>
    <cellStyle name="Normal_FCST_SPC (2)" xfId="0"/>
    <cellStyle name="Normal_FCST_WB" xfId="0"/>
    <cellStyle name="Normal_FCST_WB (2)" xfId="0"/>
    <cellStyle name="Normal_FEBRUARY" xfId="0"/>
    <cellStyle name="Normal_FF" xfId="0"/>
    <cellStyle name="Normal_FIXVAR" xfId="0"/>
    <cellStyle name="Normal_FOODSHOW" xfId="0"/>
    <cellStyle name="Normal_FOODSHOW_laroux" xfId="0"/>
    <cellStyle name="Normal_FOODSHOW_UNIMAP (2)" xfId="0"/>
    <cellStyle name="Normal_FP 20 A (1)" xfId="0"/>
    <cellStyle name="Normal_FP 20 A (2)" xfId="0"/>
    <cellStyle name="Normal_FP-20 (App. E)" xfId="0"/>
    <cellStyle name="Normal_FP-20 (App.A) " xfId="0"/>
    <cellStyle name="Normal_FP-20 (App.A) _1" xfId="0"/>
    <cellStyle name="Normal_FP-20(C1) (a)" xfId="0"/>
    <cellStyle name="Normal_FP-20(C1) (a) (2)" xfId="0"/>
    <cellStyle name="Normal_FP-20(C1) (a)_1" xfId="0"/>
    <cellStyle name="Normal_FP-20(C1) (b)" xfId="0"/>
    <cellStyle name="Normal_FP-20(C1) (b) " xfId="0"/>
    <cellStyle name="Normal_FP-20(C1) (b) (2)" xfId="0"/>
    <cellStyle name="Normal_FP-20(C1) (e)" xfId="0"/>
    <cellStyle name="Normal_FP20_C1A" xfId="0"/>
    <cellStyle name="Normal_FP20_C1B" xfId="0"/>
    <cellStyle name="Normal_FY97COB1." xfId="0"/>
    <cellStyle name="Normal_GABS Rec." xfId="0"/>
    <cellStyle name="Normal_GABS Rec. (2)" xfId="0"/>
    <cellStyle name="Normal_gap_clsr (8)" xfId="0"/>
    <cellStyle name="Normal_gap_clsr (8)_laroux" xfId="0"/>
    <cellStyle name="Normal_gap_clsr (8)_UNIMAP (2)" xfId="0"/>
    <cellStyle name="Normal_GCM" xfId="0"/>
    <cellStyle name="Normal_GE03" xfId="0"/>
    <cellStyle name="Normal_GE04" xfId="0"/>
    <cellStyle name="Normal_GenAssum" xfId="0"/>
    <cellStyle name="Normal_GOLF" xfId="0"/>
    <cellStyle name="Normal_GP C1a" xfId="0"/>
    <cellStyle name="Normal_GP C1b" xfId="0"/>
    <cellStyle name="Normal_GP_EI_3" xfId="0"/>
    <cellStyle name="Normal_GQ C1A" xfId="0"/>
    <cellStyle name="Normal_GQ C1B" xfId="0"/>
    <cellStyle name="Normal_GSS ConEd" xfId="0"/>
    <cellStyle name="Normal_HC" xfId="0"/>
    <cellStyle name="Normal_Igobox" xfId="0"/>
    <cellStyle name="Normal_Igobox_1" xfId="0"/>
    <cellStyle name="Normal_Igobox_2" xfId="0"/>
    <cellStyle name="Normal_Igobox_Imacros" xfId="0"/>
    <cellStyle name="Normal_Igobox_IPP" xfId="0"/>
    <cellStyle name="Normal_Igobox_Iprintbox" xfId="0"/>
    <cellStyle name="Normal_Imacros" xfId="0"/>
    <cellStyle name="Normal_Imacros_1" xfId="0"/>
    <cellStyle name="Normal_Imacros_2" xfId="0"/>
    <cellStyle name="Normal_In millions" xfId="0"/>
    <cellStyle name="Normal_In millions_1" xfId="0"/>
    <cellStyle name="Normal_In millions_combo-3 (2)" xfId="0"/>
    <cellStyle name="Normal_In millions_combo-3 (4)" xfId="0"/>
    <cellStyle name="Normal_In millions_combo-3 (4)_laroux" xfId="0"/>
    <cellStyle name="Normal_In millions_combo-3 (4)_laroux_UNIMAP (2)" xfId="0"/>
    <cellStyle name="Normal_In millions_combo-3 (4)_UNIMAP (2)" xfId="0"/>
    <cellStyle name="Normal_In millions_non sec restruc (2)" xfId="0"/>
    <cellStyle name="Normal_In millions_RJRT % to Total (2)" xfId="0"/>
    <cellStyle name="Normal_In millions_RJRT % to Total (2)_laroux" xfId="0"/>
    <cellStyle name="Normal_In millions_RJRT % to Total (2)_laroux_UNIMAP (2)" xfId="0"/>
    <cellStyle name="Normal_In millions_RJRT % to Total (2)_UNIMAP (2)" xfId="0"/>
    <cellStyle name="Normal_In millions_severance" xfId="0"/>
    <cellStyle name="Normal_index" xfId="0"/>
    <cellStyle name="Normal_index_laroux" xfId="0"/>
    <cellStyle name="Normal_index_UNIMAP (2)" xfId="0"/>
    <cellStyle name="Normal_Input" xfId="0"/>
    <cellStyle name="Normal_INPUT_1" xfId="0"/>
    <cellStyle name="Normal_INPUT_GenAssum" xfId="0"/>
    <cellStyle name="Normal_Inputs" xfId="0"/>
    <cellStyle name="Normal_Inputs_dimon" xfId="0"/>
    <cellStyle name="Normal_INTL_MAY" xfId="0"/>
    <cellStyle name="Normal_INVREV" xfId="0"/>
    <cellStyle name="Normal_IPM C1b" xfId="0"/>
    <cellStyle name="Normal_IPMC1a" xfId="0"/>
    <cellStyle name="Normal_IPP" xfId="0"/>
    <cellStyle name="Normal_IPP_1" xfId="0"/>
    <cellStyle name="Normal_IPP_1_Igobox" xfId="0"/>
    <cellStyle name="Normal_IPP_1_Imacros" xfId="0"/>
    <cellStyle name="Normal_IPP_1_Iprintbox" xfId="0"/>
    <cellStyle name="Normal_IPP_2" xfId="0"/>
    <cellStyle name="Normal_Iprintbox" xfId="0"/>
    <cellStyle name="Normal_Iprintbox_1" xfId="0"/>
    <cellStyle name="Normal_Iprintbox_2" xfId="0"/>
    <cellStyle name="Normal_IRR" xfId="0"/>
    <cellStyle name="Normal_IS-Hold" xfId="0"/>
    <cellStyle name="Normal_issues" xfId="0"/>
    <cellStyle name="Normal_issues_laroux" xfId="0"/>
    <cellStyle name="Normal_issues_UNIMAP (2)" xfId="0"/>
    <cellStyle name="Normal_Iterbox" xfId="0"/>
    <cellStyle name="Normal_ITOCPX" xfId="0"/>
    <cellStyle name="Normal_jancf" xfId="0"/>
    <cellStyle name="Normal_JUNMTH55" xfId="0"/>
    <cellStyle name="Normal_JUNMTH57" xfId="0"/>
    <cellStyle name="Normal_JUNYTD55" xfId="0"/>
    <cellStyle name="Normal_JUNYTD57" xfId="0"/>
    <cellStyle name="Normal_laroux" xfId="0"/>
    <cellStyle name="Normal_laroux_1" xfId="0"/>
    <cellStyle name="Normal_laroux_1_dimon" xfId="0"/>
    <cellStyle name="Normal_laroux_1_dimon_1" xfId="0"/>
    <cellStyle name="Normal_laroux_1_dimon_2" xfId="0"/>
    <cellStyle name="Normal_laroux_1_EPL 304 CA BDE" xfId="0"/>
    <cellStyle name="Normal_laroux_1_laroux" xfId="0"/>
    <cellStyle name="Normal_laroux_1_laroux_1" xfId="0"/>
    <cellStyle name="Normal_laroux_1_laroux_1_PERSON2" xfId="0"/>
    <cellStyle name="Normal_laroux_1_laroux_2" xfId="0"/>
    <cellStyle name="Normal_laroux_1_laroux_PERSON2" xfId="0"/>
    <cellStyle name="Normal_laroux_1_Locas" xfId="0"/>
    <cellStyle name="Normal_laroux_1_Locas_1" xfId="0"/>
    <cellStyle name="Normal_laroux_1_PERSON2" xfId="0"/>
    <cellStyle name="Normal_laroux_1_pldt" xfId="0"/>
    <cellStyle name="Normal_laroux_1_pldt_1" xfId="0"/>
    <cellStyle name="Normal_laroux_1_pldt_2" xfId="0"/>
    <cellStyle name="Normal_laroux_1_pldt_3" xfId="0"/>
    <cellStyle name="Normal_laroux_1_PLDT_dimon" xfId="0"/>
    <cellStyle name="Normal_laroux_1_Sheet1 (2)" xfId="0"/>
    <cellStyle name="Normal_laroux_1_VERA" xfId="0"/>
    <cellStyle name="Normal_laroux_1_VERA_1" xfId="0"/>
    <cellStyle name="Normal_laroux_1_VIRUS-EDY" xfId="0"/>
    <cellStyle name="Normal_laroux_2" xfId="0"/>
    <cellStyle name="Normal_laroux_2_dimon" xfId="0"/>
    <cellStyle name="Normal_laroux_2_dimon_1" xfId="0"/>
    <cellStyle name="Normal_laroux_2_dimon_2" xfId="0"/>
    <cellStyle name="Normal_laroux_2_dimon_3" xfId="0"/>
    <cellStyle name="Normal_laroux_2_EPL 304 CA BDE" xfId="0"/>
    <cellStyle name="Normal_laroux_2_laroux" xfId="0"/>
    <cellStyle name="Normal_laroux_2_laroux_1" xfId="0"/>
    <cellStyle name="Normal_laroux_2_laroux_1_PERSON2" xfId="0"/>
    <cellStyle name="Normal_laroux_2_laroux_2" xfId="0"/>
    <cellStyle name="Normal_laroux_2_laroux_2_PERSON2" xfId="0"/>
    <cellStyle name="Normal_laroux_2_laroux_PERSON2" xfId="0"/>
    <cellStyle name="Normal_laroux_2_Locas" xfId="0"/>
    <cellStyle name="Normal_laroux_2_Locas_1" xfId="0"/>
    <cellStyle name="Normal_laroux_2_PERSON2" xfId="0"/>
    <cellStyle name="Normal_laroux_2_pldt" xfId="0"/>
    <cellStyle name="Normal_laroux_2_pldt_1" xfId="0"/>
    <cellStyle name="Normal_laroux_2_pldt_2" xfId="0"/>
    <cellStyle name="Normal_laroux_2_Sheet1 (2)" xfId="0"/>
    <cellStyle name="Normal_laroux_2_VIRUS-EDY" xfId="0"/>
    <cellStyle name="Normal_laroux_3" xfId="0"/>
    <cellStyle name="Normal_laroux_3_dimon" xfId="0"/>
    <cellStyle name="Normal_laroux_3_dimon_1" xfId="0"/>
    <cellStyle name="Normal_laroux_3_dimon_2" xfId="0"/>
    <cellStyle name="Normal_laroux_3_dimon_3" xfId="0"/>
    <cellStyle name="Normal_laroux_3_dimon_4" xfId="0"/>
    <cellStyle name="Normal_laroux_3_EPL 304 CA BDE" xfId="0"/>
    <cellStyle name="Normal_laroux_3_laroux" xfId="0"/>
    <cellStyle name="Normal_laroux_3_laroux_1" xfId="0"/>
    <cellStyle name="Normal_laroux_3_laroux_1_PERSON2" xfId="0"/>
    <cellStyle name="Normal_laroux_3_laroux_2" xfId="0"/>
    <cellStyle name="Normal_laroux_3_laroux_2_PERSON2" xfId="0"/>
    <cellStyle name="Normal_laroux_3_laroux_dimon" xfId="0"/>
    <cellStyle name="Normal_laroux_3_laroux_PERSON2" xfId="0"/>
    <cellStyle name="Normal_laroux_3_Locas" xfId="0"/>
    <cellStyle name="Normal_laroux_3_PERSON2" xfId="0"/>
    <cellStyle name="Normal_laroux_3_pldt" xfId="0"/>
    <cellStyle name="Normal_laroux_3_pldt_1" xfId="0"/>
    <cellStyle name="Normal_laroux_3_PLDT_dimon" xfId="0"/>
    <cellStyle name="Normal_laroux_3_Sheet1 (2)" xfId="0"/>
    <cellStyle name="Normal_laroux_3_VERA" xfId="0"/>
    <cellStyle name="Normal_laroux_3_VERA_1" xfId="0"/>
    <cellStyle name="Normal_laroux_3_VIRUS-EDY" xfId="0"/>
    <cellStyle name="Normal_laroux_4" xfId="0"/>
    <cellStyle name="Normal_laroux_4_dimon" xfId="0"/>
    <cellStyle name="Normal_laroux_4_dimon_1" xfId="0"/>
    <cellStyle name="Normal_laroux_4_dimon_2" xfId="0"/>
    <cellStyle name="Normal_laroux_4_dimon_3" xfId="0"/>
    <cellStyle name="Normal_laroux_4_EPL 304 CA BDE" xfId="0"/>
    <cellStyle name="Normal_laroux_4_laroux" xfId="0"/>
    <cellStyle name="Normal_laroux_4_laroux_1" xfId="0"/>
    <cellStyle name="Normal_laroux_4_laroux_1_PERSON2" xfId="0"/>
    <cellStyle name="Normal_laroux_4_laroux_2" xfId="0"/>
    <cellStyle name="Normal_laroux_4_laroux_PERSON2" xfId="0"/>
    <cellStyle name="Normal_laroux_4_PERSON2" xfId="0"/>
    <cellStyle name="Normal_laroux_4_pldt" xfId="0"/>
    <cellStyle name="Normal_laroux_4_pldt_1" xfId="0"/>
    <cellStyle name="Normal_laroux_4_pldt_2" xfId="0"/>
    <cellStyle name="Normal_laroux_4_PLDT_dimon" xfId="0"/>
    <cellStyle name="Normal_laroux_4_VERA" xfId="0"/>
    <cellStyle name="Normal_laroux_4_VIRUS-EDY" xfId="0"/>
    <cellStyle name="Normal_laroux_5" xfId="0"/>
    <cellStyle name="Normal_laroux_5_dimon" xfId="0"/>
    <cellStyle name="Normal_laroux_5_dimon_1" xfId="0"/>
    <cellStyle name="Normal_laroux_5_dimon_2" xfId="0"/>
    <cellStyle name="Normal_laroux_5_dimon_3" xfId="0"/>
    <cellStyle name="Normal_laroux_5_EPL 304 CA BDE" xfId="0"/>
    <cellStyle name="Normal_laroux_5_laroux" xfId="0"/>
    <cellStyle name="Normal_laroux_5_laroux_1" xfId="0"/>
    <cellStyle name="Normal_laroux_5_laroux_1_PERSON2" xfId="0"/>
    <cellStyle name="Normal_laroux_5_laroux_2" xfId="0"/>
    <cellStyle name="Normal_laroux_5_laroux_PERSON2" xfId="0"/>
    <cellStyle name="Normal_laroux_5_PERSON2" xfId="0"/>
    <cellStyle name="Normal_laroux_5_pldt" xfId="0"/>
    <cellStyle name="Normal_laroux_5_pldt_1" xfId="0"/>
    <cellStyle name="Normal_laroux_5_pldt_2" xfId="0"/>
    <cellStyle name="Normal_laroux_5_pldt_3" xfId="0"/>
    <cellStyle name="Normal_laroux_5_PLDT_dimon" xfId="0"/>
    <cellStyle name="Normal_laroux_5_VERA" xfId="0"/>
    <cellStyle name="Normal_laroux_5_VIRUS-EDY" xfId="0"/>
    <cellStyle name="Normal_laroux_6" xfId="0"/>
    <cellStyle name="Normal_laroux_6_dimon" xfId="0"/>
    <cellStyle name="Normal_laroux_6_dimon_1" xfId="0"/>
    <cellStyle name="Normal_laroux_6_dimon_2" xfId="0"/>
    <cellStyle name="Normal_laroux_6_dimon_3" xfId="0"/>
    <cellStyle name="Normal_laroux_6_EPL 304 CA BDE" xfId="0"/>
    <cellStyle name="Normal_laroux_6_laroux" xfId="0"/>
    <cellStyle name="Normal_laroux_6_laroux_1" xfId="0"/>
    <cellStyle name="Normal_laroux_6_laroux_1_PERSON2" xfId="0"/>
    <cellStyle name="Normal_laroux_6_laroux_dimon" xfId="0"/>
    <cellStyle name="Normal_laroux_6_laroux_laroux" xfId="0"/>
    <cellStyle name="Normal_laroux_6_laroux_PERSON2" xfId="0"/>
    <cellStyle name="Normal_laroux_6_laroux_UNIMAP (2)" xfId="0"/>
    <cellStyle name="Normal_laroux_6_PERSON2" xfId="0"/>
    <cellStyle name="Normal_laroux_6_pldt" xfId="0"/>
    <cellStyle name="Normal_laroux_6_pldt_1" xfId="0"/>
    <cellStyle name="Normal_laroux_6_pldt_2" xfId="0"/>
    <cellStyle name="Normal_laroux_6_PLDT_dimon" xfId="0"/>
    <cellStyle name="Normal_laroux_6_UNIMAP (2)" xfId="0"/>
    <cellStyle name="Normal_laroux_6_VERA" xfId="0"/>
    <cellStyle name="Normal_laroux_6_VIRUS-EDY" xfId="0"/>
    <cellStyle name="Normal_laroux_7" xfId="0"/>
    <cellStyle name="Normal_laroux_7_dimon" xfId="0"/>
    <cellStyle name="Normal_laroux_7_dimon_1" xfId="0"/>
    <cellStyle name="Normal_laroux_7_dimon_2" xfId="0"/>
    <cellStyle name="Normal_laroux_7_laroux" xfId="0"/>
    <cellStyle name="Normal_laroux_7_laroux_PERSON2" xfId="0"/>
    <cellStyle name="Normal_laroux_7_PERSON2" xfId="0"/>
    <cellStyle name="Normal_laroux_7_pldt" xfId="0"/>
    <cellStyle name="Normal_laroux_7_pldt_1" xfId="0"/>
    <cellStyle name="Normal_laroux_7_VERA" xfId="0"/>
    <cellStyle name="Normal_laroux_7_VIRUS-EDY" xfId="0"/>
    <cellStyle name="Normal_laroux_8" xfId="0"/>
    <cellStyle name="Normal_laroux_8_dimon" xfId="0"/>
    <cellStyle name="Normal_laroux_8_dimon_1" xfId="0"/>
    <cellStyle name="Normal_laroux_8_laroux" xfId="0"/>
    <cellStyle name="Normal_laroux_8_laroux_1" xfId="0"/>
    <cellStyle name="Normal_laroux_8_PERSON2" xfId="0"/>
    <cellStyle name="Normal_laroux_8_pldt" xfId="0"/>
    <cellStyle name="Normal_laroux_8_pldt_1" xfId="0"/>
    <cellStyle name="Normal_laroux_8_UNIMAP (2)" xfId="0"/>
    <cellStyle name="Normal_laroux_8_VERA" xfId="0"/>
    <cellStyle name="Normal_laroux_9" xfId="0"/>
    <cellStyle name="Normal_laroux_9_dimon" xfId="0"/>
    <cellStyle name="Normal_laroux_9_dimon_1" xfId="0"/>
    <cellStyle name="Normal_laroux_9_PERSON2" xfId="0"/>
    <cellStyle name="Normal_laroux_A" xfId="0"/>
    <cellStyle name="Normal_laroux_A_PERSON2" xfId="0"/>
    <cellStyle name="Normal_laroux_B" xfId="0"/>
    <cellStyle name="Normal_laroux_B_PERSON2" xfId="0"/>
    <cellStyle name="Normal_laroux_C" xfId="0"/>
    <cellStyle name="Normal_laroux_C_PERSON2" xfId="0"/>
    <cellStyle name="Normal_laroux_D" xfId="0"/>
    <cellStyle name="Normal_laroux_dimon" xfId="0"/>
    <cellStyle name="Normal_laroux_dimon_1" xfId="0"/>
    <cellStyle name="Normal_laroux_dimon_2" xfId="0"/>
    <cellStyle name="Normal_laroux_dimon_3" xfId="0"/>
    <cellStyle name="Normal_laroux_dimon_4" xfId="0"/>
    <cellStyle name="Normal_laroux_dimon_5" xfId="0"/>
    <cellStyle name="Normal_laroux_EPL 304 CA BDE" xfId="0"/>
    <cellStyle name="Normal_laroux_laroux" xfId="0"/>
    <cellStyle name="Normal_laroux_laroux_1" xfId="0"/>
    <cellStyle name="Normal_laroux_laroux_1_PERSON2" xfId="0"/>
    <cellStyle name="Normal_laroux_laroux_2" xfId="0"/>
    <cellStyle name="Normal_laroux_laroux_laroux" xfId="0"/>
    <cellStyle name="Normal_laroux_laroux_PERSON2" xfId="0"/>
    <cellStyle name="Normal_laroux_Locas" xfId="0"/>
    <cellStyle name="Normal_laroux_PERSON2" xfId="0"/>
    <cellStyle name="Normal_laroux_pldt" xfId="0"/>
    <cellStyle name="Normal_laroux_pldt_1" xfId="0"/>
    <cellStyle name="Normal_laroux_pldt_2" xfId="0"/>
    <cellStyle name="Normal_laroux_pldt_3" xfId="0"/>
    <cellStyle name="Normal_laroux_PLDT_dimon" xfId="0"/>
    <cellStyle name="Normal_laroux_Sheet1 (2)" xfId="0"/>
    <cellStyle name="Normal_laroux_VERA" xfId="0"/>
    <cellStyle name="Normal_laroux_VERA_1" xfId="0"/>
    <cellStyle name="Normal_laroux_VIRUS-EDY" xfId="0"/>
    <cellStyle name="Normal_Line Inst." xfId="0"/>
    <cellStyle name="Normal_List" xfId="0"/>
    <cellStyle name="Normal_Locas" xfId="0"/>
    <cellStyle name="Normal_Locas_1" xfId="0"/>
    <cellStyle name="Normal_MAJREP" xfId="0"/>
    <cellStyle name="Normal_MARCH 95" xfId="0"/>
    <cellStyle name="Normal_MATERAL2" xfId="0"/>
    <cellStyle name="Normal_MATERAL2_dimon" xfId="0"/>
    <cellStyle name="Normal_MATERAL2_laroux" xfId="0"/>
    <cellStyle name="Normal_MATERAL2_UNIMAP (2)" xfId="0"/>
    <cellStyle name="Normal_MED-A-CO.XLS" xfId="0"/>
    <cellStyle name="Normal_MID CURVE" xfId="0"/>
    <cellStyle name="Normal_MKGOCPX" xfId="0"/>
    <cellStyle name="Normal_Mkt Shr" xfId="0"/>
    <cellStyle name="Normal_MOBCPX" xfId="0"/>
    <cellStyle name="Normal_Module1 (2)" xfId="0"/>
    <cellStyle name="Normal_Module1 (2)_1" xfId="0"/>
    <cellStyle name="Normal_MONTHLY" xfId="0"/>
    <cellStyle name="Normal_MOR  - Supp" xfId="0"/>
    <cellStyle name="Normal_Movie Pallet" xfId="0"/>
    <cellStyle name="Normal_MTHLYR&amp;O" xfId="0"/>
    <cellStyle name="Normal_MTHLYR&amp;O_laroux" xfId="0"/>
    <cellStyle name="Normal_MTHLYR&amp;O_UNIMAP (2)" xfId="0"/>
    <cellStyle name="Normal_mud plant bolted" xfId="0"/>
    <cellStyle name="Normal_mud plant bolted_dimon" xfId="0"/>
    <cellStyle name="Normal_Multikarya" xfId="0"/>
    <cellStyle name="Normal_NA WITHOUT GOV'T &amp; PNX" xfId="0"/>
    <cellStyle name="Normal_NAOBU10" xfId="0"/>
    <cellStyle name="Normal_NAT ACCT" xfId="0"/>
    <cellStyle name="Normal_NCR-C&amp;W Val" xfId="0"/>
    <cellStyle name="Normal_NCR-Cap intensity" xfId="0"/>
    <cellStyle name="Normal_NCR-Line per Staff" xfId="0"/>
    <cellStyle name="Normal_NCR-Rev dist" xfId="0"/>
    <cellStyle name="Normal_NEHQ-ACT.XLS" xfId="0"/>
    <cellStyle name="Normal_non sec restruc (2)" xfId="0"/>
    <cellStyle name="Normal_non sec restruc (2)_laroux" xfId="0"/>
    <cellStyle name="Normal_non sec restruc (2)_laroux_UNIMAP (2)" xfId="0"/>
    <cellStyle name="Normal_non sec restruc (2)_UNIMAP (2)" xfId="0"/>
    <cellStyle name="Normal_NS-A-CO.XLS" xfId="0"/>
    <cellStyle name="Normal_NS_AT" xfId="0"/>
    <cellStyle name="Normal_NS_CONS GROUP" xfId="0"/>
    <cellStyle name="Normal_NSACTUAL.XLS" xfId="0"/>
    <cellStyle name="Normal_NSACTUAL.XLS_1" xfId="0"/>
    <cellStyle name="Normal_NSG1999" xfId="0"/>
    <cellStyle name="Normal_NTG_PJE" xfId="0"/>
    <cellStyle name="Normal_NTG_PJE_laroux" xfId="0"/>
    <cellStyle name="Normal_NTG_PJE_UNIMAP (2)" xfId="0"/>
    <cellStyle name="Normal_NX00" xfId="0"/>
    <cellStyle name="Normal_Op Cost Break" xfId="0"/>
    <cellStyle name="Normal_OPSTAT" xfId="0"/>
    <cellStyle name="Normal_OS-A-CO.XLS" xfId="0"/>
    <cellStyle name="Normal_OSMOCPX" xfId="0"/>
    <cellStyle name="Normal_Other Months" xfId="0"/>
    <cellStyle name="Normal_Outlook" xfId="0"/>
    <cellStyle name="Normal_Outlook_1" xfId="0"/>
    <cellStyle name="Normal_OWN, AR, SNIPS" xfId="0"/>
    <cellStyle name="Normal_Owners" xfId="0"/>
    <cellStyle name="Normal_P7INVENT" xfId="0"/>
    <cellStyle name="Normal_PAGE 1" xfId="0"/>
    <cellStyle name="Normal_pbdefault" xfId="0"/>
    <cellStyle name="Normal_pbdefault_1" xfId="0"/>
    <cellStyle name="Normal_percentages" xfId="0"/>
    <cellStyle name="Normal_PERSON2" xfId="0"/>
    <cellStyle name="Normal_PERSONAL" xfId="0"/>
    <cellStyle name="Normal_PERSONAL_dimon" xfId="0"/>
    <cellStyle name="Normal_PERSONAL_Locas" xfId="0"/>
    <cellStyle name="Normal_petes version - Hdcnt" xfId="0"/>
    <cellStyle name="Normal_petes version - Hdcnt_laroux" xfId="0"/>
    <cellStyle name="Normal_petes version - Hdcnt_UNIMAP (2)" xfId="0"/>
    <cellStyle name="Normal_PGL1999" xfId="0"/>
    <cellStyle name="Normal_PGMKOCPX" xfId="0"/>
    <cellStyle name="Normal_PGNW1" xfId="0"/>
    <cellStyle name="Normal_PGNW2" xfId="0"/>
    <cellStyle name="Normal_PGNWOCPX" xfId="0"/>
    <cellStyle name="Normal_Picks" xfId="0"/>
    <cellStyle name="Normal_PIG3" xfId="0"/>
    <cellStyle name="Normal_Pink" xfId="0"/>
    <cellStyle name="Normal_PLAN" xfId="0"/>
    <cellStyle name="Normal_PLANT" xfId="0"/>
    <cellStyle name="Normal_PLANTS" xfId="0"/>
    <cellStyle name="Normal_Playoff Prelim (2)" xfId="0"/>
    <cellStyle name="Normal_PLDT" xfId="0"/>
    <cellStyle name="Normal_PLDT_1" xfId="0"/>
    <cellStyle name="Normal_pldt_1_Calculations" xfId="0"/>
    <cellStyle name="Normal_PLDT_1_dimon" xfId="0"/>
    <cellStyle name="Normal_pldt_2" xfId="0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Sheet" xfId="0"/>
    <cellStyle name="Normal_PriceSheet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STNOCFP" xfId="0"/>
    <cellStyle name="Normal_PURAZV12" xfId="0"/>
    <cellStyle name="Normal_Q08-95.XLS" xfId="0"/>
    <cellStyle name="Normal_QMM-1" xfId="0"/>
    <cellStyle name="Normal_Quarter End Months" xfId="0"/>
    <cellStyle name="Normal_r1" xfId="0"/>
    <cellStyle name="Normal_Real Opr Cf" xfId="0"/>
    <cellStyle name="Normal_Real Rev per Staff (1)" xfId="0"/>
    <cellStyle name="Normal_Real Rev per Staff (2)" xfId="0"/>
    <cellStyle name="Normal_recon" xfId="0"/>
    <cellStyle name="Normal_recon_laroux" xfId="0"/>
    <cellStyle name="Normal_recon_UNIMAP (2)" xfId="0"/>
    <cellStyle name="Normal_Region 2-C&amp;W" xfId="0"/>
    <cellStyle name="Normal_RELO-MOS" xfId="0"/>
    <cellStyle name="Normal_RELO694" xfId="0"/>
    <cellStyle name="Normal_REPORT-budget" xfId="0"/>
    <cellStyle name="Normal_REPORT-plan" xfId="0"/>
    <cellStyle name="Normal_Return on Rev" xfId="0"/>
    <cellStyle name="Normal_Rev p line" xfId="0"/>
    <cellStyle name="Normal_risk_op" xfId="0"/>
    <cellStyle name="Normal_risk_op (+)" xfId="0"/>
    <cellStyle name="Normal_risk_op_laroux" xfId="0"/>
    <cellStyle name="Normal_risk_op_UNIMAP (2)" xfId="0"/>
    <cellStyle name="Normal_RJRN Roadmap" xfId="0"/>
    <cellStyle name="Normal_RJRN Roadmap (2)" xfId="0"/>
    <cellStyle name="Normal_RJRT % to Total (2)" xfId="0"/>
    <cellStyle name="Normal_ROACE" xfId="0"/>
    <cellStyle name="Normal_ROAD" xfId="0"/>
    <cellStyle name="Normal_ROAD_1" xfId="0"/>
    <cellStyle name="Normal_ROAD_1_laroux" xfId="0"/>
    <cellStyle name="Normal_ROAD_1_UNIMAP (2)" xfId="0"/>
    <cellStyle name="Normal_ROCF (Tot)" xfId="0"/>
    <cellStyle name="Normal_Roster" xfId="0"/>
    <cellStyle name="Normal_RPACONS (BY RANK&amp;EVENT)" xfId="0"/>
    <cellStyle name="Normal_RPACONS (BY RANK)" xfId="0"/>
    <cellStyle name="Normal_Rules" xfId="0"/>
    <cellStyle name="Normal_Sales Order" xfId="0"/>
    <cellStyle name="Normal_SALES, BGP, MOI" xfId="0"/>
    <cellStyle name="Normal_SATOCPX" xfId="0"/>
    <cellStyle name="Normal_SC COP" xfId="0"/>
    <cellStyle name="Normal_SCH1_SIL" xfId="0"/>
    <cellStyle name="Normal_SCH2_SIL" xfId="0"/>
    <cellStyle name="Normal_SCH2_SIL_1" xfId="0"/>
    <cellStyle name="Normal_SERVR" xfId="0"/>
    <cellStyle name="Normal_severance" xfId="0"/>
    <cellStyle name="Normal_severance_laroux" xfId="0"/>
    <cellStyle name="Normal_severance_laroux_UNIMAP (2)" xfId="0"/>
    <cellStyle name="Normal_severance_UNIMAP (2)" xfId="0"/>
    <cellStyle name="Normal_Sheet1" xfId="0"/>
    <cellStyle name="Normal_Sheet1 (2)" xfId="0"/>
    <cellStyle name="Normal_Sheet1 (2)_1" xfId="0"/>
    <cellStyle name="Normal_Sheet1 (2)_dimon" xfId="0"/>
    <cellStyle name="Normal_Sheet1 (2)_laroux" xfId="0"/>
    <cellStyle name="Normal_Sheet1 (2)_PERSON2" xfId="0"/>
    <cellStyle name="Normal_Sheet1 (2)_VERA" xfId="0"/>
    <cellStyle name="Normal_Sheet1 (2)_VERA_1" xfId="0"/>
    <cellStyle name="Normal_Sheet1_1" xfId="0"/>
    <cellStyle name="Normal_Sheet1_dimon" xfId="0"/>
    <cellStyle name="Normal_Sheet1_FUNDS" xfId="0"/>
    <cellStyle name="Normal_Sheet1_FUNDS (2)" xfId="0"/>
    <cellStyle name="Normal_Sheet1_laroux" xfId="0"/>
    <cellStyle name="Normal_Sheet1_laroux_1" xfId="0"/>
    <cellStyle name="Normal_Sheet1_laroux_1_UNIMAP (2)" xfId="0"/>
    <cellStyle name="Normal_Sheet1_laroux_2" xfId="0"/>
    <cellStyle name="Normal_Sheet1_laroux_laroux" xfId="0"/>
    <cellStyle name="Normal_Sheet1_laroux_laroux_1" xfId="0"/>
    <cellStyle name="Normal_Sheet1_laroux_laroux_UNIMAP (2)" xfId="0"/>
    <cellStyle name="Normal_Sheet1_laroux_PERSON2" xfId="0"/>
    <cellStyle name="Normal_Sheet1_laroux_UNIMAP (2)" xfId="0"/>
    <cellStyle name="Normal_Sheet1_List" xfId="0"/>
    <cellStyle name="Normal_Sheet1_PERSON2" xfId="0"/>
    <cellStyle name="Normal_Sheet1_PLDT" xfId="0"/>
    <cellStyle name="Normal_Sheet1_UNIMAP (2)" xfId="0"/>
    <cellStyle name="Normal_Sheet1_VERA" xfId="0"/>
    <cellStyle name="Normal_Sheet1_VERA_1" xfId="0"/>
    <cellStyle name="Normal_Sheet2" xfId="0"/>
    <cellStyle name="Normal_Sheet2_laroux" xfId="0"/>
    <cellStyle name="Normal_Sheet2_laroux_1" xfId="0"/>
    <cellStyle name="Normal_Sheet2_laroux_UNIMAP (2)" xfId="0"/>
    <cellStyle name="Normal_Sheet2_PERSON2" xfId="0"/>
    <cellStyle name="Normal_Sheet2_UNIMAP (2)" xfId="0"/>
    <cellStyle name="Normal_Sheet3" xfId="0"/>
    <cellStyle name="Normal_Sheet3_laroux" xfId="0"/>
    <cellStyle name="Normal_Sheet3_laroux_1" xfId="0"/>
    <cellStyle name="Normal_Sheet3_laroux_UNIMAP (2)" xfId="0"/>
    <cellStyle name="Normal_Sheet3_PERSON2" xfId="0"/>
    <cellStyle name="Normal_Sheet3_UNIMAP (2)" xfId="0"/>
    <cellStyle name="Normal_Sheet4" xfId="0"/>
    <cellStyle name="Normal_Sheet4_laroux" xfId="0"/>
    <cellStyle name="Normal_Sheet4_laroux_1" xfId="0"/>
    <cellStyle name="Normal_Sheet4_laroux_UNIMAP (2)" xfId="0"/>
    <cellStyle name="Normal_Sheet4_UNIMAP (2)" xfId="0"/>
    <cellStyle name="Normal_Sheet5" xfId="0"/>
    <cellStyle name="Normal_Sheet5_laroux" xfId="0"/>
    <cellStyle name="Normal_Sheet5_laroux_1" xfId="0"/>
    <cellStyle name="Normal_Sheet5_laroux_UNIMAP (2)" xfId="0"/>
    <cellStyle name="Normal_Sheet5_UNIMAP (2)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rint contr" xfId="0"/>
    <cellStyle name="Normal_SS2" xfId="0"/>
    <cellStyle name="Normal_Staff cost%rev" xfId="0"/>
    <cellStyle name="Normal_Summ Rest" xfId="0"/>
    <cellStyle name="Normal_Summ Rest (2)" xfId="0"/>
    <cellStyle name="Normal_Summ Rest (2)_laroux" xfId="0"/>
    <cellStyle name="Normal_Summ Rest (2)_UNIMAP (2)" xfId="0"/>
    <cellStyle name="Normal_Summ Rest_laroux" xfId="0"/>
    <cellStyle name="Normal_Summ Rest_UNIMAP (2)" xfId="0"/>
    <cellStyle name="Normal_Summary" xfId="0"/>
    <cellStyle name="Normal_SUMPAGE" xfId="0"/>
    <cellStyle name="Normal_SWI-C-CO.XLS" xfId="0"/>
    <cellStyle name="Normal_Template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util94" xfId="0"/>
    <cellStyle name="Normal_Variance" xfId="0"/>
    <cellStyle name="Normal_version2 (2)" xfId="0"/>
    <cellStyle name="Normal_version2.A" xfId="0"/>
    <cellStyle name="Normal_White" xfId="0"/>
    <cellStyle name="Normal_WO Var. &amp; Tot. Exp." xfId="0"/>
    <cellStyle name="Normal_WSP" xfId="0"/>
    <cellStyle name="Normal_WSS ConEd" xfId="0"/>
    <cellStyle name="Normal_yrcao" xfId="0"/>
    <cellStyle name="Normal_YREND55" xfId="0"/>
    <cellStyle name="Normal_YREND57" xfId="0"/>
    <cellStyle name="Normal_YTDCUR" xfId="0"/>
    <cellStyle name="Percent [2]" xfId="0"/>
    <cellStyle name="Total" xfId="0"/>
    <cellStyle name="Tusental (0)_laroux" xfId="0"/>
    <cellStyle name="Tusental_laroux" xfId="0"/>
    <cellStyle name="Unprot" xfId="0"/>
    <cellStyle name="Unprot$" xfId="0"/>
    <cellStyle name="Unprotect" xfId="0"/>
    <cellStyle name="Valuta (0)_laroux" xfId="0"/>
    <cellStyle name="Valuta (0)_laroux_1" xfId="0"/>
    <cellStyle name="Valuta (0)_laroux_1_Atlanta_Unwind_Model_11.04.99" xfId="0"/>
    <cellStyle name="Valuta (0)_laroux_1_Supply_Value_Model_10.11.99" xfId="0"/>
    <cellStyle name="Valuta (0)_laroux_Atlanta_Unwind_Model_11.04.99" xfId="0"/>
    <cellStyle name="Valuta_laroux" xfId="0"/>
    <cellStyle name="Valuta_laroux_1" xfId="0"/>
    <cellStyle name="Valuta_laroux_Atlanta_Unwind_Model_11.04.99" xfId="0"/>
    <cellStyle name="Valuta_laroux_Supply_Value_Model_10.11.99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3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6" width="14.14"/>
    <col collapsed="false" customWidth="true" hidden="false" outlineLevel="0" max="2" min="2" style="76" width="14.56"/>
    <col collapsed="false" customWidth="true" hidden="false" outlineLevel="0" max="4" min="3" style="76" width="16.42"/>
    <col collapsed="false" customWidth="true" hidden="false" outlineLevel="0" max="5" min="5" style="76" width="14.85"/>
    <col collapsed="false" customWidth="true" hidden="false" outlineLevel="0" max="6" min="6" style="76" width="13.85"/>
    <col collapsed="false" customWidth="true" hidden="false" outlineLevel="0" max="7" min="7" style="76" width="10.71"/>
    <col collapsed="false" customWidth="true" hidden="false" outlineLevel="0" max="9" min="8" style="76" width="18.14"/>
    <col collapsed="false" customWidth="true" hidden="false" outlineLevel="0" max="10" min="10" style="76" width="22.56"/>
    <col collapsed="false" customWidth="true" hidden="false" outlineLevel="0" max="12" min="11" style="76" width="15.99"/>
    <col collapsed="false" customWidth="true" hidden="false" outlineLevel="0" max="13" min="13" style="76" width="24.99"/>
    <col collapsed="false" customWidth="true" hidden="false" outlineLevel="0" max="14" min="14" style="76" width="14.56"/>
    <col collapsed="false" customWidth="true" hidden="false" outlineLevel="0" max="15" min="15" style="76" width="15.41"/>
    <col collapsed="false" customWidth="true" hidden="false" outlineLevel="0" max="16" min="16" style="76" width="3.14"/>
    <col collapsed="false" customWidth="true" hidden="false" outlineLevel="0" max="18" min="17" style="76" width="15.41"/>
    <col collapsed="false" customWidth="true" hidden="false" outlineLevel="0" max="19" min="19" style="76" width="3.14"/>
    <col collapsed="false" customWidth="true" hidden="false" outlineLevel="0" max="26" min="20" style="71" width="10.71"/>
    <col collapsed="false" customWidth="true" hidden="false" outlineLevel="0" max="27" min="27" style="76" width="4.28"/>
    <col collapsed="false" customWidth="true" hidden="false" outlineLevel="0" max="28" min="28" style="76" width="12.28"/>
    <col collapsed="false" customWidth="true" hidden="false" outlineLevel="0" max="29" min="29" style="76" width="18.85"/>
    <col collapsed="false" customWidth="true" hidden="false" outlineLevel="0" max="30" min="30" style="76" width="15.85"/>
    <col collapsed="false" customWidth="true" hidden="false" outlineLevel="0" max="31" min="31" style="76" width="17.14"/>
    <col collapsed="false" customWidth="true" hidden="false" outlineLevel="0" max="32" min="32" style="76" width="20.56"/>
    <col collapsed="false" customWidth="true" hidden="false" outlineLevel="0" max="33" min="33" style="76" width="20.7"/>
    <col collapsed="false" customWidth="true" hidden="false" outlineLevel="0" max="34" min="34" style="76" width="14.28"/>
    <col collapsed="false" customWidth="true" hidden="false" outlineLevel="0" max="35" min="35" style="76" width="16.42"/>
    <col collapsed="false" customWidth="true" hidden="false" outlineLevel="0" max="36" min="36" style="76" width="15.13"/>
    <col collapsed="false" customWidth="true" hidden="false" outlineLevel="0" max="37" min="37" style="77" width="6.56"/>
    <col collapsed="false" customWidth="true" hidden="false" outlineLevel="0" max="39" min="38" style="76" width="15.13"/>
    <col collapsed="false" customWidth="true" hidden="false" outlineLevel="0" max="40" min="40" style="76" width="16.84"/>
    <col collapsed="false" customWidth="true" hidden="false" outlineLevel="0" max="41" min="41" style="76" width="15.99"/>
    <col collapsed="false" customWidth="true" hidden="false" outlineLevel="0" max="42" min="42" style="0" width="5.85"/>
    <col collapsed="false" customWidth="true" hidden="false" outlineLevel="0" max="44" min="43" style="76" width="15.13"/>
    <col collapsed="false" customWidth="true" hidden="false" outlineLevel="0" max="45" min="45" style="76" width="16.84"/>
    <col collapsed="false" customWidth="true" hidden="false" outlineLevel="0" max="46" min="46" style="76" width="15.99"/>
    <col collapsed="false" customWidth="true" hidden="false" outlineLevel="0" max="47" min="47" style="76" width="6.28"/>
    <col collapsed="false" customWidth="true" hidden="false" outlineLevel="0" max="48" min="48" style="76" width="18.41"/>
    <col collapsed="false" customWidth="true" hidden="false" outlineLevel="0" max="49" min="49" style="76" width="3.85"/>
    <col collapsed="false" customWidth="true" hidden="false" outlineLevel="0" max="50" min="50" style="76" width="18.41"/>
    <col collapsed="false" customWidth="false" hidden="false" outlineLevel="0" max="257" min="51" style="76" width="9.14"/>
  </cols>
  <sheetData>
    <row r="1" customFormat="false" ht="13.5" hidden="false" customHeight="false" outlineLevel="0" collapsed="false">
      <c r="A1" s="78"/>
      <c r="B1" s="79" t="s">
        <v>136</v>
      </c>
      <c r="C1" s="80"/>
      <c r="D1" s="80"/>
      <c r="E1" s="0"/>
      <c r="H1" s="81" t="s">
        <v>137</v>
      </c>
      <c r="I1" s="81" t="s">
        <v>138</v>
      </c>
      <c r="J1" s="82" t="s">
        <v>139</v>
      </c>
      <c r="K1" s="82" t="s">
        <v>140</v>
      </c>
      <c r="L1" s="83" t="s">
        <v>141</v>
      </c>
      <c r="M1" s="84"/>
      <c r="AB1" s="85"/>
      <c r="AC1" s="86"/>
      <c r="AD1" s="85"/>
      <c r="AE1" s="85"/>
      <c r="AF1" s="86"/>
      <c r="AG1" s="85"/>
      <c r="AH1" s="87"/>
    </row>
    <row r="2" customFormat="false" ht="12.75" hidden="false" customHeight="false" outlineLevel="0" collapsed="false">
      <c r="A2" s="81" t="s">
        <v>34</v>
      </c>
      <c r="B2" s="88" t="s">
        <v>142</v>
      </c>
      <c r="C2" s="88" t="s">
        <v>143</v>
      </c>
      <c r="D2" s="89" t="s">
        <v>20</v>
      </c>
      <c r="E2" s="88" t="s">
        <v>144</v>
      </c>
      <c r="F2" s="88" t="s">
        <v>145</v>
      </c>
      <c r="G2" s="88" t="s">
        <v>146</v>
      </c>
      <c r="H2" s="90" t="s">
        <v>147</v>
      </c>
      <c r="I2" s="91" t="s">
        <v>148</v>
      </c>
      <c r="J2" s="92" t="s">
        <v>148</v>
      </c>
      <c r="K2" s="92" t="s">
        <v>149</v>
      </c>
      <c r="L2" s="93"/>
      <c r="AB2" s="85"/>
      <c r="AC2" s="85"/>
      <c r="AD2" s="85"/>
      <c r="AE2" s="85"/>
      <c r="AF2" s="85"/>
      <c r="AG2" s="85"/>
      <c r="AH2" s="85"/>
      <c r="AO2" s="94" t="s">
        <v>150</v>
      </c>
      <c r="AT2" s="94" t="s">
        <v>151</v>
      </c>
    </row>
    <row r="3" customFormat="false" ht="13.5" hidden="false" customHeight="false" outlineLevel="0" collapsed="false">
      <c r="A3" s="95" t="n">
        <f aca="false">Summary!C5</f>
        <v>36982</v>
      </c>
      <c r="B3" s="96" t="n">
        <f aca="false">Summary!D5</f>
        <v>38657</v>
      </c>
      <c r="C3" s="97" t="n">
        <f aca="false">Summary!B5</f>
        <v>36888</v>
      </c>
      <c r="D3" s="97" t="n">
        <f aca="true">IF(WEEKDAY(TODAY())=2,TODAY()-3,TODAY()-1)</f>
        <v>45925</v>
      </c>
      <c r="E3" s="98" t="str">
        <f aca="false">CONCATENATE(INT(Y8/12)," Y - ",Y8-INT(Y8/12)*12," M")</f>
        <v>4 Y - 8 M</v>
      </c>
      <c r="F3" s="99" t="n">
        <f aca="false">'Transco Z3'!F3</f>
        <v>1</v>
      </c>
      <c r="G3" s="99" t="n">
        <v>2</v>
      </c>
      <c r="H3" s="100" t="n">
        <v>1</v>
      </c>
      <c r="I3" s="101" t="s">
        <v>202</v>
      </c>
      <c r="J3" s="101" t="s">
        <v>202</v>
      </c>
      <c r="K3" s="101" t="n">
        <f aca="false">'TGT ZSL'!K3</f>
        <v>0</v>
      </c>
      <c r="L3" s="102"/>
      <c r="AB3" s="85"/>
      <c r="AE3" s="85"/>
    </row>
    <row r="4" customFormat="false" ht="12.75" hidden="false" customHeight="false" outlineLevel="0" collapsed="false">
      <c r="A4" s="103"/>
      <c r="B4" s="103"/>
      <c r="C4" s="103"/>
      <c r="D4" s="103" t="s">
        <v>153</v>
      </c>
      <c r="E4" s="103" t="s">
        <v>154</v>
      </c>
      <c r="F4" s="103" t="s">
        <v>117</v>
      </c>
      <c r="G4" s="104" t="s">
        <v>155</v>
      </c>
      <c r="H4" s="105"/>
      <c r="I4" s="105"/>
      <c r="J4" s="104" t="str">
        <f aca="false">CONCATENATE(I3,"-","D")</f>
        <v>IF-COLGULF/LA-D</v>
      </c>
      <c r="K4" s="105" t="str">
        <f aca="false">I3</f>
        <v>IF-COLGULF/LA</v>
      </c>
      <c r="L4" s="105" t="str">
        <f aca="false">I3</f>
        <v>IF-COLGULF/LA</v>
      </c>
      <c r="M4" s="104" t="str">
        <f aca="false">CONCATENATE(J3,"-","I")</f>
        <v>IF-COLGULF/LA-I</v>
      </c>
      <c r="N4" s="105" t="str">
        <f aca="false">J3</f>
        <v>IF-COLGULF/LA</v>
      </c>
      <c r="O4" s="105" t="str">
        <f aca="false">J3</f>
        <v>IF-COLGULF/LA</v>
      </c>
      <c r="Q4" s="105" t="str">
        <f aca="false">J4</f>
        <v>IF-COLGULF/LA-D</v>
      </c>
      <c r="R4" s="105" t="str">
        <f aca="false">K4</f>
        <v>IF-COLGULF/LA</v>
      </c>
      <c r="T4" s="106"/>
      <c r="U4" s="106"/>
      <c r="V4" s="106" t="s">
        <v>156</v>
      </c>
      <c r="W4" s="104" t="s">
        <v>157</v>
      </c>
      <c r="X4" s="106"/>
      <c r="Y4" s="106"/>
      <c r="Z4" s="106"/>
      <c r="AB4" s="107"/>
      <c r="AC4" s="107"/>
      <c r="AD4" s="107"/>
      <c r="AE4" s="107" t="str">
        <f aca="false">K4</f>
        <v>IF-COLGULF/LA</v>
      </c>
      <c r="AF4" s="107" t="str">
        <f aca="false">AE4</f>
        <v>IF-COLGULF/LA</v>
      </c>
      <c r="AG4" s="107" t="str">
        <f aca="false">AF4</f>
        <v>IF-COLGULF/LA</v>
      </c>
      <c r="AH4" s="107" t="str">
        <f aca="false">AG4</f>
        <v>IF-COLGULF/LA</v>
      </c>
      <c r="AI4" s="107" t="str">
        <f aca="false">AH4</f>
        <v>IF-COLGULF/LA</v>
      </c>
      <c r="AJ4" s="107" t="str">
        <f aca="false">AI4</f>
        <v>IF-COLGULF/LA</v>
      </c>
      <c r="AK4" s="108"/>
      <c r="AL4" s="109" t="s">
        <v>158</v>
      </c>
      <c r="AM4" s="109" t="s">
        <v>159</v>
      </c>
      <c r="AN4" s="109" t="s">
        <v>160</v>
      </c>
      <c r="AO4" s="109" t="s">
        <v>153</v>
      </c>
      <c r="AQ4" s="109" t="s">
        <v>158</v>
      </c>
      <c r="AR4" s="109" t="s">
        <v>138</v>
      </c>
      <c r="AS4" s="109" t="s">
        <v>160</v>
      </c>
      <c r="AT4" s="109" t="s">
        <v>153</v>
      </c>
      <c r="AU4" s="110"/>
      <c r="AV4" s="111"/>
      <c r="AX4" s="111"/>
    </row>
    <row r="5" customFormat="false" ht="12.75" hidden="false" customHeight="false" outlineLevel="0" collapsed="false">
      <c r="A5" s="103" t="s">
        <v>69</v>
      </c>
      <c r="B5" s="103" t="s">
        <v>70</v>
      </c>
      <c r="C5" s="103"/>
      <c r="D5" s="103" t="s">
        <v>70</v>
      </c>
      <c r="E5" s="103" t="s">
        <v>70</v>
      </c>
      <c r="F5" s="103" t="s">
        <v>70</v>
      </c>
      <c r="G5" s="103" t="s">
        <v>113</v>
      </c>
      <c r="H5" s="103" t="s">
        <v>113</v>
      </c>
      <c r="I5" s="103" t="s">
        <v>113</v>
      </c>
      <c r="J5" s="103" t="s">
        <v>138</v>
      </c>
      <c r="K5" s="103" t="s">
        <v>138</v>
      </c>
      <c r="L5" s="103" t="s">
        <v>138</v>
      </c>
      <c r="M5" s="103" t="s">
        <v>139</v>
      </c>
      <c r="N5" s="103" t="s">
        <v>139</v>
      </c>
      <c r="O5" s="103" t="s">
        <v>139</v>
      </c>
      <c r="Q5" s="103" t="s">
        <v>67</v>
      </c>
      <c r="R5" s="103" t="s">
        <v>67</v>
      </c>
      <c r="T5" s="112" t="s">
        <v>161</v>
      </c>
      <c r="U5" s="112" t="s">
        <v>90</v>
      </c>
      <c r="V5" s="112" t="s">
        <v>90</v>
      </c>
      <c r="W5" s="113" t="s">
        <v>162</v>
      </c>
      <c r="X5" s="112" t="s">
        <v>90</v>
      </c>
      <c r="Y5" s="112" t="s">
        <v>163</v>
      </c>
      <c r="Z5" s="112" t="s">
        <v>163</v>
      </c>
      <c r="AB5" s="114" t="str">
        <f aca="false">G5</f>
        <v>Nymex</v>
      </c>
      <c r="AC5" s="114" t="str">
        <f aca="false">H5</f>
        <v>Nymex</v>
      </c>
      <c r="AD5" s="114" t="str">
        <f aca="false">I5</f>
        <v>Nymex</v>
      </c>
      <c r="AE5" s="114" t="str">
        <f aca="false">J5</f>
        <v>Basis</v>
      </c>
      <c r="AF5" s="114" t="str">
        <f aca="false">K5</f>
        <v>Basis</v>
      </c>
      <c r="AG5" s="114" t="str">
        <f aca="false">L5</f>
        <v>Basis</v>
      </c>
      <c r="AH5" s="114" t="str">
        <f aca="false">M5</f>
        <v>Index</v>
      </c>
      <c r="AI5" s="114" t="str">
        <f aca="false">N5</f>
        <v>Index</v>
      </c>
      <c r="AJ5" s="114" t="str">
        <f aca="false">O5</f>
        <v>Index</v>
      </c>
      <c r="AK5" s="108"/>
      <c r="AL5" s="115" t="str">
        <f aca="false">CHOOSE(G3,"Bid-Contract","Contract-Offer")</f>
        <v>Contract-Offer</v>
      </c>
      <c r="AM5" s="115" t="str">
        <f aca="false">AL5</f>
        <v>Contract-Offer</v>
      </c>
      <c r="AN5" s="115" t="str">
        <f aca="false">AL5</f>
        <v>Contract-Offer</v>
      </c>
      <c r="AO5" s="115" t="str">
        <f aca="false">AL5</f>
        <v>Contract-Offer</v>
      </c>
      <c r="AQ5" s="115" t="str">
        <f aca="false">CHOOSE(G3,"Mid-Bid","Offer-Mid")</f>
        <v>Offer-Mid</v>
      </c>
      <c r="AR5" s="115" t="str">
        <f aca="false">AQ5</f>
        <v>Offer-Mid</v>
      </c>
      <c r="AS5" s="115" t="str">
        <f aca="false">AQ5</f>
        <v>Offer-Mid</v>
      </c>
      <c r="AT5" s="115" t="str">
        <f aca="false">AQ5</f>
        <v>Offer-Mid</v>
      </c>
      <c r="AU5" s="110"/>
      <c r="AV5" s="116" t="s">
        <v>153</v>
      </c>
      <c r="AX5" s="116" t="s">
        <v>153</v>
      </c>
    </row>
    <row r="6" customFormat="false" ht="12.75" hidden="false" customHeight="false" outlineLevel="0" collapsed="false">
      <c r="A6" s="117" t="s">
        <v>164</v>
      </c>
      <c r="B6" s="117" t="s">
        <v>165</v>
      </c>
      <c r="C6" s="117"/>
      <c r="D6" s="117" t="s">
        <v>165</v>
      </c>
      <c r="E6" s="117" t="s">
        <v>166</v>
      </c>
      <c r="F6" s="117" t="s">
        <v>166</v>
      </c>
      <c r="G6" s="117" t="s">
        <v>167</v>
      </c>
      <c r="H6" s="117" t="str">
        <f aca="false">CHOOSE(G3,"Bid","Offer")</f>
        <v>Offer</v>
      </c>
      <c r="I6" s="117" t="s">
        <v>116</v>
      </c>
      <c r="J6" s="117" t="s">
        <v>167</v>
      </c>
      <c r="K6" s="117" t="str">
        <f aca="false">H6</f>
        <v>Offer</v>
      </c>
      <c r="L6" s="117" t="s">
        <v>116</v>
      </c>
      <c r="M6" s="117" t="s">
        <v>167</v>
      </c>
      <c r="N6" s="117" t="str">
        <f aca="false">K6</f>
        <v>Offer</v>
      </c>
      <c r="O6" s="117" t="s">
        <v>116</v>
      </c>
      <c r="Q6" s="117" t="s">
        <v>167</v>
      </c>
      <c r="R6" s="117" t="s">
        <v>116</v>
      </c>
      <c r="T6" s="118" t="s">
        <v>76</v>
      </c>
      <c r="U6" s="118" t="s">
        <v>75</v>
      </c>
      <c r="V6" s="118" t="s">
        <v>76</v>
      </c>
      <c r="W6" s="119" t="s">
        <v>168</v>
      </c>
      <c r="X6" s="118" t="s">
        <v>122</v>
      </c>
      <c r="Y6" s="118" t="s">
        <v>169</v>
      </c>
      <c r="Z6" s="118" t="s">
        <v>76</v>
      </c>
      <c r="AB6" s="120" t="str">
        <f aca="false">G6</f>
        <v>Mid</v>
      </c>
      <c r="AC6" s="120" t="str">
        <f aca="false">H6</f>
        <v>Offer</v>
      </c>
      <c r="AD6" s="120" t="str">
        <f aca="false">I6</f>
        <v>Contract</v>
      </c>
      <c r="AE6" s="120" t="str">
        <f aca="false">J6</f>
        <v>Mid</v>
      </c>
      <c r="AF6" s="120" t="str">
        <f aca="false">K6</f>
        <v>Offer</v>
      </c>
      <c r="AG6" s="120" t="str">
        <f aca="false">L6</f>
        <v>Contract</v>
      </c>
      <c r="AH6" s="120" t="str">
        <f aca="false">M6</f>
        <v>Mid</v>
      </c>
      <c r="AI6" s="120" t="str">
        <f aca="false">N6</f>
        <v>Offer</v>
      </c>
      <c r="AJ6" s="120" t="str">
        <f aca="false">O6</f>
        <v>Contract</v>
      </c>
      <c r="AK6" s="108"/>
      <c r="AL6" s="121" t="s">
        <v>3</v>
      </c>
      <c r="AM6" s="121" t="s">
        <v>3</v>
      </c>
      <c r="AN6" s="121" t="s">
        <v>3</v>
      </c>
      <c r="AO6" s="121" t="s">
        <v>3</v>
      </c>
      <c r="AQ6" s="121" t="s">
        <v>3</v>
      </c>
      <c r="AR6" s="121" t="s">
        <v>3</v>
      </c>
      <c r="AS6" s="121" t="s">
        <v>3</v>
      </c>
      <c r="AT6" s="121" t="s">
        <v>3</v>
      </c>
      <c r="AU6" s="110"/>
      <c r="AV6" s="116" t="s">
        <v>170</v>
      </c>
      <c r="AX6" s="116" t="s">
        <v>116</v>
      </c>
    </row>
    <row r="7" customFormat="false" ht="13.5" hidden="false" customHeight="false" outlineLevel="0" collapsed="false">
      <c r="A7" s="122"/>
      <c r="B7" s="122"/>
      <c r="C7" s="122"/>
      <c r="D7" s="122"/>
      <c r="V7" s="123"/>
      <c r="AV7" s="124"/>
      <c r="AX7" s="124"/>
    </row>
    <row r="8" customFormat="false" ht="13.5" hidden="false" customHeight="false" outlineLevel="0" collapsed="false">
      <c r="A8" s="125" t="s">
        <v>171</v>
      </c>
      <c r="B8" s="126"/>
      <c r="C8" s="126"/>
      <c r="D8" s="126" t="n">
        <f aca="false">SUM(D10:D370)</f>
        <v>0</v>
      </c>
      <c r="E8" s="126" t="n">
        <f aca="false">SUM(E10:E370)</f>
        <v>0</v>
      </c>
      <c r="F8" s="126" t="n">
        <f aca="false">SUM(F10:F370)</f>
        <v>0</v>
      </c>
      <c r="G8" s="127" t="e">
        <f aca="false">AB8/$F$8</f>
        <v>#DIV/0!</v>
      </c>
      <c r="H8" s="127" t="e">
        <f aca="false">AC8/$F$8</f>
        <v>#DIV/0!</v>
      </c>
      <c r="I8" s="127" t="e">
        <f aca="false">AD8/$F$8</f>
        <v>#DIV/0!</v>
      </c>
      <c r="J8" s="127" t="e">
        <f aca="false">AE8/$F$8</f>
        <v>#DIV/0!</v>
      </c>
      <c r="K8" s="127" t="e">
        <f aca="false">AF8/$F$8</f>
        <v>#DIV/0!</v>
      </c>
      <c r="L8" s="127" t="e">
        <f aca="false">AG8/$F$8</f>
        <v>#DIV/0!</v>
      </c>
      <c r="M8" s="128" t="e">
        <f aca="false">AH8/$F$8</f>
        <v>#DIV/0!</v>
      </c>
      <c r="N8" s="127" t="e">
        <f aca="false">AI8/$F$8</f>
        <v>#DIV/0!</v>
      </c>
      <c r="O8" s="127" t="e">
        <f aca="false">AJ8/$F$8</f>
        <v>#DIV/0!</v>
      </c>
      <c r="Q8" s="129" t="e">
        <f aca="false">M8+J8+G8</f>
        <v>#DIV/0!</v>
      </c>
      <c r="R8" s="127" t="e">
        <f aca="false">AX8/$F$8</f>
        <v>#DIV/0!</v>
      </c>
      <c r="W8" s="130"/>
      <c r="Y8" s="131" t="n">
        <f aca="false">SUM(Y10:Y370)</f>
        <v>56</v>
      </c>
      <c r="Z8" s="131" t="n">
        <f aca="false">SUM(Z10:Z370)</f>
        <v>1705</v>
      </c>
      <c r="AB8" s="132" t="n">
        <f aca="false">SUM(AB10:AB370)</f>
        <v>0</v>
      </c>
      <c r="AC8" s="132" t="n">
        <f aca="false">SUM(AC10:AC370)</f>
        <v>0</v>
      </c>
      <c r="AD8" s="132" t="n">
        <f aca="false">SUM(AD10:AD370)</f>
        <v>0</v>
      </c>
      <c r="AE8" s="132" t="n">
        <f aca="false">SUM(AE10:AE370)</f>
        <v>0</v>
      </c>
      <c r="AF8" s="132" t="n">
        <f aca="false">SUM(AF10:AF370)</f>
        <v>0</v>
      </c>
      <c r="AG8" s="132" t="n">
        <f aca="false">SUM(AG10:AG370)</f>
        <v>0</v>
      </c>
      <c r="AH8" s="132" t="n">
        <f aca="false">SUM(AH10:AH370)</f>
        <v>0</v>
      </c>
      <c r="AI8" s="132" t="n">
        <f aca="false">SUM(AI10:AI370)</f>
        <v>0</v>
      </c>
      <c r="AJ8" s="132" t="n">
        <f aca="false">SUM(AJ10:AJ370)</f>
        <v>0</v>
      </c>
      <c r="AK8" s="132"/>
      <c r="AL8" s="132" t="n">
        <f aca="false">SUM(AL10:AL370)</f>
        <v>0</v>
      </c>
      <c r="AM8" s="132" t="n">
        <f aca="false">SUM(AM10:AM370)</f>
        <v>0</v>
      </c>
      <c r="AN8" s="132" t="n">
        <f aca="false">SUM(AN10:AN370)</f>
        <v>0</v>
      </c>
      <c r="AO8" s="132" t="n">
        <f aca="false">SUM(AO10:AO370)</f>
        <v>0</v>
      </c>
      <c r="AQ8" s="132" t="n">
        <f aca="false">SUM(AQ10:AQ370)</f>
        <v>0</v>
      </c>
      <c r="AR8" s="132" t="n">
        <f aca="false">SUM(AR10:AR370)</f>
        <v>0</v>
      </c>
      <c r="AS8" s="132" t="n">
        <f aca="false">SUM(AS10:AS370)</f>
        <v>0</v>
      </c>
      <c r="AT8" s="132" t="n">
        <f aca="false">SUM(AT10:AT370)</f>
        <v>0</v>
      </c>
      <c r="AU8" s="132"/>
      <c r="AV8" s="133" t="n">
        <f aca="false">SUM(AV10:AV370)</f>
        <v>0</v>
      </c>
      <c r="AX8" s="133" t="n">
        <f aca="false">SUM(AX10:AX370)</f>
        <v>0</v>
      </c>
      <c r="AZ8" s="134" t="n">
        <f aca="false">SUM(AZ10:AZ369)</f>
        <v>0</v>
      </c>
    </row>
    <row r="9" customFormat="false" ht="12.75" hidden="false" customHeight="false" outlineLevel="0" collapsed="false">
      <c r="B9" s="135"/>
      <c r="C9" s="135"/>
      <c r="D9" s="135"/>
      <c r="E9" s="135"/>
      <c r="F9" s="135"/>
      <c r="G9" s="136"/>
      <c r="H9" s="136"/>
      <c r="I9" s="136"/>
      <c r="J9" s="136"/>
      <c r="K9" s="136"/>
      <c r="L9" s="136"/>
      <c r="M9" s="136"/>
      <c r="N9" s="136"/>
      <c r="O9" s="136"/>
      <c r="Q9" s="136"/>
      <c r="R9" s="136"/>
      <c r="AB9" s="132"/>
      <c r="AC9" s="132"/>
      <c r="AD9" s="132"/>
      <c r="AE9" s="132"/>
      <c r="AF9" s="132"/>
      <c r="AG9" s="132"/>
      <c r="AH9" s="132"/>
      <c r="AI9" s="132"/>
      <c r="AJ9" s="132"/>
      <c r="AK9" s="137"/>
      <c r="AV9" s="124"/>
      <c r="AX9" s="124"/>
    </row>
    <row r="10" customFormat="false" ht="12.75" hidden="false" customHeight="false" outlineLevel="0" collapsed="false">
      <c r="A10" s="138" t="n">
        <f aca="false">A3</f>
        <v>36982</v>
      </c>
      <c r="B10" s="139" t="n">
        <f aca="false">VLOOKUP($A10,Table2,MATCH(I$3,Curves2,0))</f>
        <v>0</v>
      </c>
      <c r="C10" s="140"/>
      <c r="D10" s="141" t="n">
        <f aca="false">B10+C10</f>
        <v>0</v>
      </c>
      <c r="E10" s="126" t="n">
        <f aca="false">IF(Y10=0,0,IF(AND(Y10=1,$H$3=1),D10*T10,IF($H$3=2,D10,"N/A")))</f>
        <v>0</v>
      </c>
      <c r="F10" s="126" t="n">
        <f aca="false">E10*X10</f>
        <v>0</v>
      </c>
      <c r="G10" s="142" t="n">
        <f aca="false">VLOOKUP($A10,Table,MATCH(G$4,Curves,0))</f>
        <v>6.01</v>
      </c>
      <c r="H10" s="143" t="n">
        <f aca="false">G10</f>
        <v>6.01</v>
      </c>
      <c r="I10" s="142" t="n">
        <f aca="false">VLOOKUP($A10,Table1,MATCH(I$3,Curves1,0))</f>
        <v>0</v>
      </c>
      <c r="J10" s="142" t="n">
        <f aca="false">VLOOKUP($A10,Table,MATCH(J$4,Curves,0))</f>
        <v>-0.0225</v>
      </c>
      <c r="K10" s="143" t="n">
        <f aca="false">J10</f>
        <v>-0.0225</v>
      </c>
      <c r="L10" s="144" t="n">
        <v>0</v>
      </c>
      <c r="M10" s="142" t="n">
        <f aca="false">VLOOKUP($A10,Table,MATCH(M$4,Curves,0))</f>
        <v>0.0075</v>
      </c>
      <c r="N10" s="143" t="n">
        <f aca="false">M10</f>
        <v>0.0075</v>
      </c>
      <c r="O10" s="144" t="n">
        <v>0</v>
      </c>
      <c r="P10" s="145"/>
      <c r="Q10" s="144" t="n">
        <f aca="false">M10+J10+G10</f>
        <v>5.995</v>
      </c>
      <c r="R10" s="144" t="n">
        <f aca="false">O10+L10+I10</f>
        <v>0</v>
      </c>
      <c r="S10" s="145"/>
      <c r="T10" s="71" t="n">
        <f aca="false">A11-A10</f>
        <v>30</v>
      </c>
      <c r="U10" s="146" t="n">
        <f aca="false">CHOOSE(F$3,A11+24,A10)</f>
        <v>37036</v>
      </c>
      <c r="V10" s="71" t="n">
        <f aca="false">U10-C$3</f>
        <v>148</v>
      </c>
      <c r="W10" s="142" t="n">
        <f aca="false">VLOOKUP($A10,Table,MATCH(W$4,Curves,0))</f>
        <v>0.066009899863733</v>
      </c>
      <c r="X10" s="147" t="n">
        <f aca="false">1/(1+CHOOSE(F$3,(W11+($K$3/10000))/2,(W10+($K$3/10000))/2))^(2*V10/365.25)</f>
        <v>0.974421293837232</v>
      </c>
      <c r="Y10" s="71" t="n">
        <f aca="false">IF(AND(mthbeg&lt;=A10,mthend&gt;=A10),1,0)</f>
        <v>1</v>
      </c>
      <c r="Z10" s="71" t="n">
        <f aca="false">T10*Y10</f>
        <v>30</v>
      </c>
      <c r="AB10" s="132" t="n">
        <f aca="false">F10*G10</f>
        <v>0</v>
      </c>
      <c r="AC10" s="132" t="n">
        <f aca="false">$F10*H10</f>
        <v>0</v>
      </c>
      <c r="AD10" s="132" t="n">
        <f aca="false">$F10*I10</f>
        <v>0</v>
      </c>
      <c r="AE10" s="132" t="n">
        <f aca="false">$F10*J10</f>
        <v>-0</v>
      </c>
      <c r="AF10" s="132" t="n">
        <f aca="false">$F10*K10</f>
        <v>-0</v>
      </c>
      <c r="AG10" s="132" t="n">
        <f aca="false">$F10*L10</f>
        <v>0</v>
      </c>
      <c r="AH10" s="132" t="n">
        <f aca="false">$F10*M10</f>
        <v>0</v>
      </c>
      <c r="AI10" s="132" t="n">
        <f aca="false">$F10*N10</f>
        <v>0</v>
      </c>
      <c r="AJ10" s="132" t="n">
        <f aca="false">F10*O10</f>
        <v>0</v>
      </c>
      <c r="AK10" s="137"/>
      <c r="AL10" s="132" t="n">
        <f aca="false">CHOOSE($G$3,AC10-AD10,AD10-AC10)</f>
        <v>0</v>
      </c>
      <c r="AM10" s="132" t="n">
        <f aca="false">CHOOSE($G$3,AF10-AG10,AG10-AF10)</f>
        <v>0</v>
      </c>
      <c r="AN10" s="132" t="n">
        <f aca="false">CHOOSE($G$3,AI10-AJ10,AJ10-AI10)</f>
        <v>0</v>
      </c>
      <c r="AO10" s="148" t="n">
        <f aca="false">SUM(AL10:AN10)</f>
        <v>0</v>
      </c>
      <c r="AQ10" s="132" t="n">
        <f aca="false">CHOOSE($G$3,AB10-AC10,AC10-AB10)</f>
        <v>0</v>
      </c>
      <c r="AR10" s="132" t="n">
        <f aca="false">CHOOSE($G$3,AE10-AF10,AF10-AE10)</f>
        <v>0</v>
      </c>
      <c r="AS10" s="132" t="n">
        <f aca="false">CHOOSE($G$3,AH10-AI10,AI10-AH10)</f>
        <v>0</v>
      </c>
      <c r="AT10" s="148" t="n">
        <f aca="false">AQ10+AR10+AS10</f>
        <v>0</v>
      </c>
      <c r="AU10" s="148"/>
      <c r="AV10" s="133" t="n">
        <f aca="false">AT10+AO10</f>
        <v>0</v>
      </c>
      <c r="AX10" s="133" t="n">
        <f aca="false">AJ10+AG10+AD10</f>
        <v>0</v>
      </c>
      <c r="AY10" s="149"/>
      <c r="AZ10" s="76" t="n">
        <f aca="false">R10*E10</f>
        <v>0</v>
      </c>
      <c r="BB10" s="150"/>
    </row>
    <row r="11" customFormat="false" ht="12.75" hidden="false" customHeight="false" outlineLevel="0" collapsed="false">
      <c r="A11" s="138" t="n">
        <f aca="false">EDATE(A10,1)</f>
        <v>37012</v>
      </c>
      <c r="B11" s="139" t="n">
        <f aca="false">VLOOKUP($A11,Table2,MATCH(I$3,Curves2,0))</f>
        <v>0</v>
      </c>
      <c r="C11" s="140"/>
      <c r="D11" s="141" t="n">
        <f aca="false">B11+C11</f>
        <v>0</v>
      </c>
      <c r="E11" s="126" t="n">
        <f aca="false">IF(Y11=0,0,IF(AND(Y11=1,$H$3=1),D11*T11,IF($H$3=2,D11,"N/A")))</f>
        <v>0</v>
      </c>
      <c r="F11" s="126" t="n">
        <f aca="false">E11*X11</f>
        <v>0</v>
      </c>
      <c r="G11" s="142" t="n">
        <f aca="false">VLOOKUP($A11,Table,MATCH(G$4,Curves,0))</f>
        <v>5.36</v>
      </c>
      <c r="H11" s="143" t="n">
        <f aca="false">G11</f>
        <v>5.36</v>
      </c>
      <c r="I11" s="142" t="n">
        <f aca="false">VLOOKUP($A11,Table1,MATCH(I$3,Curves1,0))</f>
        <v>0</v>
      </c>
      <c r="J11" s="142" t="n">
        <f aca="false">VLOOKUP($A11,Table,MATCH(J$4,Curves,0))</f>
        <v>-0.0225</v>
      </c>
      <c r="K11" s="143" t="n">
        <f aca="false">J11</f>
        <v>-0.0225</v>
      </c>
      <c r="L11" s="144" t="n">
        <v>0</v>
      </c>
      <c r="M11" s="142" t="n">
        <f aca="false">VLOOKUP($A11,Table,MATCH(M$4,Curves,0))</f>
        <v>0.0075</v>
      </c>
      <c r="N11" s="143" t="n">
        <f aca="false">M11</f>
        <v>0.0075</v>
      </c>
      <c r="O11" s="144" t="n">
        <v>0</v>
      </c>
      <c r="P11" s="145"/>
      <c r="Q11" s="144" t="n">
        <f aca="false">M11+J11+G11</f>
        <v>5.345</v>
      </c>
      <c r="R11" s="144" t="n">
        <f aca="false">O11+L11+I11</f>
        <v>0</v>
      </c>
      <c r="S11" s="145"/>
      <c r="T11" s="71" t="n">
        <f aca="false">A12-A11</f>
        <v>31</v>
      </c>
      <c r="U11" s="146" t="n">
        <f aca="false">CHOOSE(F$3,A12+24,A11)</f>
        <v>37067</v>
      </c>
      <c r="V11" s="71" t="n">
        <f aca="false">U11-C$3</f>
        <v>179</v>
      </c>
      <c r="W11" s="142" t="n">
        <f aca="false">VLOOKUP($A11,Table,MATCH(W$4,Curves,0))</f>
        <v>0.06498049692698</v>
      </c>
      <c r="X11" s="147" t="n">
        <f aca="false">1/(1+CHOOSE(F$3,(W12+($K$3/10000))/2,(W11+($K$3/10000))/2))^(2*V11/365.25)</f>
        <v>0.969636599816097</v>
      </c>
      <c r="Y11" s="71" t="n">
        <f aca="false">IF(AND(mthbeg&lt;=A11,mthend&gt;=A11),1,0)</f>
        <v>1</v>
      </c>
      <c r="Z11" s="71" t="n">
        <f aca="false">T11*Y11</f>
        <v>31</v>
      </c>
      <c r="AB11" s="132" t="n">
        <f aca="false">F11*G11</f>
        <v>0</v>
      </c>
      <c r="AC11" s="132" t="n">
        <f aca="false">$F11*H11</f>
        <v>0</v>
      </c>
      <c r="AD11" s="132" t="n">
        <f aca="false">$F11*I11</f>
        <v>0</v>
      </c>
      <c r="AE11" s="132" t="n">
        <f aca="false">$F11*J11</f>
        <v>-0</v>
      </c>
      <c r="AF11" s="132" t="n">
        <f aca="false">$F11*K11</f>
        <v>-0</v>
      </c>
      <c r="AG11" s="132" t="n">
        <f aca="false">$F11*L11</f>
        <v>0</v>
      </c>
      <c r="AH11" s="132" t="n">
        <f aca="false">$F11*M11</f>
        <v>0</v>
      </c>
      <c r="AI11" s="132" t="n">
        <f aca="false">$F11*N11</f>
        <v>0</v>
      </c>
      <c r="AJ11" s="132" t="n">
        <f aca="false">F11*O11</f>
        <v>0</v>
      </c>
      <c r="AK11" s="137"/>
      <c r="AL11" s="132" t="n">
        <f aca="false">CHOOSE($G$3,AC11-AD11,AD11-AC11)</f>
        <v>0</v>
      </c>
      <c r="AM11" s="132" t="n">
        <f aca="false">CHOOSE($G$3,AF11-AG11,AG11-AF11)</f>
        <v>0</v>
      </c>
      <c r="AN11" s="132" t="n">
        <f aca="false">CHOOSE($G$3,AI11-AJ11,AJ11-AI11)</f>
        <v>0</v>
      </c>
      <c r="AO11" s="148" t="n">
        <f aca="false">SUM(AL11:AN11)</f>
        <v>0</v>
      </c>
      <c r="AQ11" s="132" t="n">
        <f aca="false">CHOOSE($G$3,AB11-AC11,AC11-AB11)</f>
        <v>0</v>
      </c>
      <c r="AR11" s="132" t="n">
        <f aca="false">CHOOSE($G$3,AE11-AF11,AF11-AE11)</f>
        <v>0</v>
      </c>
      <c r="AS11" s="132" t="n">
        <f aca="false">CHOOSE($G$3,AH11-AI11,AI11-AH11)</f>
        <v>0</v>
      </c>
      <c r="AT11" s="148" t="n">
        <f aca="false">AQ11+AR11+AS11</f>
        <v>0</v>
      </c>
      <c r="AU11" s="148"/>
      <c r="AV11" s="133" t="n">
        <f aca="false">AT11+AO11</f>
        <v>0</v>
      </c>
      <c r="AX11" s="133" t="n">
        <f aca="false">AJ11+AG11+AD11</f>
        <v>0</v>
      </c>
      <c r="AY11" s="149"/>
      <c r="AZ11" s="76" t="n">
        <f aca="false">R11*E11</f>
        <v>0</v>
      </c>
    </row>
    <row r="12" customFormat="false" ht="12.75" hidden="false" customHeight="false" outlineLevel="0" collapsed="false">
      <c r="A12" s="138" t="n">
        <f aca="false">EDATE(A11,1)</f>
        <v>37043</v>
      </c>
      <c r="B12" s="139" t="n">
        <f aca="false">VLOOKUP($A12,Table2,MATCH(I$3,Curves2,0))</f>
        <v>0</v>
      </c>
      <c r="C12" s="140"/>
      <c r="D12" s="141" t="n">
        <f aca="false">B12+C12</f>
        <v>0</v>
      </c>
      <c r="E12" s="126" t="n">
        <f aca="false">IF(Y12=0,0,IF(AND(Y12=1,$H$3=1),D12*T12,IF($H$3=2,D12,"N/A")))</f>
        <v>0</v>
      </c>
      <c r="F12" s="126" t="n">
        <f aca="false">E12*X12</f>
        <v>0</v>
      </c>
      <c r="G12" s="142" t="n">
        <f aca="false">VLOOKUP($A12,Table,MATCH(G$4,Curves,0))</f>
        <v>5.31</v>
      </c>
      <c r="H12" s="143" t="n">
        <f aca="false">G12</f>
        <v>5.31</v>
      </c>
      <c r="I12" s="142" t="n">
        <f aca="false">VLOOKUP($A12,Table1,MATCH(I$3,Curves1,0))</f>
        <v>0</v>
      </c>
      <c r="J12" s="142" t="n">
        <f aca="false">VLOOKUP($A12,Table,MATCH(J$4,Curves,0))</f>
        <v>-0.0225</v>
      </c>
      <c r="K12" s="143" t="n">
        <f aca="false">J12</f>
        <v>-0.0225</v>
      </c>
      <c r="L12" s="144" t="n">
        <v>0</v>
      </c>
      <c r="M12" s="142" t="n">
        <f aca="false">VLOOKUP($A12,Table,MATCH(M$4,Curves,0))</f>
        <v>0.0075</v>
      </c>
      <c r="N12" s="143" t="n">
        <f aca="false">M12</f>
        <v>0.0075</v>
      </c>
      <c r="O12" s="144" t="n">
        <v>0</v>
      </c>
      <c r="P12" s="145"/>
      <c r="Q12" s="144" t="n">
        <f aca="false">M12+J12+G12</f>
        <v>5.295</v>
      </c>
      <c r="R12" s="144" t="n">
        <f aca="false">O12+L12+I12</f>
        <v>0</v>
      </c>
      <c r="S12" s="145"/>
      <c r="T12" s="71" t="n">
        <f aca="false">A13-A12</f>
        <v>30</v>
      </c>
      <c r="U12" s="146" t="n">
        <f aca="false">CHOOSE(F$3,A13+24,A12)</f>
        <v>37097</v>
      </c>
      <c r="V12" s="71" t="n">
        <f aca="false">U12-C$3</f>
        <v>209</v>
      </c>
      <c r="W12" s="142" t="n">
        <f aca="false">VLOOKUP($A12,Table,MATCH(W$4,Curves,0))</f>
        <v>0.063916780928</v>
      </c>
      <c r="X12" s="147" t="n">
        <f aca="false">1/(1+CHOOSE(F$3,(W13+($K$3/10000))/2,(W12+($K$3/10000))/2))^(2*V12/365.25)</f>
        <v>0.965125995167278</v>
      </c>
      <c r="Y12" s="71" t="n">
        <f aca="false">IF(AND(mthbeg&lt;=A12,mthend&gt;=A12),1,0)</f>
        <v>1</v>
      </c>
      <c r="Z12" s="71" t="n">
        <f aca="false">T12*Y12</f>
        <v>30</v>
      </c>
      <c r="AB12" s="132" t="n">
        <f aca="false">F12*G12</f>
        <v>0</v>
      </c>
      <c r="AC12" s="132" t="n">
        <f aca="false">$F12*H12</f>
        <v>0</v>
      </c>
      <c r="AD12" s="132" t="n">
        <f aca="false">$F12*I12</f>
        <v>0</v>
      </c>
      <c r="AE12" s="132" t="n">
        <f aca="false">$F12*J12</f>
        <v>-0</v>
      </c>
      <c r="AF12" s="132" t="n">
        <f aca="false">$F12*K12</f>
        <v>-0</v>
      </c>
      <c r="AG12" s="132" t="n">
        <f aca="false">$F12*L12</f>
        <v>0</v>
      </c>
      <c r="AH12" s="132" t="n">
        <f aca="false">$F12*M12</f>
        <v>0</v>
      </c>
      <c r="AI12" s="132" t="n">
        <f aca="false">$F12*N12</f>
        <v>0</v>
      </c>
      <c r="AJ12" s="132" t="n">
        <f aca="false">F12*O12</f>
        <v>0</v>
      </c>
      <c r="AK12" s="137"/>
      <c r="AL12" s="132" t="n">
        <f aca="false">CHOOSE($G$3,AC12-AD12,AD12-AC12)</f>
        <v>0</v>
      </c>
      <c r="AM12" s="132" t="n">
        <f aca="false">CHOOSE($G$3,AF12-AG12,AG12-AF12)</f>
        <v>0</v>
      </c>
      <c r="AN12" s="132" t="n">
        <f aca="false">CHOOSE($G$3,AI12-AJ12,AJ12-AI12)</f>
        <v>0</v>
      </c>
      <c r="AO12" s="148" t="n">
        <f aca="false">SUM(AL12:AN12)</f>
        <v>0</v>
      </c>
      <c r="AQ12" s="132" t="n">
        <f aca="false">CHOOSE($G$3,AB12-AC12,AC12-AB12)</f>
        <v>0</v>
      </c>
      <c r="AR12" s="132" t="n">
        <f aca="false">CHOOSE($G$3,AE12-AF12,AF12-AE12)</f>
        <v>0</v>
      </c>
      <c r="AS12" s="132" t="n">
        <f aca="false">CHOOSE($G$3,AH12-AI12,AI12-AH12)</f>
        <v>0</v>
      </c>
      <c r="AT12" s="148" t="n">
        <f aca="false">AQ12+AR12+AS12</f>
        <v>0</v>
      </c>
      <c r="AU12" s="148"/>
      <c r="AV12" s="133" t="n">
        <f aca="false">AT12+AO12</f>
        <v>0</v>
      </c>
      <c r="AX12" s="133" t="n">
        <f aca="false">AJ12+AG12+AD12</f>
        <v>0</v>
      </c>
      <c r="AY12" s="149"/>
      <c r="AZ12" s="76" t="n">
        <f aca="false">R12*E12</f>
        <v>0</v>
      </c>
    </row>
    <row r="13" customFormat="false" ht="12.75" hidden="false" customHeight="false" outlineLevel="0" collapsed="false">
      <c r="A13" s="138" t="n">
        <f aca="false">EDATE(A12,1)</f>
        <v>37073</v>
      </c>
      <c r="B13" s="139" t="n">
        <f aca="false">VLOOKUP($A13,Table2,MATCH(I$3,Curves2,0))</f>
        <v>0</v>
      </c>
      <c r="C13" s="140"/>
      <c r="D13" s="141" t="n">
        <f aca="false">B13+C13</f>
        <v>0</v>
      </c>
      <c r="E13" s="126" t="n">
        <f aca="false">IF(Y13=0,0,IF(AND(Y13=1,$H$3=1),D13*T13,IF($H$3=2,D13,"N/A")))</f>
        <v>0</v>
      </c>
      <c r="F13" s="126" t="n">
        <f aca="false">E13*X13</f>
        <v>0</v>
      </c>
      <c r="G13" s="142" t="n">
        <f aca="false">VLOOKUP($A13,Table,MATCH(G$4,Curves,0))</f>
        <v>5.295</v>
      </c>
      <c r="H13" s="143" t="n">
        <f aca="false">G13</f>
        <v>5.295</v>
      </c>
      <c r="I13" s="142" t="n">
        <f aca="false">VLOOKUP($A13,Table1,MATCH(I$3,Curves1,0))</f>
        <v>0</v>
      </c>
      <c r="J13" s="142" t="n">
        <f aca="false">VLOOKUP($A13,Table,MATCH(J$4,Curves,0))</f>
        <v>-0.0225</v>
      </c>
      <c r="K13" s="143" t="n">
        <f aca="false">J13</f>
        <v>-0.0225</v>
      </c>
      <c r="L13" s="144" t="n">
        <v>0</v>
      </c>
      <c r="M13" s="142" t="n">
        <f aca="false">VLOOKUP($A13,Table,MATCH(M$4,Curves,0))</f>
        <v>0.0075</v>
      </c>
      <c r="N13" s="143" t="n">
        <f aca="false">M13</f>
        <v>0.0075</v>
      </c>
      <c r="O13" s="144" t="n">
        <v>0</v>
      </c>
      <c r="P13" s="145"/>
      <c r="Q13" s="144" t="n">
        <f aca="false">M13+J13+G13</f>
        <v>5.28</v>
      </c>
      <c r="R13" s="144" t="n">
        <f aca="false">O13+L13+I13</f>
        <v>0</v>
      </c>
      <c r="S13" s="145"/>
      <c r="T13" s="71" t="n">
        <f aca="false">A14-A13</f>
        <v>31</v>
      </c>
      <c r="U13" s="146" t="n">
        <f aca="false">CHOOSE(F$3,A14+24,A13)</f>
        <v>37128</v>
      </c>
      <c r="V13" s="71" t="n">
        <f aca="false">U13-C$3</f>
        <v>240</v>
      </c>
      <c r="W13" s="142" t="n">
        <f aca="false">VLOOKUP($A13,Table,MATCH(W$4,Curves,0))</f>
        <v>0.063006250837977</v>
      </c>
      <c r="X13" s="147" t="n">
        <f aca="false">1/(1+CHOOSE(F$3,(W14+($K$3/10000))/2,(W13+($K$3/10000))/2))^(2*V13/365.25)</f>
        <v>0.960498083174075</v>
      </c>
      <c r="Y13" s="71" t="n">
        <f aca="false">IF(AND(mthbeg&lt;=A13,mthend&gt;=A13),1,0)</f>
        <v>1</v>
      </c>
      <c r="Z13" s="71" t="n">
        <f aca="false">T13*Y13</f>
        <v>31</v>
      </c>
      <c r="AB13" s="132" t="n">
        <f aca="false">F13*G13</f>
        <v>0</v>
      </c>
      <c r="AC13" s="132" t="n">
        <f aca="false">$F13*H13</f>
        <v>0</v>
      </c>
      <c r="AD13" s="132" t="n">
        <f aca="false">$F13*I13</f>
        <v>0</v>
      </c>
      <c r="AE13" s="132" t="n">
        <f aca="false">$F13*J13</f>
        <v>-0</v>
      </c>
      <c r="AF13" s="132" t="n">
        <f aca="false">$F13*K13</f>
        <v>-0</v>
      </c>
      <c r="AG13" s="132" t="n">
        <f aca="false">$F13*L13</f>
        <v>0</v>
      </c>
      <c r="AH13" s="132" t="n">
        <f aca="false">$F13*M13</f>
        <v>0</v>
      </c>
      <c r="AI13" s="132" t="n">
        <f aca="false">$F13*N13</f>
        <v>0</v>
      </c>
      <c r="AJ13" s="132" t="n">
        <f aca="false">F13*O13</f>
        <v>0</v>
      </c>
      <c r="AK13" s="137"/>
      <c r="AL13" s="132" t="n">
        <f aca="false">CHOOSE($G$3,AC13-AD13,AD13-AC13)</f>
        <v>0</v>
      </c>
      <c r="AM13" s="132" t="n">
        <f aca="false">CHOOSE($G$3,AF13-AG13,AG13-AF13)</f>
        <v>0</v>
      </c>
      <c r="AN13" s="132" t="n">
        <f aca="false">CHOOSE($G$3,AI13-AJ13,AJ13-AI13)</f>
        <v>0</v>
      </c>
      <c r="AO13" s="148" t="n">
        <f aca="false">SUM(AL13:AN13)</f>
        <v>0</v>
      </c>
      <c r="AQ13" s="132" t="n">
        <f aca="false">CHOOSE($G$3,AB13-AC13,AC13-AB13)</f>
        <v>0</v>
      </c>
      <c r="AR13" s="132" t="n">
        <f aca="false">CHOOSE($G$3,AE13-AF13,AF13-AE13)</f>
        <v>0</v>
      </c>
      <c r="AS13" s="132" t="n">
        <f aca="false">CHOOSE($G$3,AH13-AI13,AI13-AH13)</f>
        <v>0</v>
      </c>
      <c r="AT13" s="148" t="n">
        <f aca="false">AQ13+AR13+AS13</f>
        <v>0</v>
      </c>
      <c r="AU13" s="148"/>
      <c r="AV13" s="133" t="n">
        <f aca="false">AT13+AO13</f>
        <v>0</v>
      </c>
      <c r="AX13" s="133" t="n">
        <f aca="false">AJ13+AG13+AD13</f>
        <v>0</v>
      </c>
      <c r="AY13" s="149"/>
      <c r="AZ13" s="76" t="n">
        <f aca="false">R13*E13</f>
        <v>0</v>
      </c>
    </row>
    <row r="14" customFormat="false" ht="12.75" hidden="false" customHeight="false" outlineLevel="0" collapsed="false">
      <c r="A14" s="138" t="n">
        <f aca="false">EDATE(A13,1)</f>
        <v>37104</v>
      </c>
      <c r="B14" s="139" t="n">
        <f aca="false">VLOOKUP($A14,Table2,MATCH(I$3,Curves2,0))</f>
        <v>0</v>
      </c>
      <c r="C14" s="140"/>
      <c r="D14" s="141" t="n">
        <f aca="false">B14+C14</f>
        <v>0</v>
      </c>
      <c r="E14" s="126" t="n">
        <f aca="false">IF(Y14=0,0,IF(AND(Y14=1,$H$3=1),D14*T14,IF($H$3=2,D14,"N/A")))</f>
        <v>0</v>
      </c>
      <c r="F14" s="126" t="n">
        <f aca="false">E14*X14</f>
        <v>0</v>
      </c>
      <c r="G14" s="142" t="n">
        <f aca="false">VLOOKUP($A14,Table,MATCH(G$4,Curves,0))</f>
        <v>5.275</v>
      </c>
      <c r="H14" s="143" t="n">
        <f aca="false">G14</f>
        <v>5.275</v>
      </c>
      <c r="I14" s="142" t="n">
        <f aca="false">VLOOKUP($A14,Table1,MATCH(I$3,Curves1,0))</f>
        <v>0</v>
      </c>
      <c r="J14" s="142" t="n">
        <f aca="false">VLOOKUP($A14,Table,MATCH(J$4,Curves,0))</f>
        <v>-0.0225</v>
      </c>
      <c r="K14" s="143" t="n">
        <f aca="false">J14</f>
        <v>-0.0225</v>
      </c>
      <c r="L14" s="144" t="n">
        <v>0</v>
      </c>
      <c r="M14" s="142" t="n">
        <f aca="false">VLOOKUP($A14,Table,MATCH(M$4,Curves,0))</f>
        <v>0.0075</v>
      </c>
      <c r="N14" s="143" t="n">
        <f aca="false">M14</f>
        <v>0.0075</v>
      </c>
      <c r="O14" s="144" t="n">
        <v>0</v>
      </c>
      <c r="P14" s="145"/>
      <c r="Q14" s="144" t="n">
        <f aca="false">M14+J14+G14</f>
        <v>5.26</v>
      </c>
      <c r="R14" s="144" t="n">
        <f aca="false">O14+L14+I14</f>
        <v>0</v>
      </c>
      <c r="S14" s="145"/>
      <c r="T14" s="71" t="n">
        <f aca="false">A15-A14</f>
        <v>31</v>
      </c>
      <c r="U14" s="146" t="n">
        <f aca="false">CHOOSE(F$3,A15+24,A14)</f>
        <v>37159</v>
      </c>
      <c r="V14" s="71" t="n">
        <f aca="false">U14-C$3</f>
        <v>271</v>
      </c>
      <c r="W14" s="142" t="n">
        <f aca="false">VLOOKUP($A14,Table,MATCH(W$4,Curves,0))</f>
        <v>0.062286806097195</v>
      </c>
      <c r="X14" s="147" t="n">
        <f aca="false">1/(1+CHOOSE(F$3,(W15+($K$3/10000))/2,(W14+($K$3/10000))/2))^(2*V14/365.25)</f>
        <v>0.956005733200222</v>
      </c>
      <c r="Y14" s="71" t="n">
        <f aca="false">IF(AND(mthbeg&lt;=A14,mthend&gt;=A14),1,0)</f>
        <v>1</v>
      </c>
      <c r="Z14" s="71" t="n">
        <f aca="false">T14*Y14</f>
        <v>31</v>
      </c>
      <c r="AB14" s="132" t="n">
        <f aca="false">F14*G14</f>
        <v>0</v>
      </c>
      <c r="AC14" s="132" t="n">
        <f aca="false">$F14*H14</f>
        <v>0</v>
      </c>
      <c r="AD14" s="132" t="n">
        <f aca="false">$F14*I14</f>
        <v>0</v>
      </c>
      <c r="AE14" s="132" t="n">
        <f aca="false">$F14*J14</f>
        <v>-0</v>
      </c>
      <c r="AF14" s="132" t="n">
        <f aca="false">$F14*K14</f>
        <v>-0</v>
      </c>
      <c r="AG14" s="132" t="n">
        <f aca="false">$F14*L14</f>
        <v>0</v>
      </c>
      <c r="AH14" s="132" t="n">
        <f aca="false">$F14*M14</f>
        <v>0</v>
      </c>
      <c r="AI14" s="132" t="n">
        <f aca="false">$F14*N14</f>
        <v>0</v>
      </c>
      <c r="AJ14" s="132" t="n">
        <f aca="false">F14*O14</f>
        <v>0</v>
      </c>
      <c r="AK14" s="137"/>
      <c r="AL14" s="132" t="n">
        <f aca="false">CHOOSE($G$3,AC14-AD14,AD14-AC14)</f>
        <v>0</v>
      </c>
      <c r="AM14" s="132" t="n">
        <f aca="false">CHOOSE($G$3,AF14-AG14,AG14-AF14)</f>
        <v>0</v>
      </c>
      <c r="AN14" s="132" t="n">
        <f aca="false">CHOOSE($G$3,AI14-AJ14,AJ14-AI14)</f>
        <v>0</v>
      </c>
      <c r="AO14" s="148" t="n">
        <f aca="false">SUM(AL14:AN14)</f>
        <v>0</v>
      </c>
      <c r="AQ14" s="132" t="n">
        <f aca="false">CHOOSE($G$3,AB14-AC14,AC14-AB14)</f>
        <v>0</v>
      </c>
      <c r="AR14" s="132" t="n">
        <f aca="false">CHOOSE($G$3,AE14-AF14,AF14-AE14)</f>
        <v>0</v>
      </c>
      <c r="AS14" s="132" t="n">
        <f aca="false">CHOOSE($G$3,AH14-AI14,AI14-AH14)</f>
        <v>0</v>
      </c>
      <c r="AT14" s="148" t="n">
        <f aca="false">AQ14+AR14+AS14</f>
        <v>0</v>
      </c>
      <c r="AU14" s="148"/>
      <c r="AV14" s="133" t="n">
        <f aca="false">AT14+AO14</f>
        <v>0</v>
      </c>
      <c r="AX14" s="133" t="n">
        <f aca="false">AJ14+AG14+AD14</f>
        <v>0</v>
      </c>
      <c r="AY14" s="149"/>
      <c r="AZ14" s="76" t="n">
        <f aca="false">R14*E14</f>
        <v>0</v>
      </c>
    </row>
    <row r="15" customFormat="false" ht="12.75" hidden="false" customHeight="false" outlineLevel="0" collapsed="false">
      <c r="A15" s="138" t="n">
        <f aca="false">EDATE(A14,1)</f>
        <v>37135</v>
      </c>
      <c r="B15" s="139" t="n">
        <f aca="false">VLOOKUP($A15,Table2,MATCH(I$3,Curves2,0))</f>
        <v>0</v>
      </c>
      <c r="C15" s="140"/>
      <c r="D15" s="141" t="n">
        <f aca="false">B15+C15</f>
        <v>0</v>
      </c>
      <c r="E15" s="126" t="n">
        <f aca="false">IF(Y15=0,0,IF(AND(Y15=1,$H$3=1),D15*T15,IF($H$3=2,D15,"N/A")))</f>
        <v>0</v>
      </c>
      <c r="F15" s="126" t="n">
        <f aca="false">E15*X15</f>
        <v>0</v>
      </c>
      <c r="G15" s="142" t="n">
        <f aca="false">VLOOKUP($A15,Table,MATCH(G$4,Curves,0))</f>
        <v>5.245</v>
      </c>
      <c r="H15" s="143" t="n">
        <f aca="false">G15</f>
        <v>5.245</v>
      </c>
      <c r="I15" s="142" t="n">
        <f aca="false">VLOOKUP($A15,Table1,MATCH(I$3,Curves1,0))</f>
        <v>0</v>
      </c>
      <c r="J15" s="142" t="n">
        <f aca="false">VLOOKUP($A15,Table,MATCH(J$4,Curves,0))</f>
        <v>-0.0225</v>
      </c>
      <c r="K15" s="143" t="n">
        <f aca="false">J15</f>
        <v>-0.0225</v>
      </c>
      <c r="L15" s="144" t="n">
        <v>0</v>
      </c>
      <c r="M15" s="142" t="n">
        <f aca="false">VLOOKUP($A15,Table,MATCH(M$4,Curves,0))</f>
        <v>0.0075</v>
      </c>
      <c r="N15" s="143" t="n">
        <f aca="false">M15</f>
        <v>0.0075</v>
      </c>
      <c r="O15" s="144" t="n">
        <v>0</v>
      </c>
      <c r="P15" s="145"/>
      <c r="Q15" s="144" t="n">
        <f aca="false">M15+J15+G15</f>
        <v>5.23</v>
      </c>
      <c r="R15" s="144" t="n">
        <f aca="false">O15+L15+I15</f>
        <v>0</v>
      </c>
      <c r="S15" s="145"/>
      <c r="T15" s="71" t="n">
        <f aca="false">A16-A15</f>
        <v>30</v>
      </c>
      <c r="U15" s="146" t="n">
        <f aca="false">CHOOSE(F$3,A16+24,A15)</f>
        <v>37189</v>
      </c>
      <c r="V15" s="71" t="n">
        <f aca="false">U15-C$3</f>
        <v>301</v>
      </c>
      <c r="W15" s="142" t="n">
        <f aca="false">VLOOKUP($A15,Table,MATCH(W$4,Curves,0))</f>
        <v>0.061567361528203</v>
      </c>
      <c r="X15" s="147" t="n">
        <f aca="false">1/(1+CHOOSE(F$3,(W16+($K$3/10000))/2,(W15+($K$3/10000))/2))^(2*V15/365.25)</f>
        <v>0.951724843853342</v>
      </c>
      <c r="Y15" s="71" t="n">
        <f aca="false">IF(AND(mthbeg&lt;=A15,mthend&gt;=A15),1,0)</f>
        <v>1</v>
      </c>
      <c r="Z15" s="71" t="n">
        <f aca="false">T15*Y15</f>
        <v>30</v>
      </c>
      <c r="AB15" s="132" t="n">
        <f aca="false">F15*G15</f>
        <v>0</v>
      </c>
      <c r="AC15" s="132" t="n">
        <f aca="false">$F15*H15</f>
        <v>0</v>
      </c>
      <c r="AD15" s="132" t="n">
        <f aca="false">$F15*I15</f>
        <v>0</v>
      </c>
      <c r="AE15" s="132" t="n">
        <f aca="false">$F15*J15</f>
        <v>-0</v>
      </c>
      <c r="AF15" s="132" t="n">
        <f aca="false">$F15*K15</f>
        <v>-0</v>
      </c>
      <c r="AG15" s="132" t="n">
        <f aca="false">$F15*L15</f>
        <v>0</v>
      </c>
      <c r="AH15" s="132" t="n">
        <f aca="false">$F15*M15</f>
        <v>0</v>
      </c>
      <c r="AI15" s="132" t="n">
        <f aca="false">$F15*N15</f>
        <v>0</v>
      </c>
      <c r="AJ15" s="132" t="n">
        <f aca="false">F15*O15</f>
        <v>0</v>
      </c>
      <c r="AK15" s="137"/>
      <c r="AL15" s="132" t="n">
        <f aca="false">CHOOSE($G$3,AC15-AD15,AD15-AC15)</f>
        <v>0</v>
      </c>
      <c r="AM15" s="132" t="n">
        <f aca="false">CHOOSE($G$3,AF15-AG15,AG15-AF15)</f>
        <v>0</v>
      </c>
      <c r="AN15" s="132" t="n">
        <f aca="false">CHOOSE($G$3,AI15-AJ15,AJ15-AI15)</f>
        <v>0</v>
      </c>
      <c r="AO15" s="148" t="n">
        <f aca="false">SUM(AL15:AN15)</f>
        <v>0</v>
      </c>
      <c r="AQ15" s="132" t="n">
        <f aca="false">CHOOSE($G$3,AB15-AC15,AC15-AB15)</f>
        <v>0</v>
      </c>
      <c r="AR15" s="132" t="n">
        <f aca="false">CHOOSE($G$3,AE15-AF15,AF15-AE15)</f>
        <v>0</v>
      </c>
      <c r="AS15" s="132" t="n">
        <f aca="false">CHOOSE($G$3,AH15-AI15,AI15-AH15)</f>
        <v>0</v>
      </c>
      <c r="AT15" s="148" t="n">
        <f aca="false">AQ15+AR15+AS15</f>
        <v>0</v>
      </c>
      <c r="AU15" s="148"/>
      <c r="AV15" s="133" t="n">
        <f aca="false">AT15+AO15</f>
        <v>0</v>
      </c>
      <c r="AX15" s="133" t="n">
        <f aca="false">AJ15+AG15+AD15</f>
        <v>0</v>
      </c>
      <c r="AY15" s="149"/>
      <c r="AZ15" s="76" t="n">
        <f aca="false">R15*E15</f>
        <v>0</v>
      </c>
    </row>
    <row r="16" customFormat="false" ht="12.75" hidden="false" customHeight="false" outlineLevel="0" collapsed="false">
      <c r="A16" s="138" t="n">
        <f aca="false">EDATE(A15,1)</f>
        <v>37165</v>
      </c>
      <c r="B16" s="139" t="n">
        <f aca="false">VLOOKUP($A16,Table2,MATCH(I$3,Curves2,0))</f>
        <v>0</v>
      </c>
      <c r="C16" s="140"/>
      <c r="D16" s="141" t="n">
        <f aca="false">B16+C16</f>
        <v>0</v>
      </c>
      <c r="E16" s="126" t="n">
        <f aca="false">IF(Y16=0,0,IF(AND(Y16=1,$H$3=1),D16*T16,IF($H$3=2,D16,"N/A")))</f>
        <v>0</v>
      </c>
      <c r="F16" s="126" t="n">
        <f aca="false">E16*X16</f>
        <v>0</v>
      </c>
      <c r="G16" s="142" t="n">
        <f aca="false">VLOOKUP($A16,Table,MATCH(G$4,Curves,0))</f>
        <v>5.225</v>
      </c>
      <c r="H16" s="143" t="n">
        <f aca="false">G16</f>
        <v>5.225</v>
      </c>
      <c r="I16" s="142" t="n">
        <f aca="false">VLOOKUP($A16,Table1,MATCH(I$3,Curves1,0))</f>
        <v>0</v>
      </c>
      <c r="J16" s="142" t="n">
        <f aca="false">VLOOKUP($A16,Table,MATCH(J$4,Curves,0))</f>
        <v>-0.0225</v>
      </c>
      <c r="K16" s="143" t="n">
        <f aca="false">J16</f>
        <v>-0.0225</v>
      </c>
      <c r="L16" s="144" t="n">
        <v>0</v>
      </c>
      <c r="M16" s="142" t="n">
        <f aca="false">VLOOKUP($A16,Table,MATCH(M$4,Curves,0))</f>
        <v>0.0075</v>
      </c>
      <c r="N16" s="143" t="n">
        <f aca="false">M16</f>
        <v>0.0075</v>
      </c>
      <c r="O16" s="144" t="n">
        <v>0</v>
      </c>
      <c r="P16" s="145"/>
      <c r="Q16" s="144" t="n">
        <f aca="false">M16+J16+G16</f>
        <v>5.21</v>
      </c>
      <c r="R16" s="144" t="n">
        <f aca="false">O16+L16+I16</f>
        <v>0</v>
      </c>
      <c r="S16" s="145"/>
      <c r="T16" s="71" t="n">
        <f aca="false">A17-A16</f>
        <v>31</v>
      </c>
      <c r="U16" s="146" t="n">
        <f aca="false">CHOOSE(F$3,A17+24,A16)</f>
        <v>37220</v>
      </c>
      <c r="V16" s="71" t="n">
        <f aca="false">U16-C$3</f>
        <v>332</v>
      </c>
      <c r="W16" s="142" t="n">
        <f aca="false">VLOOKUP($A16,Table,MATCH(W$4,Curves,0))</f>
        <v>0.060951245077802</v>
      </c>
      <c r="X16" s="147" t="n">
        <f aca="false">1/(1+CHOOSE(F$3,(W17+($K$3/10000))/2,(W16+($K$3/10000))/2))^(2*V16/365.25)</f>
        <v>0.947310536474598</v>
      </c>
      <c r="Y16" s="71" t="n">
        <f aca="false">IF(AND(mthbeg&lt;=A16,mthend&gt;=A16),1,0)</f>
        <v>1</v>
      </c>
      <c r="Z16" s="71" t="n">
        <f aca="false">T16*Y16</f>
        <v>31</v>
      </c>
      <c r="AB16" s="132" t="n">
        <f aca="false">F16*G16</f>
        <v>0</v>
      </c>
      <c r="AC16" s="132" t="n">
        <f aca="false">$F16*H16</f>
        <v>0</v>
      </c>
      <c r="AD16" s="132" t="n">
        <f aca="false">$F16*I16</f>
        <v>0</v>
      </c>
      <c r="AE16" s="132" t="n">
        <f aca="false">$F16*J16</f>
        <v>-0</v>
      </c>
      <c r="AF16" s="132" t="n">
        <f aca="false">$F16*K16</f>
        <v>-0</v>
      </c>
      <c r="AG16" s="132" t="n">
        <f aca="false">$F16*L16</f>
        <v>0</v>
      </c>
      <c r="AH16" s="132" t="n">
        <f aca="false">$F16*M16</f>
        <v>0</v>
      </c>
      <c r="AI16" s="132" t="n">
        <f aca="false">$F16*N16</f>
        <v>0</v>
      </c>
      <c r="AJ16" s="132" t="n">
        <f aca="false">F16*O16</f>
        <v>0</v>
      </c>
      <c r="AK16" s="137"/>
      <c r="AL16" s="132" t="n">
        <f aca="false">CHOOSE($G$3,AC16-AD16,AD16-AC16)</f>
        <v>0</v>
      </c>
      <c r="AM16" s="132" t="n">
        <f aca="false">CHOOSE($G$3,AF16-AG16,AG16-AF16)</f>
        <v>0</v>
      </c>
      <c r="AN16" s="132" t="n">
        <f aca="false">CHOOSE($G$3,AI16-AJ16,AJ16-AI16)</f>
        <v>0</v>
      </c>
      <c r="AO16" s="148" t="n">
        <f aca="false">SUM(AL16:AN16)</f>
        <v>0</v>
      </c>
      <c r="AQ16" s="132" t="n">
        <f aca="false">CHOOSE($G$3,AB16-AC16,AC16-AB16)</f>
        <v>0</v>
      </c>
      <c r="AR16" s="132" t="n">
        <f aca="false">CHOOSE($G$3,AE16-AF16,AF16-AE16)</f>
        <v>0</v>
      </c>
      <c r="AS16" s="132" t="n">
        <f aca="false">CHOOSE($G$3,AH16-AI16,AI16-AH16)</f>
        <v>0</v>
      </c>
      <c r="AT16" s="148" t="n">
        <f aca="false">AQ16+AR16+AS16</f>
        <v>0</v>
      </c>
      <c r="AU16" s="148"/>
      <c r="AV16" s="133" t="n">
        <f aca="false">AT16+AO16</f>
        <v>0</v>
      </c>
      <c r="AX16" s="133" t="n">
        <f aca="false">AJ16+AG16+AD16</f>
        <v>0</v>
      </c>
      <c r="AY16" s="149"/>
      <c r="AZ16" s="76" t="n">
        <f aca="false">R16*E16</f>
        <v>0</v>
      </c>
    </row>
    <row r="17" customFormat="false" ht="12.75" hidden="false" customHeight="false" outlineLevel="0" collapsed="false">
      <c r="A17" s="138" t="n">
        <f aca="false">EDATE(A16,1)</f>
        <v>37196</v>
      </c>
      <c r="B17" s="139" t="n">
        <f aca="false">VLOOKUP($A17,Table2,MATCH(I$3,Curves2,0))</f>
        <v>0</v>
      </c>
      <c r="C17" s="140"/>
      <c r="D17" s="141" t="n">
        <f aca="false">B17+C17</f>
        <v>0</v>
      </c>
      <c r="E17" s="126" t="n">
        <f aca="false">IF(Y17=0,0,IF(AND(Y17=1,$H$3=1),D17*T17,IF($H$3=2,D17,"N/A")))</f>
        <v>0</v>
      </c>
      <c r="F17" s="126" t="n">
        <f aca="false">E17*X17</f>
        <v>0</v>
      </c>
      <c r="G17" s="142" t="n">
        <f aca="false">VLOOKUP($A17,Table,MATCH(G$4,Curves,0))</f>
        <v>5.3</v>
      </c>
      <c r="H17" s="143" t="n">
        <f aca="false">G17</f>
        <v>5.3</v>
      </c>
      <c r="I17" s="142" t="n">
        <f aca="false">VLOOKUP($A17,Table1,MATCH(I$3,Curves1,0))</f>
        <v>0</v>
      </c>
      <c r="J17" s="142" t="n">
        <f aca="false">VLOOKUP($A17,Table,MATCH(J$4,Curves,0))</f>
        <v>-0.0225</v>
      </c>
      <c r="K17" s="143" t="n">
        <f aca="false">J17</f>
        <v>-0.0225</v>
      </c>
      <c r="L17" s="144" t="n">
        <v>0</v>
      </c>
      <c r="M17" s="142" t="n">
        <f aca="false">VLOOKUP($A17,Table,MATCH(M$4,Curves,0))</f>
        <v>0.01</v>
      </c>
      <c r="N17" s="143" t="n">
        <f aca="false">M17</f>
        <v>0.01</v>
      </c>
      <c r="O17" s="144" t="n">
        <v>0</v>
      </c>
      <c r="P17" s="145"/>
      <c r="Q17" s="144" t="n">
        <f aca="false">M17+J17+G17</f>
        <v>5.2875</v>
      </c>
      <c r="R17" s="144" t="n">
        <f aca="false">O17+L17+I17</f>
        <v>0</v>
      </c>
      <c r="S17" s="145"/>
      <c r="T17" s="71" t="n">
        <f aca="false">A18-A17</f>
        <v>30</v>
      </c>
      <c r="U17" s="146" t="n">
        <f aca="false">CHOOSE(F$3,A18+24,A17)</f>
        <v>37250</v>
      </c>
      <c r="V17" s="71" t="n">
        <f aca="false">U17-C$3</f>
        <v>362</v>
      </c>
      <c r="W17" s="142" t="n">
        <f aca="false">VLOOKUP($A17,Table,MATCH(W$4,Curves,0))</f>
        <v>0.060444702340902</v>
      </c>
      <c r="X17" s="147" t="n">
        <f aca="false">1/(1+CHOOSE(F$3,(W18+($K$3/10000))/2,(W17+($K$3/10000))/2))^(2*V17/365.25)</f>
        <v>0.943133164388334</v>
      </c>
      <c r="Y17" s="71" t="n">
        <f aca="false">IF(AND(mthbeg&lt;=A17,mthend&gt;=A17),1,0)</f>
        <v>1</v>
      </c>
      <c r="Z17" s="71" t="n">
        <f aca="false">T17*Y17</f>
        <v>30</v>
      </c>
      <c r="AB17" s="132" t="n">
        <f aca="false">F17*G17</f>
        <v>0</v>
      </c>
      <c r="AC17" s="132" t="n">
        <f aca="false">$F17*H17</f>
        <v>0</v>
      </c>
      <c r="AD17" s="132" t="n">
        <f aca="false">$F17*I17</f>
        <v>0</v>
      </c>
      <c r="AE17" s="132" t="n">
        <f aca="false">$F17*J17</f>
        <v>-0</v>
      </c>
      <c r="AF17" s="132" t="n">
        <f aca="false">$F17*K17</f>
        <v>-0</v>
      </c>
      <c r="AG17" s="132" t="n">
        <f aca="false">$F17*L17</f>
        <v>0</v>
      </c>
      <c r="AH17" s="132" t="n">
        <f aca="false">$F17*M17</f>
        <v>0</v>
      </c>
      <c r="AI17" s="132" t="n">
        <f aca="false">$F17*N17</f>
        <v>0</v>
      </c>
      <c r="AJ17" s="132" t="n">
        <f aca="false">F17*O17</f>
        <v>0</v>
      </c>
      <c r="AK17" s="137"/>
      <c r="AL17" s="132" t="n">
        <f aca="false">CHOOSE($G$3,AC17-AD17,AD17-AC17)</f>
        <v>0</v>
      </c>
      <c r="AM17" s="132" t="n">
        <f aca="false">CHOOSE($G$3,AF17-AG17,AG17-AF17)</f>
        <v>0</v>
      </c>
      <c r="AN17" s="132" t="n">
        <f aca="false">CHOOSE($G$3,AI17-AJ17,AJ17-AI17)</f>
        <v>0</v>
      </c>
      <c r="AO17" s="148" t="n">
        <f aca="false">SUM(AL17:AN17)</f>
        <v>0</v>
      </c>
      <c r="AQ17" s="132" t="n">
        <f aca="false">CHOOSE($G$3,AB17-AC17,AC17-AB17)</f>
        <v>0</v>
      </c>
      <c r="AR17" s="132" t="n">
        <f aca="false">CHOOSE($G$3,AE17-AF17,AF17-AE17)</f>
        <v>0</v>
      </c>
      <c r="AS17" s="132" t="n">
        <f aca="false">CHOOSE($G$3,AH17-AI17,AI17-AH17)</f>
        <v>0</v>
      </c>
      <c r="AT17" s="148" t="n">
        <f aca="false">AQ17+AR17+AS17</f>
        <v>0</v>
      </c>
      <c r="AU17" s="148"/>
      <c r="AV17" s="133" t="n">
        <f aca="false">AT17+AO17</f>
        <v>0</v>
      </c>
      <c r="AX17" s="133" t="n">
        <f aca="false">AJ17+AG17+AD17</f>
        <v>0</v>
      </c>
      <c r="AY17" s="149"/>
      <c r="AZ17" s="76" t="n">
        <f aca="false">R17*E17</f>
        <v>0</v>
      </c>
    </row>
    <row r="18" customFormat="false" ht="12.75" hidden="false" customHeight="false" outlineLevel="0" collapsed="false">
      <c r="A18" s="138" t="n">
        <f aca="false">EDATE(A17,1)</f>
        <v>37226</v>
      </c>
      <c r="B18" s="139" t="n">
        <f aca="false">VLOOKUP($A18,Table2,MATCH(I$3,Curves2,0))</f>
        <v>0</v>
      </c>
      <c r="C18" s="140"/>
      <c r="D18" s="141" t="n">
        <f aca="false">B18+C18</f>
        <v>0</v>
      </c>
      <c r="E18" s="126" t="n">
        <f aca="false">IF(Y18=0,0,IF(AND(Y18=1,$H$3=1),D18*T18,IF($H$3=2,D18,"N/A")))</f>
        <v>0</v>
      </c>
      <c r="F18" s="126" t="n">
        <f aca="false">E18*X18</f>
        <v>0</v>
      </c>
      <c r="G18" s="142" t="n">
        <f aca="false">VLOOKUP($A18,Table,MATCH(G$4,Curves,0))</f>
        <v>5.375</v>
      </c>
      <c r="H18" s="143" t="n">
        <f aca="false">G18</f>
        <v>5.375</v>
      </c>
      <c r="I18" s="142" t="n">
        <f aca="false">VLOOKUP($A18,Table1,MATCH(I$3,Curves1,0))</f>
        <v>0</v>
      </c>
      <c r="J18" s="142" t="n">
        <f aca="false">VLOOKUP($A18,Table,MATCH(J$4,Curves,0))</f>
        <v>-0.0225</v>
      </c>
      <c r="K18" s="143" t="n">
        <f aca="false">J18</f>
        <v>-0.0225</v>
      </c>
      <c r="L18" s="144" t="n">
        <v>0</v>
      </c>
      <c r="M18" s="142" t="n">
        <f aca="false">VLOOKUP($A18,Table,MATCH(M$4,Curves,0))</f>
        <v>0.01</v>
      </c>
      <c r="N18" s="143" t="n">
        <f aca="false">M18</f>
        <v>0.01</v>
      </c>
      <c r="O18" s="144" t="n">
        <v>0</v>
      </c>
      <c r="P18" s="145"/>
      <c r="Q18" s="144" t="n">
        <f aca="false">M18+J18+G18</f>
        <v>5.3625</v>
      </c>
      <c r="R18" s="144" t="n">
        <f aca="false">O18+L18+I18</f>
        <v>0</v>
      </c>
      <c r="S18" s="145"/>
      <c r="T18" s="71" t="n">
        <f aca="false">A19-A18</f>
        <v>31</v>
      </c>
      <c r="U18" s="146" t="n">
        <f aca="false">CHOOSE(F$3,A19+24,A18)</f>
        <v>37281</v>
      </c>
      <c r="V18" s="71" t="n">
        <f aca="false">U18-C$3</f>
        <v>393</v>
      </c>
      <c r="W18" s="142" t="n">
        <f aca="false">VLOOKUP($A18,Table,MATCH(W$4,Curves,0))</f>
        <v>0.059954499773445</v>
      </c>
      <c r="X18" s="147" t="n">
        <f aca="false">1/(1+CHOOSE(F$3,(W19+($K$3/10000))/2,(W18+($K$3/10000))/2))^(2*V18/365.25)</f>
        <v>0.938803177129092</v>
      </c>
      <c r="Y18" s="71" t="n">
        <f aca="false">IF(AND(mthbeg&lt;=A18,mthend&gt;=A18),1,0)</f>
        <v>1</v>
      </c>
      <c r="Z18" s="71" t="n">
        <f aca="false">T18*Y18</f>
        <v>31</v>
      </c>
      <c r="AB18" s="132" t="n">
        <f aca="false">F18*G18</f>
        <v>0</v>
      </c>
      <c r="AC18" s="132" t="n">
        <f aca="false">$F18*H18</f>
        <v>0</v>
      </c>
      <c r="AD18" s="132" t="n">
        <f aca="false">$F18*I18</f>
        <v>0</v>
      </c>
      <c r="AE18" s="132" t="n">
        <f aca="false">$F18*J18</f>
        <v>-0</v>
      </c>
      <c r="AF18" s="132" t="n">
        <f aca="false">$F18*K18</f>
        <v>-0</v>
      </c>
      <c r="AG18" s="132" t="n">
        <f aca="false">$F18*L18</f>
        <v>0</v>
      </c>
      <c r="AH18" s="132" t="n">
        <f aca="false">$F18*M18</f>
        <v>0</v>
      </c>
      <c r="AI18" s="132" t="n">
        <f aca="false">$F18*N18</f>
        <v>0</v>
      </c>
      <c r="AJ18" s="132" t="n">
        <f aca="false">F18*O18</f>
        <v>0</v>
      </c>
      <c r="AK18" s="137"/>
      <c r="AL18" s="132" t="n">
        <f aca="false">CHOOSE($G$3,AC18-AD18,AD18-AC18)</f>
        <v>0</v>
      </c>
      <c r="AM18" s="132" t="n">
        <f aca="false">CHOOSE($G$3,AF18-AG18,AG18-AF18)</f>
        <v>0</v>
      </c>
      <c r="AN18" s="132" t="n">
        <f aca="false">CHOOSE($G$3,AI18-AJ18,AJ18-AI18)</f>
        <v>0</v>
      </c>
      <c r="AO18" s="148" t="n">
        <f aca="false">SUM(AL18:AN18)</f>
        <v>0</v>
      </c>
      <c r="AQ18" s="132" t="n">
        <f aca="false">CHOOSE($G$3,AB18-AC18,AC18-AB18)</f>
        <v>0</v>
      </c>
      <c r="AR18" s="132" t="n">
        <f aca="false">CHOOSE($G$3,AE18-AF18,AF18-AE18)</f>
        <v>0</v>
      </c>
      <c r="AS18" s="132" t="n">
        <f aca="false">CHOOSE($G$3,AH18-AI18,AI18-AH18)</f>
        <v>0</v>
      </c>
      <c r="AT18" s="148" t="n">
        <f aca="false">AQ18+AR18+AS18</f>
        <v>0</v>
      </c>
      <c r="AU18" s="148"/>
      <c r="AV18" s="133" t="n">
        <f aca="false">AT18+AO18</f>
        <v>0</v>
      </c>
      <c r="AX18" s="133" t="n">
        <f aca="false">AJ18+AG18+AD18</f>
        <v>0</v>
      </c>
      <c r="AY18" s="149"/>
      <c r="AZ18" s="76" t="n">
        <f aca="false">R18*E18</f>
        <v>0</v>
      </c>
    </row>
    <row r="19" customFormat="false" ht="12.75" hidden="false" customHeight="false" outlineLevel="0" collapsed="false">
      <c r="A19" s="138" t="n">
        <f aca="false">EDATE(A18,1)</f>
        <v>37257</v>
      </c>
      <c r="B19" s="139" t="n">
        <f aca="false">VLOOKUP($A19,Table2,MATCH(I$3,Curves2,0))</f>
        <v>0</v>
      </c>
      <c r="C19" s="140"/>
      <c r="D19" s="141" t="n">
        <f aca="false">B19+C19</f>
        <v>0</v>
      </c>
      <c r="E19" s="126" t="n">
        <f aca="false">IF(Y19=0,0,IF(AND(Y19=1,$H$3=1),D19*T19,IF($H$3=2,D19,"N/A")))</f>
        <v>0</v>
      </c>
      <c r="F19" s="126" t="n">
        <f aca="false">E19*X19</f>
        <v>0</v>
      </c>
      <c r="G19" s="142" t="n">
        <f aca="false">VLOOKUP($A19,Table,MATCH(G$4,Curves,0))</f>
        <v>5.365</v>
      </c>
      <c r="H19" s="143" t="n">
        <f aca="false">G19</f>
        <v>5.365</v>
      </c>
      <c r="I19" s="142" t="n">
        <f aca="false">VLOOKUP($A19,Table1,MATCH(I$3,Curves1,0))</f>
        <v>0</v>
      </c>
      <c r="J19" s="142" t="n">
        <f aca="false">VLOOKUP($A19,Table,MATCH(J$4,Curves,0))</f>
        <v>-0.0225</v>
      </c>
      <c r="K19" s="143" t="n">
        <f aca="false">J19</f>
        <v>-0.0225</v>
      </c>
      <c r="L19" s="144" t="n">
        <v>0</v>
      </c>
      <c r="M19" s="142" t="n">
        <f aca="false">VLOOKUP($A19,Table,MATCH(M$4,Curves,0))</f>
        <v>0.01</v>
      </c>
      <c r="N19" s="143" t="n">
        <f aca="false">M19</f>
        <v>0.01</v>
      </c>
      <c r="O19" s="144" t="n">
        <v>0</v>
      </c>
      <c r="P19" s="145"/>
      <c r="Q19" s="144" t="n">
        <f aca="false">M19+J19+G19</f>
        <v>5.3525</v>
      </c>
      <c r="R19" s="144" t="n">
        <f aca="false">O19+L19+I19</f>
        <v>0</v>
      </c>
      <c r="S19" s="145"/>
      <c r="T19" s="71" t="n">
        <f aca="false">A20-A19</f>
        <v>31</v>
      </c>
      <c r="U19" s="146" t="n">
        <f aca="false">CHOOSE(F$3,A20+24,A19)</f>
        <v>37312</v>
      </c>
      <c r="V19" s="71" t="n">
        <f aca="false">U19-C$3</f>
        <v>424</v>
      </c>
      <c r="W19" s="142" t="n">
        <f aca="false">VLOOKUP($A19,Table,MATCH(W$4,Curves,0))</f>
        <v>0.059560032629286</v>
      </c>
      <c r="X19" s="147" t="n">
        <f aca="false">1/(1+CHOOSE(F$3,(W20+($K$3/10000))/2,(W19+($K$3/10000))/2))^(2*V19/365.25)</f>
        <v>0.934390413714025</v>
      </c>
      <c r="Y19" s="71" t="n">
        <f aca="false">IF(AND(mthbeg&lt;=A19,mthend&gt;=A19),1,0)</f>
        <v>1</v>
      </c>
      <c r="Z19" s="71" t="n">
        <f aca="false">T19*Y19</f>
        <v>31</v>
      </c>
      <c r="AB19" s="132" t="n">
        <f aca="false">F19*G19</f>
        <v>0</v>
      </c>
      <c r="AC19" s="132" t="n">
        <f aca="false">$F19*H19</f>
        <v>0</v>
      </c>
      <c r="AD19" s="132" t="n">
        <f aca="false">$F19*I19</f>
        <v>0</v>
      </c>
      <c r="AE19" s="132" t="n">
        <f aca="false">$F19*J19</f>
        <v>-0</v>
      </c>
      <c r="AF19" s="132" t="n">
        <f aca="false">$F19*K19</f>
        <v>-0</v>
      </c>
      <c r="AG19" s="132" t="n">
        <f aca="false">$F19*L19</f>
        <v>0</v>
      </c>
      <c r="AH19" s="132" t="n">
        <f aca="false">$F19*M19</f>
        <v>0</v>
      </c>
      <c r="AI19" s="132" t="n">
        <f aca="false">$F19*N19</f>
        <v>0</v>
      </c>
      <c r="AJ19" s="132" t="n">
        <f aca="false">F19*O19</f>
        <v>0</v>
      </c>
      <c r="AK19" s="137"/>
      <c r="AL19" s="132" t="n">
        <f aca="false">CHOOSE($G$3,AC19-AD19,AD19-AC19)</f>
        <v>0</v>
      </c>
      <c r="AM19" s="132" t="n">
        <f aca="false">CHOOSE($G$3,AF19-AG19,AG19-AF19)</f>
        <v>0</v>
      </c>
      <c r="AN19" s="132" t="n">
        <f aca="false">CHOOSE($G$3,AI19-AJ19,AJ19-AI19)</f>
        <v>0</v>
      </c>
      <c r="AO19" s="148" t="n">
        <f aca="false">SUM(AL19:AN19)</f>
        <v>0</v>
      </c>
      <c r="AQ19" s="132" t="n">
        <f aca="false">CHOOSE($G$3,AB19-AC19,AC19-AB19)</f>
        <v>0</v>
      </c>
      <c r="AR19" s="132" t="n">
        <f aca="false">CHOOSE($G$3,AE19-AF19,AF19-AE19)</f>
        <v>0</v>
      </c>
      <c r="AS19" s="132" t="n">
        <f aca="false">CHOOSE($G$3,AH19-AI19,AI19-AH19)</f>
        <v>0</v>
      </c>
      <c r="AT19" s="148" t="n">
        <f aca="false">AQ19+AR19+AS19</f>
        <v>0</v>
      </c>
      <c r="AU19" s="148"/>
      <c r="AV19" s="133" t="n">
        <f aca="false">AT19+AO19</f>
        <v>0</v>
      </c>
      <c r="AX19" s="133" t="n">
        <f aca="false">AJ19+AG19+AD19</f>
        <v>0</v>
      </c>
      <c r="AY19" s="149"/>
      <c r="AZ19" s="76" t="n">
        <f aca="false">R19*E19</f>
        <v>0</v>
      </c>
    </row>
    <row r="20" customFormat="false" ht="12.75" hidden="false" customHeight="false" outlineLevel="0" collapsed="false">
      <c r="A20" s="138" t="n">
        <f aca="false">EDATE(A19,1)</f>
        <v>37288</v>
      </c>
      <c r="B20" s="139" t="n">
        <f aca="false">VLOOKUP($A20,Table2,MATCH(I$3,Curves2,0))</f>
        <v>0</v>
      </c>
      <c r="C20" s="140"/>
      <c r="D20" s="141" t="n">
        <f aca="false">B20+C20</f>
        <v>0</v>
      </c>
      <c r="E20" s="126" t="n">
        <f aca="false">IF(Y20=0,0,IF(AND(Y20=1,$H$3=1),D20*T20,IF($H$3=2,D20,"N/A")))</f>
        <v>0</v>
      </c>
      <c r="F20" s="126" t="n">
        <f aca="false">E20*X20</f>
        <v>0</v>
      </c>
      <c r="G20" s="142" t="n">
        <f aca="false">VLOOKUP($A20,Table,MATCH(G$4,Curves,0))</f>
        <v>5.11</v>
      </c>
      <c r="H20" s="143" t="n">
        <f aca="false">G20</f>
        <v>5.11</v>
      </c>
      <c r="I20" s="142" t="n">
        <f aca="false">VLOOKUP($A20,Table1,MATCH(I$3,Curves1,0))</f>
        <v>0</v>
      </c>
      <c r="J20" s="142" t="n">
        <f aca="false">VLOOKUP($A20,Table,MATCH(J$4,Curves,0))</f>
        <v>-0.0225</v>
      </c>
      <c r="K20" s="143" t="n">
        <f aca="false">J20</f>
        <v>-0.0225</v>
      </c>
      <c r="L20" s="144" t="n">
        <v>0</v>
      </c>
      <c r="M20" s="142" t="n">
        <f aca="false">VLOOKUP($A20,Table,MATCH(M$4,Curves,0))</f>
        <v>0.01</v>
      </c>
      <c r="N20" s="143" t="n">
        <f aca="false">M20</f>
        <v>0.01</v>
      </c>
      <c r="O20" s="144" t="n">
        <v>0</v>
      </c>
      <c r="P20" s="145"/>
      <c r="Q20" s="144" t="n">
        <f aca="false">M20+J20+G20</f>
        <v>5.0975</v>
      </c>
      <c r="R20" s="144" t="n">
        <f aca="false">O20+L20+I20</f>
        <v>0</v>
      </c>
      <c r="S20" s="145"/>
      <c r="T20" s="71" t="n">
        <f aca="false">A21-A20</f>
        <v>28</v>
      </c>
      <c r="U20" s="146" t="n">
        <f aca="false">CHOOSE(F$3,A21+24,A20)</f>
        <v>37340</v>
      </c>
      <c r="V20" s="71" t="n">
        <f aca="false">U20-C$3</f>
        <v>452</v>
      </c>
      <c r="W20" s="142" t="n">
        <f aca="false">VLOOKUP($A20,Table,MATCH(W$4,Curves,0))</f>
        <v>0.059320746881078</v>
      </c>
      <c r="X20" s="147" t="n">
        <f aca="false">1/(1+CHOOSE(F$3,(W21+($K$3/10000))/2,(W20+($K$3/10000))/2))^(2*V20/365.25)</f>
        <v>0.930454095292277</v>
      </c>
      <c r="Y20" s="71" t="n">
        <f aca="false">IF(AND(mthbeg&lt;=A20,mthend&gt;=A20),1,0)</f>
        <v>1</v>
      </c>
      <c r="Z20" s="71" t="n">
        <f aca="false">T20*Y20</f>
        <v>28</v>
      </c>
      <c r="AB20" s="132" t="n">
        <f aca="false">F20*G20</f>
        <v>0</v>
      </c>
      <c r="AC20" s="132" t="n">
        <f aca="false">$F20*H20</f>
        <v>0</v>
      </c>
      <c r="AD20" s="132" t="n">
        <f aca="false">$F20*I20</f>
        <v>0</v>
      </c>
      <c r="AE20" s="132" t="n">
        <f aca="false">$F20*J20</f>
        <v>-0</v>
      </c>
      <c r="AF20" s="132" t="n">
        <f aca="false">$F20*K20</f>
        <v>-0</v>
      </c>
      <c r="AG20" s="132" t="n">
        <f aca="false">$F20*L20</f>
        <v>0</v>
      </c>
      <c r="AH20" s="132" t="n">
        <f aca="false">$F20*M20</f>
        <v>0</v>
      </c>
      <c r="AI20" s="132" t="n">
        <f aca="false">$F20*N20</f>
        <v>0</v>
      </c>
      <c r="AJ20" s="132" t="n">
        <f aca="false">F20*O20</f>
        <v>0</v>
      </c>
      <c r="AK20" s="137"/>
      <c r="AL20" s="132" t="n">
        <f aca="false">CHOOSE($G$3,AC20-AD20,AD20-AC20)</f>
        <v>0</v>
      </c>
      <c r="AM20" s="132" t="n">
        <f aca="false">CHOOSE($G$3,AF20-AG20,AG20-AF20)</f>
        <v>0</v>
      </c>
      <c r="AN20" s="132" t="n">
        <f aca="false">CHOOSE($G$3,AI20-AJ20,AJ20-AI20)</f>
        <v>0</v>
      </c>
      <c r="AO20" s="148" t="n">
        <f aca="false">SUM(AL20:AN20)</f>
        <v>0</v>
      </c>
      <c r="AQ20" s="132" t="n">
        <f aca="false">CHOOSE($G$3,AB20-AC20,AC20-AB20)</f>
        <v>0</v>
      </c>
      <c r="AR20" s="132" t="n">
        <f aca="false">CHOOSE($G$3,AE20-AF20,AF20-AE20)</f>
        <v>0</v>
      </c>
      <c r="AS20" s="132" t="n">
        <f aca="false">CHOOSE($G$3,AH20-AI20,AI20-AH20)</f>
        <v>0</v>
      </c>
      <c r="AT20" s="148" t="n">
        <f aca="false">AQ20+AR20+AS20</f>
        <v>0</v>
      </c>
      <c r="AU20" s="148"/>
      <c r="AV20" s="133" t="n">
        <f aca="false">AT20+AO20</f>
        <v>0</v>
      </c>
      <c r="AX20" s="133" t="n">
        <f aca="false">AJ20+AG20+AD20</f>
        <v>0</v>
      </c>
      <c r="AY20" s="149"/>
      <c r="AZ20" s="76" t="n">
        <f aca="false">R20*E20</f>
        <v>0</v>
      </c>
    </row>
    <row r="21" customFormat="false" ht="12.75" hidden="false" customHeight="false" outlineLevel="0" collapsed="false">
      <c r="A21" s="138" t="n">
        <f aca="false">EDATE(A20,1)</f>
        <v>37316</v>
      </c>
      <c r="B21" s="139" t="n">
        <f aca="false">VLOOKUP($A21,Table2,MATCH(I$3,Curves2,0))</f>
        <v>0</v>
      </c>
      <c r="C21" s="140"/>
      <c r="D21" s="141" t="n">
        <f aca="false">B21+C21</f>
        <v>0</v>
      </c>
      <c r="E21" s="126" t="n">
        <f aca="false">IF(Y21=0,0,IF(AND(Y21=1,$H$3=1),D21*T21,IF($H$3=2,D21,"N/A")))</f>
        <v>0</v>
      </c>
      <c r="F21" s="126" t="n">
        <f aca="false">E21*X21</f>
        <v>0</v>
      </c>
      <c r="G21" s="142" t="n">
        <f aca="false">VLOOKUP($A21,Table,MATCH(G$4,Curves,0))</f>
        <v>4.777</v>
      </c>
      <c r="H21" s="143" t="n">
        <f aca="false">G21</f>
        <v>4.777</v>
      </c>
      <c r="I21" s="142" t="n">
        <f aca="false">VLOOKUP($A21,Table1,MATCH(I$3,Curves1,0))</f>
        <v>0</v>
      </c>
      <c r="J21" s="142" t="n">
        <f aca="false">VLOOKUP($A21,Table,MATCH(J$4,Curves,0))</f>
        <v>-0.0225</v>
      </c>
      <c r="K21" s="143" t="n">
        <f aca="false">J21</f>
        <v>-0.0225</v>
      </c>
      <c r="L21" s="144" t="n">
        <v>0</v>
      </c>
      <c r="M21" s="142" t="n">
        <f aca="false">VLOOKUP($A21,Table,MATCH(M$4,Curves,0))</f>
        <v>0.01</v>
      </c>
      <c r="N21" s="143" t="n">
        <f aca="false">M21</f>
        <v>0.01</v>
      </c>
      <c r="O21" s="144" t="n">
        <v>0</v>
      </c>
      <c r="P21" s="145"/>
      <c r="Q21" s="144" t="n">
        <f aca="false">M21+J21+G21</f>
        <v>4.7645</v>
      </c>
      <c r="R21" s="144" t="n">
        <f aca="false">O21+L21+I21</f>
        <v>0</v>
      </c>
      <c r="S21" s="145"/>
      <c r="T21" s="71" t="n">
        <f aca="false">A22-A21</f>
        <v>31</v>
      </c>
      <c r="U21" s="146" t="n">
        <f aca="false">CHOOSE(F$3,A22+24,A21)</f>
        <v>37371</v>
      </c>
      <c r="V21" s="71" t="n">
        <f aca="false">U21-C$3</f>
        <v>483</v>
      </c>
      <c r="W21" s="142" t="n">
        <f aca="false">VLOOKUP($A21,Table,MATCH(W$4,Curves,0))</f>
        <v>0.059104617834538</v>
      </c>
      <c r="X21" s="147" t="n">
        <f aca="false">1/(1+CHOOSE(F$3,(W22+($K$3/10000))/2,(W21+($K$3/10000))/2))^(2*V21/365.25)</f>
        <v>0.926116370440044</v>
      </c>
      <c r="Y21" s="71" t="n">
        <f aca="false">IF(AND(mthbeg&lt;=A21,mthend&gt;=A21),1,0)</f>
        <v>1</v>
      </c>
      <c r="Z21" s="71" t="n">
        <f aca="false">T21*Y21</f>
        <v>31</v>
      </c>
      <c r="AB21" s="132" t="n">
        <f aca="false">F21*G21</f>
        <v>0</v>
      </c>
      <c r="AC21" s="132" t="n">
        <f aca="false">$F21*H21</f>
        <v>0</v>
      </c>
      <c r="AD21" s="132" t="n">
        <f aca="false">$F21*I21</f>
        <v>0</v>
      </c>
      <c r="AE21" s="132" t="n">
        <f aca="false">$F21*J21</f>
        <v>-0</v>
      </c>
      <c r="AF21" s="132" t="n">
        <f aca="false">$F21*K21</f>
        <v>-0</v>
      </c>
      <c r="AG21" s="132" t="n">
        <f aca="false">$F21*L21</f>
        <v>0</v>
      </c>
      <c r="AH21" s="132" t="n">
        <f aca="false">$F21*M21</f>
        <v>0</v>
      </c>
      <c r="AI21" s="132" t="n">
        <f aca="false">$F21*N21</f>
        <v>0</v>
      </c>
      <c r="AJ21" s="132" t="n">
        <f aca="false">F21*O21</f>
        <v>0</v>
      </c>
      <c r="AK21" s="137"/>
      <c r="AL21" s="132" t="n">
        <f aca="false">CHOOSE($G$3,AC21-AD21,AD21-AC21)</f>
        <v>0</v>
      </c>
      <c r="AM21" s="132" t="n">
        <f aca="false">CHOOSE($G$3,AF21-AG21,AG21-AF21)</f>
        <v>0</v>
      </c>
      <c r="AN21" s="132" t="n">
        <f aca="false">CHOOSE($G$3,AI21-AJ21,AJ21-AI21)</f>
        <v>0</v>
      </c>
      <c r="AO21" s="148" t="n">
        <f aca="false">SUM(AL21:AN21)</f>
        <v>0</v>
      </c>
      <c r="AQ21" s="132" t="n">
        <f aca="false">CHOOSE($G$3,AB21-AC21,AC21-AB21)</f>
        <v>0</v>
      </c>
      <c r="AR21" s="132" t="n">
        <f aca="false">CHOOSE($G$3,AE21-AF21,AF21-AE21)</f>
        <v>0</v>
      </c>
      <c r="AS21" s="132" t="n">
        <f aca="false">CHOOSE($G$3,AH21-AI21,AI21-AH21)</f>
        <v>0</v>
      </c>
      <c r="AT21" s="148" t="n">
        <f aca="false">AQ21+AR21+AS21</f>
        <v>0</v>
      </c>
      <c r="AU21" s="148"/>
      <c r="AV21" s="133" t="n">
        <f aca="false">AT21+AO21</f>
        <v>0</v>
      </c>
      <c r="AX21" s="133" t="n">
        <f aca="false">AJ21+AG21+AD21</f>
        <v>0</v>
      </c>
      <c r="AY21" s="149"/>
      <c r="AZ21" s="76" t="n">
        <f aca="false">R21*E21</f>
        <v>0</v>
      </c>
    </row>
    <row r="22" customFormat="false" ht="12.75" hidden="false" customHeight="false" outlineLevel="0" collapsed="false">
      <c r="A22" s="138" t="n">
        <f aca="false">EDATE(A21,1)</f>
        <v>37347</v>
      </c>
      <c r="B22" s="139" t="n">
        <f aca="false">VLOOKUP($A22,Table2,MATCH(I$3,Curves2,0))</f>
        <v>0</v>
      </c>
      <c r="C22" s="140"/>
      <c r="D22" s="141" t="n">
        <f aca="false">B22+C22</f>
        <v>0</v>
      </c>
      <c r="E22" s="126" t="n">
        <f aca="false">IF(Y22=0,0,IF(AND(Y22=1,$H$3=1),D22*T22,IF($H$3=2,D22,"N/A")))</f>
        <v>0</v>
      </c>
      <c r="F22" s="126" t="n">
        <f aca="false">E22*X22</f>
        <v>0</v>
      </c>
      <c r="G22" s="142" t="n">
        <f aca="false">VLOOKUP($A22,Table,MATCH(G$4,Curves,0))</f>
        <v>4.317</v>
      </c>
      <c r="H22" s="143" t="n">
        <f aca="false">G22</f>
        <v>4.317</v>
      </c>
      <c r="I22" s="142" t="n">
        <f aca="false">VLOOKUP($A22,Table1,MATCH(I$3,Curves1,0))</f>
        <v>0</v>
      </c>
      <c r="J22" s="142" t="n">
        <f aca="false">VLOOKUP($A22,Table,MATCH(J$4,Curves,0))</f>
        <v>-0.0225</v>
      </c>
      <c r="K22" s="143" t="n">
        <f aca="false">J22</f>
        <v>-0.0225</v>
      </c>
      <c r="L22" s="144" t="n">
        <v>0</v>
      </c>
      <c r="M22" s="142" t="n">
        <f aca="false">VLOOKUP($A22,Table,MATCH(M$4,Curves,0))</f>
        <v>0.0075</v>
      </c>
      <c r="N22" s="143" t="n">
        <f aca="false">M22</f>
        <v>0.0075</v>
      </c>
      <c r="O22" s="144" t="n">
        <v>0</v>
      </c>
      <c r="P22" s="145"/>
      <c r="Q22" s="144" t="n">
        <f aca="false">M22+J22+G22</f>
        <v>4.302</v>
      </c>
      <c r="R22" s="144" t="n">
        <f aca="false">O22+L22+I22</f>
        <v>0</v>
      </c>
      <c r="S22" s="145"/>
      <c r="T22" s="71" t="n">
        <f aca="false">A23-A22</f>
        <v>30</v>
      </c>
      <c r="U22" s="146" t="n">
        <f aca="false">CHOOSE(F$3,A23+24,A22)</f>
        <v>37401</v>
      </c>
      <c r="V22" s="71" t="n">
        <f aca="false">U22-C$3</f>
        <v>513</v>
      </c>
      <c r="W22" s="142" t="n">
        <f aca="false">VLOOKUP($A22,Table,MATCH(W$4,Curves,0))</f>
        <v>0.058893741036666</v>
      </c>
      <c r="X22" s="147" t="n">
        <f aca="false">1/(1+CHOOSE(F$3,(W23+($K$3/10000))/2,(W22+($K$3/10000))/2))^(2*V22/365.25)</f>
        <v>0.921919722856329</v>
      </c>
      <c r="Y22" s="71" t="n">
        <f aca="false">IF(AND(mthbeg&lt;=A22,mthend&gt;=A22),1,0)</f>
        <v>1</v>
      </c>
      <c r="Z22" s="71" t="n">
        <f aca="false">T22*Y22</f>
        <v>30</v>
      </c>
      <c r="AB22" s="132" t="n">
        <f aca="false">F22*G22</f>
        <v>0</v>
      </c>
      <c r="AC22" s="132" t="n">
        <f aca="false">$F22*H22</f>
        <v>0</v>
      </c>
      <c r="AD22" s="132" t="n">
        <f aca="false">$F22*I22</f>
        <v>0</v>
      </c>
      <c r="AE22" s="132" t="n">
        <f aca="false">$F22*J22</f>
        <v>-0</v>
      </c>
      <c r="AF22" s="132" t="n">
        <f aca="false">$F22*K22</f>
        <v>-0</v>
      </c>
      <c r="AG22" s="132" t="n">
        <f aca="false">$F22*L22</f>
        <v>0</v>
      </c>
      <c r="AH22" s="132" t="n">
        <f aca="false">$F22*M22</f>
        <v>0</v>
      </c>
      <c r="AI22" s="132" t="n">
        <f aca="false">$F22*N22</f>
        <v>0</v>
      </c>
      <c r="AJ22" s="132" t="n">
        <f aca="false">F22*O22</f>
        <v>0</v>
      </c>
      <c r="AK22" s="137"/>
      <c r="AL22" s="132" t="n">
        <f aca="false">CHOOSE($G$3,AC22-AD22,AD22-AC22)</f>
        <v>0</v>
      </c>
      <c r="AM22" s="132" t="n">
        <f aca="false">CHOOSE($G$3,AF22-AG22,AG22-AF22)</f>
        <v>0</v>
      </c>
      <c r="AN22" s="132" t="n">
        <f aca="false">CHOOSE($G$3,AI22-AJ22,AJ22-AI22)</f>
        <v>0</v>
      </c>
      <c r="AO22" s="148" t="n">
        <f aca="false">SUM(AL22:AN22)</f>
        <v>0</v>
      </c>
      <c r="AQ22" s="132" t="n">
        <f aca="false">CHOOSE($G$3,AB22-AC22,AC22-AB22)</f>
        <v>0</v>
      </c>
      <c r="AR22" s="132" t="n">
        <f aca="false">CHOOSE($G$3,AE22-AF22,AF22-AE22)</f>
        <v>0</v>
      </c>
      <c r="AS22" s="132" t="n">
        <f aca="false">CHOOSE($G$3,AH22-AI22,AI22-AH22)</f>
        <v>0</v>
      </c>
      <c r="AT22" s="148" t="n">
        <f aca="false">AQ22+AR22+AS22</f>
        <v>0</v>
      </c>
      <c r="AU22" s="148"/>
      <c r="AV22" s="133" t="n">
        <f aca="false">AT22+AO22</f>
        <v>0</v>
      </c>
      <c r="AX22" s="133" t="n">
        <f aca="false">AJ22+AG22+AD22</f>
        <v>0</v>
      </c>
      <c r="AY22" s="149"/>
      <c r="AZ22" s="76" t="n">
        <f aca="false">R22*E22</f>
        <v>0</v>
      </c>
    </row>
    <row r="23" customFormat="false" ht="12.75" hidden="false" customHeight="false" outlineLevel="0" collapsed="false">
      <c r="A23" s="138" t="n">
        <f aca="false">EDATE(A22,1)</f>
        <v>37377</v>
      </c>
      <c r="B23" s="139" t="n">
        <f aca="false">VLOOKUP($A23,Table2,MATCH(I$3,Curves2,0))</f>
        <v>0</v>
      </c>
      <c r="C23" s="140"/>
      <c r="D23" s="141" t="n">
        <f aca="false">B23+C23</f>
        <v>0</v>
      </c>
      <c r="E23" s="126" t="n">
        <f aca="false">IF(Y23=0,0,IF(AND(Y23=1,$H$3=1),D23*T23,IF($H$3=2,D23,"N/A")))</f>
        <v>0</v>
      </c>
      <c r="F23" s="126" t="n">
        <f aca="false">E23*X23</f>
        <v>0</v>
      </c>
      <c r="G23" s="142" t="n">
        <f aca="false">VLOOKUP($A23,Table,MATCH(G$4,Curves,0))</f>
        <v>4.212</v>
      </c>
      <c r="H23" s="143" t="n">
        <f aca="false">G23</f>
        <v>4.212</v>
      </c>
      <c r="I23" s="142" t="n">
        <f aca="false">VLOOKUP($A23,Table1,MATCH(I$3,Curves1,0))</f>
        <v>0</v>
      </c>
      <c r="J23" s="142" t="n">
        <f aca="false">VLOOKUP($A23,Table,MATCH(J$4,Curves,0))</f>
        <v>-0.0225</v>
      </c>
      <c r="K23" s="143" t="n">
        <f aca="false">J23</f>
        <v>-0.0225</v>
      </c>
      <c r="L23" s="144" t="n">
        <v>0</v>
      </c>
      <c r="M23" s="142" t="n">
        <f aca="false">VLOOKUP($A23,Table,MATCH(M$4,Curves,0))</f>
        <v>0.0075</v>
      </c>
      <c r="N23" s="143" t="n">
        <f aca="false">M23</f>
        <v>0.0075</v>
      </c>
      <c r="O23" s="144" t="n">
        <v>0</v>
      </c>
      <c r="P23" s="145"/>
      <c r="Q23" s="144" t="n">
        <f aca="false">M23+J23+G23</f>
        <v>4.197</v>
      </c>
      <c r="R23" s="144" t="n">
        <f aca="false">O23+L23+I23</f>
        <v>0</v>
      </c>
      <c r="S23" s="145"/>
      <c r="T23" s="71" t="n">
        <f aca="false">A24-A23</f>
        <v>31</v>
      </c>
      <c r="U23" s="146" t="n">
        <f aca="false">CHOOSE(F$3,A24+24,A23)</f>
        <v>37432</v>
      </c>
      <c r="V23" s="71" t="n">
        <f aca="false">U23-C$3</f>
        <v>544</v>
      </c>
      <c r="W23" s="142" t="n">
        <f aca="false">VLOOKUP($A23,Table,MATCH(W$4,Curves,0))</f>
        <v>0.058728342249746</v>
      </c>
      <c r="X23" s="147" t="n">
        <f aca="false">1/(1+CHOOSE(F$3,(W24+($K$3/10000))/2,(W23+($K$3/10000))/2))^(2*V23/365.25)</f>
        <v>0.917628626914862</v>
      </c>
      <c r="Y23" s="71" t="n">
        <f aca="false">IF(AND(mthbeg&lt;=A23,mthend&gt;=A23),1,0)</f>
        <v>1</v>
      </c>
      <c r="Z23" s="71" t="n">
        <f aca="false">T23*Y23</f>
        <v>31</v>
      </c>
      <c r="AB23" s="132" t="n">
        <f aca="false">F23*G23</f>
        <v>0</v>
      </c>
      <c r="AC23" s="132" t="n">
        <f aca="false">$F23*H23</f>
        <v>0</v>
      </c>
      <c r="AD23" s="132" t="n">
        <f aca="false">$F23*I23</f>
        <v>0</v>
      </c>
      <c r="AE23" s="132" t="n">
        <f aca="false">$F23*J23</f>
        <v>-0</v>
      </c>
      <c r="AF23" s="132" t="n">
        <f aca="false">$F23*K23</f>
        <v>-0</v>
      </c>
      <c r="AG23" s="132" t="n">
        <f aca="false">$F23*L23</f>
        <v>0</v>
      </c>
      <c r="AH23" s="132" t="n">
        <f aca="false">$F23*M23</f>
        <v>0</v>
      </c>
      <c r="AI23" s="132" t="n">
        <f aca="false">$F23*N23</f>
        <v>0</v>
      </c>
      <c r="AJ23" s="132" t="n">
        <f aca="false">F23*O23</f>
        <v>0</v>
      </c>
      <c r="AK23" s="137"/>
      <c r="AL23" s="132" t="n">
        <f aca="false">CHOOSE($G$3,AC23-AD23,AD23-AC23)</f>
        <v>0</v>
      </c>
      <c r="AM23" s="132" t="n">
        <f aca="false">CHOOSE($G$3,AF23-AG23,AG23-AF23)</f>
        <v>0</v>
      </c>
      <c r="AN23" s="132" t="n">
        <f aca="false">CHOOSE($G$3,AI23-AJ23,AJ23-AI23)</f>
        <v>0</v>
      </c>
      <c r="AO23" s="148" t="n">
        <f aca="false">SUM(AL23:AN23)</f>
        <v>0</v>
      </c>
      <c r="AQ23" s="132" t="n">
        <f aca="false">CHOOSE($G$3,AB23-AC23,AC23-AB23)</f>
        <v>0</v>
      </c>
      <c r="AR23" s="132" t="n">
        <f aca="false">CHOOSE($G$3,AE23-AF23,AF23-AE23)</f>
        <v>0</v>
      </c>
      <c r="AS23" s="132" t="n">
        <f aca="false">CHOOSE($G$3,AH23-AI23,AI23-AH23)</f>
        <v>0</v>
      </c>
      <c r="AT23" s="148" t="n">
        <f aca="false">AQ23+AR23+AS23</f>
        <v>0</v>
      </c>
      <c r="AU23" s="148"/>
      <c r="AV23" s="133" t="n">
        <f aca="false">AT23+AO23</f>
        <v>0</v>
      </c>
      <c r="AX23" s="133" t="n">
        <f aca="false">AJ23+AG23+AD23</f>
        <v>0</v>
      </c>
      <c r="AY23" s="149"/>
      <c r="AZ23" s="76" t="n">
        <f aca="false">R23*E23</f>
        <v>0</v>
      </c>
    </row>
    <row r="24" customFormat="false" ht="12.75" hidden="false" customHeight="false" outlineLevel="0" collapsed="false">
      <c r="A24" s="138" t="n">
        <f aca="false">EDATE(A23,1)</f>
        <v>37408</v>
      </c>
      <c r="B24" s="139" t="n">
        <f aca="false">VLOOKUP($A24,Table2,MATCH(I$3,Curves2,0))</f>
        <v>0</v>
      </c>
      <c r="C24" s="140"/>
      <c r="D24" s="141" t="n">
        <f aca="false">B24+C24</f>
        <v>0</v>
      </c>
      <c r="E24" s="126" t="n">
        <f aca="false">IF(Y24=0,0,IF(AND(Y24=1,$H$3=1),D24*T24,IF($H$3=2,D24,"N/A")))</f>
        <v>0</v>
      </c>
      <c r="F24" s="126" t="n">
        <f aca="false">E24*X24</f>
        <v>0</v>
      </c>
      <c r="G24" s="142" t="n">
        <f aca="false">VLOOKUP($A24,Table,MATCH(G$4,Curves,0))</f>
        <v>4.192</v>
      </c>
      <c r="H24" s="143" t="n">
        <f aca="false">G24</f>
        <v>4.192</v>
      </c>
      <c r="I24" s="142" t="n">
        <f aca="false">VLOOKUP($A24,Table1,MATCH(I$3,Curves1,0))</f>
        <v>0</v>
      </c>
      <c r="J24" s="142" t="n">
        <f aca="false">VLOOKUP($A24,Table,MATCH(J$4,Curves,0))</f>
        <v>-0.0225</v>
      </c>
      <c r="K24" s="143" t="n">
        <f aca="false">J24</f>
        <v>-0.0225</v>
      </c>
      <c r="L24" s="144" t="n">
        <v>0</v>
      </c>
      <c r="M24" s="142" t="n">
        <f aca="false">VLOOKUP($A24,Table,MATCH(M$4,Curves,0))</f>
        <v>0.0075</v>
      </c>
      <c r="N24" s="143" t="n">
        <f aca="false">M24</f>
        <v>0.0075</v>
      </c>
      <c r="O24" s="144" t="n">
        <v>0</v>
      </c>
      <c r="P24" s="145"/>
      <c r="Q24" s="144" t="n">
        <f aca="false">M24+J24+G24</f>
        <v>4.177</v>
      </c>
      <c r="R24" s="144" t="n">
        <f aca="false">O24+L24+I24</f>
        <v>0</v>
      </c>
      <c r="S24" s="145"/>
      <c r="T24" s="71" t="n">
        <f aca="false">A25-A24</f>
        <v>30</v>
      </c>
      <c r="U24" s="146" t="n">
        <f aca="false">CHOOSE(F$3,A25+24,A24)</f>
        <v>37462</v>
      </c>
      <c r="V24" s="71" t="n">
        <f aca="false">U24-C$3</f>
        <v>574</v>
      </c>
      <c r="W24" s="142" t="n">
        <f aca="false">VLOOKUP($A24,Table,MATCH(W$4,Curves,0))</f>
        <v>0.058557430179484</v>
      </c>
      <c r="X24" s="147" t="n">
        <f aca="false">1/(1+CHOOSE(F$3,(W25+($K$3/10000))/2,(W24+($K$3/10000))/2))^(2*V24/365.25)</f>
        <v>0.913470181117722</v>
      </c>
      <c r="Y24" s="71" t="n">
        <f aca="false">IF(AND(mthbeg&lt;=A24,mthend&gt;=A24),1,0)</f>
        <v>1</v>
      </c>
      <c r="Z24" s="71" t="n">
        <f aca="false">T24*Y24</f>
        <v>30</v>
      </c>
      <c r="AB24" s="132" t="n">
        <f aca="false">F24*G24</f>
        <v>0</v>
      </c>
      <c r="AC24" s="132" t="n">
        <f aca="false">$F24*H24</f>
        <v>0</v>
      </c>
      <c r="AD24" s="132" t="n">
        <f aca="false">$F24*I24</f>
        <v>0</v>
      </c>
      <c r="AE24" s="132" t="n">
        <f aca="false">$F24*J24</f>
        <v>-0</v>
      </c>
      <c r="AF24" s="132" t="n">
        <f aca="false">$F24*K24</f>
        <v>-0</v>
      </c>
      <c r="AG24" s="132" t="n">
        <f aca="false">$F24*L24</f>
        <v>0</v>
      </c>
      <c r="AH24" s="132" t="n">
        <f aca="false">$F24*M24</f>
        <v>0</v>
      </c>
      <c r="AI24" s="132" t="n">
        <f aca="false">$F24*N24</f>
        <v>0</v>
      </c>
      <c r="AJ24" s="132" t="n">
        <f aca="false">F24*O24</f>
        <v>0</v>
      </c>
      <c r="AK24" s="137"/>
      <c r="AL24" s="132" t="n">
        <f aca="false">CHOOSE($G$3,AC24-AD24,AD24-AC24)</f>
        <v>0</v>
      </c>
      <c r="AM24" s="132" t="n">
        <f aca="false">CHOOSE($G$3,AF24-AG24,AG24-AF24)</f>
        <v>0</v>
      </c>
      <c r="AN24" s="132" t="n">
        <f aca="false">CHOOSE($G$3,AI24-AJ24,AJ24-AI24)</f>
        <v>0</v>
      </c>
      <c r="AO24" s="148" t="n">
        <f aca="false">SUM(AL24:AN24)</f>
        <v>0</v>
      </c>
      <c r="AQ24" s="132" t="n">
        <f aca="false">CHOOSE($G$3,AB24-AC24,AC24-AB24)</f>
        <v>0</v>
      </c>
      <c r="AR24" s="132" t="n">
        <f aca="false">CHOOSE($G$3,AE24-AF24,AF24-AE24)</f>
        <v>0</v>
      </c>
      <c r="AS24" s="132" t="n">
        <f aca="false">CHOOSE($G$3,AH24-AI24,AI24-AH24)</f>
        <v>0</v>
      </c>
      <c r="AT24" s="148" t="n">
        <f aca="false">AQ24+AR24+AS24</f>
        <v>0</v>
      </c>
      <c r="AU24" s="148"/>
      <c r="AV24" s="133" t="n">
        <f aca="false">AT24+AO24</f>
        <v>0</v>
      </c>
      <c r="AX24" s="133" t="n">
        <f aca="false">AJ24+AG24+AD24</f>
        <v>0</v>
      </c>
      <c r="AY24" s="149"/>
      <c r="AZ24" s="76" t="n">
        <f aca="false">R24*E24</f>
        <v>0</v>
      </c>
    </row>
    <row r="25" customFormat="false" ht="12.75" hidden="false" customHeight="false" outlineLevel="0" collapsed="false">
      <c r="A25" s="138" t="n">
        <f aca="false">EDATE(A24,1)</f>
        <v>37438</v>
      </c>
      <c r="B25" s="139" t="n">
        <f aca="false">VLOOKUP($A25,Table2,MATCH(I$3,Curves2,0))</f>
        <v>0</v>
      </c>
      <c r="C25" s="140"/>
      <c r="D25" s="141" t="n">
        <f aca="false">B25+C25</f>
        <v>0</v>
      </c>
      <c r="E25" s="126" t="n">
        <f aca="false">IF(Y25=0,0,IF(AND(Y25=1,$H$3=1),D25*T25,IF($H$3=2,D25,"N/A")))</f>
        <v>0</v>
      </c>
      <c r="F25" s="126" t="n">
        <f aca="false">E25*X25</f>
        <v>0</v>
      </c>
      <c r="G25" s="142" t="n">
        <f aca="false">VLOOKUP($A25,Table,MATCH(G$4,Curves,0))</f>
        <v>4.192</v>
      </c>
      <c r="H25" s="143" t="n">
        <f aca="false">G25</f>
        <v>4.192</v>
      </c>
      <c r="I25" s="142" t="n">
        <f aca="false">VLOOKUP($A25,Table1,MATCH(I$3,Curves1,0))</f>
        <v>0</v>
      </c>
      <c r="J25" s="142" t="n">
        <f aca="false">VLOOKUP($A25,Table,MATCH(J$4,Curves,0))</f>
        <v>-0.0225</v>
      </c>
      <c r="K25" s="143" t="n">
        <f aca="false">J25</f>
        <v>-0.0225</v>
      </c>
      <c r="L25" s="144" t="n">
        <v>0</v>
      </c>
      <c r="M25" s="142" t="n">
        <f aca="false">VLOOKUP($A25,Table,MATCH(M$4,Curves,0))</f>
        <v>0.0075</v>
      </c>
      <c r="N25" s="143" t="n">
        <f aca="false">M25</f>
        <v>0.0075</v>
      </c>
      <c r="O25" s="144" t="n">
        <v>0</v>
      </c>
      <c r="P25" s="145"/>
      <c r="Q25" s="144" t="n">
        <f aca="false">M25+J25+G25</f>
        <v>4.177</v>
      </c>
      <c r="R25" s="144" t="n">
        <f aca="false">O25+L25+I25</f>
        <v>0</v>
      </c>
      <c r="S25" s="145"/>
      <c r="T25" s="71" t="n">
        <f aca="false">A26-A25</f>
        <v>31</v>
      </c>
      <c r="U25" s="146" t="n">
        <f aca="false">CHOOSE(F$3,A26+24,A25)</f>
        <v>37493</v>
      </c>
      <c r="V25" s="71" t="n">
        <f aca="false">U25-C$3</f>
        <v>605</v>
      </c>
      <c r="W25" s="142" t="n">
        <f aca="false">VLOOKUP($A25,Table,MATCH(W$4,Curves,0))</f>
        <v>0.058427393120956</v>
      </c>
      <c r="X25" s="147" t="n">
        <f aca="false">1/(1+CHOOSE(F$3,(W26+($K$3/10000))/2,(W25+($K$3/10000))/2))^(2*V25/365.25)</f>
        <v>0.9091277697465</v>
      </c>
      <c r="Y25" s="71" t="n">
        <f aca="false">IF(AND(mthbeg&lt;=A25,mthend&gt;=A25),1,0)</f>
        <v>1</v>
      </c>
      <c r="Z25" s="71" t="n">
        <f aca="false">T25*Y25</f>
        <v>31</v>
      </c>
      <c r="AB25" s="132" t="n">
        <f aca="false">F25*G25</f>
        <v>0</v>
      </c>
      <c r="AC25" s="132" t="n">
        <f aca="false">$F25*H25</f>
        <v>0</v>
      </c>
      <c r="AD25" s="132" t="n">
        <f aca="false">$F25*I25</f>
        <v>0</v>
      </c>
      <c r="AE25" s="132" t="n">
        <f aca="false">$F25*J25</f>
        <v>-0</v>
      </c>
      <c r="AF25" s="132" t="n">
        <f aca="false">$F25*K25</f>
        <v>-0</v>
      </c>
      <c r="AG25" s="132" t="n">
        <f aca="false">$F25*L25</f>
        <v>0</v>
      </c>
      <c r="AH25" s="132" t="n">
        <f aca="false">$F25*M25</f>
        <v>0</v>
      </c>
      <c r="AI25" s="132" t="n">
        <f aca="false">$F25*N25</f>
        <v>0</v>
      </c>
      <c r="AJ25" s="132" t="n">
        <f aca="false">F25*O25</f>
        <v>0</v>
      </c>
      <c r="AK25" s="137"/>
      <c r="AL25" s="132" t="n">
        <f aca="false">CHOOSE($G$3,AC25-AD25,AD25-AC25)</f>
        <v>0</v>
      </c>
      <c r="AM25" s="132" t="n">
        <f aca="false">CHOOSE($G$3,AF25-AG25,AG25-AF25)</f>
        <v>0</v>
      </c>
      <c r="AN25" s="132" t="n">
        <f aca="false">CHOOSE($G$3,AI25-AJ25,AJ25-AI25)</f>
        <v>0</v>
      </c>
      <c r="AO25" s="148" t="n">
        <f aca="false">SUM(AL25:AN25)</f>
        <v>0</v>
      </c>
      <c r="AQ25" s="132" t="n">
        <f aca="false">CHOOSE($G$3,AB25-AC25,AC25-AB25)</f>
        <v>0</v>
      </c>
      <c r="AR25" s="132" t="n">
        <f aca="false">CHOOSE($G$3,AE25-AF25,AF25-AE25)</f>
        <v>0</v>
      </c>
      <c r="AS25" s="132" t="n">
        <f aca="false">CHOOSE($G$3,AH25-AI25,AI25-AH25)</f>
        <v>0</v>
      </c>
      <c r="AT25" s="148" t="n">
        <f aca="false">AQ25+AR25+AS25</f>
        <v>0</v>
      </c>
      <c r="AU25" s="148"/>
      <c r="AV25" s="133" t="n">
        <f aca="false">AT25+AO25</f>
        <v>0</v>
      </c>
      <c r="AX25" s="133" t="n">
        <f aca="false">AJ25+AG25+AD25</f>
        <v>0</v>
      </c>
      <c r="AY25" s="149"/>
      <c r="AZ25" s="76" t="n">
        <f aca="false">R25*E25</f>
        <v>0</v>
      </c>
    </row>
    <row r="26" customFormat="false" ht="12.75" hidden="false" customHeight="false" outlineLevel="0" collapsed="false">
      <c r="A26" s="138" t="n">
        <f aca="false">EDATE(A25,1)</f>
        <v>37469</v>
      </c>
      <c r="B26" s="139" t="n">
        <f aca="false">VLOOKUP($A26,Table2,MATCH(I$3,Curves2,0))</f>
        <v>0</v>
      </c>
      <c r="C26" s="140"/>
      <c r="D26" s="141" t="n">
        <f aca="false">B26+C26</f>
        <v>0</v>
      </c>
      <c r="E26" s="126" t="n">
        <f aca="false">IF(Y26=0,0,IF(AND(Y26=1,$H$3=1),D26*T26,IF($H$3=2,D26,"N/A")))</f>
        <v>0</v>
      </c>
      <c r="F26" s="126" t="n">
        <f aca="false">E26*X26</f>
        <v>0</v>
      </c>
      <c r="G26" s="142" t="n">
        <f aca="false">VLOOKUP($A26,Table,MATCH(G$4,Curves,0))</f>
        <v>4.192</v>
      </c>
      <c r="H26" s="143" t="n">
        <f aca="false">G26</f>
        <v>4.192</v>
      </c>
      <c r="I26" s="142" t="n">
        <f aca="false">VLOOKUP($A26,Table1,MATCH(I$3,Curves1,0))</f>
        <v>0</v>
      </c>
      <c r="J26" s="142" t="n">
        <f aca="false">VLOOKUP($A26,Table,MATCH(J$4,Curves,0))</f>
        <v>-0.0225</v>
      </c>
      <c r="K26" s="143" t="n">
        <f aca="false">J26</f>
        <v>-0.0225</v>
      </c>
      <c r="L26" s="144" t="n">
        <v>0</v>
      </c>
      <c r="M26" s="142" t="n">
        <f aca="false">VLOOKUP($A26,Table,MATCH(M$4,Curves,0))</f>
        <v>0.0075</v>
      </c>
      <c r="N26" s="143" t="n">
        <f aca="false">M26</f>
        <v>0.0075</v>
      </c>
      <c r="O26" s="144" t="n">
        <v>0</v>
      </c>
      <c r="P26" s="145"/>
      <c r="Q26" s="144" t="n">
        <f aca="false">M26+J26+G26</f>
        <v>4.177</v>
      </c>
      <c r="R26" s="144" t="n">
        <f aca="false">O26+L26+I26</f>
        <v>0</v>
      </c>
      <c r="S26" s="145"/>
      <c r="T26" s="71" t="n">
        <f aca="false">A27-A26</f>
        <v>31</v>
      </c>
      <c r="U26" s="146" t="n">
        <f aca="false">CHOOSE(F$3,A27+24,A26)</f>
        <v>37524</v>
      </c>
      <c r="V26" s="71" t="n">
        <f aca="false">U26-C$3</f>
        <v>636</v>
      </c>
      <c r="W26" s="142" t="n">
        <f aca="false">VLOOKUP($A26,Table,MATCH(W$4,Curves,0))</f>
        <v>0.058351099221517</v>
      </c>
      <c r="X26" s="147" t="n">
        <f aca="false">1/(1+CHOOSE(F$3,(W27+($K$3/10000))/2,(W26+($K$3/10000))/2))^(2*V26/365.25)</f>
        <v>0.904817390947842</v>
      </c>
      <c r="Y26" s="71" t="n">
        <f aca="false">IF(AND(mthbeg&lt;=A26,mthend&gt;=A26),1,0)</f>
        <v>1</v>
      </c>
      <c r="Z26" s="71" t="n">
        <f aca="false">T26*Y26</f>
        <v>31</v>
      </c>
      <c r="AB26" s="132" t="n">
        <f aca="false">F26*G26</f>
        <v>0</v>
      </c>
      <c r="AC26" s="132" t="n">
        <f aca="false">$F26*H26</f>
        <v>0</v>
      </c>
      <c r="AD26" s="132" t="n">
        <f aca="false">$F26*I26</f>
        <v>0</v>
      </c>
      <c r="AE26" s="132" t="n">
        <f aca="false">$F26*J26</f>
        <v>-0</v>
      </c>
      <c r="AF26" s="132" t="n">
        <f aca="false">$F26*K26</f>
        <v>-0</v>
      </c>
      <c r="AG26" s="132" t="n">
        <f aca="false">$F26*L26</f>
        <v>0</v>
      </c>
      <c r="AH26" s="132" t="n">
        <f aca="false">$F26*M26</f>
        <v>0</v>
      </c>
      <c r="AI26" s="132" t="n">
        <f aca="false">$F26*N26</f>
        <v>0</v>
      </c>
      <c r="AJ26" s="132" t="n">
        <f aca="false">F26*O26</f>
        <v>0</v>
      </c>
      <c r="AK26" s="137"/>
      <c r="AL26" s="132" t="n">
        <f aca="false">CHOOSE($G$3,AC26-AD26,AD26-AC26)</f>
        <v>0</v>
      </c>
      <c r="AM26" s="132" t="n">
        <f aca="false">CHOOSE($G$3,AF26-AG26,AG26-AF26)</f>
        <v>0</v>
      </c>
      <c r="AN26" s="132" t="n">
        <f aca="false">CHOOSE($G$3,AI26-AJ26,AJ26-AI26)</f>
        <v>0</v>
      </c>
      <c r="AO26" s="148" t="n">
        <f aca="false">SUM(AL26:AN26)</f>
        <v>0</v>
      </c>
      <c r="AQ26" s="132" t="n">
        <f aca="false">CHOOSE($G$3,AB26-AC26,AC26-AB26)</f>
        <v>0</v>
      </c>
      <c r="AR26" s="132" t="n">
        <f aca="false">CHOOSE($G$3,AE26-AF26,AF26-AE26)</f>
        <v>0</v>
      </c>
      <c r="AS26" s="132" t="n">
        <f aca="false">CHOOSE($G$3,AH26-AI26,AI26-AH26)</f>
        <v>0</v>
      </c>
      <c r="AT26" s="148" t="n">
        <f aca="false">AQ26+AR26+AS26</f>
        <v>0</v>
      </c>
      <c r="AU26" s="148"/>
      <c r="AV26" s="133" t="n">
        <f aca="false">AT26+AO26</f>
        <v>0</v>
      </c>
      <c r="AX26" s="133" t="n">
        <f aca="false">AJ26+AG26+AD26</f>
        <v>0</v>
      </c>
      <c r="AY26" s="149"/>
      <c r="AZ26" s="76" t="n">
        <f aca="false">R26*E26</f>
        <v>0</v>
      </c>
    </row>
    <row r="27" customFormat="false" ht="12.75" hidden="false" customHeight="false" outlineLevel="0" collapsed="false">
      <c r="A27" s="138" t="n">
        <f aca="false">EDATE(A26,1)</f>
        <v>37500</v>
      </c>
      <c r="B27" s="139" t="n">
        <f aca="false">VLOOKUP($A27,Table2,MATCH(I$3,Curves2,0))</f>
        <v>0</v>
      </c>
      <c r="C27" s="140"/>
      <c r="D27" s="141" t="n">
        <f aca="false">B27+C27</f>
        <v>0</v>
      </c>
      <c r="E27" s="126" t="n">
        <f aca="false">IF(Y27=0,0,IF(AND(Y27=1,$H$3=1),D27*T27,IF($H$3=2,D27,"N/A")))</f>
        <v>0</v>
      </c>
      <c r="F27" s="126" t="n">
        <f aca="false">E27*X27</f>
        <v>0</v>
      </c>
      <c r="G27" s="142" t="n">
        <f aca="false">VLOOKUP($A27,Table,MATCH(G$4,Curves,0))</f>
        <v>4.187</v>
      </c>
      <c r="H27" s="143" t="n">
        <f aca="false">G27</f>
        <v>4.187</v>
      </c>
      <c r="I27" s="142" t="n">
        <f aca="false">VLOOKUP($A27,Table1,MATCH(I$3,Curves1,0))</f>
        <v>0</v>
      </c>
      <c r="J27" s="142" t="n">
        <f aca="false">VLOOKUP($A27,Table,MATCH(J$4,Curves,0))</f>
        <v>-0.0225</v>
      </c>
      <c r="K27" s="143" t="n">
        <f aca="false">J27</f>
        <v>-0.0225</v>
      </c>
      <c r="L27" s="144" t="n">
        <v>0</v>
      </c>
      <c r="M27" s="142" t="n">
        <f aca="false">VLOOKUP($A27,Table,MATCH(M$4,Curves,0))</f>
        <v>0.0075</v>
      </c>
      <c r="N27" s="143" t="n">
        <f aca="false">M27</f>
        <v>0.0075</v>
      </c>
      <c r="O27" s="144" t="n">
        <v>0</v>
      </c>
      <c r="P27" s="145"/>
      <c r="Q27" s="144" t="n">
        <f aca="false">M27+J27+G27</f>
        <v>4.172</v>
      </c>
      <c r="R27" s="144" t="n">
        <f aca="false">O27+L27+I27</f>
        <v>0</v>
      </c>
      <c r="S27" s="145"/>
      <c r="T27" s="71" t="n">
        <f aca="false">A28-A27</f>
        <v>30</v>
      </c>
      <c r="U27" s="146" t="n">
        <f aca="false">CHOOSE(F$3,A28+24,A27)</f>
        <v>37554</v>
      </c>
      <c r="V27" s="71" t="n">
        <f aca="false">U27-C$3</f>
        <v>666</v>
      </c>
      <c r="W27" s="142" t="n">
        <f aca="false">VLOOKUP($A27,Table,MATCH(W$4,Curves,0))</f>
        <v>0.058274805324013</v>
      </c>
      <c r="X27" s="147" t="n">
        <f aca="false">1/(1+CHOOSE(F$3,(W28+($K$3/10000))/2,(W27+($K$3/10000))/2))^(2*V27/365.25)</f>
        <v>0.900647616416714</v>
      </c>
      <c r="Y27" s="71" t="n">
        <f aca="false">IF(AND(mthbeg&lt;=A27,mthend&gt;=A27),1,0)</f>
        <v>1</v>
      </c>
      <c r="Z27" s="71" t="n">
        <f aca="false">T27*Y27</f>
        <v>30</v>
      </c>
      <c r="AB27" s="132" t="n">
        <f aca="false">F27*G27</f>
        <v>0</v>
      </c>
      <c r="AC27" s="132" t="n">
        <f aca="false">$F27*H27</f>
        <v>0</v>
      </c>
      <c r="AD27" s="132" t="n">
        <f aca="false">$F27*I27</f>
        <v>0</v>
      </c>
      <c r="AE27" s="132" t="n">
        <f aca="false">$F27*J27</f>
        <v>-0</v>
      </c>
      <c r="AF27" s="132" t="n">
        <f aca="false">$F27*K27</f>
        <v>-0</v>
      </c>
      <c r="AG27" s="132" t="n">
        <f aca="false">$F27*L27</f>
        <v>0</v>
      </c>
      <c r="AH27" s="132" t="n">
        <f aca="false">$F27*M27</f>
        <v>0</v>
      </c>
      <c r="AI27" s="132" t="n">
        <f aca="false">$F27*N27</f>
        <v>0</v>
      </c>
      <c r="AJ27" s="132" t="n">
        <f aca="false">F27*O27</f>
        <v>0</v>
      </c>
      <c r="AK27" s="137"/>
      <c r="AL27" s="132" t="n">
        <f aca="false">CHOOSE($G$3,AC27-AD27,AD27-AC27)</f>
        <v>0</v>
      </c>
      <c r="AM27" s="132" t="n">
        <f aca="false">CHOOSE($G$3,AF27-AG27,AG27-AF27)</f>
        <v>0</v>
      </c>
      <c r="AN27" s="132" t="n">
        <f aca="false">CHOOSE($G$3,AI27-AJ27,AJ27-AI27)</f>
        <v>0</v>
      </c>
      <c r="AO27" s="148" t="n">
        <f aca="false">SUM(AL27:AN27)</f>
        <v>0</v>
      </c>
      <c r="AQ27" s="132" t="n">
        <f aca="false">CHOOSE($G$3,AB27-AC27,AC27-AB27)</f>
        <v>0</v>
      </c>
      <c r="AR27" s="132" t="n">
        <f aca="false">CHOOSE($G$3,AE27-AF27,AF27-AE27)</f>
        <v>0</v>
      </c>
      <c r="AS27" s="132" t="n">
        <f aca="false">CHOOSE($G$3,AH27-AI27,AI27-AH27)</f>
        <v>0</v>
      </c>
      <c r="AT27" s="148" t="n">
        <f aca="false">AQ27+AR27+AS27</f>
        <v>0</v>
      </c>
      <c r="AU27" s="148"/>
      <c r="AV27" s="133" t="n">
        <f aca="false">AT27+AO27</f>
        <v>0</v>
      </c>
      <c r="AX27" s="133" t="n">
        <f aca="false">AJ27+AG27+AD27</f>
        <v>0</v>
      </c>
      <c r="AY27" s="149"/>
      <c r="AZ27" s="76" t="n">
        <f aca="false">R27*E27</f>
        <v>0</v>
      </c>
    </row>
    <row r="28" customFormat="false" ht="12.75" hidden="false" customHeight="false" outlineLevel="0" collapsed="false">
      <c r="A28" s="138" t="n">
        <f aca="false">EDATE(A27,1)</f>
        <v>37530</v>
      </c>
      <c r="B28" s="139" t="n">
        <f aca="false">VLOOKUP($A28,Table2,MATCH(I$3,Curves2,0))</f>
        <v>0</v>
      </c>
      <c r="C28" s="140"/>
      <c r="D28" s="141" t="n">
        <f aca="false">B28+C28</f>
        <v>0</v>
      </c>
      <c r="E28" s="126" t="n">
        <f aca="false">IF(Y28=0,0,IF(AND(Y28=1,$H$3=1),D28*T28,IF($H$3=2,D28,"N/A")))</f>
        <v>0</v>
      </c>
      <c r="F28" s="126" t="n">
        <f aca="false">E28*X28</f>
        <v>0</v>
      </c>
      <c r="G28" s="142" t="n">
        <f aca="false">VLOOKUP($A28,Table,MATCH(G$4,Curves,0))</f>
        <v>4.177</v>
      </c>
      <c r="H28" s="143" t="n">
        <f aca="false">G28</f>
        <v>4.177</v>
      </c>
      <c r="I28" s="142" t="n">
        <f aca="false">VLOOKUP($A28,Table1,MATCH(I$3,Curves1,0))</f>
        <v>0</v>
      </c>
      <c r="J28" s="142" t="n">
        <f aca="false">VLOOKUP($A28,Table,MATCH(J$4,Curves,0))</f>
        <v>-0.0225</v>
      </c>
      <c r="K28" s="143" t="n">
        <f aca="false">J28</f>
        <v>-0.0225</v>
      </c>
      <c r="L28" s="144" t="n">
        <v>0</v>
      </c>
      <c r="M28" s="142" t="n">
        <f aca="false">VLOOKUP($A28,Table,MATCH(M$4,Curves,0))</f>
        <v>0.0075</v>
      </c>
      <c r="N28" s="143" t="n">
        <f aca="false">M28</f>
        <v>0.0075</v>
      </c>
      <c r="O28" s="144" t="n">
        <v>0</v>
      </c>
      <c r="P28" s="145"/>
      <c r="Q28" s="144" t="n">
        <f aca="false">M28+J28+G28</f>
        <v>4.162</v>
      </c>
      <c r="R28" s="144" t="n">
        <f aca="false">O28+L28+I28</f>
        <v>0</v>
      </c>
      <c r="S28" s="145"/>
      <c r="T28" s="71" t="n">
        <f aca="false">A29-A28</f>
        <v>31</v>
      </c>
      <c r="U28" s="146" t="n">
        <f aca="false">CHOOSE(F$3,A29+24,A28)</f>
        <v>37585</v>
      </c>
      <c r="V28" s="71" t="n">
        <f aca="false">U28-C$3</f>
        <v>697</v>
      </c>
      <c r="W28" s="142" t="n">
        <f aca="false">VLOOKUP($A28,Table,MATCH(W$4,Curves,0))</f>
        <v>0.058218953805259</v>
      </c>
      <c r="X28" s="147" t="n">
        <f aca="false">1/(1+CHOOSE(F$3,(W29+($K$3/10000))/2,(W28+($K$3/10000))/2))^(2*V28/365.25)</f>
        <v>0.896324616124709</v>
      </c>
      <c r="Y28" s="71" t="n">
        <f aca="false">IF(AND(mthbeg&lt;=A28,mthend&gt;=A28),1,0)</f>
        <v>1</v>
      </c>
      <c r="Z28" s="71" t="n">
        <f aca="false">T28*Y28</f>
        <v>31</v>
      </c>
      <c r="AB28" s="132" t="n">
        <f aca="false">F28*G28</f>
        <v>0</v>
      </c>
      <c r="AC28" s="132" t="n">
        <f aca="false">$F28*H28</f>
        <v>0</v>
      </c>
      <c r="AD28" s="132" t="n">
        <f aca="false">$F28*I28</f>
        <v>0</v>
      </c>
      <c r="AE28" s="132" t="n">
        <f aca="false">$F28*J28</f>
        <v>-0</v>
      </c>
      <c r="AF28" s="132" t="n">
        <f aca="false">$F28*K28</f>
        <v>-0</v>
      </c>
      <c r="AG28" s="132" t="n">
        <f aca="false">$F28*L28</f>
        <v>0</v>
      </c>
      <c r="AH28" s="132" t="n">
        <f aca="false">$F28*M28</f>
        <v>0</v>
      </c>
      <c r="AI28" s="132" t="n">
        <f aca="false">$F28*N28</f>
        <v>0</v>
      </c>
      <c r="AJ28" s="132" t="n">
        <f aca="false">F28*O28</f>
        <v>0</v>
      </c>
      <c r="AK28" s="137"/>
      <c r="AL28" s="132" t="n">
        <f aca="false">CHOOSE($G$3,AC28-AD28,AD28-AC28)</f>
        <v>0</v>
      </c>
      <c r="AM28" s="132" t="n">
        <f aca="false">CHOOSE($G$3,AF28-AG28,AG28-AF28)</f>
        <v>0</v>
      </c>
      <c r="AN28" s="132" t="n">
        <f aca="false">CHOOSE($G$3,AI28-AJ28,AJ28-AI28)</f>
        <v>0</v>
      </c>
      <c r="AO28" s="148" t="n">
        <f aca="false">SUM(AL28:AN28)</f>
        <v>0</v>
      </c>
      <c r="AQ28" s="132" t="n">
        <f aca="false">CHOOSE($G$3,AB28-AC28,AC28-AB28)</f>
        <v>0</v>
      </c>
      <c r="AR28" s="132" t="n">
        <f aca="false">CHOOSE($G$3,AE28-AF28,AF28-AE28)</f>
        <v>0</v>
      </c>
      <c r="AS28" s="132" t="n">
        <f aca="false">CHOOSE($G$3,AH28-AI28,AI28-AH28)</f>
        <v>0</v>
      </c>
      <c r="AT28" s="148" t="n">
        <f aca="false">AQ28+AR28+AS28</f>
        <v>0</v>
      </c>
      <c r="AU28" s="148"/>
      <c r="AV28" s="133" t="n">
        <f aca="false">AT28+AO28</f>
        <v>0</v>
      </c>
      <c r="AX28" s="133" t="n">
        <f aca="false">AJ28+AG28+AD28</f>
        <v>0</v>
      </c>
      <c r="AY28" s="149"/>
      <c r="AZ28" s="76" t="n">
        <f aca="false">R28*E28</f>
        <v>0</v>
      </c>
    </row>
    <row r="29" customFormat="false" ht="12.75" hidden="false" customHeight="false" outlineLevel="0" collapsed="false">
      <c r="A29" s="138" t="n">
        <f aca="false">EDATE(A28,1)</f>
        <v>37561</v>
      </c>
      <c r="B29" s="139" t="n">
        <f aca="false">VLOOKUP($A29,Table2,MATCH(I$3,Curves2,0))</f>
        <v>0</v>
      </c>
      <c r="C29" s="140"/>
      <c r="D29" s="141" t="n">
        <f aca="false">B29+C29</f>
        <v>0</v>
      </c>
      <c r="E29" s="126" t="n">
        <f aca="false">IF(Y29=0,0,IF(AND(Y29=1,$H$3=1),D29*T29,IF($H$3=2,D29,"N/A")))</f>
        <v>0</v>
      </c>
      <c r="F29" s="126" t="n">
        <f aca="false">E29*X29</f>
        <v>0</v>
      </c>
      <c r="G29" s="142" t="n">
        <f aca="false">VLOOKUP($A29,Table,MATCH(G$4,Curves,0))</f>
        <v>4.267</v>
      </c>
      <c r="H29" s="143" t="n">
        <f aca="false">G29</f>
        <v>4.267</v>
      </c>
      <c r="I29" s="142" t="n">
        <f aca="false">VLOOKUP($A29,Table1,MATCH(I$3,Curves1,0))</f>
        <v>0</v>
      </c>
      <c r="J29" s="142" t="n">
        <f aca="false">VLOOKUP($A29,Table,MATCH(J$4,Curves,0))</f>
        <v>-0.028</v>
      </c>
      <c r="K29" s="143" t="n">
        <f aca="false">J29</f>
        <v>-0.028</v>
      </c>
      <c r="L29" s="144" t="n">
        <v>0</v>
      </c>
      <c r="M29" s="142" t="n">
        <f aca="false">VLOOKUP($A29,Table,MATCH(M$4,Curves,0))</f>
        <v>0.0075</v>
      </c>
      <c r="N29" s="143" t="n">
        <f aca="false">M29</f>
        <v>0.0075</v>
      </c>
      <c r="O29" s="144" t="n">
        <v>0</v>
      </c>
      <c r="P29" s="145"/>
      <c r="Q29" s="144" t="n">
        <f aca="false">M29+J29+G29</f>
        <v>4.2465</v>
      </c>
      <c r="R29" s="144" t="n">
        <f aca="false">O29+L29+I29</f>
        <v>0</v>
      </c>
      <c r="S29" s="145"/>
      <c r="T29" s="71" t="n">
        <f aca="false">A30-A29</f>
        <v>30</v>
      </c>
      <c r="U29" s="146" t="n">
        <f aca="false">CHOOSE(F$3,A30+24,A29)</f>
        <v>37615</v>
      </c>
      <c r="V29" s="71" t="n">
        <f aca="false">U29-C$3</f>
        <v>727</v>
      </c>
      <c r="W29" s="142" t="n">
        <f aca="false">VLOOKUP($A29,Table,MATCH(W$4,Curves,0))</f>
        <v>0.058187001200475</v>
      </c>
      <c r="X29" s="147" t="n">
        <f aca="false">1/(1+CHOOSE(F$3,(W30+($K$3/10000))/2,(W29+($K$3/10000))/2))^(2*V29/365.25)</f>
        <v>0.892165302986719</v>
      </c>
      <c r="Y29" s="71" t="n">
        <f aca="false">IF(AND(mthbeg&lt;=A29,mthend&gt;=A29),1,0)</f>
        <v>1</v>
      </c>
      <c r="Z29" s="71" t="n">
        <f aca="false">T29*Y29</f>
        <v>30</v>
      </c>
      <c r="AB29" s="132" t="n">
        <f aca="false">F29*G29</f>
        <v>0</v>
      </c>
      <c r="AC29" s="132" t="n">
        <f aca="false">$F29*H29</f>
        <v>0</v>
      </c>
      <c r="AD29" s="132" t="n">
        <f aca="false">$F29*I29</f>
        <v>0</v>
      </c>
      <c r="AE29" s="132" t="n">
        <f aca="false">$F29*J29</f>
        <v>-0</v>
      </c>
      <c r="AF29" s="132" t="n">
        <f aca="false">$F29*K29</f>
        <v>-0</v>
      </c>
      <c r="AG29" s="132" t="n">
        <f aca="false">$F29*L29</f>
        <v>0</v>
      </c>
      <c r="AH29" s="132" t="n">
        <f aca="false">$F29*M29</f>
        <v>0</v>
      </c>
      <c r="AI29" s="132" t="n">
        <f aca="false">$F29*N29</f>
        <v>0</v>
      </c>
      <c r="AJ29" s="132" t="n">
        <f aca="false">F29*O29</f>
        <v>0</v>
      </c>
      <c r="AK29" s="137"/>
      <c r="AL29" s="132" t="n">
        <f aca="false">CHOOSE($G$3,AC29-AD29,AD29-AC29)</f>
        <v>0</v>
      </c>
      <c r="AM29" s="132" t="n">
        <f aca="false">CHOOSE($G$3,AF29-AG29,AG29-AF29)</f>
        <v>0</v>
      </c>
      <c r="AN29" s="132" t="n">
        <f aca="false">CHOOSE($G$3,AI29-AJ29,AJ29-AI29)</f>
        <v>0</v>
      </c>
      <c r="AO29" s="148" t="n">
        <f aca="false">SUM(AL29:AN29)</f>
        <v>0</v>
      </c>
      <c r="AQ29" s="132" t="n">
        <f aca="false">CHOOSE($G$3,AB29-AC29,AC29-AB29)</f>
        <v>0</v>
      </c>
      <c r="AR29" s="132" t="n">
        <f aca="false">CHOOSE($G$3,AE29-AF29,AF29-AE29)</f>
        <v>0</v>
      </c>
      <c r="AS29" s="132" t="n">
        <f aca="false">CHOOSE($G$3,AH29-AI29,AI29-AH29)</f>
        <v>0</v>
      </c>
      <c r="AT29" s="148" t="n">
        <f aca="false">AQ29+AR29+AS29</f>
        <v>0</v>
      </c>
      <c r="AU29" s="148"/>
      <c r="AV29" s="133" t="n">
        <f aca="false">AT29+AO29</f>
        <v>0</v>
      </c>
      <c r="AX29" s="133" t="n">
        <f aca="false">AJ29+AG29+AD29</f>
        <v>0</v>
      </c>
      <c r="AY29" s="149"/>
      <c r="AZ29" s="76" t="n">
        <f aca="false">R29*E29</f>
        <v>0</v>
      </c>
    </row>
    <row r="30" customFormat="false" ht="12.75" hidden="false" customHeight="false" outlineLevel="0" collapsed="false">
      <c r="A30" s="138" t="n">
        <f aca="false">EDATE(A29,1)</f>
        <v>37591</v>
      </c>
      <c r="B30" s="139" t="n">
        <f aca="false">VLOOKUP($A30,Table2,MATCH(I$3,Curves2,0))</f>
        <v>0</v>
      </c>
      <c r="C30" s="140"/>
      <c r="D30" s="141" t="n">
        <f aca="false">B30+C30</f>
        <v>0</v>
      </c>
      <c r="E30" s="126" t="n">
        <f aca="false">IF(Y30=0,0,IF(AND(Y30=1,$H$3=1),D30*T30,IF($H$3=2,D30,"N/A")))</f>
        <v>0</v>
      </c>
      <c r="F30" s="126" t="n">
        <f aca="false">E30*X30</f>
        <v>0</v>
      </c>
      <c r="G30" s="142" t="n">
        <f aca="false">VLOOKUP($A30,Table,MATCH(G$4,Curves,0))</f>
        <v>4.36</v>
      </c>
      <c r="H30" s="143" t="n">
        <f aca="false">G30</f>
        <v>4.36</v>
      </c>
      <c r="I30" s="142" t="n">
        <f aca="false">VLOOKUP($A30,Table1,MATCH(I$3,Curves1,0))</f>
        <v>0</v>
      </c>
      <c r="J30" s="142" t="n">
        <f aca="false">VLOOKUP($A30,Table,MATCH(J$4,Curves,0))</f>
        <v>-0.028</v>
      </c>
      <c r="K30" s="143" t="n">
        <f aca="false">J30</f>
        <v>-0.028</v>
      </c>
      <c r="L30" s="144" t="n">
        <v>0</v>
      </c>
      <c r="M30" s="142" t="n">
        <f aca="false">VLOOKUP($A30,Table,MATCH(M$4,Curves,0))</f>
        <v>0.0075</v>
      </c>
      <c r="N30" s="143" t="n">
        <f aca="false">M30</f>
        <v>0.0075</v>
      </c>
      <c r="O30" s="144" t="n">
        <v>0</v>
      </c>
      <c r="P30" s="145"/>
      <c r="Q30" s="144" t="n">
        <f aca="false">M30+J30+G30</f>
        <v>4.3395</v>
      </c>
      <c r="R30" s="144" t="n">
        <f aca="false">O30+L30+I30</f>
        <v>0</v>
      </c>
      <c r="S30" s="145"/>
      <c r="T30" s="71" t="n">
        <f aca="false">A31-A30</f>
        <v>31</v>
      </c>
      <c r="U30" s="146" t="n">
        <f aca="false">CHOOSE(F$3,A31+24,A30)</f>
        <v>37646</v>
      </c>
      <c r="V30" s="71" t="n">
        <f aca="false">U30-C$3</f>
        <v>758</v>
      </c>
      <c r="W30" s="142" t="n">
        <f aca="false">VLOOKUP($A30,Table,MATCH(W$4,Curves,0))</f>
        <v>0.058156079325201</v>
      </c>
      <c r="X30" s="147" t="n">
        <f aca="false">1/(1+CHOOSE(F$3,(W31+($K$3/10000))/2,(W30+($K$3/10000))/2))^(2*V30/365.25)</f>
        <v>0.887849539555606</v>
      </c>
      <c r="Y30" s="71" t="n">
        <f aca="false">IF(AND(mthbeg&lt;=A30,mthend&gt;=A30),1,0)</f>
        <v>1</v>
      </c>
      <c r="Z30" s="71" t="n">
        <f aca="false">T30*Y30</f>
        <v>31</v>
      </c>
      <c r="AB30" s="132" t="n">
        <f aca="false">F30*G30</f>
        <v>0</v>
      </c>
      <c r="AC30" s="132" t="n">
        <f aca="false">$F30*H30</f>
        <v>0</v>
      </c>
      <c r="AD30" s="132" t="n">
        <f aca="false">$F30*I30</f>
        <v>0</v>
      </c>
      <c r="AE30" s="132" t="n">
        <f aca="false">$F30*J30</f>
        <v>-0</v>
      </c>
      <c r="AF30" s="132" t="n">
        <f aca="false">$F30*K30</f>
        <v>-0</v>
      </c>
      <c r="AG30" s="132" t="n">
        <f aca="false">$F30*L30</f>
        <v>0</v>
      </c>
      <c r="AH30" s="132" t="n">
        <f aca="false">$F30*M30</f>
        <v>0</v>
      </c>
      <c r="AI30" s="132" t="n">
        <f aca="false">$F30*N30</f>
        <v>0</v>
      </c>
      <c r="AJ30" s="132" t="n">
        <f aca="false">F30*O30</f>
        <v>0</v>
      </c>
      <c r="AK30" s="137"/>
      <c r="AL30" s="132" t="n">
        <f aca="false">CHOOSE($G$3,AC30-AD30,AD30-AC30)</f>
        <v>0</v>
      </c>
      <c r="AM30" s="132" t="n">
        <f aca="false">CHOOSE($G$3,AF30-AG30,AG30-AF30)</f>
        <v>0</v>
      </c>
      <c r="AN30" s="132" t="n">
        <f aca="false">CHOOSE($G$3,AI30-AJ30,AJ30-AI30)</f>
        <v>0</v>
      </c>
      <c r="AO30" s="148" t="n">
        <f aca="false">SUM(AL30:AN30)</f>
        <v>0</v>
      </c>
      <c r="AQ30" s="132" t="n">
        <f aca="false">CHOOSE($G$3,AB30-AC30,AC30-AB30)</f>
        <v>0</v>
      </c>
      <c r="AR30" s="132" t="n">
        <f aca="false">CHOOSE($G$3,AE30-AF30,AF30-AE30)</f>
        <v>0</v>
      </c>
      <c r="AS30" s="132" t="n">
        <f aca="false">CHOOSE($G$3,AH30-AI30,AI30-AH30)</f>
        <v>0</v>
      </c>
      <c r="AT30" s="148" t="n">
        <f aca="false">AQ30+AR30+AS30</f>
        <v>0</v>
      </c>
      <c r="AU30" s="148"/>
      <c r="AV30" s="133" t="n">
        <f aca="false">AT30+AO30</f>
        <v>0</v>
      </c>
      <c r="AX30" s="133" t="n">
        <f aca="false">AJ30+AG30+AD30</f>
        <v>0</v>
      </c>
      <c r="AY30" s="149"/>
      <c r="AZ30" s="76" t="n">
        <f aca="false">R30*E30</f>
        <v>0</v>
      </c>
    </row>
    <row r="31" customFormat="false" ht="12.75" hidden="false" customHeight="false" outlineLevel="0" collapsed="false">
      <c r="A31" s="138" t="n">
        <f aca="false">EDATE(A30,1)</f>
        <v>37622</v>
      </c>
      <c r="B31" s="139" t="n">
        <f aca="false">VLOOKUP($A31,Table2,MATCH(I$3,Curves2,0))</f>
        <v>0</v>
      </c>
      <c r="C31" s="140"/>
      <c r="D31" s="141" t="n">
        <f aca="false">B31+C31</f>
        <v>0</v>
      </c>
      <c r="E31" s="126" t="n">
        <f aca="false">IF(Y31=0,0,IF(AND(Y31=1,$H$3=1),D31*T31,IF($H$3=2,D31,"N/A")))</f>
        <v>0</v>
      </c>
      <c r="F31" s="126" t="n">
        <f aca="false">E31*X31</f>
        <v>0</v>
      </c>
      <c r="G31" s="142" t="n">
        <f aca="false">VLOOKUP($A31,Table,MATCH(G$4,Curves,0))</f>
        <v>4.382</v>
      </c>
      <c r="H31" s="143" t="n">
        <f aca="false">G31</f>
        <v>4.382</v>
      </c>
      <c r="I31" s="142" t="n">
        <f aca="false">VLOOKUP($A31,Table1,MATCH(I$3,Curves1,0))</f>
        <v>0</v>
      </c>
      <c r="J31" s="142" t="n">
        <f aca="false">VLOOKUP($A31,Table,MATCH(J$4,Curves,0))</f>
        <v>-0.0225</v>
      </c>
      <c r="K31" s="143" t="n">
        <f aca="false">J31</f>
        <v>-0.0225</v>
      </c>
      <c r="L31" s="144" t="n">
        <v>0</v>
      </c>
      <c r="M31" s="142" t="n">
        <f aca="false">VLOOKUP($A31,Table,MATCH(M$4,Curves,0))</f>
        <v>0.0075</v>
      </c>
      <c r="N31" s="143" t="n">
        <f aca="false">M31</f>
        <v>0.0075</v>
      </c>
      <c r="O31" s="144" t="n">
        <v>0</v>
      </c>
      <c r="P31" s="145"/>
      <c r="Q31" s="144" t="n">
        <f aca="false">M31+J31+G31</f>
        <v>4.367</v>
      </c>
      <c r="R31" s="144" t="n">
        <f aca="false">O31+L31+I31</f>
        <v>0</v>
      </c>
      <c r="S31" s="145"/>
      <c r="T31" s="71" t="n">
        <f aca="false">A32-A31</f>
        <v>31</v>
      </c>
      <c r="U31" s="146" t="n">
        <f aca="false">CHOOSE(F$3,A32+24,A31)</f>
        <v>37677</v>
      </c>
      <c r="V31" s="71" t="n">
        <f aca="false">U31-C$3</f>
        <v>789</v>
      </c>
      <c r="W31" s="142" t="n">
        <f aca="false">VLOOKUP($A31,Table,MATCH(W$4,Curves,0))</f>
        <v>0.058147967103</v>
      </c>
      <c r="X31" s="147" t="n">
        <f aca="false">1/(1+CHOOSE(F$3,(W32+($K$3/10000))/2,(W31+($K$3/10000))/2))^(2*V31/365.25)</f>
        <v>0.883502145530632</v>
      </c>
      <c r="Y31" s="71" t="n">
        <f aca="false">IF(AND(mthbeg&lt;=A31,mthend&gt;=A31),1,0)</f>
        <v>1</v>
      </c>
      <c r="Z31" s="71" t="n">
        <f aca="false">T31*Y31</f>
        <v>31</v>
      </c>
      <c r="AB31" s="132" t="n">
        <f aca="false">F31*G31</f>
        <v>0</v>
      </c>
      <c r="AC31" s="132" t="n">
        <f aca="false">$F31*H31</f>
        <v>0</v>
      </c>
      <c r="AD31" s="132" t="n">
        <f aca="false">$F31*I31</f>
        <v>0</v>
      </c>
      <c r="AE31" s="132" t="n">
        <f aca="false">$F31*J31</f>
        <v>-0</v>
      </c>
      <c r="AF31" s="132" t="n">
        <f aca="false">$F31*K31</f>
        <v>-0</v>
      </c>
      <c r="AG31" s="132" t="n">
        <f aca="false">$F31*L31</f>
        <v>0</v>
      </c>
      <c r="AH31" s="132" t="n">
        <f aca="false">$F31*M31</f>
        <v>0</v>
      </c>
      <c r="AI31" s="132" t="n">
        <f aca="false">$F31*N31</f>
        <v>0</v>
      </c>
      <c r="AJ31" s="132" t="n">
        <f aca="false">F31*O31</f>
        <v>0</v>
      </c>
      <c r="AK31" s="137"/>
      <c r="AL31" s="132" t="n">
        <f aca="false">CHOOSE($G$3,AC31-AD31,AD31-AC31)</f>
        <v>0</v>
      </c>
      <c r="AM31" s="132" t="n">
        <f aca="false">CHOOSE($G$3,AF31-AG31,AG31-AF31)</f>
        <v>0</v>
      </c>
      <c r="AN31" s="132" t="n">
        <f aca="false">CHOOSE($G$3,AI31-AJ31,AJ31-AI31)</f>
        <v>0</v>
      </c>
      <c r="AO31" s="148" t="n">
        <f aca="false">SUM(AL31:AN31)</f>
        <v>0</v>
      </c>
      <c r="AQ31" s="132" t="n">
        <f aca="false">CHOOSE($G$3,AB31-AC31,AC31-AB31)</f>
        <v>0</v>
      </c>
      <c r="AR31" s="132" t="n">
        <f aca="false">CHOOSE($G$3,AE31-AF31,AF31-AE31)</f>
        <v>0</v>
      </c>
      <c r="AS31" s="132" t="n">
        <f aca="false">CHOOSE($G$3,AH31-AI31,AI31-AH31)</f>
        <v>0</v>
      </c>
      <c r="AT31" s="148" t="n">
        <f aca="false">AQ31+AR31+AS31</f>
        <v>0</v>
      </c>
      <c r="AU31" s="148"/>
      <c r="AV31" s="133" t="n">
        <f aca="false">AT31+AO31</f>
        <v>0</v>
      </c>
      <c r="AX31" s="133" t="n">
        <f aca="false">AJ31+AG31+AD31</f>
        <v>0</v>
      </c>
      <c r="AY31" s="149"/>
      <c r="AZ31" s="76" t="n">
        <f aca="false">R31*E31</f>
        <v>0</v>
      </c>
    </row>
    <row r="32" customFormat="false" ht="12.75" hidden="false" customHeight="false" outlineLevel="0" collapsed="false">
      <c r="A32" s="138" t="n">
        <f aca="false">EDATE(A31,1)</f>
        <v>37653</v>
      </c>
      <c r="B32" s="139" t="n">
        <f aca="false">VLOOKUP($A32,Table2,MATCH(I$3,Curves2,0))</f>
        <v>0</v>
      </c>
      <c r="C32" s="140"/>
      <c r="D32" s="141" t="n">
        <f aca="false">B32+C32</f>
        <v>0</v>
      </c>
      <c r="E32" s="126" t="n">
        <f aca="false">IF(Y32=0,0,IF(AND(Y32=1,$H$3=1),D32*T32,IF($H$3=2,D32,"N/A")))</f>
        <v>0</v>
      </c>
      <c r="F32" s="126" t="n">
        <f aca="false">E32*X32</f>
        <v>0</v>
      </c>
      <c r="G32" s="142" t="n">
        <f aca="false">VLOOKUP($A32,Table,MATCH(G$4,Curves,0))</f>
        <v>4.227</v>
      </c>
      <c r="H32" s="143" t="n">
        <f aca="false">G32</f>
        <v>4.227</v>
      </c>
      <c r="I32" s="142" t="n">
        <f aca="false">VLOOKUP($A32,Table1,MATCH(I$3,Curves1,0))</f>
        <v>0</v>
      </c>
      <c r="J32" s="142" t="n">
        <f aca="false">VLOOKUP($A32,Table,MATCH(J$4,Curves,0))</f>
        <v>-0.0225</v>
      </c>
      <c r="K32" s="143" t="n">
        <f aca="false">J32</f>
        <v>-0.0225</v>
      </c>
      <c r="L32" s="144" t="n">
        <v>0</v>
      </c>
      <c r="M32" s="142" t="n">
        <f aca="false">VLOOKUP($A32,Table,MATCH(M$4,Curves,0))</f>
        <v>0.0075</v>
      </c>
      <c r="N32" s="143" t="n">
        <f aca="false">M32</f>
        <v>0.0075</v>
      </c>
      <c r="O32" s="144" t="n">
        <v>0</v>
      </c>
      <c r="P32" s="145"/>
      <c r="Q32" s="144" t="n">
        <f aca="false">M32+J32+G32</f>
        <v>4.212</v>
      </c>
      <c r="R32" s="144" t="n">
        <f aca="false">O32+L32+I32</f>
        <v>0</v>
      </c>
      <c r="S32" s="145"/>
      <c r="T32" s="71" t="n">
        <f aca="false">A33-A32</f>
        <v>28</v>
      </c>
      <c r="U32" s="146" t="n">
        <f aca="false">CHOOSE(F$3,A33+24,A32)</f>
        <v>37705</v>
      </c>
      <c r="V32" s="71" t="n">
        <f aca="false">U32-C$3</f>
        <v>817</v>
      </c>
      <c r="W32" s="142" t="n">
        <f aca="false">VLOOKUP($A32,Table,MATCH(W$4,Curves,0))</f>
        <v>0.058168803916155</v>
      </c>
      <c r="X32" s="147" t="n">
        <f aca="false">1/(1+CHOOSE(F$3,(W33+($K$3/10000))/2,(W32+($K$3/10000))/2))^(2*V32/365.25)</f>
        <v>0.87959116860681</v>
      </c>
      <c r="Y32" s="71" t="n">
        <f aca="false">IF(AND(mthbeg&lt;=A32,mthend&gt;=A32),1,0)</f>
        <v>1</v>
      </c>
      <c r="Z32" s="71" t="n">
        <f aca="false">T32*Y32</f>
        <v>28</v>
      </c>
      <c r="AB32" s="132" t="n">
        <f aca="false">F32*G32</f>
        <v>0</v>
      </c>
      <c r="AC32" s="132" t="n">
        <f aca="false">$F32*H32</f>
        <v>0</v>
      </c>
      <c r="AD32" s="132" t="n">
        <f aca="false">$F32*I32</f>
        <v>0</v>
      </c>
      <c r="AE32" s="132" t="n">
        <f aca="false">$F32*J32</f>
        <v>-0</v>
      </c>
      <c r="AF32" s="132" t="n">
        <f aca="false">$F32*K32</f>
        <v>-0</v>
      </c>
      <c r="AG32" s="132" t="n">
        <f aca="false">$F32*L32</f>
        <v>0</v>
      </c>
      <c r="AH32" s="132" t="n">
        <f aca="false">$F32*M32</f>
        <v>0</v>
      </c>
      <c r="AI32" s="132" t="n">
        <f aca="false">$F32*N32</f>
        <v>0</v>
      </c>
      <c r="AJ32" s="132" t="n">
        <f aca="false">F32*O32</f>
        <v>0</v>
      </c>
      <c r="AK32" s="137"/>
      <c r="AL32" s="132" t="n">
        <f aca="false">CHOOSE($G$3,AC32-AD32,AD32-AC32)</f>
        <v>0</v>
      </c>
      <c r="AM32" s="132" t="n">
        <f aca="false">CHOOSE($G$3,AF32-AG32,AG32-AF32)</f>
        <v>0</v>
      </c>
      <c r="AN32" s="132" t="n">
        <f aca="false">CHOOSE($G$3,AI32-AJ32,AJ32-AI32)</f>
        <v>0</v>
      </c>
      <c r="AO32" s="148" t="n">
        <f aca="false">SUM(AL32:AN32)</f>
        <v>0</v>
      </c>
      <c r="AQ32" s="132" t="n">
        <f aca="false">CHOOSE($G$3,AB32-AC32,AC32-AB32)</f>
        <v>0</v>
      </c>
      <c r="AR32" s="132" t="n">
        <f aca="false">CHOOSE($G$3,AE32-AF32,AF32-AE32)</f>
        <v>0</v>
      </c>
      <c r="AS32" s="132" t="n">
        <f aca="false">CHOOSE($G$3,AH32-AI32,AI32-AH32)</f>
        <v>0</v>
      </c>
      <c r="AT32" s="148" t="n">
        <f aca="false">AQ32+AR32+AS32</f>
        <v>0</v>
      </c>
      <c r="AU32" s="148"/>
      <c r="AV32" s="133" t="n">
        <f aca="false">AT32+AO32</f>
        <v>0</v>
      </c>
      <c r="AX32" s="133" t="n">
        <f aca="false">AJ32+AG32+AD32</f>
        <v>0</v>
      </c>
      <c r="AY32" s="149"/>
      <c r="AZ32" s="76" t="n">
        <f aca="false">R32*E32</f>
        <v>0</v>
      </c>
    </row>
    <row r="33" customFormat="false" ht="12.75" hidden="false" customHeight="false" outlineLevel="0" collapsed="false">
      <c r="A33" s="138" t="n">
        <f aca="false">EDATE(A32,1)</f>
        <v>37681</v>
      </c>
      <c r="B33" s="139" t="n">
        <f aca="false">VLOOKUP($A33,Table2,MATCH(I$3,Curves2,0))</f>
        <v>0</v>
      </c>
      <c r="C33" s="140"/>
      <c r="D33" s="141" t="n">
        <f aca="false">B33+C33</f>
        <v>0</v>
      </c>
      <c r="E33" s="126" t="n">
        <f aca="false">IF(Y33=0,0,IF(AND(Y33=1,$H$3=1),D33*T33,IF($H$3=2,D33,"N/A")))</f>
        <v>0</v>
      </c>
      <c r="F33" s="126" t="n">
        <f aca="false">E33*X33</f>
        <v>0</v>
      </c>
      <c r="G33" s="142" t="n">
        <f aca="false">VLOOKUP($A33,Table,MATCH(G$4,Curves,0))</f>
        <v>4.027</v>
      </c>
      <c r="H33" s="143" t="n">
        <f aca="false">G33</f>
        <v>4.027</v>
      </c>
      <c r="I33" s="142" t="n">
        <f aca="false">VLOOKUP($A33,Table1,MATCH(I$3,Curves1,0))</f>
        <v>0</v>
      </c>
      <c r="J33" s="142" t="n">
        <f aca="false">VLOOKUP($A33,Table,MATCH(J$4,Curves,0))</f>
        <v>-0.0225</v>
      </c>
      <c r="K33" s="143" t="n">
        <f aca="false">J33</f>
        <v>-0.0225</v>
      </c>
      <c r="L33" s="144" t="n">
        <v>0</v>
      </c>
      <c r="M33" s="142" t="n">
        <f aca="false">VLOOKUP($A33,Table,MATCH(M$4,Curves,0))</f>
        <v>0.0075</v>
      </c>
      <c r="N33" s="143" t="n">
        <f aca="false">M33</f>
        <v>0.0075</v>
      </c>
      <c r="O33" s="144" t="n">
        <v>0</v>
      </c>
      <c r="P33" s="145"/>
      <c r="Q33" s="144" t="n">
        <f aca="false">M33+J33+G33</f>
        <v>4.012</v>
      </c>
      <c r="R33" s="144" t="n">
        <f aca="false">O33+L33+I33</f>
        <v>0</v>
      </c>
      <c r="S33" s="145"/>
      <c r="T33" s="71" t="n">
        <f aca="false">A34-A33</f>
        <v>31</v>
      </c>
      <c r="U33" s="146" t="n">
        <f aca="false">CHOOSE(F$3,A34+24,A33)</f>
        <v>37736</v>
      </c>
      <c r="V33" s="71" t="n">
        <f aca="false">U33-C$3</f>
        <v>848</v>
      </c>
      <c r="W33" s="142" t="n">
        <f aca="false">VLOOKUP($A33,Table,MATCH(W$4,Curves,0))</f>
        <v>0.058187624263651</v>
      </c>
      <c r="X33" s="147" t="n">
        <f aca="false">1/(1+CHOOSE(F$3,(W34+($K$3/10000))/2,(W33+($K$3/10000))/2))^(2*V33/365.25)</f>
        <v>0.875291529453389</v>
      </c>
      <c r="Y33" s="71" t="n">
        <f aca="false">IF(AND(mthbeg&lt;=A33,mthend&gt;=A33),1,0)</f>
        <v>1</v>
      </c>
      <c r="Z33" s="71" t="n">
        <f aca="false">T33*Y33</f>
        <v>31</v>
      </c>
      <c r="AB33" s="132" t="n">
        <f aca="false">F33*G33</f>
        <v>0</v>
      </c>
      <c r="AC33" s="132" t="n">
        <f aca="false">$F33*H33</f>
        <v>0</v>
      </c>
      <c r="AD33" s="132" t="n">
        <f aca="false">$F33*I33</f>
        <v>0</v>
      </c>
      <c r="AE33" s="132" t="n">
        <f aca="false">$F33*J33</f>
        <v>-0</v>
      </c>
      <c r="AF33" s="132" t="n">
        <f aca="false">$F33*K33</f>
        <v>-0</v>
      </c>
      <c r="AG33" s="132" t="n">
        <f aca="false">$F33*L33</f>
        <v>0</v>
      </c>
      <c r="AH33" s="132" t="n">
        <f aca="false">$F33*M33</f>
        <v>0</v>
      </c>
      <c r="AI33" s="132" t="n">
        <f aca="false">$F33*N33</f>
        <v>0</v>
      </c>
      <c r="AJ33" s="132" t="n">
        <f aca="false">F33*O33</f>
        <v>0</v>
      </c>
      <c r="AK33" s="137"/>
      <c r="AL33" s="132" t="n">
        <f aca="false">CHOOSE($G$3,AC33-AD33,AD33-AC33)</f>
        <v>0</v>
      </c>
      <c r="AM33" s="132" t="n">
        <f aca="false">CHOOSE($G$3,AF33-AG33,AG33-AF33)</f>
        <v>0</v>
      </c>
      <c r="AN33" s="132" t="n">
        <f aca="false">CHOOSE($G$3,AI33-AJ33,AJ33-AI33)</f>
        <v>0</v>
      </c>
      <c r="AO33" s="148" t="n">
        <f aca="false">SUM(AL33:AN33)</f>
        <v>0</v>
      </c>
      <c r="AQ33" s="132" t="n">
        <f aca="false">CHOOSE($G$3,AB33-AC33,AC33-AB33)</f>
        <v>0</v>
      </c>
      <c r="AR33" s="132" t="n">
        <f aca="false">CHOOSE($G$3,AE33-AF33,AF33-AE33)</f>
        <v>0</v>
      </c>
      <c r="AS33" s="132" t="n">
        <f aca="false">CHOOSE($G$3,AH33-AI33,AI33-AH33)</f>
        <v>0</v>
      </c>
      <c r="AT33" s="148" t="n">
        <f aca="false">AQ33+AR33+AS33</f>
        <v>0</v>
      </c>
      <c r="AU33" s="148"/>
      <c r="AV33" s="133" t="n">
        <f aca="false">AT33+AO33</f>
        <v>0</v>
      </c>
      <c r="AX33" s="133" t="n">
        <f aca="false">AJ33+AG33+AD33</f>
        <v>0</v>
      </c>
      <c r="AY33" s="149"/>
      <c r="AZ33" s="76" t="n">
        <f aca="false">R33*E33</f>
        <v>0</v>
      </c>
    </row>
    <row r="34" customFormat="false" ht="12.75" hidden="false" customHeight="false" outlineLevel="0" collapsed="false">
      <c r="A34" s="138" t="n">
        <f aca="false">EDATE(A33,1)</f>
        <v>37712</v>
      </c>
      <c r="B34" s="139" t="n">
        <f aca="false">VLOOKUP($A34,Table2,MATCH(I$3,Curves2,0))</f>
        <v>0</v>
      </c>
      <c r="C34" s="140"/>
      <c r="D34" s="141" t="n">
        <f aca="false">B34+C34</f>
        <v>0</v>
      </c>
      <c r="E34" s="126" t="n">
        <f aca="false">IF(Y34=0,0,IF(AND(Y34=1,$H$3=1),D34*T34,IF($H$3=2,D34,"N/A")))</f>
        <v>0</v>
      </c>
      <c r="F34" s="126" t="n">
        <f aca="false">E34*X34</f>
        <v>0</v>
      </c>
      <c r="G34" s="142" t="n">
        <f aca="false">VLOOKUP($A34,Table,MATCH(G$4,Curves,0))</f>
        <v>3.792</v>
      </c>
      <c r="H34" s="143" t="n">
        <f aca="false">G34</f>
        <v>3.792</v>
      </c>
      <c r="I34" s="142" t="n">
        <f aca="false">VLOOKUP($A34,Table1,MATCH(I$3,Curves1,0))</f>
        <v>0</v>
      </c>
      <c r="J34" s="142" t="n">
        <f aca="false">VLOOKUP($A34,Table,MATCH(J$4,Curves,0))</f>
        <v>-0.0225</v>
      </c>
      <c r="K34" s="143" t="n">
        <f aca="false">J34</f>
        <v>-0.0225</v>
      </c>
      <c r="L34" s="144" t="n">
        <v>0</v>
      </c>
      <c r="M34" s="142" t="n">
        <f aca="false">VLOOKUP($A34,Table,MATCH(M$4,Curves,0))</f>
        <v>0.0075</v>
      </c>
      <c r="N34" s="143" t="n">
        <f aca="false">M34</f>
        <v>0.0075</v>
      </c>
      <c r="O34" s="144" t="n">
        <v>0</v>
      </c>
      <c r="P34" s="145"/>
      <c r="Q34" s="144" t="n">
        <f aca="false">M34+J34+G34</f>
        <v>3.777</v>
      </c>
      <c r="R34" s="144" t="n">
        <f aca="false">O34+L34+I34</f>
        <v>0</v>
      </c>
      <c r="S34" s="145"/>
      <c r="T34" s="71" t="n">
        <f aca="false">A35-A34</f>
        <v>30</v>
      </c>
      <c r="U34" s="146" t="n">
        <f aca="false">CHOOSE(F$3,A35+24,A34)</f>
        <v>37766</v>
      </c>
      <c r="V34" s="71" t="n">
        <f aca="false">U34-C$3</f>
        <v>878</v>
      </c>
      <c r="W34" s="142" t="n">
        <f aca="false">VLOOKUP($A34,Table,MATCH(W$4,Curves,0))</f>
        <v>0.058201856354669</v>
      </c>
      <c r="X34" s="147" t="n">
        <f aca="false">1/(1+CHOOSE(F$3,(W35+($K$3/10000))/2,(W34+($K$3/10000))/2))^(2*V34/365.25)</f>
        <v>0.871166775818526</v>
      </c>
      <c r="Y34" s="71" t="n">
        <f aca="false">IF(AND(mthbeg&lt;=A34,mthend&gt;=A34),1,0)</f>
        <v>1</v>
      </c>
      <c r="Z34" s="71" t="n">
        <f aca="false">T34*Y34</f>
        <v>30</v>
      </c>
      <c r="AB34" s="132" t="n">
        <f aca="false">F34*G34</f>
        <v>0</v>
      </c>
      <c r="AC34" s="132" t="n">
        <f aca="false">$F34*H34</f>
        <v>0</v>
      </c>
      <c r="AD34" s="132" t="n">
        <f aca="false">$F34*I34</f>
        <v>0</v>
      </c>
      <c r="AE34" s="132" t="n">
        <f aca="false">$F34*J34</f>
        <v>-0</v>
      </c>
      <c r="AF34" s="132" t="n">
        <f aca="false">$F34*K34</f>
        <v>-0</v>
      </c>
      <c r="AG34" s="132" t="n">
        <f aca="false">$F34*L34</f>
        <v>0</v>
      </c>
      <c r="AH34" s="132" t="n">
        <f aca="false">$F34*M34</f>
        <v>0</v>
      </c>
      <c r="AI34" s="132" t="n">
        <f aca="false">$F34*N34</f>
        <v>0</v>
      </c>
      <c r="AJ34" s="132" t="n">
        <f aca="false">F34*O34</f>
        <v>0</v>
      </c>
      <c r="AK34" s="137"/>
      <c r="AL34" s="132" t="n">
        <f aca="false">CHOOSE($G$3,AC34-AD34,AD34-AC34)</f>
        <v>0</v>
      </c>
      <c r="AM34" s="132" t="n">
        <f aca="false">CHOOSE($G$3,AF34-AG34,AG34-AF34)</f>
        <v>0</v>
      </c>
      <c r="AN34" s="132" t="n">
        <f aca="false">CHOOSE($G$3,AI34-AJ34,AJ34-AI34)</f>
        <v>0</v>
      </c>
      <c r="AO34" s="148" t="n">
        <f aca="false">SUM(AL34:AN34)</f>
        <v>0</v>
      </c>
      <c r="AQ34" s="132" t="n">
        <f aca="false">CHOOSE($G$3,AB34-AC34,AC34-AB34)</f>
        <v>0</v>
      </c>
      <c r="AR34" s="132" t="n">
        <f aca="false">CHOOSE($G$3,AE34-AF34,AF34-AE34)</f>
        <v>0</v>
      </c>
      <c r="AS34" s="132" t="n">
        <f aca="false">CHOOSE($G$3,AH34-AI34,AI34-AH34)</f>
        <v>0</v>
      </c>
      <c r="AT34" s="148" t="n">
        <f aca="false">AQ34+AR34+AS34</f>
        <v>0</v>
      </c>
      <c r="AU34" s="148"/>
      <c r="AV34" s="133" t="n">
        <f aca="false">AT34+AO34</f>
        <v>0</v>
      </c>
      <c r="AX34" s="133" t="n">
        <f aca="false">AJ34+AG34+AD34</f>
        <v>0</v>
      </c>
      <c r="AY34" s="149"/>
      <c r="AZ34" s="76" t="n">
        <f aca="false">R34*E34</f>
        <v>0</v>
      </c>
    </row>
    <row r="35" customFormat="false" ht="12.75" hidden="false" customHeight="false" outlineLevel="0" collapsed="false">
      <c r="A35" s="138" t="n">
        <f aca="false">EDATE(A34,1)</f>
        <v>37742</v>
      </c>
      <c r="B35" s="139" t="n">
        <f aca="false">VLOOKUP($A35,Table2,MATCH(I$3,Curves2,0))</f>
        <v>0</v>
      </c>
      <c r="C35" s="140"/>
      <c r="D35" s="141" t="n">
        <f aca="false">B35+C35</f>
        <v>0</v>
      </c>
      <c r="E35" s="126" t="n">
        <f aca="false">IF(Y35=0,0,IF(AND(Y35=1,$H$3=1),D35*T35,IF($H$3=2,D35,"N/A")))</f>
        <v>0</v>
      </c>
      <c r="F35" s="126" t="n">
        <f aca="false">E35*X35</f>
        <v>0</v>
      </c>
      <c r="G35" s="142" t="n">
        <f aca="false">VLOOKUP($A35,Table,MATCH(G$4,Curves,0))</f>
        <v>3.742</v>
      </c>
      <c r="H35" s="143" t="n">
        <f aca="false">G35</f>
        <v>3.742</v>
      </c>
      <c r="I35" s="142" t="n">
        <f aca="false">VLOOKUP($A35,Table1,MATCH(I$3,Curves1,0))</f>
        <v>0</v>
      </c>
      <c r="J35" s="142" t="n">
        <f aca="false">VLOOKUP($A35,Table,MATCH(J$4,Curves,0))</f>
        <v>-0.0225</v>
      </c>
      <c r="K35" s="143" t="n">
        <f aca="false">J35</f>
        <v>-0.0225</v>
      </c>
      <c r="L35" s="144" t="n">
        <v>0</v>
      </c>
      <c r="M35" s="142" t="n">
        <f aca="false">VLOOKUP($A35,Table,MATCH(M$4,Curves,0))</f>
        <v>0.0075</v>
      </c>
      <c r="N35" s="143" t="n">
        <f aca="false">M35</f>
        <v>0.0075</v>
      </c>
      <c r="O35" s="144" t="n">
        <v>0</v>
      </c>
      <c r="P35" s="145"/>
      <c r="Q35" s="144" t="n">
        <f aca="false">M35+J35+G35</f>
        <v>3.727</v>
      </c>
      <c r="R35" s="144" t="n">
        <f aca="false">O35+L35+I35</f>
        <v>0</v>
      </c>
      <c r="S35" s="145"/>
      <c r="T35" s="71" t="n">
        <f aca="false">A36-A35</f>
        <v>31</v>
      </c>
      <c r="U35" s="146" t="n">
        <f aca="false">CHOOSE(F$3,A36+24,A35)</f>
        <v>37797</v>
      </c>
      <c r="V35" s="71" t="n">
        <f aca="false">U35-C$3</f>
        <v>909</v>
      </c>
      <c r="W35" s="142" t="n">
        <f aca="false">VLOOKUP($A35,Table,MATCH(W$4,Curves,0))</f>
        <v>0.05820672378151</v>
      </c>
      <c r="X35" s="147" t="n">
        <f aca="false">1/(1+CHOOSE(F$3,(W36+($K$3/10000))/2,(W35+($K$3/10000))/2))^(2*V35/365.25)</f>
        <v>0.866924242036878</v>
      </c>
      <c r="Y35" s="71" t="n">
        <f aca="false">IF(AND(mthbeg&lt;=A35,mthend&gt;=A35),1,0)</f>
        <v>1</v>
      </c>
      <c r="Z35" s="71" t="n">
        <f aca="false">T35*Y35</f>
        <v>31</v>
      </c>
      <c r="AB35" s="132" t="n">
        <f aca="false">F35*G35</f>
        <v>0</v>
      </c>
      <c r="AC35" s="132" t="n">
        <f aca="false">$F35*H35</f>
        <v>0</v>
      </c>
      <c r="AD35" s="132" t="n">
        <f aca="false">$F35*I35</f>
        <v>0</v>
      </c>
      <c r="AE35" s="132" t="n">
        <f aca="false">$F35*J35</f>
        <v>-0</v>
      </c>
      <c r="AF35" s="132" t="n">
        <f aca="false">$F35*K35</f>
        <v>-0</v>
      </c>
      <c r="AG35" s="132" t="n">
        <f aca="false">$F35*L35</f>
        <v>0</v>
      </c>
      <c r="AH35" s="132" t="n">
        <f aca="false">$F35*M35</f>
        <v>0</v>
      </c>
      <c r="AI35" s="132" t="n">
        <f aca="false">$F35*N35</f>
        <v>0</v>
      </c>
      <c r="AJ35" s="132" t="n">
        <f aca="false">F35*O35</f>
        <v>0</v>
      </c>
      <c r="AK35" s="137"/>
      <c r="AL35" s="132" t="n">
        <f aca="false">CHOOSE($G$3,AC35-AD35,AD35-AC35)</f>
        <v>0</v>
      </c>
      <c r="AM35" s="132" t="n">
        <f aca="false">CHOOSE($G$3,AF35-AG35,AG35-AF35)</f>
        <v>0</v>
      </c>
      <c r="AN35" s="132" t="n">
        <f aca="false">CHOOSE($G$3,AI35-AJ35,AJ35-AI35)</f>
        <v>0</v>
      </c>
      <c r="AO35" s="148" t="n">
        <f aca="false">SUM(AL35:AN35)</f>
        <v>0</v>
      </c>
      <c r="AQ35" s="132" t="n">
        <f aca="false">CHOOSE($G$3,AB35-AC35,AC35-AB35)</f>
        <v>0</v>
      </c>
      <c r="AR35" s="132" t="n">
        <f aca="false">CHOOSE($G$3,AE35-AF35,AF35-AE35)</f>
        <v>0</v>
      </c>
      <c r="AS35" s="132" t="n">
        <f aca="false">CHOOSE($G$3,AH35-AI35,AI35-AH35)</f>
        <v>0</v>
      </c>
      <c r="AT35" s="148" t="n">
        <f aca="false">AQ35+AR35+AS35</f>
        <v>0</v>
      </c>
      <c r="AU35" s="148"/>
      <c r="AV35" s="133" t="n">
        <f aca="false">AT35+AO35</f>
        <v>0</v>
      </c>
      <c r="AX35" s="133" t="n">
        <f aca="false">AJ35+AG35+AD35</f>
        <v>0</v>
      </c>
      <c r="AY35" s="149"/>
      <c r="AZ35" s="76" t="n">
        <f aca="false">R35*E35</f>
        <v>0</v>
      </c>
    </row>
    <row r="36" customFormat="false" ht="12.75" hidden="false" customHeight="false" outlineLevel="0" collapsed="false">
      <c r="A36" s="138" t="n">
        <f aca="false">EDATE(A35,1)</f>
        <v>37773</v>
      </c>
      <c r="B36" s="139" t="n">
        <f aca="false">VLOOKUP($A36,Table2,MATCH(I$3,Curves2,0))</f>
        <v>0</v>
      </c>
      <c r="C36" s="140"/>
      <c r="D36" s="141" t="n">
        <f aca="false">B36+C36</f>
        <v>0</v>
      </c>
      <c r="E36" s="126" t="n">
        <f aca="false">IF(Y36=0,0,IF(AND(Y36=1,$H$3=1),D36*T36,IF($H$3=2,D36,"N/A")))</f>
        <v>0</v>
      </c>
      <c r="F36" s="126" t="n">
        <f aca="false">E36*X36</f>
        <v>0</v>
      </c>
      <c r="G36" s="142" t="n">
        <f aca="false">VLOOKUP($A36,Table,MATCH(G$4,Curves,0))</f>
        <v>3.752</v>
      </c>
      <c r="H36" s="143" t="n">
        <f aca="false">G36</f>
        <v>3.752</v>
      </c>
      <c r="I36" s="142" t="n">
        <f aca="false">VLOOKUP($A36,Table1,MATCH(I$3,Curves1,0))</f>
        <v>0</v>
      </c>
      <c r="J36" s="142" t="n">
        <f aca="false">VLOOKUP($A36,Table,MATCH(J$4,Curves,0))</f>
        <v>-0.0225</v>
      </c>
      <c r="K36" s="143" t="n">
        <f aca="false">J36</f>
        <v>-0.0225</v>
      </c>
      <c r="L36" s="144" t="n">
        <v>0</v>
      </c>
      <c r="M36" s="142" t="n">
        <f aca="false">VLOOKUP($A36,Table,MATCH(M$4,Curves,0))</f>
        <v>0.0075</v>
      </c>
      <c r="N36" s="143" t="n">
        <f aca="false">M36</f>
        <v>0.0075</v>
      </c>
      <c r="O36" s="144" t="n">
        <v>0</v>
      </c>
      <c r="P36" s="145"/>
      <c r="Q36" s="144" t="n">
        <f aca="false">M36+J36+G36</f>
        <v>3.737</v>
      </c>
      <c r="R36" s="144" t="n">
        <f aca="false">O36+L36+I36</f>
        <v>0</v>
      </c>
      <c r="S36" s="145"/>
      <c r="T36" s="71" t="n">
        <f aca="false">A37-A36</f>
        <v>30</v>
      </c>
      <c r="U36" s="146" t="n">
        <f aca="false">CHOOSE(F$3,A37+24,A36)</f>
        <v>37827</v>
      </c>
      <c r="V36" s="71" t="n">
        <f aca="false">U36-C$3</f>
        <v>939</v>
      </c>
      <c r="W36" s="142" t="n">
        <f aca="false">VLOOKUP($A36,Table,MATCH(W$4,Curves,0))</f>
        <v>0.058211753455922</v>
      </c>
      <c r="X36" s="147" t="n">
        <f aca="false">1/(1+CHOOSE(F$3,(W37+($K$3/10000))/2,(W36+($K$3/10000))/2))^(2*V36/365.25)</f>
        <v>0.8628293966132</v>
      </c>
      <c r="Y36" s="71" t="n">
        <f aca="false">IF(AND(mthbeg&lt;=A36,mthend&gt;=A36),1,0)</f>
        <v>1</v>
      </c>
      <c r="Z36" s="71" t="n">
        <f aca="false">T36*Y36</f>
        <v>30</v>
      </c>
      <c r="AB36" s="132" t="n">
        <f aca="false">F36*G36</f>
        <v>0</v>
      </c>
      <c r="AC36" s="132" t="n">
        <f aca="false">$F36*H36</f>
        <v>0</v>
      </c>
      <c r="AD36" s="132" t="n">
        <f aca="false">$F36*I36</f>
        <v>0</v>
      </c>
      <c r="AE36" s="132" t="n">
        <f aca="false">$F36*J36</f>
        <v>-0</v>
      </c>
      <c r="AF36" s="132" t="n">
        <f aca="false">$F36*K36</f>
        <v>-0</v>
      </c>
      <c r="AG36" s="132" t="n">
        <f aca="false">$F36*L36</f>
        <v>0</v>
      </c>
      <c r="AH36" s="132" t="n">
        <f aca="false">$F36*M36</f>
        <v>0</v>
      </c>
      <c r="AI36" s="132" t="n">
        <f aca="false">$F36*N36</f>
        <v>0</v>
      </c>
      <c r="AJ36" s="132" t="n">
        <f aca="false">F36*O36</f>
        <v>0</v>
      </c>
      <c r="AK36" s="137"/>
      <c r="AL36" s="132" t="n">
        <f aca="false">CHOOSE($G$3,AC36-AD36,AD36-AC36)</f>
        <v>0</v>
      </c>
      <c r="AM36" s="132" t="n">
        <f aca="false">CHOOSE($G$3,AF36-AG36,AG36-AF36)</f>
        <v>0</v>
      </c>
      <c r="AN36" s="132" t="n">
        <f aca="false">CHOOSE($G$3,AI36-AJ36,AJ36-AI36)</f>
        <v>0</v>
      </c>
      <c r="AO36" s="148" t="n">
        <f aca="false">SUM(AL36:AN36)</f>
        <v>0</v>
      </c>
      <c r="AQ36" s="132" t="n">
        <f aca="false">CHOOSE($G$3,AB36-AC36,AC36-AB36)</f>
        <v>0</v>
      </c>
      <c r="AR36" s="132" t="n">
        <f aca="false">CHOOSE($G$3,AE36-AF36,AF36-AE36)</f>
        <v>0</v>
      </c>
      <c r="AS36" s="132" t="n">
        <f aca="false">CHOOSE($G$3,AH36-AI36,AI36-AH36)</f>
        <v>0</v>
      </c>
      <c r="AT36" s="148" t="n">
        <f aca="false">AQ36+AR36+AS36</f>
        <v>0</v>
      </c>
      <c r="AU36" s="148"/>
      <c r="AV36" s="133" t="n">
        <f aca="false">AT36+AO36</f>
        <v>0</v>
      </c>
      <c r="AX36" s="133" t="n">
        <f aca="false">AJ36+AG36+AD36</f>
        <v>0</v>
      </c>
      <c r="AY36" s="149"/>
      <c r="AZ36" s="76" t="n">
        <f aca="false">R36*E36</f>
        <v>0</v>
      </c>
    </row>
    <row r="37" customFormat="false" ht="12.75" hidden="false" customHeight="false" outlineLevel="0" collapsed="false">
      <c r="A37" s="138" t="n">
        <f aca="false">EDATE(A36,1)</f>
        <v>37803</v>
      </c>
      <c r="B37" s="139" t="n">
        <f aca="false">VLOOKUP($A37,Table2,MATCH(I$3,Curves2,0))</f>
        <v>0</v>
      </c>
      <c r="C37" s="140"/>
      <c r="D37" s="141" t="n">
        <f aca="false">B37+C37</f>
        <v>0</v>
      </c>
      <c r="E37" s="126" t="n">
        <f aca="false">IF(Y37=0,0,IF(AND(Y37=1,$H$3=1),D37*T37,IF($H$3=2,D37,"N/A")))</f>
        <v>0</v>
      </c>
      <c r="F37" s="126" t="n">
        <f aca="false">E37*X37</f>
        <v>0</v>
      </c>
      <c r="G37" s="142" t="n">
        <f aca="false">VLOOKUP($A37,Table,MATCH(G$4,Curves,0))</f>
        <v>3.767</v>
      </c>
      <c r="H37" s="143" t="n">
        <f aca="false">G37</f>
        <v>3.767</v>
      </c>
      <c r="I37" s="142" t="n">
        <f aca="false">VLOOKUP($A37,Table1,MATCH(I$3,Curves1,0))</f>
        <v>0</v>
      </c>
      <c r="J37" s="142" t="n">
        <f aca="false">VLOOKUP($A37,Table,MATCH(J$4,Curves,0))</f>
        <v>-0.0225</v>
      </c>
      <c r="K37" s="143" t="n">
        <f aca="false">J37</f>
        <v>-0.0225</v>
      </c>
      <c r="L37" s="144" t="n">
        <v>0</v>
      </c>
      <c r="M37" s="142" t="n">
        <f aca="false">VLOOKUP($A37,Table,MATCH(M$4,Curves,0))</f>
        <v>0.0075</v>
      </c>
      <c r="N37" s="143" t="n">
        <f aca="false">M37</f>
        <v>0.0075</v>
      </c>
      <c r="O37" s="144" t="n">
        <v>0</v>
      </c>
      <c r="P37" s="145"/>
      <c r="Q37" s="144" t="n">
        <f aca="false">M37+J37+G37</f>
        <v>3.752</v>
      </c>
      <c r="R37" s="144" t="n">
        <f aca="false">O37+L37+I37</f>
        <v>0</v>
      </c>
      <c r="S37" s="145"/>
      <c r="T37" s="71" t="n">
        <f aca="false">A38-A37</f>
        <v>31</v>
      </c>
      <c r="U37" s="146" t="n">
        <f aca="false">CHOOSE(F$3,A38+24,A37)</f>
        <v>37858</v>
      </c>
      <c r="V37" s="71" t="n">
        <f aca="false">U37-C$3</f>
        <v>970</v>
      </c>
      <c r="W37" s="142" t="n">
        <f aca="false">VLOOKUP($A37,Table,MATCH(W$4,Curves,0))</f>
        <v>0.058220406142149</v>
      </c>
      <c r="X37" s="147" t="n">
        <f aca="false">1/(1+CHOOSE(F$3,(W38+($K$3/10000))/2,(W37+($K$3/10000))/2))^(2*V37/365.25)</f>
        <v>0.85860508220354</v>
      </c>
      <c r="Y37" s="71" t="n">
        <f aca="false">IF(AND(mthbeg&lt;=A37,mthend&gt;=A37),1,0)</f>
        <v>1</v>
      </c>
      <c r="Z37" s="71" t="n">
        <f aca="false">T37*Y37</f>
        <v>31</v>
      </c>
      <c r="AB37" s="132" t="n">
        <f aca="false">F37*G37</f>
        <v>0</v>
      </c>
      <c r="AC37" s="132" t="n">
        <f aca="false">$F37*H37</f>
        <v>0</v>
      </c>
      <c r="AD37" s="132" t="n">
        <f aca="false">$F37*I37</f>
        <v>0</v>
      </c>
      <c r="AE37" s="132" t="n">
        <f aca="false">$F37*J37</f>
        <v>-0</v>
      </c>
      <c r="AF37" s="132" t="n">
        <f aca="false">$F37*K37</f>
        <v>-0</v>
      </c>
      <c r="AG37" s="132" t="n">
        <f aca="false">$F37*L37</f>
        <v>0</v>
      </c>
      <c r="AH37" s="132" t="n">
        <f aca="false">$F37*M37</f>
        <v>0</v>
      </c>
      <c r="AI37" s="132" t="n">
        <f aca="false">$F37*N37</f>
        <v>0</v>
      </c>
      <c r="AJ37" s="132" t="n">
        <f aca="false">F37*O37</f>
        <v>0</v>
      </c>
      <c r="AK37" s="137"/>
      <c r="AL37" s="132" t="n">
        <f aca="false">CHOOSE($G$3,AC37-AD37,AD37-AC37)</f>
        <v>0</v>
      </c>
      <c r="AM37" s="132" t="n">
        <f aca="false">CHOOSE($G$3,AF37-AG37,AG37-AF37)</f>
        <v>0</v>
      </c>
      <c r="AN37" s="132" t="n">
        <f aca="false">CHOOSE($G$3,AI37-AJ37,AJ37-AI37)</f>
        <v>0</v>
      </c>
      <c r="AO37" s="148" t="n">
        <f aca="false">SUM(AL37:AN37)</f>
        <v>0</v>
      </c>
      <c r="AQ37" s="132" t="n">
        <f aca="false">CHOOSE($G$3,AB37-AC37,AC37-AB37)</f>
        <v>0</v>
      </c>
      <c r="AR37" s="132" t="n">
        <f aca="false">CHOOSE($G$3,AE37-AF37,AF37-AE37)</f>
        <v>0</v>
      </c>
      <c r="AS37" s="132" t="n">
        <f aca="false">CHOOSE($G$3,AH37-AI37,AI37-AH37)</f>
        <v>0</v>
      </c>
      <c r="AT37" s="148" t="n">
        <f aca="false">AQ37+AR37+AS37</f>
        <v>0</v>
      </c>
      <c r="AU37" s="148"/>
      <c r="AV37" s="133" t="n">
        <f aca="false">AT37+AO37</f>
        <v>0</v>
      </c>
      <c r="AX37" s="133" t="n">
        <f aca="false">AJ37+AG37+AD37</f>
        <v>0</v>
      </c>
      <c r="AY37" s="149"/>
      <c r="AZ37" s="76" t="n">
        <f aca="false">R37*E37</f>
        <v>0</v>
      </c>
    </row>
    <row r="38" customFormat="false" ht="12.75" hidden="false" customHeight="false" outlineLevel="0" collapsed="false">
      <c r="A38" s="138" t="n">
        <f aca="false">EDATE(A37,1)</f>
        <v>37834</v>
      </c>
      <c r="B38" s="139" t="n">
        <f aca="false">VLOOKUP($A38,Table2,MATCH(I$3,Curves2,0))</f>
        <v>0</v>
      </c>
      <c r="C38" s="140"/>
      <c r="D38" s="141" t="n">
        <f aca="false">B38+C38</f>
        <v>0</v>
      </c>
      <c r="E38" s="126" t="n">
        <f aca="false">IF(Y38=0,0,IF(AND(Y38=1,$H$3=1),D38*T38,IF($H$3=2,D38,"N/A")))</f>
        <v>0</v>
      </c>
      <c r="F38" s="126" t="n">
        <f aca="false">E38*X38</f>
        <v>0</v>
      </c>
      <c r="G38" s="142" t="n">
        <f aca="false">VLOOKUP($A38,Table,MATCH(G$4,Curves,0))</f>
        <v>3.762</v>
      </c>
      <c r="H38" s="143" t="n">
        <f aca="false">G38</f>
        <v>3.762</v>
      </c>
      <c r="I38" s="142" t="n">
        <f aca="false">VLOOKUP($A38,Table1,MATCH(I$3,Curves1,0))</f>
        <v>0</v>
      </c>
      <c r="J38" s="142" t="n">
        <f aca="false">VLOOKUP($A38,Table,MATCH(J$4,Curves,0))</f>
        <v>-0.0225</v>
      </c>
      <c r="K38" s="143" t="n">
        <f aca="false">J38</f>
        <v>-0.0225</v>
      </c>
      <c r="L38" s="144" t="n">
        <v>0</v>
      </c>
      <c r="M38" s="142" t="n">
        <f aca="false">VLOOKUP($A38,Table,MATCH(M$4,Curves,0))</f>
        <v>0.0075</v>
      </c>
      <c r="N38" s="143" t="n">
        <f aca="false">M38</f>
        <v>0.0075</v>
      </c>
      <c r="O38" s="144" t="n">
        <v>0</v>
      </c>
      <c r="P38" s="145"/>
      <c r="Q38" s="144" t="n">
        <f aca="false">M38+J38+G38</f>
        <v>3.747</v>
      </c>
      <c r="R38" s="144" t="n">
        <f aca="false">O38+L38+I38</f>
        <v>0</v>
      </c>
      <c r="S38" s="145"/>
      <c r="T38" s="71" t="n">
        <f aca="false">A39-A38</f>
        <v>31</v>
      </c>
      <c r="U38" s="146" t="n">
        <f aca="false">CHOOSE(F$3,A39+24,A38)</f>
        <v>37889</v>
      </c>
      <c r="V38" s="71" t="n">
        <f aca="false">U38-C$3</f>
        <v>1001</v>
      </c>
      <c r="W38" s="142" t="n">
        <f aca="false">VLOOKUP($A38,Table,MATCH(W$4,Curves,0))</f>
        <v>0.058234784229674</v>
      </c>
      <c r="X38" s="147" t="n">
        <f aca="false">1/(1+CHOOSE(F$3,(W39+($K$3/10000))/2,(W38+($K$3/10000))/2))^(2*V38/365.25)</f>
        <v>0.854399423498708</v>
      </c>
      <c r="Y38" s="71" t="n">
        <f aca="false">IF(AND(mthbeg&lt;=A38,mthend&gt;=A38),1,0)</f>
        <v>1</v>
      </c>
      <c r="Z38" s="71" t="n">
        <f aca="false">T38*Y38</f>
        <v>31</v>
      </c>
      <c r="AB38" s="132" t="n">
        <f aca="false">F38*G38</f>
        <v>0</v>
      </c>
      <c r="AC38" s="132" t="n">
        <f aca="false">$F38*H38</f>
        <v>0</v>
      </c>
      <c r="AD38" s="132" t="n">
        <f aca="false">$F38*I38</f>
        <v>0</v>
      </c>
      <c r="AE38" s="132" t="n">
        <f aca="false">$F38*J38</f>
        <v>-0</v>
      </c>
      <c r="AF38" s="132" t="n">
        <f aca="false">$F38*K38</f>
        <v>-0</v>
      </c>
      <c r="AG38" s="132" t="n">
        <f aca="false">$F38*L38</f>
        <v>0</v>
      </c>
      <c r="AH38" s="132" t="n">
        <f aca="false">$F38*M38</f>
        <v>0</v>
      </c>
      <c r="AI38" s="132" t="n">
        <f aca="false">$F38*N38</f>
        <v>0</v>
      </c>
      <c r="AJ38" s="132" t="n">
        <f aca="false">F38*O38</f>
        <v>0</v>
      </c>
      <c r="AK38" s="137"/>
      <c r="AL38" s="132" t="n">
        <f aca="false">CHOOSE($G$3,AC38-AD38,AD38-AC38)</f>
        <v>0</v>
      </c>
      <c r="AM38" s="132" t="n">
        <f aca="false">CHOOSE($G$3,AF38-AG38,AG38-AF38)</f>
        <v>0</v>
      </c>
      <c r="AN38" s="132" t="n">
        <f aca="false">CHOOSE($G$3,AI38-AJ38,AJ38-AI38)</f>
        <v>0</v>
      </c>
      <c r="AO38" s="148" t="n">
        <f aca="false">SUM(AL38:AN38)</f>
        <v>0</v>
      </c>
      <c r="AQ38" s="132" t="n">
        <f aca="false">CHOOSE($G$3,AB38-AC38,AC38-AB38)</f>
        <v>0</v>
      </c>
      <c r="AR38" s="132" t="n">
        <f aca="false">CHOOSE($G$3,AE38-AF38,AF38-AE38)</f>
        <v>0</v>
      </c>
      <c r="AS38" s="132" t="n">
        <f aca="false">CHOOSE($G$3,AH38-AI38,AI38-AH38)</f>
        <v>0</v>
      </c>
      <c r="AT38" s="148" t="n">
        <f aca="false">AQ38+AR38+AS38</f>
        <v>0</v>
      </c>
      <c r="AU38" s="148"/>
      <c r="AV38" s="133" t="n">
        <f aca="false">AT38+AO38</f>
        <v>0</v>
      </c>
      <c r="AX38" s="133" t="n">
        <f aca="false">AJ38+AG38+AD38</f>
        <v>0</v>
      </c>
      <c r="AY38" s="149"/>
      <c r="AZ38" s="76" t="n">
        <f aca="false">R38*E38</f>
        <v>0</v>
      </c>
    </row>
    <row r="39" customFormat="false" ht="12.75" hidden="false" customHeight="false" outlineLevel="0" collapsed="false">
      <c r="A39" s="138" t="n">
        <f aca="false">EDATE(A38,1)</f>
        <v>37865</v>
      </c>
      <c r="B39" s="139" t="n">
        <f aca="false">VLOOKUP($A39,Table2,MATCH(I$3,Curves2,0))</f>
        <v>0</v>
      </c>
      <c r="C39" s="140"/>
      <c r="D39" s="141" t="n">
        <f aca="false">B39+C39</f>
        <v>0</v>
      </c>
      <c r="E39" s="126" t="n">
        <f aca="false">IF(Y39=0,0,IF(AND(Y39=1,$H$3=1),D39*T39,IF($H$3=2,D39,"N/A")))</f>
        <v>0</v>
      </c>
      <c r="F39" s="126" t="n">
        <f aca="false">E39*X39</f>
        <v>0</v>
      </c>
      <c r="G39" s="142" t="n">
        <f aca="false">VLOOKUP($A39,Table,MATCH(G$4,Curves,0))</f>
        <v>3.774</v>
      </c>
      <c r="H39" s="143" t="n">
        <f aca="false">G39</f>
        <v>3.774</v>
      </c>
      <c r="I39" s="142" t="n">
        <f aca="false">VLOOKUP($A39,Table1,MATCH(I$3,Curves1,0))</f>
        <v>0</v>
      </c>
      <c r="J39" s="142" t="n">
        <f aca="false">VLOOKUP($A39,Table,MATCH(J$4,Curves,0))</f>
        <v>-0.0225</v>
      </c>
      <c r="K39" s="143" t="n">
        <f aca="false">J39</f>
        <v>-0.0225</v>
      </c>
      <c r="L39" s="144" t="n">
        <v>0</v>
      </c>
      <c r="M39" s="142" t="n">
        <f aca="false">VLOOKUP($A39,Table,MATCH(M$4,Curves,0))</f>
        <v>0.0075</v>
      </c>
      <c r="N39" s="143" t="n">
        <f aca="false">M39</f>
        <v>0.0075</v>
      </c>
      <c r="O39" s="144" t="n">
        <v>0</v>
      </c>
      <c r="P39" s="145"/>
      <c r="Q39" s="144" t="n">
        <f aca="false">M39+J39+G39</f>
        <v>3.759</v>
      </c>
      <c r="R39" s="144" t="n">
        <f aca="false">O39+L39+I39</f>
        <v>0</v>
      </c>
      <c r="S39" s="145"/>
      <c r="T39" s="71" t="n">
        <f aca="false">A40-A39</f>
        <v>30</v>
      </c>
      <c r="U39" s="146" t="n">
        <f aca="false">CHOOSE(F$3,A40+24,A39)</f>
        <v>37919</v>
      </c>
      <c r="V39" s="71" t="n">
        <f aca="false">U39-C$3</f>
        <v>1031</v>
      </c>
      <c r="W39" s="142" t="n">
        <f aca="false">VLOOKUP($A39,Table,MATCH(W$4,Curves,0))</f>
        <v>0.058249162317267</v>
      </c>
      <c r="X39" s="147" t="n">
        <f aca="false">1/(1+CHOOSE(F$3,(W40+($K$3/10000))/2,(W39+($K$3/10000))/2))^(2*V39/365.25)</f>
        <v>0.850341654467784</v>
      </c>
      <c r="Y39" s="71" t="n">
        <f aca="false">IF(AND(mthbeg&lt;=A39,mthend&gt;=A39),1,0)</f>
        <v>1</v>
      </c>
      <c r="Z39" s="71" t="n">
        <f aca="false">T39*Y39</f>
        <v>30</v>
      </c>
      <c r="AB39" s="132" t="n">
        <f aca="false">F39*G39</f>
        <v>0</v>
      </c>
      <c r="AC39" s="132" t="n">
        <f aca="false">$F39*H39</f>
        <v>0</v>
      </c>
      <c r="AD39" s="132" t="n">
        <f aca="false">$F39*I39</f>
        <v>0</v>
      </c>
      <c r="AE39" s="132" t="n">
        <f aca="false">$F39*J39</f>
        <v>-0</v>
      </c>
      <c r="AF39" s="132" t="n">
        <f aca="false">$F39*K39</f>
        <v>-0</v>
      </c>
      <c r="AG39" s="132" t="n">
        <f aca="false">$F39*L39</f>
        <v>0</v>
      </c>
      <c r="AH39" s="132" t="n">
        <f aca="false">$F39*M39</f>
        <v>0</v>
      </c>
      <c r="AI39" s="132" t="n">
        <f aca="false">$F39*N39</f>
        <v>0</v>
      </c>
      <c r="AJ39" s="132" t="n">
        <f aca="false">F39*O39</f>
        <v>0</v>
      </c>
      <c r="AK39" s="137"/>
      <c r="AL39" s="132" t="n">
        <f aca="false">CHOOSE($G$3,AC39-AD39,AD39-AC39)</f>
        <v>0</v>
      </c>
      <c r="AM39" s="132" t="n">
        <f aca="false">CHOOSE($G$3,AF39-AG39,AG39-AF39)</f>
        <v>0</v>
      </c>
      <c r="AN39" s="132" t="n">
        <f aca="false">CHOOSE($G$3,AI39-AJ39,AJ39-AI39)</f>
        <v>0</v>
      </c>
      <c r="AO39" s="148" t="n">
        <f aca="false">SUM(AL39:AN39)</f>
        <v>0</v>
      </c>
      <c r="AQ39" s="132" t="n">
        <f aca="false">CHOOSE($G$3,AB39-AC39,AC39-AB39)</f>
        <v>0</v>
      </c>
      <c r="AR39" s="132" t="n">
        <f aca="false">CHOOSE($G$3,AE39-AF39,AF39-AE39)</f>
        <v>0</v>
      </c>
      <c r="AS39" s="132" t="n">
        <f aca="false">CHOOSE($G$3,AH39-AI39,AI39-AH39)</f>
        <v>0</v>
      </c>
      <c r="AT39" s="148" t="n">
        <f aca="false">AQ39+AR39+AS39</f>
        <v>0</v>
      </c>
      <c r="AU39" s="148"/>
      <c r="AV39" s="133" t="n">
        <f aca="false">AT39+AO39</f>
        <v>0</v>
      </c>
      <c r="AX39" s="133" t="n">
        <f aca="false">AJ39+AG39+AD39</f>
        <v>0</v>
      </c>
      <c r="AY39" s="149"/>
      <c r="AZ39" s="76" t="n">
        <f aca="false">R39*E39</f>
        <v>0</v>
      </c>
    </row>
    <row r="40" customFormat="false" ht="12.75" hidden="false" customHeight="false" outlineLevel="0" collapsed="false">
      <c r="A40" s="138" t="n">
        <f aca="false">EDATE(A39,1)</f>
        <v>37895</v>
      </c>
      <c r="B40" s="139" t="n">
        <f aca="false">VLOOKUP($A40,Table2,MATCH(I$3,Curves2,0))</f>
        <v>0</v>
      </c>
      <c r="C40" s="140"/>
      <c r="D40" s="141" t="n">
        <f aca="false">B40+C40</f>
        <v>0</v>
      </c>
      <c r="E40" s="126" t="n">
        <f aca="false">IF(Y40=0,0,IF(AND(Y40=1,$H$3=1),D40*T40,IF($H$3=2,D40,"N/A")))</f>
        <v>0</v>
      </c>
      <c r="F40" s="126" t="n">
        <f aca="false">E40*X40</f>
        <v>0</v>
      </c>
      <c r="G40" s="142" t="n">
        <f aca="false">VLOOKUP($A40,Table,MATCH(G$4,Curves,0))</f>
        <v>3.792</v>
      </c>
      <c r="H40" s="143" t="n">
        <f aca="false">G40</f>
        <v>3.792</v>
      </c>
      <c r="I40" s="142" t="n">
        <f aca="false">VLOOKUP($A40,Table1,MATCH(I$3,Curves1,0))</f>
        <v>0</v>
      </c>
      <c r="J40" s="142" t="n">
        <f aca="false">VLOOKUP($A40,Table,MATCH(J$4,Curves,0))</f>
        <v>-0.0225</v>
      </c>
      <c r="K40" s="143" t="n">
        <f aca="false">J40</f>
        <v>-0.0225</v>
      </c>
      <c r="L40" s="144" t="n">
        <v>0</v>
      </c>
      <c r="M40" s="142" t="n">
        <f aca="false">VLOOKUP($A40,Table,MATCH(M$4,Curves,0))</f>
        <v>0.0075</v>
      </c>
      <c r="N40" s="143" t="n">
        <f aca="false">M40</f>
        <v>0.0075</v>
      </c>
      <c r="O40" s="144" t="n">
        <v>0</v>
      </c>
      <c r="P40" s="145"/>
      <c r="Q40" s="144" t="n">
        <f aca="false">M40+J40+G40</f>
        <v>3.777</v>
      </c>
      <c r="R40" s="144" t="n">
        <f aca="false">O40+L40+I40</f>
        <v>0</v>
      </c>
      <c r="S40" s="145"/>
      <c r="T40" s="71" t="n">
        <f aca="false">A41-A40</f>
        <v>31</v>
      </c>
      <c r="U40" s="146" t="n">
        <f aca="false">CHOOSE(F$3,A41+24,A40)</f>
        <v>37950</v>
      </c>
      <c r="V40" s="71" t="n">
        <f aca="false">U40-C$3</f>
        <v>1062</v>
      </c>
      <c r="W40" s="142" t="n">
        <f aca="false">VLOOKUP($A40,Table,MATCH(W$4,Curves,0))</f>
        <v>0.058265422795858</v>
      </c>
      <c r="X40" s="147" t="n">
        <f aca="false">1/(1+CHOOSE(F$3,(W41+($K$3/10000))/2,(W40+($K$3/10000))/2))^(2*V40/365.25)</f>
        <v>0.846159523288873</v>
      </c>
      <c r="Y40" s="71" t="n">
        <f aca="false">IF(AND(mthbeg&lt;=A40,mthend&gt;=A40),1,0)</f>
        <v>1</v>
      </c>
      <c r="Z40" s="71" t="n">
        <f aca="false">T40*Y40</f>
        <v>31</v>
      </c>
      <c r="AB40" s="132" t="n">
        <f aca="false">F40*G40</f>
        <v>0</v>
      </c>
      <c r="AC40" s="132" t="n">
        <f aca="false">$F40*H40</f>
        <v>0</v>
      </c>
      <c r="AD40" s="132" t="n">
        <f aca="false">$F40*I40</f>
        <v>0</v>
      </c>
      <c r="AE40" s="132" t="n">
        <f aca="false">$F40*J40</f>
        <v>-0</v>
      </c>
      <c r="AF40" s="132" t="n">
        <f aca="false">$F40*K40</f>
        <v>-0</v>
      </c>
      <c r="AG40" s="132" t="n">
        <f aca="false">$F40*L40</f>
        <v>0</v>
      </c>
      <c r="AH40" s="132" t="n">
        <f aca="false">$F40*M40</f>
        <v>0</v>
      </c>
      <c r="AI40" s="132" t="n">
        <f aca="false">$F40*N40</f>
        <v>0</v>
      </c>
      <c r="AJ40" s="132" t="n">
        <f aca="false">F40*O40</f>
        <v>0</v>
      </c>
      <c r="AK40" s="137"/>
      <c r="AL40" s="132" t="n">
        <f aca="false">CHOOSE($G$3,AC40-AD40,AD40-AC40)</f>
        <v>0</v>
      </c>
      <c r="AM40" s="132" t="n">
        <f aca="false">CHOOSE($G$3,AF40-AG40,AG40-AF40)</f>
        <v>0</v>
      </c>
      <c r="AN40" s="132" t="n">
        <f aca="false">CHOOSE($G$3,AI40-AJ40,AJ40-AI40)</f>
        <v>0</v>
      </c>
      <c r="AO40" s="148" t="n">
        <f aca="false">SUM(AL40:AN40)</f>
        <v>0</v>
      </c>
      <c r="AQ40" s="132" t="n">
        <f aca="false">CHOOSE($G$3,AB40-AC40,AC40-AB40)</f>
        <v>0</v>
      </c>
      <c r="AR40" s="132" t="n">
        <f aca="false">CHOOSE($G$3,AE40-AF40,AF40-AE40)</f>
        <v>0</v>
      </c>
      <c r="AS40" s="132" t="n">
        <f aca="false">CHOOSE($G$3,AH40-AI40,AI40-AH40)</f>
        <v>0</v>
      </c>
      <c r="AT40" s="148" t="n">
        <f aca="false">AQ40+AR40+AS40</f>
        <v>0</v>
      </c>
      <c r="AU40" s="148"/>
      <c r="AV40" s="133" t="n">
        <f aca="false">AT40+AO40</f>
        <v>0</v>
      </c>
      <c r="AX40" s="133" t="n">
        <f aca="false">AJ40+AG40+AD40</f>
        <v>0</v>
      </c>
      <c r="AY40" s="149"/>
      <c r="AZ40" s="76" t="n">
        <f aca="false">R40*E40</f>
        <v>0</v>
      </c>
    </row>
    <row r="41" customFormat="false" ht="12.75" hidden="false" customHeight="false" outlineLevel="0" collapsed="false">
      <c r="A41" s="138" t="n">
        <f aca="false">EDATE(A40,1)</f>
        <v>37926</v>
      </c>
      <c r="B41" s="139" t="n">
        <f aca="false">VLOOKUP($A41,Table2,MATCH(I$3,Curves2,0))</f>
        <v>0</v>
      </c>
      <c r="C41" s="140"/>
      <c r="D41" s="141" t="n">
        <f aca="false">B41+C41</f>
        <v>0</v>
      </c>
      <c r="E41" s="126" t="n">
        <f aca="false">IF(Y41=0,0,IF(AND(Y41=1,$H$3=1),D41*T41,IF($H$3=2,D41,"N/A")))</f>
        <v>0</v>
      </c>
      <c r="F41" s="126" t="n">
        <f aca="false">E41*X41</f>
        <v>0</v>
      </c>
      <c r="G41" s="142" t="n">
        <f aca="false">VLOOKUP($A41,Table,MATCH(G$4,Curves,0))</f>
        <v>3.927</v>
      </c>
      <c r="H41" s="143" t="n">
        <f aca="false">G41</f>
        <v>3.927</v>
      </c>
      <c r="I41" s="142" t="n">
        <f aca="false">VLOOKUP($A41,Table1,MATCH(I$3,Curves1,0))</f>
        <v>0</v>
      </c>
      <c r="J41" s="142" t="n">
        <f aca="false">VLOOKUP($A41,Table,MATCH(J$4,Curves,0))</f>
        <v>-0.028</v>
      </c>
      <c r="K41" s="143" t="n">
        <f aca="false">J41</f>
        <v>-0.028</v>
      </c>
      <c r="L41" s="144" t="n">
        <v>0</v>
      </c>
      <c r="M41" s="142" t="n">
        <f aca="false">VLOOKUP($A41,Table,MATCH(M$4,Curves,0))</f>
        <v>0.0075</v>
      </c>
      <c r="N41" s="143" t="n">
        <f aca="false">M41</f>
        <v>0.0075</v>
      </c>
      <c r="O41" s="144" t="n">
        <v>0</v>
      </c>
      <c r="P41" s="145"/>
      <c r="Q41" s="144" t="n">
        <f aca="false">M41+J41+G41</f>
        <v>3.9065</v>
      </c>
      <c r="R41" s="144" t="n">
        <f aca="false">O41+L41+I41</f>
        <v>0</v>
      </c>
      <c r="S41" s="145"/>
      <c r="T41" s="71" t="n">
        <f aca="false">A42-A41</f>
        <v>30</v>
      </c>
      <c r="U41" s="146" t="n">
        <f aca="false">CHOOSE(F$3,A42+24,A41)</f>
        <v>37980</v>
      </c>
      <c r="V41" s="71" t="n">
        <f aca="false">U41-C$3</f>
        <v>1092</v>
      </c>
      <c r="W41" s="142" t="n">
        <f aca="false">VLOOKUP($A41,Table,MATCH(W$4,Curves,0))</f>
        <v>0.058285170471645</v>
      </c>
      <c r="X41" s="147" t="n">
        <f aca="false">1/(1+CHOOSE(F$3,(W42+($K$3/10000))/2,(W41+($K$3/10000))/2))^(2*V41/365.25)</f>
        <v>0.842129273275098</v>
      </c>
      <c r="Y41" s="71" t="n">
        <f aca="false">IF(AND(mthbeg&lt;=A41,mthend&gt;=A41),1,0)</f>
        <v>1</v>
      </c>
      <c r="Z41" s="71" t="n">
        <f aca="false">T41*Y41</f>
        <v>30</v>
      </c>
      <c r="AB41" s="132" t="n">
        <f aca="false">F41*G41</f>
        <v>0</v>
      </c>
      <c r="AC41" s="132" t="n">
        <f aca="false">$F41*H41</f>
        <v>0</v>
      </c>
      <c r="AD41" s="132" t="n">
        <f aca="false">$F41*I41</f>
        <v>0</v>
      </c>
      <c r="AE41" s="132" t="n">
        <f aca="false">$F41*J41</f>
        <v>-0</v>
      </c>
      <c r="AF41" s="132" t="n">
        <f aca="false">$F41*K41</f>
        <v>-0</v>
      </c>
      <c r="AG41" s="132" t="n">
        <f aca="false">$F41*L41</f>
        <v>0</v>
      </c>
      <c r="AH41" s="132" t="n">
        <f aca="false">$F41*M41</f>
        <v>0</v>
      </c>
      <c r="AI41" s="132" t="n">
        <f aca="false">$F41*N41</f>
        <v>0</v>
      </c>
      <c r="AJ41" s="132" t="n">
        <f aca="false">F41*O41</f>
        <v>0</v>
      </c>
      <c r="AK41" s="137"/>
      <c r="AL41" s="132" t="n">
        <f aca="false">CHOOSE($G$3,AC41-AD41,AD41-AC41)</f>
        <v>0</v>
      </c>
      <c r="AM41" s="132" t="n">
        <f aca="false">CHOOSE($G$3,AF41-AG41,AG41-AF41)</f>
        <v>0</v>
      </c>
      <c r="AN41" s="132" t="n">
        <f aca="false">CHOOSE($G$3,AI41-AJ41,AJ41-AI41)</f>
        <v>0</v>
      </c>
      <c r="AO41" s="148" t="n">
        <f aca="false">SUM(AL41:AN41)</f>
        <v>0</v>
      </c>
      <c r="AQ41" s="132" t="n">
        <f aca="false">CHOOSE($G$3,AB41-AC41,AC41-AB41)</f>
        <v>0</v>
      </c>
      <c r="AR41" s="132" t="n">
        <f aca="false">CHOOSE($G$3,AE41-AF41,AF41-AE41)</f>
        <v>0</v>
      </c>
      <c r="AS41" s="132" t="n">
        <f aca="false">CHOOSE($G$3,AH41-AI41,AI41-AH41)</f>
        <v>0</v>
      </c>
      <c r="AT41" s="148" t="n">
        <f aca="false">AQ41+AR41+AS41</f>
        <v>0</v>
      </c>
      <c r="AU41" s="148"/>
      <c r="AV41" s="133" t="n">
        <f aca="false">AT41+AO41</f>
        <v>0</v>
      </c>
      <c r="AX41" s="133" t="n">
        <f aca="false">AJ41+AG41+AD41</f>
        <v>0</v>
      </c>
      <c r="AY41" s="149"/>
      <c r="AZ41" s="76" t="n">
        <f aca="false">R41*E41</f>
        <v>0</v>
      </c>
    </row>
    <row r="42" customFormat="false" ht="12.75" hidden="false" customHeight="false" outlineLevel="0" collapsed="false">
      <c r="A42" s="138" t="n">
        <f aca="false">EDATE(A41,1)</f>
        <v>37956</v>
      </c>
      <c r="B42" s="139" t="n">
        <f aca="false">VLOOKUP($A42,Table2,MATCH(I$3,Curves2,0))</f>
        <v>0</v>
      </c>
      <c r="C42" s="140"/>
      <c r="D42" s="141" t="n">
        <f aca="false">B42+C42</f>
        <v>0</v>
      </c>
      <c r="E42" s="126" t="n">
        <f aca="false">IF(Y42=0,0,IF(AND(Y42=1,$H$3=1),D42*T42,IF($H$3=2,D42,"N/A")))</f>
        <v>0</v>
      </c>
      <c r="F42" s="126" t="n">
        <f aca="false">E42*X42</f>
        <v>0</v>
      </c>
      <c r="G42" s="142" t="n">
        <f aca="false">VLOOKUP($A42,Table,MATCH(G$4,Curves,0))</f>
        <v>4.052</v>
      </c>
      <c r="H42" s="143" t="n">
        <f aca="false">G42</f>
        <v>4.052</v>
      </c>
      <c r="I42" s="142" t="n">
        <f aca="false">VLOOKUP($A42,Table1,MATCH(I$3,Curves1,0))</f>
        <v>0</v>
      </c>
      <c r="J42" s="142" t="n">
        <f aca="false">VLOOKUP($A42,Table,MATCH(J$4,Curves,0))</f>
        <v>-0.028</v>
      </c>
      <c r="K42" s="143" t="n">
        <f aca="false">J42</f>
        <v>-0.028</v>
      </c>
      <c r="L42" s="144" t="n">
        <v>0</v>
      </c>
      <c r="M42" s="142" t="n">
        <f aca="false">VLOOKUP($A42,Table,MATCH(M$4,Curves,0))</f>
        <v>0.0075</v>
      </c>
      <c r="N42" s="143" t="n">
        <f aca="false">M42</f>
        <v>0.0075</v>
      </c>
      <c r="O42" s="144" t="n">
        <v>0</v>
      </c>
      <c r="P42" s="145"/>
      <c r="Q42" s="144" t="n">
        <f aca="false">M42+J42+G42</f>
        <v>4.0315</v>
      </c>
      <c r="R42" s="144" t="n">
        <f aca="false">O42+L42+I42</f>
        <v>0</v>
      </c>
      <c r="S42" s="145"/>
      <c r="T42" s="71" t="n">
        <f aca="false">A43-A42</f>
        <v>31</v>
      </c>
      <c r="U42" s="146" t="n">
        <f aca="false">CHOOSE(F$3,A43+24,A42)</f>
        <v>38011</v>
      </c>
      <c r="V42" s="71" t="n">
        <f aca="false">U42-C$3</f>
        <v>1123</v>
      </c>
      <c r="W42" s="142" t="n">
        <f aca="false">VLOOKUP($A42,Table,MATCH(W$4,Curves,0))</f>
        <v>0.058304281125756</v>
      </c>
      <c r="X42" s="147" t="n">
        <f aca="false">1/(1+CHOOSE(F$3,(W43+($K$3/10000))/2,(W42+($K$3/10000))/2))^(2*V42/365.25)</f>
        <v>0.837957755928416</v>
      </c>
      <c r="Y42" s="71" t="n">
        <f aca="false">IF(AND(mthbeg&lt;=A42,mthend&gt;=A42),1,0)</f>
        <v>1</v>
      </c>
      <c r="Z42" s="71" t="n">
        <f aca="false">T42*Y42</f>
        <v>31</v>
      </c>
      <c r="AB42" s="132" t="n">
        <f aca="false">F42*G42</f>
        <v>0</v>
      </c>
      <c r="AC42" s="132" t="n">
        <f aca="false">$F42*H42</f>
        <v>0</v>
      </c>
      <c r="AD42" s="132" t="n">
        <f aca="false">$F42*I42</f>
        <v>0</v>
      </c>
      <c r="AE42" s="132" t="n">
        <f aca="false">$F42*J42</f>
        <v>-0</v>
      </c>
      <c r="AF42" s="132" t="n">
        <f aca="false">$F42*K42</f>
        <v>-0</v>
      </c>
      <c r="AG42" s="132" t="n">
        <f aca="false">$F42*L42</f>
        <v>0</v>
      </c>
      <c r="AH42" s="132" t="n">
        <f aca="false">$F42*M42</f>
        <v>0</v>
      </c>
      <c r="AI42" s="132" t="n">
        <f aca="false">$F42*N42</f>
        <v>0</v>
      </c>
      <c r="AJ42" s="132" t="n">
        <f aca="false">F42*O42</f>
        <v>0</v>
      </c>
      <c r="AK42" s="137"/>
      <c r="AL42" s="132" t="n">
        <f aca="false">CHOOSE($G$3,AC42-AD42,AD42-AC42)</f>
        <v>0</v>
      </c>
      <c r="AM42" s="132" t="n">
        <f aca="false">CHOOSE($G$3,AF42-AG42,AG42-AF42)</f>
        <v>0</v>
      </c>
      <c r="AN42" s="132" t="n">
        <f aca="false">CHOOSE($G$3,AI42-AJ42,AJ42-AI42)</f>
        <v>0</v>
      </c>
      <c r="AO42" s="148" t="n">
        <f aca="false">SUM(AL42:AN42)</f>
        <v>0</v>
      </c>
      <c r="AQ42" s="132" t="n">
        <f aca="false">CHOOSE($G$3,AB42-AC42,AC42-AB42)</f>
        <v>0</v>
      </c>
      <c r="AR42" s="132" t="n">
        <f aca="false">CHOOSE($G$3,AE42-AF42,AF42-AE42)</f>
        <v>0</v>
      </c>
      <c r="AS42" s="132" t="n">
        <f aca="false">CHOOSE($G$3,AH42-AI42,AI42-AH42)</f>
        <v>0</v>
      </c>
      <c r="AT42" s="148" t="n">
        <f aca="false">AQ42+AR42+AS42</f>
        <v>0</v>
      </c>
      <c r="AU42" s="148"/>
      <c r="AV42" s="133" t="n">
        <f aca="false">AT42+AO42</f>
        <v>0</v>
      </c>
      <c r="AX42" s="133" t="n">
        <f aca="false">AJ42+AG42+AD42</f>
        <v>0</v>
      </c>
      <c r="AY42" s="149"/>
      <c r="AZ42" s="76" t="n">
        <f aca="false">R42*E42</f>
        <v>0</v>
      </c>
    </row>
    <row r="43" customFormat="false" ht="12.75" hidden="false" customHeight="false" outlineLevel="0" collapsed="false">
      <c r="A43" s="138" t="n">
        <f aca="false">EDATE(A42,1)</f>
        <v>37987</v>
      </c>
      <c r="B43" s="139" t="n">
        <f aca="false">VLOOKUP($A43,Table2,MATCH(I$3,Curves2,0))</f>
        <v>0</v>
      </c>
      <c r="C43" s="140"/>
      <c r="D43" s="141" t="n">
        <f aca="false">B43+C43</f>
        <v>0</v>
      </c>
      <c r="E43" s="126" t="n">
        <f aca="false">IF(Y43=0,0,IF(AND(Y43=1,$H$3=1),D43*T43,IF($H$3=2,D43,"N/A")))</f>
        <v>0</v>
      </c>
      <c r="F43" s="126" t="n">
        <f aca="false">E43*X43</f>
        <v>0</v>
      </c>
      <c r="G43" s="142" t="n">
        <f aca="false">VLOOKUP($A43,Table,MATCH(G$4,Curves,0))</f>
        <v>4.132</v>
      </c>
      <c r="H43" s="143" t="n">
        <f aca="false">G43</f>
        <v>4.132</v>
      </c>
      <c r="I43" s="142" t="n">
        <f aca="false">VLOOKUP($A43,Table1,MATCH(I$3,Curves1,0))</f>
        <v>0</v>
      </c>
      <c r="J43" s="142" t="n">
        <f aca="false">VLOOKUP($A43,Table,MATCH(J$4,Curves,0))</f>
        <v>-0.025</v>
      </c>
      <c r="K43" s="143" t="n">
        <f aca="false">J43</f>
        <v>-0.025</v>
      </c>
      <c r="L43" s="144" t="n">
        <v>0</v>
      </c>
      <c r="M43" s="142" t="n">
        <f aca="false">VLOOKUP($A43,Table,MATCH(M$4,Curves,0))</f>
        <v>0.0075</v>
      </c>
      <c r="N43" s="143" t="n">
        <f aca="false">M43</f>
        <v>0.0075</v>
      </c>
      <c r="O43" s="144" t="n">
        <v>0</v>
      </c>
      <c r="P43" s="145"/>
      <c r="Q43" s="144" t="n">
        <f aca="false">M43+J43+G43</f>
        <v>4.1145</v>
      </c>
      <c r="R43" s="144" t="n">
        <f aca="false">O43+L43+I43</f>
        <v>0</v>
      </c>
      <c r="S43" s="145"/>
      <c r="T43" s="71" t="n">
        <f aca="false">A44-A43</f>
        <v>31</v>
      </c>
      <c r="U43" s="146" t="n">
        <f aca="false">CHOOSE(F$3,A44+24,A43)</f>
        <v>38042</v>
      </c>
      <c r="V43" s="71" t="n">
        <f aca="false">U43-C$3</f>
        <v>1154</v>
      </c>
      <c r="W43" s="142" t="n">
        <f aca="false">VLOOKUP($A43,Table,MATCH(W$4,Curves,0))</f>
        <v>0.058333777934929</v>
      </c>
      <c r="X43" s="147" t="n">
        <f aca="false">1/(1+CHOOSE(F$3,(W44+($K$3/10000))/2,(W43+($K$3/10000))/2))^(2*V43/365.25)</f>
        <v>0.833776228969362</v>
      </c>
      <c r="Y43" s="71" t="n">
        <f aca="false">IF(AND(mthbeg&lt;=A43,mthend&gt;=A43),1,0)</f>
        <v>1</v>
      </c>
      <c r="Z43" s="71" t="n">
        <f aca="false">T43*Y43</f>
        <v>31</v>
      </c>
      <c r="AB43" s="132" t="n">
        <f aca="false">F43*G43</f>
        <v>0</v>
      </c>
      <c r="AC43" s="132" t="n">
        <f aca="false">$F43*H43</f>
        <v>0</v>
      </c>
      <c r="AD43" s="132" t="n">
        <f aca="false">$F43*I43</f>
        <v>0</v>
      </c>
      <c r="AE43" s="132" t="n">
        <f aca="false">$F43*J43</f>
        <v>-0</v>
      </c>
      <c r="AF43" s="132" t="n">
        <f aca="false">$F43*K43</f>
        <v>-0</v>
      </c>
      <c r="AG43" s="132" t="n">
        <f aca="false">$F43*L43</f>
        <v>0</v>
      </c>
      <c r="AH43" s="132" t="n">
        <f aca="false">$F43*M43</f>
        <v>0</v>
      </c>
      <c r="AI43" s="132" t="n">
        <f aca="false">$F43*N43</f>
        <v>0</v>
      </c>
      <c r="AJ43" s="132" t="n">
        <f aca="false">F43*O43</f>
        <v>0</v>
      </c>
      <c r="AK43" s="137"/>
      <c r="AL43" s="132" t="n">
        <f aca="false">CHOOSE($G$3,AC43-AD43,AD43-AC43)</f>
        <v>0</v>
      </c>
      <c r="AM43" s="132" t="n">
        <f aca="false">CHOOSE($G$3,AF43-AG43,AG43-AF43)</f>
        <v>0</v>
      </c>
      <c r="AN43" s="132" t="n">
        <f aca="false">CHOOSE($G$3,AI43-AJ43,AJ43-AI43)</f>
        <v>0</v>
      </c>
      <c r="AO43" s="148" t="n">
        <f aca="false">SUM(AL43:AN43)</f>
        <v>0</v>
      </c>
      <c r="AQ43" s="132" t="n">
        <f aca="false">CHOOSE($G$3,AB43-AC43,AC43-AB43)</f>
        <v>0</v>
      </c>
      <c r="AR43" s="132" t="n">
        <f aca="false">CHOOSE($G$3,AE43-AF43,AF43-AE43)</f>
        <v>0</v>
      </c>
      <c r="AS43" s="132" t="n">
        <f aca="false">CHOOSE($G$3,AH43-AI43,AI43-AH43)</f>
        <v>0</v>
      </c>
      <c r="AT43" s="148" t="n">
        <f aca="false">AQ43+AR43+AS43</f>
        <v>0</v>
      </c>
      <c r="AU43" s="148"/>
      <c r="AV43" s="133" t="n">
        <f aca="false">AT43+AO43</f>
        <v>0</v>
      </c>
      <c r="AX43" s="133" t="n">
        <f aca="false">AJ43+AG43+AD43</f>
        <v>0</v>
      </c>
      <c r="AY43" s="149"/>
      <c r="AZ43" s="76" t="n">
        <f aca="false">R43*E43</f>
        <v>0</v>
      </c>
    </row>
    <row r="44" customFormat="false" ht="12.75" hidden="false" customHeight="false" outlineLevel="0" collapsed="false">
      <c r="A44" s="138" t="n">
        <f aca="false">EDATE(A43,1)</f>
        <v>38018</v>
      </c>
      <c r="B44" s="139" t="n">
        <f aca="false">VLOOKUP($A44,Table2,MATCH(I$3,Curves2,0))</f>
        <v>0</v>
      </c>
      <c r="C44" s="140"/>
      <c r="D44" s="141" t="n">
        <f aca="false">B44+C44</f>
        <v>0</v>
      </c>
      <c r="E44" s="126" t="n">
        <f aca="false">IF(Y44=0,0,IF(AND(Y44=1,$H$3=1),D44*T44,IF($H$3=2,D44,"N/A")))</f>
        <v>0</v>
      </c>
      <c r="F44" s="126" t="n">
        <f aca="false">E44*X44</f>
        <v>0</v>
      </c>
      <c r="G44" s="142" t="n">
        <f aca="false">VLOOKUP($A44,Table,MATCH(G$4,Curves,0))</f>
        <v>4.017</v>
      </c>
      <c r="H44" s="143" t="n">
        <f aca="false">G44</f>
        <v>4.017</v>
      </c>
      <c r="I44" s="142" t="n">
        <f aca="false">VLOOKUP($A44,Table1,MATCH(I$3,Curves1,0))</f>
        <v>0</v>
      </c>
      <c r="J44" s="142" t="n">
        <f aca="false">VLOOKUP($A44,Table,MATCH(J$4,Curves,0))</f>
        <v>-0.025</v>
      </c>
      <c r="K44" s="143" t="n">
        <f aca="false">J44</f>
        <v>-0.025</v>
      </c>
      <c r="L44" s="144" t="n">
        <v>0</v>
      </c>
      <c r="M44" s="142" t="n">
        <f aca="false">VLOOKUP($A44,Table,MATCH(M$4,Curves,0))</f>
        <v>0.0075</v>
      </c>
      <c r="N44" s="143" t="n">
        <f aca="false">M44</f>
        <v>0.0075</v>
      </c>
      <c r="O44" s="144" t="n">
        <v>0</v>
      </c>
      <c r="P44" s="145"/>
      <c r="Q44" s="144" t="n">
        <f aca="false">M44+J44+G44</f>
        <v>3.9995</v>
      </c>
      <c r="R44" s="144" t="n">
        <f aca="false">O44+L44+I44</f>
        <v>0</v>
      </c>
      <c r="S44" s="145"/>
      <c r="T44" s="71" t="n">
        <f aca="false">A45-A44</f>
        <v>29</v>
      </c>
      <c r="U44" s="146" t="n">
        <f aca="false">CHOOSE(F$3,A45+24,A44)</f>
        <v>38071</v>
      </c>
      <c r="V44" s="71" t="n">
        <f aca="false">U44-C$3</f>
        <v>1183</v>
      </c>
      <c r="W44" s="142" t="n">
        <f aca="false">VLOOKUP($A44,Table,MATCH(W$4,Curves,0))</f>
        <v>0.058373673819866</v>
      </c>
      <c r="X44" s="147" t="n">
        <f aca="false">1/(1+CHOOSE(F$3,(W45+($K$3/10000))/2,(W44+($K$3/10000))/2))^(2*V44/365.25)</f>
        <v>0.829878428614467</v>
      </c>
      <c r="Y44" s="71" t="n">
        <f aca="false">IF(AND(mthbeg&lt;=A44,mthend&gt;=A44),1,0)</f>
        <v>1</v>
      </c>
      <c r="Z44" s="71" t="n">
        <f aca="false">T44*Y44</f>
        <v>29</v>
      </c>
      <c r="AB44" s="132" t="n">
        <f aca="false">F44*G44</f>
        <v>0</v>
      </c>
      <c r="AC44" s="132" t="n">
        <f aca="false">$F44*H44</f>
        <v>0</v>
      </c>
      <c r="AD44" s="132" t="n">
        <f aca="false">$F44*I44</f>
        <v>0</v>
      </c>
      <c r="AE44" s="132" t="n">
        <f aca="false">$F44*J44</f>
        <v>-0</v>
      </c>
      <c r="AF44" s="132" t="n">
        <f aca="false">$F44*K44</f>
        <v>-0</v>
      </c>
      <c r="AG44" s="132" t="n">
        <f aca="false">$F44*L44</f>
        <v>0</v>
      </c>
      <c r="AH44" s="132" t="n">
        <f aca="false">$F44*M44</f>
        <v>0</v>
      </c>
      <c r="AI44" s="132" t="n">
        <f aca="false">$F44*N44</f>
        <v>0</v>
      </c>
      <c r="AJ44" s="132" t="n">
        <f aca="false">F44*O44</f>
        <v>0</v>
      </c>
      <c r="AK44" s="137"/>
      <c r="AL44" s="132" t="n">
        <f aca="false">CHOOSE($G$3,AC44-AD44,AD44-AC44)</f>
        <v>0</v>
      </c>
      <c r="AM44" s="132" t="n">
        <f aca="false">CHOOSE($G$3,AF44-AG44,AG44-AF44)</f>
        <v>0</v>
      </c>
      <c r="AN44" s="132" t="n">
        <f aca="false">CHOOSE($G$3,AI44-AJ44,AJ44-AI44)</f>
        <v>0</v>
      </c>
      <c r="AO44" s="148" t="n">
        <f aca="false">SUM(AL44:AN44)</f>
        <v>0</v>
      </c>
      <c r="AQ44" s="132" t="n">
        <f aca="false">CHOOSE($G$3,AB44-AC44,AC44-AB44)</f>
        <v>0</v>
      </c>
      <c r="AR44" s="132" t="n">
        <f aca="false">CHOOSE($G$3,AE44-AF44,AF44-AE44)</f>
        <v>0</v>
      </c>
      <c r="AS44" s="132" t="n">
        <f aca="false">CHOOSE($G$3,AH44-AI44,AI44-AH44)</f>
        <v>0</v>
      </c>
      <c r="AT44" s="148" t="n">
        <f aca="false">AQ44+AR44+AS44</f>
        <v>0</v>
      </c>
      <c r="AU44" s="148"/>
      <c r="AV44" s="133" t="n">
        <f aca="false">AT44+AO44</f>
        <v>0</v>
      </c>
      <c r="AX44" s="133" t="n">
        <f aca="false">AJ44+AG44+AD44</f>
        <v>0</v>
      </c>
      <c r="AY44" s="149"/>
      <c r="AZ44" s="76" t="n">
        <f aca="false">R44*E44</f>
        <v>0</v>
      </c>
    </row>
    <row r="45" customFormat="false" ht="12.75" hidden="false" customHeight="false" outlineLevel="0" collapsed="false">
      <c r="A45" s="138" t="n">
        <f aca="false">EDATE(A44,1)</f>
        <v>38047</v>
      </c>
      <c r="B45" s="139" t="n">
        <f aca="false">VLOOKUP($A45,Table2,MATCH(I$3,Curves2,0))</f>
        <v>0</v>
      </c>
      <c r="C45" s="140"/>
      <c r="D45" s="141" t="n">
        <f aca="false">B45+C45</f>
        <v>0</v>
      </c>
      <c r="E45" s="126" t="n">
        <f aca="false">IF(Y45=0,0,IF(AND(Y45=1,$H$3=1),D45*T45,IF($H$3=2,D45,"N/A")))</f>
        <v>0</v>
      </c>
      <c r="F45" s="126" t="n">
        <f aca="false">E45*X45</f>
        <v>0</v>
      </c>
      <c r="G45" s="142" t="n">
        <f aca="false">VLOOKUP($A45,Table,MATCH(G$4,Curves,0))</f>
        <v>3.877</v>
      </c>
      <c r="H45" s="143" t="n">
        <f aca="false">G45</f>
        <v>3.877</v>
      </c>
      <c r="I45" s="142" t="n">
        <f aca="false">VLOOKUP($A45,Table1,MATCH(I$3,Curves1,0))</f>
        <v>0</v>
      </c>
      <c r="J45" s="142" t="n">
        <f aca="false">VLOOKUP($A45,Table,MATCH(J$4,Curves,0))</f>
        <v>-0.025</v>
      </c>
      <c r="K45" s="143" t="n">
        <f aca="false">J45</f>
        <v>-0.025</v>
      </c>
      <c r="L45" s="144" t="n">
        <v>0</v>
      </c>
      <c r="M45" s="142" t="n">
        <f aca="false">VLOOKUP($A45,Table,MATCH(M$4,Curves,0))</f>
        <v>0.0075</v>
      </c>
      <c r="N45" s="143" t="n">
        <f aca="false">M45</f>
        <v>0.0075</v>
      </c>
      <c r="O45" s="144" t="n">
        <v>0</v>
      </c>
      <c r="P45" s="145"/>
      <c r="Q45" s="144" t="n">
        <f aca="false">M45+J45+G45</f>
        <v>3.8595</v>
      </c>
      <c r="R45" s="144" t="n">
        <f aca="false">O45+L45+I45</f>
        <v>0</v>
      </c>
      <c r="S45" s="145"/>
      <c r="T45" s="71" t="n">
        <f aca="false">A46-A45</f>
        <v>31</v>
      </c>
      <c r="U45" s="146" t="n">
        <f aca="false">CHOOSE(F$3,A46+24,A45)</f>
        <v>38102</v>
      </c>
      <c r="V45" s="71" t="n">
        <f aca="false">U45-C$3</f>
        <v>1214</v>
      </c>
      <c r="W45" s="142" t="n">
        <f aca="false">VLOOKUP($A45,Table,MATCH(W$4,Curves,0))</f>
        <v>0.058410995777223</v>
      </c>
      <c r="X45" s="147" t="n">
        <f aca="false">1/(1+CHOOSE(F$3,(W46+($K$3/10000))/2,(W45+($K$3/10000))/2))^(2*V45/365.25)</f>
        <v>0.825748816967081</v>
      </c>
      <c r="Y45" s="71" t="n">
        <f aca="false">IF(AND(mthbeg&lt;=A45,mthend&gt;=A45),1,0)</f>
        <v>1</v>
      </c>
      <c r="Z45" s="71" t="n">
        <f aca="false">T45*Y45</f>
        <v>31</v>
      </c>
      <c r="AB45" s="132" t="n">
        <f aca="false">F45*G45</f>
        <v>0</v>
      </c>
      <c r="AC45" s="132" t="n">
        <f aca="false">$F45*H45</f>
        <v>0</v>
      </c>
      <c r="AD45" s="132" t="n">
        <f aca="false">$F45*I45</f>
        <v>0</v>
      </c>
      <c r="AE45" s="132" t="n">
        <f aca="false">$F45*J45</f>
        <v>-0</v>
      </c>
      <c r="AF45" s="132" t="n">
        <f aca="false">$F45*K45</f>
        <v>-0</v>
      </c>
      <c r="AG45" s="132" t="n">
        <f aca="false">$F45*L45</f>
        <v>0</v>
      </c>
      <c r="AH45" s="132" t="n">
        <f aca="false">$F45*M45</f>
        <v>0</v>
      </c>
      <c r="AI45" s="132" t="n">
        <f aca="false">$F45*N45</f>
        <v>0</v>
      </c>
      <c r="AJ45" s="132" t="n">
        <f aca="false">F45*O45</f>
        <v>0</v>
      </c>
      <c r="AK45" s="137"/>
      <c r="AL45" s="132" t="n">
        <f aca="false">CHOOSE($G$3,AC45-AD45,AD45-AC45)</f>
        <v>0</v>
      </c>
      <c r="AM45" s="132" t="n">
        <f aca="false">CHOOSE($G$3,AF45-AG45,AG45-AF45)</f>
        <v>0</v>
      </c>
      <c r="AN45" s="132" t="n">
        <f aca="false">CHOOSE($G$3,AI45-AJ45,AJ45-AI45)</f>
        <v>0</v>
      </c>
      <c r="AO45" s="148" t="n">
        <f aca="false">SUM(AL45:AN45)</f>
        <v>0</v>
      </c>
      <c r="AQ45" s="132" t="n">
        <f aca="false">CHOOSE($G$3,AB45-AC45,AC45-AB45)</f>
        <v>0</v>
      </c>
      <c r="AR45" s="132" t="n">
        <f aca="false">CHOOSE($G$3,AE45-AF45,AF45-AE45)</f>
        <v>0</v>
      </c>
      <c r="AS45" s="132" t="n">
        <f aca="false">CHOOSE($G$3,AH45-AI45,AI45-AH45)</f>
        <v>0</v>
      </c>
      <c r="AT45" s="148" t="n">
        <f aca="false">AQ45+AR45+AS45</f>
        <v>0</v>
      </c>
      <c r="AU45" s="148"/>
      <c r="AV45" s="133" t="n">
        <f aca="false">AT45+AO45</f>
        <v>0</v>
      </c>
      <c r="AX45" s="133" t="n">
        <f aca="false">AJ45+AG45+AD45</f>
        <v>0</v>
      </c>
      <c r="AY45" s="149"/>
      <c r="AZ45" s="76" t="n">
        <f aca="false">R45*E45</f>
        <v>0</v>
      </c>
    </row>
    <row r="46" customFormat="false" ht="12.75" hidden="false" customHeight="false" outlineLevel="0" collapsed="false">
      <c r="A46" s="138" t="n">
        <f aca="false">EDATE(A45,1)</f>
        <v>38078</v>
      </c>
      <c r="B46" s="139" t="n">
        <f aca="false">VLOOKUP($A46,Table2,MATCH(I$3,Curves2,0))</f>
        <v>0</v>
      </c>
      <c r="C46" s="140"/>
      <c r="D46" s="141" t="n">
        <f aca="false">B46+C46</f>
        <v>0</v>
      </c>
      <c r="E46" s="126" t="n">
        <f aca="false">IF(Y46=0,0,IF(AND(Y46=1,$H$3=1),D46*T46,IF($H$3=2,D46,"N/A")))</f>
        <v>0</v>
      </c>
      <c r="F46" s="126" t="n">
        <f aca="false">E46*X46</f>
        <v>0</v>
      </c>
      <c r="G46" s="142" t="n">
        <f aca="false">VLOOKUP($A46,Table,MATCH(G$4,Curves,0))</f>
        <v>3.682</v>
      </c>
      <c r="H46" s="143" t="n">
        <f aca="false">G46</f>
        <v>3.682</v>
      </c>
      <c r="I46" s="142" t="n">
        <f aca="false">VLOOKUP($A46,Table1,MATCH(I$3,Curves1,0))</f>
        <v>0</v>
      </c>
      <c r="J46" s="142" t="n">
        <f aca="false">VLOOKUP($A46,Table,MATCH(J$4,Curves,0))</f>
        <v>-0.025</v>
      </c>
      <c r="K46" s="143" t="n">
        <f aca="false">J46</f>
        <v>-0.025</v>
      </c>
      <c r="L46" s="144" t="n">
        <v>0</v>
      </c>
      <c r="M46" s="142" t="n">
        <f aca="false">VLOOKUP($A46,Table,MATCH(M$4,Curves,0))</f>
        <v>0.0075</v>
      </c>
      <c r="N46" s="143" t="n">
        <f aca="false">M46</f>
        <v>0.0075</v>
      </c>
      <c r="O46" s="144" t="n">
        <v>0</v>
      </c>
      <c r="P46" s="145"/>
      <c r="Q46" s="144" t="n">
        <f aca="false">M46+J46+G46</f>
        <v>3.6645</v>
      </c>
      <c r="R46" s="144" t="n">
        <f aca="false">O46+L46+I46</f>
        <v>0</v>
      </c>
      <c r="S46" s="145"/>
      <c r="T46" s="71" t="n">
        <f aca="false">A47-A46</f>
        <v>30</v>
      </c>
      <c r="U46" s="146" t="n">
        <f aca="false">CHOOSE(F$3,A47+24,A46)</f>
        <v>38132</v>
      </c>
      <c r="V46" s="71" t="n">
        <f aca="false">U46-C$3</f>
        <v>1244</v>
      </c>
      <c r="W46" s="142" t="n">
        <f aca="false">VLOOKUP($A46,Table,MATCH(W$4,Curves,0))</f>
        <v>0.05844259999348</v>
      </c>
      <c r="X46" s="147" t="n">
        <f aca="false">1/(1+CHOOSE(F$3,(W47+($K$3/10000))/2,(W46+($K$3/10000))/2))^(2*V46/365.25)</f>
        <v>0.82179118412241</v>
      </c>
      <c r="Y46" s="71" t="n">
        <f aca="false">IF(AND(mthbeg&lt;=A46,mthend&gt;=A46),1,0)</f>
        <v>1</v>
      </c>
      <c r="Z46" s="71" t="n">
        <f aca="false">T46*Y46</f>
        <v>30</v>
      </c>
      <c r="AB46" s="132" t="n">
        <f aca="false">F46*G46</f>
        <v>0</v>
      </c>
      <c r="AC46" s="132" t="n">
        <f aca="false">$F46*H46</f>
        <v>0</v>
      </c>
      <c r="AD46" s="132" t="n">
        <f aca="false">$F46*I46</f>
        <v>0</v>
      </c>
      <c r="AE46" s="132" t="n">
        <f aca="false">$F46*J46</f>
        <v>-0</v>
      </c>
      <c r="AF46" s="132" t="n">
        <f aca="false">$F46*K46</f>
        <v>-0</v>
      </c>
      <c r="AG46" s="132" t="n">
        <f aca="false">$F46*L46</f>
        <v>0</v>
      </c>
      <c r="AH46" s="132" t="n">
        <f aca="false">$F46*M46</f>
        <v>0</v>
      </c>
      <c r="AI46" s="132" t="n">
        <f aca="false">$F46*N46</f>
        <v>0</v>
      </c>
      <c r="AJ46" s="132" t="n">
        <f aca="false">F46*O46</f>
        <v>0</v>
      </c>
      <c r="AK46" s="137"/>
      <c r="AL46" s="132" t="n">
        <f aca="false">CHOOSE($G$3,AC46-AD46,AD46-AC46)</f>
        <v>0</v>
      </c>
      <c r="AM46" s="132" t="n">
        <f aca="false">CHOOSE($G$3,AF46-AG46,AG46-AF46)</f>
        <v>0</v>
      </c>
      <c r="AN46" s="132" t="n">
        <f aca="false">CHOOSE($G$3,AI46-AJ46,AJ46-AI46)</f>
        <v>0</v>
      </c>
      <c r="AO46" s="148" t="n">
        <f aca="false">SUM(AL46:AN46)</f>
        <v>0</v>
      </c>
      <c r="AQ46" s="132" t="n">
        <f aca="false">CHOOSE($G$3,AB46-AC46,AC46-AB46)</f>
        <v>0</v>
      </c>
      <c r="AR46" s="132" t="n">
        <f aca="false">CHOOSE($G$3,AE46-AF46,AF46-AE46)</f>
        <v>0</v>
      </c>
      <c r="AS46" s="132" t="n">
        <f aca="false">CHOOSE($G$3,AH46-AI46,AI46-AH46)</f>
        <v>0</v>
      </c>
      <c r="AT46" s="148" t="n">
        <f aca="false">AQ46+AR46+AS46</f>
        <v>0</v>
      </c>
      <c r="AU46" s="148"/>
      <c r="AV46" s="133" t="n">
        <f aca="false">AT46+AO46</f>
        <v>0</v>
      </c>
      <c r="AX46" s="133" t="n">
        <f aca="false">AJ46+AG46+AD46</f>
        <v>0</v>
      </c>
      <c r="AY46" s="149"/>
      <c r="AZ46" s="76" t="n">
        <f aca="false">R46*E46</f>
        <v>0</v>
      </c>
    </row>
    <row r="47" customFormat="false" ht="12.75" hidden="false" customHeight="false" outlineLevel="0" collapsed="false">
      <c r="A47" s="138" t="n">
        <f aca="false">EDATE(A46,1)</f>
        <v>38108</v>
      </c>
      <c r="B47" s="139" t="n">
        <f aca="false">VLOOKUP($A47,Table2,MATCH(I$3,Curves2,0))</f>
        <v>0</v>
      </c>
      <c r="C47" s="140"/>
      <c r="D47" s="141" t="n">
        <f aca="false">B47+C47</f>
        <v>0</v>
      </c>
      <c r="E47" s="126" t="n">
        <f aca="false">IF(Y47=0,0,IF(AND(Y47=1,$H$3=1),D47*T47,IF($H$3=2,D47,"N/A")))</f>
        <v>0</v>
      </c>
      <c r="F47" s="126" t="n">
        <f aca="false">E47*X47</f>
        <v>0</v>
      </c>
      <c r="G47" s="142" t="n">
        <f aca="false">VLOOKUP($A47,Table,MATCH(G$4,Curves,0))</f>
        <v>3.637</v>
      </c>
      <c r="H47" s="143" t="n">
        <f aca="false">G47</f>
        <v>3.637</v>
      </c>
      <c r="I47" s="142" t="n">
        <f aca="false">VLOOKUP($A47,Table1,MATCH(I$3,Curves1,0))</f>
        <v>0</v>
      </c>
      <c r="J47" s="142" t="n">
        <f aca="false">VLOOKUP($A47,Table,MATCH(J$4,Curves,0))</f>
        <v>-0.025</v>
      </c>
      <c r="K47" s="143" t="n">
        <f aca="false">J47</f>
        <v>-0.025</v>
      </c>
      <c r="L47" s="144" t="n">
        <v>0</v>
      </c>
      <c r="M47" s="142" t="n">
        <f aca="false">VLOOKUP($A47,Table,MATCH(M$4,Curves,0))</f>
        <v>0.0075</v>
      </c>
      <c r="N47" s="143" t="n">
        <f aca="false">M47</f>
        <v>0.0075</v>
      </c>
      <c r="O47" s="144" t="n">
        <v>0</v>
      </c>
      <c r="P47" s="145"/>
      <c r="Q47" s="144" t="n">
        <f aca="false">M47+J47+G47</f>
        <v>3.6195</v>
      </c>
      <c r="R47" s="144" t="n">
        <f aca="false">O47+L47+I47</f>
        <v>0</v>
      </c>
      <c r="S47" s="145"/>
      <c r="T47" s="71" t="n">
        <f aca="false">A48-A47</f>
        <v>31</v>
      </c>
      <c r="U47" s="146" t="n">
        <f aca="false">CHOOSE(F$3,A48+24,A47)</f>
        <v>38163</v>
      </c>
      <c r="V47" s="71" t="n">
        <f aca="false">U47-C$3</f>
        <v>1275</v>
      </c>
      <c r="W47" s="142" t="n">
        <f aca="false">VLOOKUP($A47,Table,MATCH(W$4,Curves,0))</f>
        <v>0.058464625576222</v>
      </c>
      <c r="X47" s="147" t="n">
        <f aca="false">1/(1+CHOOSE(F$3,(W48+($K$3/10000))/2,(W47+($K$3/10000))/2))^(2*V47/365.25)</f>
        <v>0.817718536854636</v>
      </c>
      <c r="Y47" s="71" t="n">
        <f aca="false">IF(AND(mthbeg&lt;=A47,mthend&gt;=A47),1,0)</f>
        <v>1</v>
      </c>
      <c r="Z47" s="71" t="n">
        <f aca="false">T47*Y47</f>
        <v>31</v>
      </c>
      <c r="AB47" s="132" t="n">
        <f aca="false">F47*G47</f>
        <v>0</v>
      </c>
      <c r="AC47" s="132" t="n">
        <f aca="false">$F47*H47</f>
        <v>0</v>
      </c>
      <c r="AD47" s="132" t="n">
        <f aca="false">$F47*I47</f>
        <v>0</v>
      </c>
      <c r="AE47" s="132" t="n">
        <f aca="false">$F47*J47</f>
        <v>-0</v>
      </c>
      <c r="AF47" s="132" t="n">
        <f aca="false">$F47*K47</f>
        <v>-0</v>
      </c>
      <c r="AG47" s="132" t="n">
        <f aca="false">$F47*L47</f>
        <v>0</v>
      </c>
      <c r="AH47" s="132" t="n">
        <f aca="false">$F47*M47</f>
        <v>0</v>
      </c>
      <c r="AI47" s="132" t="n">
        <f aca="false">$F47*N47</f>
        <v>0</v>
      </c>
      <c r="AJ47" s="132" t="n">
        <f aca="false">F47*O47</f>
        <v>0</v>
      </c>
      <c r="AK47" s="137"/>
      <c r="AL47" s="132" t="n">
        <f aca="false">CHOOSE($G$3,AC47-AD47,AD47-AC47)</f>
        <v>0</v>
      </c>
      <c r="AM47" s="132" t="n">
        <f aca="false">CHOOSE($G$3,AF47-AG47,AG47-AF47)</f>
        <v>0</v>
      </c>
      <c r="AN47" s="132" t="n">
        <f aca="false">CHOOSE($G$3,AI47-AJ47,AJ47-AI47)</f>
        <v>0</v>
      </c>
      <c r="AO47" s="148" t="n">
        <f aca="false">SUM(AL47:AN47)</f>
        <v>0</v>
      </c>
      <c r="AQ47" s="132" t="n">
        <f aca="false">CHOOSE($G$3,AB47-AC47,AC47-AB47)</f>
        <v>0</v>
      </c>
      <c r="AR47" s="132" t="n">
        <f aca="false">CHOOSE($G$3,AE47-AF47,AF47-AE47)</f>
        <v>0</v>
      </c>
      <c r="AS47" s="132" t="n">
        <f aca="false">CHOOSE($G$3,AH47-AI47,AI47-AH47)</f>
        <v>0</v>
      </c>
      <c r="AT47" s="148" t="n">
        <f aca="false">AQ47+AR47+AS47</f>
        <v>0</v>
      </c>
      <c r="AU47" s="148"/>
      <c r="AV47" s="133" t="n">
        <f aca="false">AT47+AO47</f>
        <v>0</v>
      </c>
      <c r="AX47" s="133" t="n">
        <f aca="false">AJ47+AG47+AD47</f>
        <v>0</v>
      </c>
      <c r="AY47" s="149"/>
      <c r="AZ47" s="76" t="n">
        <f aca="false">R47*E47</f>
        <v>0</v>
      </c>
    </row>
    <row r="48" customFormat="false" ht="12.75" hidden="false" customHeight="false" outlineLevel="0" collapsed="false">
      <c r="A48" s="138" t="n">
        <f aca="false">EDATE(A47,1)</f>
        <v>38139</v>
      </c>
      <c r="B48" s="139" t="n">
        <f aca="false">VLOOKUP($A48,Table2,MATCH(I$3,Curves2,0))</f>
        <v>0</v>
      </c>
      <c r="C48" s="140"/>
      <c r="D48" s="141" t="n">
        <f aca="false">B48+C48</f>
        <v>0</v>
      </c>
      <c r="E48" s="126" t="n">
        <f aca="false">IF(Y48=0,0,IF(AND(Y48=1,$H$3=1),D48*T48,IF($H$3=2,D48,"N/A")))</f>
        <v>0</v>
      </c>
      <c r="F48" s="126" t="n">
        <f aca="false">E48*X48</f>
        <v>0</v>
      </c>
      <c r="G48" s="142" t="n">
        <f aca="false">VLOOKUP($A48,Table,MATCH(G$4,Curves,0))</f>
        <v>3.657</v>
      </c>
      <c r="H48" s="143" t="n">
        <f aca="false">G48</f>
        <v>3.657</v>
      </c>
      <c r="I48" s="142" t="n">
        <f aca="false">VLOOKUP($A48,Table1,MATCH(I$3,Curves1,0))</f>
        <v>0</v>
      </c>
      <c r="J48" s="142" t="n">
        <f aca="false">VLOOKUP($A48,Table,MATCH(J$4,Curves,0))</f>
        <v>-0.025</v>
      </c>
      <c r="K48" s="143" t="n">
        <f aca="false">J48</f>
        <v>-0.025</v>
      </c>
      <c r="L48" s="144" t="n">
        <v>0</v>
      </c>
      <c r="M48" s="142" t="n">
        <f aca="false">VLOOKUP($A48,Table,MATCH(M$4,Curves,0))</f>
        <v>0.0075</v>
      </c>
      <c r="N48" s="143" t="n">
        <f aca="false">M48</f>
        <v>0.0075</v>
      </c>
      <c r="O48" s="144" t="n">
        <v>0</v>
      </c>
      <c r="P48" s="145"/>
      <c r="Q48" s="144" t="n">
        <f aca="false">M48+J48+G48</f>
        <v>3.6395</v>
      </c>
      <c r="R48" s="144" t="n">
        <f aca="false">O48+L48+I48</f>
        <v>0</v>
      </c>
      <c r="S48" s="145"/>
      <c r="T48" s="71" t="n">
        <f aca="false">A49-A48</f>
        <v>30</v>
      </c>
      <c r="U48" s="146" t="n">
        <f aca="false">CHOOSE(F$3,A49+24,A48)</f>
        <v>38193</v>
      </c>
      <c r="V48" s="71" t="n">
        <f aca="false">U48-C$3</f>
        <v>1305</v>
      </c>
      <c r="W48" s="142" t="n">
        <f aca="false">VLOOKUP($A48,Table,MATCH(W$4,Curves,0))</f>
        <v>0.058487385345225</v>
      </c>
      <c r="X48" s="147" t="n">
        <f aca="false">1/(1+CHOOSE(F$3,(W49+($K$3/10000))/2,(W48+($K$3/10000))/2))^(2*V48/365.25)</f>
        <v>0.813788582416761</v>
      </c>
      <c r="Y48" s="71" t="n">
        <f aca="false">IF(AND(mthbeg&lt;=A48,mthend&gt;=A48),1,0)</f>
        <v>1</v>
      </c>
      <c r="Z48" s="71" t="n">
        <f aca="false">T48*Y48</f>
        <v>30</v>
      </c>
      <c r="AB48" s="132" t="n">
        <f aca="false">F48*G48</f>
        <v>0</v>
      </c>
      <c r="AC48" s="132" t="n">
        <f aca="false">$F48*H48</f>
        <v>0</v>
      </c>
      <c r="AD48" s="132" t="n">
        <f aca="false">$F48*I48</f>
        <v>0</v>
      </c>
      <c r="AE48" s="132" t="n">
        <f aca="false">$F48*J48</f>
        <v>-0</v>
      </c>
      <c r="AF48" s="132" t="n">
        <f aca="false">$F48*K48</f>
        <v>-0</v>
      </c>
      <c r="AG48" s="132" t="n">
        <f aca="false">$F48*L48</f>
        <v>0</v>
      </c>
      <c r="AH48" s="132" t="n">
        <f aca="false">$F48*M48</f>
        <v>0</v>
      </c>
      <c r="AI48" s="132" t="n">
        <f aca="false">$F48*N48</f>
        <v>0</v>
      </c>
      <c r="AJ48" s="132" t="n">
        <f aca="false">F48*O48</f>
        <v>0</v>
      </c>
      <c r="AK48" s="137"/>
      <c r="AL48" s="132" t="n">
        <f aca="false">CHOOSE($G$3,AC48-AD48,AD48-AC48)</f>
        <v>0</v>
      </c>
      <c r="AM48" s="132" t="n">
        <f aca="false">CHOOSE($G$3,AF48-AG48,AG48-AF48)</f>
        <v>0</v>
      </c>
      <c r="AN48" s="132" t="n">
        <f aca="false">CHOOSE($G$3,AI48-AJ48,AJ48-AI48)</f>
        <v>0</v>
      </c>
      <c r="AO48" s="148" t="n">
        <f aca="false">SUM(AL48:AN48)</f>
        <v>0</v>
      </c>
      <c r="AQ48" s="132" t="n">
        <f aca="false">CHOOSE($G$3,AB48-AC48,AC48-AB48)</f>
        <v>0</v>
      </c>
      <c r="AR48" s="132" t="n">
        <f aca="false">CHOOSE($G$3,AE48-AF48,AF48-AE48)</f>
        <v>0</v>
      </c>
      <c r="AS48" s="132" t="n">
        <f aca="false">CHOOSE($G$3,AH48-AI48,AI48-AH48)</f>
        <v>0</v>
      </c>
      <c r="AT48" s="148" t="n">
        <f aca="false">AQ48+AR48+AS48</f>
        <v>0</v>
      </c>
      <c r="AU48" s="148"/>
      <c r="AV48" s="133" t="n">
        <f aca="false">AT48+AO48</f>
        <v>0</v>
      </c>
      <c r="AX48" s="133" t="n">
        <f aca="false">AJ48+AG48+AD48</f>
        <v>0</v>
      </c>
      <c r="AY48" s="149"/>
      <c r="AZ48" s="76" t="n">
        <f aca="false">R48*E48</f>
        <v>0</v>
      </c>
    </row>
    <row r="49" customFormat="false" ht="12.75" hidden="false" customHeight="false" outlineLevel="0" collapsed="false">
      <c r="A49" s="138" t="n">
        <f aca="false">EDATE(A48,1)</f>
        <v>38169</v>
      </c>
      <c r="B49" s="139" t="n">
        <f aca="false">VLOOKUP($A49,Table2,MATCH(I$3,Curves2,0))</f>
        <v>0</v>
      </c>
      <c r="C49" s="140"/>
      <c r="D49" s="141" t="n">
        <f aca="false">B49+C49</f>
        <v>0</v>
      </c>
      <c r="E49" s="126" t="n">
        <f aca="false">IF(Y49=0,0,IF(AND(Y49=1,$H$3=1),D49*T49,IF($H$3=2,D49,"N/A")))</f>
        <v>0</v>
      </c>
      <c r="F49" s="126" t="n">
        <f aca="false">E49*X49</f>
        <v>0</v>
      </c>
      <c r="G49" s="142" t="n">
        <f aca="false">VLOOKUP($A49,Table,MATCH(G$4,Curves,0))</f>
        <v>3.672</v>
      </c>
      <c r="H49" s="143" t="n">
        <f aca="false">G49</f>
        <v>3.672</v>
      </c>
      <c r="I49" s="142" t="n">
        <f aca="false">VLOOKUP($A49,Table1,MATCH(I$3,Curves1,0))</f>
        <v>0</v>
      </c>
      <c r="J49" s="142" t="n">
        <f aca="false">VLOOKUP($A49,Table,MATCH(J$4,Curves,0))</f>
        <v>-0.025</v>
      </c>
      <c r="K49" s="143" t="n">
        <f aca="false">J49</f>
        <v>-0.025</v>
      </c>
      <c r="L49" s="144" t="n">
        <v>0</v>
      </c>
      <c r="M49" s="142" t="n">
        <f aca="false">VLOOKUP($A49,Table,MATCH(M$4,Curves,0))</f>
        <v>0.0075</v>
      </c>
      <c r="N49" s="143" t="n">
        <f aca="false">M49</f>
        <v>0.0075</v>
      </c>
      <c r="O49" s="144" t="n">
        <v>0</v>
      </c>
      <c r="P49" s="145"/>
      <c r="Q49" s="144" t="n">
        <f aca="false">M49+J49+G49</f>
        <v>3.6545</v>
      </c>
      <c r="R49" s="144" t="n">
        <f aca="false">O49+L49+I49</f>
        <v>0</v>
      </c>
      <c r="S49" s="145"/>
      <c r="T49" s="71" t="n">
        <f aca="false">A50-A49</f>
        <v>31</v>
      </c>
      <c r="U49" s="146" t="n">
        <f aca="false">CHOOSE(F$3,A50+24,A49)</f>
        <v>38224</v>
      </c>
      <c r="V49" s="71" t="n">
        <f aca="false">U49-C$3</f>
        <v>1336</v>
      </c>
      <c r="W49" s="142" t="n">
        <f aca="false">VLOOKUP($A49,Table,MATCH(W$4,Curves,0))</f>
        <v>0.058511178500586</v>
      </c>
      <c r="X49" s="147" t="n">
        <f aca="false">1/(1+CHOOSE(F$3,(W50+($K$3/10000))/2,(W49+($K$3/10000))/2))^(2*V49/365.25)</f>
        <v>0.809738650904168</v>
      </c>
      <c r="Y49" s="71" t="n">
        <f aca="false">IF(AND(mthbeg&lt;=A49,mthend&gt;=A49),1,0)</f>
        <v>1</v>
      </c>
      <c r="Z49" s="71" t="n">
        <f aca="false">T49*Y49</f>
        <v>31</v>
      </c>
      <c r="AB49" s="132" t="n">
        <f aca="false">F49*G49</f>
        <v>0</v>
      </c>
      <c r="AC49" s="132" t="n">
        <f aca="false">$F49*H49</f>
        <v>0</v>
      </c>
      <c r="AD49" s="132" t="n">
        <f aca="false">$F49*I49</f>
        <v>0</v>
      </c>
      <c r="AE49" s="132" t="n">
        <f aca="false">$F49*J49</f>
        <v>-0</v>
      </c>
      <c r="AF49" s="132" t="n">
        <f aca="false">$F49*K49</f>
        <v>-0</v>
      </c>
      <c r="AG49" s="132" t="n">
        <f aca="false">$F49*L49</f>
        <v>0</v>
      </c>
      <c r="AH49" s="132" t="n">
        <f aca="false">$F49*M49</f>
        <v>0</v>
      </c>
      <c r="AI49" s="132" t="n">
        <f aca="false">$F49*N49</f>
        <v>0</v>
      </c>
      <c r="AJ49" s="132" t="n">
        <f aca="false">F49*O49</f>
        <v>0</v>
      </c>
      <c r="AK49" s="137"/>
      <c r="AL49" s="132" t="n">
        <f aca="false">CHOOSE($G$3,AC49-AD49,AD49-AC49)</f>
        <v>0</v>
      </c>
      <c r="AM49" s="132" t="n">
        <f aca="false">CHOOSE($G$3,AF49-AG49,AG49-AF49)</f>
        <v>0</v>
      </c>
      <c r="AN49" s="132" t="n">
        <f aca="false">CHOOSE($G$3,AI49-AJ49,AJ49-AI49)</f>
        <v>0</v>
      </c>
      <c r="AO49" s="148" t="n">
        <f aca="false">SUM(AL49:AN49)</f>
        <v>0</v>
      </c>
      <c r="AQ49" s="132" t="n">
        <f aca="false">CHOOSE($G$3,AB49-AC49,AC49-AB49)</f>
        <v>0</v>
      </c>
      <c r="AR49" s="132" t="n">
        <f aca="false">CHOOSE($G$3,AE49-AF49,AF49-AE49)</f>
        <v>0</v>
      </c>
      <c r="AS49" s="132" t="n">
        <f aca="false">CHOOSE($G$3,AH49-AI49,AI49-AH49)</f>
        <v>0</v>
      </c>
      <c r="AT49" s="148" t="n">
        <f aca="false">AQ49+AR49+AS49</f>
        <v>0</v>
      </c>
      <c r="AU49" s="148"/>
      <c r="AV49" s="133" t="n">
        <f aca="false">AT49+AO49</f>
        <v>0</v>
      </c>
      <c r="AX49" s="133" t="n">
        <f aca="false">AJ49+AG49+AD49</f>
        <v>0</v>
      </c>
      <c r="AY49" s="149"/>
      <c r="AZ49" s="76" t="n">
        <f aca="false">R49*E49</f>
        <v>0</v>
      </c>
    </row>
    <row r="50" customFormat="false" ht="12.75" hidden="false" customHeight="false" outlineLevel="0" collapsed="false">
      <c r="A50" s="138" t="n">
        <f aca="false">EDATE(A49,1)</f>
        <v>38200</v>
      </c>
      <c r="B50" s="139" t="n">
        <f aca="false">VLOOKUP($A50,Table2,MATCH(I$3,Curves2,0))</f>
        <v>0</v>
      </c>
      <c r="C50" s="140"/>
      <c r="D50" s="141" t="n">
        <f aca="false">B50+C50</f>
        <v>0</v>
      </c>
      <c r="E50" s="126" t="n">
        <f aca="false">IF(Y50=0,0,IF(AND(Y50=1,$H$3=1),D50*T50,IF($H$3=2,D50,"N/A")))</f>
        <v>0</v>
      </c>
      <c r="F50" s="126" t="n">
        <f aca="false">E50*X50</f>
        <v>0</v>
      </c>
      <c r="G50" s="142" t="n">
        <f aca="false">VLOOKUP($A50,Table,MATCH(G$4,Curves,0))</f>
        <v>3.682</v>
      </c>
      <c r="H50" s="143" t="n">
        <f aca="false">G50</f>
        <v>3.682</v>
      </c>
      <c r="I50" s="142" t="n">
        <f aca="false">VLOOKUP($A50,Table1,MATCH(I$3,Curves1,0))</f>
        <v>0</v>
      </c>
      <c r="J50" s="142" t="n">
        <f aca="false">VLOOKUP($A50,Table,MATCH(J$4,Curves,0))</f>
        <v>-0.025</v>
      </c>
      <c r="K50" s="143" t="n">
        <f aca="false">J50</f>
        <v>-0.025</v>
      </c>
      <c r="L50" s="144" t="n">
        <v>0</v>
      </c>
      <c r="M50" s="142" t="n">
        <f aca="false">VLOOKUP($A50,Table,MATCH(M$4,Curves,0))</f>
        <v>0.0075</v>
      </c>
      <c r="N50" s="143" t="n">
        <f aca="false">M50</f>
        <v>0.0075</v>
      </c>
      <c r="O50" s="144" t="n">
        <v>0</v>
      </c>
      <c r="P50" s="145"/>
      <c r="Q50" s="144" t="n">
        <f aca="false">M50+J50+G50</f>
        <v>3.6645</v>
      </c>
      <c r="R50" s="144" t="n">
        <f aca="false">O50+L50+I50</f>
        <v>0</v>
      </c>
      <c r="S50" s="145"/>
      <c r="T50" s="71" t="n">
        <f aca="false">A51-A50</f>
        <v>31</v>
      </c>
      <c r="U50" s="146" t="n">
        <f aca="false">CHOOSE(F$3,A51+24,A50)</f>
        <v>38255</v>
      </c>
      <c r="V50" s="71" t="n">
        <f aca="false">U50-C$3</f>
        <v>1367</v>
      </c>
      <c r="W50" s="142" t="n">
        <f aca="false">VLOOKUP($A50,Table,MATCH(W$4,Curves,0))</f>
        <v>0.058537707389653</v>
      </c>
      <c r="X50" s="147" t="n">
        <f aca="false">1/(1+CHOOSE(F$3,(W51+($K$3/10000))/2,(W50+($K$3/10000))/2))^(2*V50/365.25)</f>
        <v>0.805705350335172</v>
      </c>
      <c r="Y50" s="71" t="n">
        <f aca="false">IF(AND(mthbeg&lt;=A50,mthend&gt;=A50),1,0)</f>
        <v>1</v>
      </c>
      <c r="Z50" s="71" t="n">
        <f aca="false">T50*Y50</f>
        <v>31</v>
      </c>
      <c r="AB50" s="132" t="n">
        <f aca="false">F50*G50</f>
        <v>0</v>
      </c>
      <c r="AC50" s="132" t="n">
        <f aca="false">$F50*H50</f>
        <v>0</v>
      </c>
      <c r="AD50" s="132" t="n">
        <f aca="false">$F50*I50</f>
        <v>0</v>
      </c>
      <c r="AE50" s="132" t="n">
        <f aca="false">$F50*J50</f>
        <v>-0</v>
      </c>
      <c r="AF50" s="132" t="n">
        <f aca="false">$F50*K50</f>
        <v>-0</v>
      </c>
      <c r="AG50" s="132" t="n">
        <f aca="false">$F50*L50</f>
        <v>0</v>
      </c>
      <c r="AH50" s="132" t="n">
        <f aca="false">$F50*M50</f>
        <v>0</v>
      </c>
      <c r="AI50" s="132" t="n">
        <f aca="false">$F50*N50</f>
        <v>0</v>
      </c>
      <c r="AJ50" s="132" t="n">
        <f aca="false">F50*O50</f>
        <v>0</v>
      </c>
      <c r="AK50" s="137"/>
      <c r="AL50" s="132" t="n">
        <f aca="false">CHOOSE($G$3,AC50-AD50,AD50-AC50)</f>
        <v>0</v>
      </c>
      <c r="AM50" s="132" t="n">
        <f aca="false">CHOOSE($G$3,AF50-AG50,AG50-AF50)</f>
        <v>0</v>
      </c>
      <c r="AN50" s="132" t="n">
        <f aca="false">CHOOSE($G$3,AI50-AJ50,AJ50-AI50)</f>
        <v>0</v>
      </c>
      <c r="AO50" s="148" t="n">
        <f aca="false">SUM(AL50:AN50)</f>
        <v>0</v>
      </c>
      <c r="AQ50" s="132" t="n">
        <f aca="false">CHOOSE($G$3,AB50-AC50,AC50-AB50)</f>
        <v>0</v>
      </c>
      <c r="AR50" s="132" t="n">
        <f aca="false">CHOOSE($G$3,AE50-AF50,AF50-AE50)</f>
        <v>0</v>
      </c>
      <c r="AS50" s="132" t="n">
        <f aca="false">CHOOSE($G$3,AH50-AI50,AI50-AH50)</f>
        <v>0</v>
      </c>
      <c r="AT50" s="148" t="n">
        <f aca="false">AQ50+AR50+AS50</f>
        <v>0</v>
      </c>
      <c r="AU50" s="148"/>
      <c r="AV50" s="133" t="n">
        <f aca="false">AT50+AO50</f>
        <v>0</v>
      </c>
      <c r="AX50" s="133" t="n">
        <f aca="false">AJ50+AG50+AD50</f>
        <v>0</v>
      </c>
      <c r="AY50" s="149"/>
      <c r="AZ50" s="76" t="n">
        <f aca="false">R50*E50</f>
        <v>0</v>
      </c>
    </row>
    <row r="51" customFormat="false" ht="12.75" hidden="false" customHeight="false" outlineLevel="0" collapsed="false">
      <c r="A51" s="138" t="n">
        <f aca="false">EDATE(A50,1)</f>
        <v>38231</v>
      </c>
      <c r="B51" s="139" t="n">
        <f aca="false">VLOOKUP($A51,Table2,MATCH(I$3,Curves2,0))</f>
        <v>0</v>
      </c>
      <c r="C51" s="140"/>
      <c r="D51" s="141" t="n">
        <f aca="false">B51+C51</f>
        <v>0</v>
      </c>
      <c r="E51" s="126" t="n">
        <f aca="false">IF(Y51=0,0,IF(AND(Y51=1,$H$3=1),D51*T51,IF($H$3=2,D51,"N/A")))</f>
        <v>0</v>
      </c>
      <c r="F51" s="126" t="n">
        <f aca="false">E51*X51</f>
        <v>0</v>
      </c>
      <c r="G51" s="142" t="n">
        <f aca="false">VLOOKUP($A51,Table,MATCH(G$4,Curves,0))</f>
        <v>3.699</v>
      </c>
      <c r="H51" s="143" t="n">
        <f aca="false">G51</f>
        <v>3.699</v>
      </c>
      <c r="I51" s="142" t="n">
        <f aca="false">VLOOKUP($A51,Table1,MATCH(I$3,Curves1,0))</f>
        <v>0</v>
      </c>
      <c r="J51" s="142" t="n">
        <f aca="false">VLOOKUP($A51,Table,MATCH(J$4,Curves,0))</f>
        <v>-0.025</v>
      </c>
      <c r="K51" s="143" t="n">
        <f aca="false">J51</f>
        <v>-0.025</v>
      </c>
      <c r="L51" s="144" t="n">
        <v>0</v>
      </c>
      <c r="M51" s="142" t="n">
        <f aca="false">VLOOKUP($A51,Table,MATCH(M$4,Curves,0))</f>
        <v>0.0075</v>
      </c>
      <c r="N51" s="143" t="n">
        <f aca="false">M51</f>
        <v>0.0075</v>
      </c>
      <c r="O51" s="144" t="n">
        <v>0</v>
      </c>
      <c r="P51" s="145"/>
      <c r="Q51" s="144" t="n">
        <f aca="false">M51+J51+G51</f>
        <v>3.6815</v>
      </c>
      <c r="R51" s="144" t="n">
        <f aca="false">O51+L51+I51</f>
        <v>0</v>
      </c>
      <c r="S51" s="145"/>
      <c r="T51" s="71" t="n">
        <f aca="false">A52-A51</f>
        <v>30</v>
      </c>
      <c r="U51" s="146" t="n">
        <f aca="false">CHOOSE(F$3,A52+24,A51)</f>
        <v>38285</v>
      </c>
      <c r="V51" s="71" t="n">
        <f aca="false">U51-C$3</f>
        <v>1397</v>
      </c>
      <c r="W51" s="142" t="n">
        <f aca="false">VLOOKUP($A51,Table,MATCH(W$4,Curves,0))</f>
        <v>0.058564236278954</v>
      </c>
      <c r="X51" s="147" t="n">
        <f aca="false">1/(1+CHOOSE(F$3,(W52+($K$3/10000))/2,(W51+($K$3/10000))/2))^(2*V51/365.25)</f>
        <v>0.801814522784125</v>
      </c>
      <c r="Y51" s="71" t="n">
        <f aca="false">IF(AND(mthbeg&lt;=A51,mthend&gt;=A51),1,0)</f>
        <v>1</v>
      </c>
      <c r="Z51" s="71" t="n">
        <f aca="false">T51*Y51</f>
        <v>30</v>
      </c>
      <c r="AB51" s="132" t="n">
        <f aca="false">F51*G51</f>
        <v>0</v>
      </c>
      <c r="AC51" s="132" t="n">
        <f aca="false">$F51*H51</f>
        <v>0</v>
      </c>
      <c r="AD51" s="132" t="n">
        <f aca="false">$F51*I51</f>
        <v>0</v>
      </c>
      <c r="AE51" s="132" t="n">
        <f aca="false">$F51*J51</f>
        <v>-0</v>
      </c>
      <c r="AF51" s="132" t="n">
        <f aca="false">$F51*K51</f>
        <v>-0</v>
      </c>
      <c r="AG51" s="132" t="n">
        <f aca="false">$F51*L51</f>
        <v>0</v>
      </c>
      <c r="AH51" s="132" t="n">
        <f aca="false">$F51*M51</f>
        <v>0</v>
      </c>
      <c r="AI51" s="132" t="n">
        <f aca="false">$F51*N51</f>
        <v>0</v>
      </c>
      <c r="AJ51" s="132" t="n">
        <f aca="false">F51*O51</f>
        <v>0</v>
      </c>
      <c r="AK51" s="137"/>
      <c r="AL51" s="132" t="n">
        <f aca="false">CHOOSE($G$3,AC51-AD51,AD51-AC51)</f>
        <v>0</v>
      </c>
      <c r="AM51" s="132" t="n">
        <f aca="false">CHOOSE($G$3,AF51-AG51,AG51-AF51)</f>
        <v>0</v>
      </c>
      <c r="AN51" s="132" t="n">
        <f aca="false">CHOOSE($G$3,AI51-AJ51,AJ51-AI51)</f>
        <v>0</v>
      </c>
      <c r="AO51" s="148" t="n">
        <f aca="false">SUM(AL51:AN51)</f>
        <v>0</v>
      </c>
      <c r="AQ51" s="132" t="n">
        <f aca="false">CHOOSE($G$3,AB51-AC51,AC51-AB51)</f>
        <v>0</v>
      </c>
      <c r="AR51" s="132" t="n">
        <f aca="false">CHOOSE($G$3,AE51-AF51,AF51-AE51)</f>
        <v>0</v>
      </c>
      <c r="AS51" s="132" t="n">
        <f aca="false">CHOOSE($G$3,AH51-AI51,AI51-AH51)</f>
        <v>0</v>
      </c>
      <c r="AT51" s="148" t="n">
        <f aca="false">AQ51+AR51+AS51</f>
        <v>0</v>
      </c>
      <c r="AU51" s="148"/>
      <c r="AV51" s="133" t="n">
        <f aca="false">AT51+AO51</f>
        <v>0</v>
      </c>
      <c r="AX51" s="133" t="n">
        <f aca="false">AJ51+AG51+AD51</f>
        <v>0</v>
      </c>
      <c r="AY51" s="149"/>
      <c r="AZ51" s="76" t="n">
        <f aca="false">R51*E51</f>
        <v>0</v>
      </c>
    </row>
    <row r="52" customFormat="false" ht="12.75" hidden="false" customHeight="false" outlineLevel="0" collapsed="false">
      <c r="A52" s="138" t="n">
        <f aca="false">EDATE(A51,1)</f>
        <v>38261</v>
      </c>
      <c r="B52" s="139" t="n">
        <f aca="false">VLOOKUP($A52,Table2,MATCH(I$3,Curves2,0))</f>
        <v>0</v>
      </c>
      <c r="C52" s="140"/>
      <c r="D52" s="141" t="n">
        <f aca="false">B52+C52</f>
        <v>0</v>
      </c>
      <c r="E52" s="126" t="n">
        <f aca="false">IF(Y52=0,0,IF(AND(Y52=1,$H$3=1),D52*T52,IF($H$3=2,D52,"N/A")))</f>
        <v>0</v>
      </c>
      <c r="F52" s="126" t="n">
        <f aca="false">E52*X52</f>
        <v>0</v>
      </c>
      <c r="G52" s="142" t="n">
        <f aca="false">VLOOKUP($A52,Table,MATCH(G$4,Curves,0))</f>
        <v>3.717</v>
      </c>
      <c r="H52" s="143" t="n">
        <f aca="false">G52</f>
        <v>3.717</v>
      </c>
      <c r="I52" s="142" t="n">
        <f aca="false">VLOOKUP($A52,Table1,MATCH(I$3,Curves1,0))</f>
        <v>0</v>
      </c>
      <c r="J52" s="142" t="n">
        <f aca="false">VLOOKUP($A52,Table,MATCH(J$4,Curves,0))</f>
        <v>-0.025</v>
      </c>
      <c r="K52" s="143" t="n">
        <f aca="false">J52</f>
        <v>-0.025</v>
      </c>
      <c r="L52" s="144" t="n">
        <v>0</v>
      </c>
      <c r="M52" s="142" t="n">
        <f aca="false">VLOOKUP($A52,Table,MATCH(M$4,Curves,0))</f>
        <v>0.0075</v>
      </c>
      <c r="N52" s="143" t="n">
        <f aca="false">M52</f>
        <v>0.0075</v>
      </c>
      <c r="O52" s="144" t="n">
        <v>0</v>
      </c>
      <c r="P52" s="145"/>
      <c r="Q52" s="144" t="n">
        <f aca="false">M52+J52+G52</f>
        <v>3.6995</v>
      </c>
      <c r="R52" s="144" t="n">
        <f aca="false">O52+L52+I52</f>
        <v>0</v>
      </c>
      <c r="S52" s="145"/>
      <c r="T52" s="71" t="n">
        <f aca="false">A53-A52</f>
        <v>31</v>
      </c>
      <c r="U52" s="146" t="n">
        <f aca="false">CHOOSE(F$3,A53+24,A52)</f>
        <v>38316</v>
      </c>
      <c r="V52" s="71" t="n">
        <f aca="false">U52-C$3</f>
        <v>1428</v>
      </c>
      <c r="W52" s="142" t="n">
        <f aca="false">VLOOKUP($A52,Table,MATCH(W$4,Curves,0))</f>
        <v>0.058591058426884</v>
      </c>
      <c r="X52" s="147" t="n">
        <f aca="false">1/(1+CHOOSE(F$3,(W53+($K$3/10000))/2,(W52+($K$3/10000))/2))^(2*V52/365.25)</f>
        <v>0.797806801207727</v>
      </c>
      <c r="Y52" s="71" t="n">
        <f aca="false">IF(AND(mthbeg&lt;=A52,mthend&gt;=A52),1,0)</f>
        <v>1</v>
      </c>
      <c r="Z52" s="71" t="n">
        <f aca="false">T52*Y52</f>
        <v>31</v>
      </c>
      <c r="AB52" s="132" t="n">
        <f aca="false">F52*G52</f>
        <v>0</v>
      </c>
      <c r="AC52" s="132" t="n">
        <f aca="false">$F52*H52</f>
        <v>0</v>
      </c>
      <c r="AD52" s="132" t="n">
        <f aca="false">$F52*I52</f>
        <v>0</v>
      </c>
      <c r="AE52" s="132" t="n">
        <f aca="false">$F52*J52</f>
        <v>-0</v>
      </c>
      <c r="AF52" s="132" t="n">
        <f aca="false">$F52*K52</f>
        <v>-0</v>
      </c>
      <c r="AG52" s="132" t="n">
        <f aca="false">$F52*L52</f>
        <v>0</v>
      </c>
      <c r="AH52" s="132" t="n">
        <f aca="false">$F52*M52</f>
        <v>0</v>
      </c>
      <c r="AI52" s="132" t="n">
        <f aca="false">$F52*N52</f>
        <v>0</v>
      </c>
      <c r="AJ52" s="132" t="n">
        <f aca="false">F52*O52</f>
        <v>0</v>
      </c>
      <c r="AK52" s="137"/>
      <c r="AL52" s="132" t="n">
        <f aca="false">CHOOSE($G$3,AC52-AD52,AD52-AC52)</f>
        <v>0</v>
      </c>
      <c r="AM52" s="132" t="n">
        <f aca="false">CHOOSE($G$3,AF52-AG52,AG52-AF52)</f>
        <v>0</v>
      </c>
      <c r="AN52" s="132" t="n">
        <f aca="false">CHOOSE($G$3,AI52-AJ52,AJ52-AI52)</f>
        <v>0</v>
      </c>
      <c r="AO52" s="148" t="n">
        <f aca="false">SUM(AL52:AN52)</f>
        <v>0</v>
      </c>
      <c r="AQ52" s="132" t="n">
        <f aca="false">CHOOSE($G$3,AB52-AC52,AC52-AB52)</f>
        <v>0</v>
      </c>
      <c r="AR52" s="132" t="n">
        <f aca="false">CHOOSE($G$3,AE52-AF52,AF52-AE52)</f>
        <v>0</v>
      </c>
      <c r="AS52" s="132" t="n">
        <f aca="false">CHOOSE($G$3,AH52-AI52,AI52-AH52)</f>
        <v>0</v>
      </c>
      <c r="AT52" s="148" t="n">
        <f aca="false">AQ52+AR52+AS52</f>
        <v>0</v>
      </c>
      <c r="AU52" s="148"/>
      <c r="AV52" s="133" t="n">
        <f aca="false">AT52+AO52</f>
        <v>0</v>
      </c>
      <c r="AX52" s="133" t="n">
        <f aca="false">AJ52+AG52+AD52</f>
        <v>0</v>
      </c>
      <c r="AY52" s="149"/>
      <c r="AZ52" s="76" t="n">
        <f aca="false">R52*E52</f>
        <v>0</v>
      </c>
    </row>
    <row r="53" customFormat="false" ht="12.75" hidden="false" customHeight="false" outlineLevel="0" collapsed="false">
      <c r="A53" s="138" t="n">
        <f aca="false">EDATE(A52,1)</f>
        <v>38292</v>
      </c>
      <c r="B53" s="139" t="n">
        <f aca="false">VLOOKUP($A53,Table2,MATCH(I$3,Curves2,0))</f>
        <v>0</v>
      </c>
      <c r="C53" s="140"/>
      <c r="D53" s="141" t="n">
        <f aca="false">B53+C53</f>
        <v>0</v>
      </c>
      <c r="E53" s="126" t="n">
        <f aca="false">IF(Y53=0,0,IF(AND(Y53=1,$H$3=1),D53*T53,IF($H$3=2,D53,"N/A")))</f>
        <v>0</v>
      </c>
      <c r="F53" s="126" t="n">
        <f aca="false">E53*X53</f>
        <v>0</v>
      </c>
      <c r="G53" s="142" t="n">
        <f aca="false">VLOOKUP($A53,Table,MATCH(G$4,Curves,0))</f>
        <v>3.862</v>
      </c>
      <c r="H53" s="143" t="n">
        <f aca="false">G53</f>
        <v>3.862</v>
      </c>
      <c r="I53" s="142" t="n">
        <f aca="false">VLOOKUP($A53,Table1,MATCH(I$3,Curves1,0))</f>
        <v>0</v>
      </c>
      <c r="J53" s="142" t="n">
        <f aca="false">VLOOKUP($A53,Table,MATCH(J$4,Curves,0))</f>
        <v>-0.0305</v>
      </c>
      <c r="K53" s="143" t="n">
        <f aca="false">J53</f>
        <v>-0.0305</v>
      </c>
      <c r="L53" s="144" t="n">
        <v>0</v>
      </c>
      <c r="M53" s="142" t="n">
        <f aca="false">VLOOKUP($A53,Table,MATCH(M$4,Curves,0))</f>
        <v>0.0087</v>
      </c>
      <c r="N53" s="143" t="n">
        <f aca="false">M53</f>
        <v>0.0087</v>
      </c>
      <c r="O53" s="144" t="n">
        <v>0</v>
      </c>
      <c r="P53" s="145"/>
      <c r="Q53" s="144" t="n">
        <f aca="false">M53+J53+G53</f>
        <v>3.8402</v>
      </c>
      <c r="R53" s="144" t="n">
        <f aca="false">O53+L53+I53</f>
        <v>0</v>
      </c>
      <c r="S53" s="145"/>
      <c r="T53" s="71" t="n">
        <f aca="false">A54-A53</f>
        <v>30</v>
      </c>
      <c r="U53" s="146" t="n">
        <f aca="false">CHOOSE(F$3,A54+24,A53)</f>
        <v>38346</v>
      </c>
      <c r="V53" s="71" t="n">
        <f aca="false">U53-C$3</f>
        <v>1458</v>
      </c>
      <c r="W53" s="142" t="n">
        <f aca="false">VLOOKUP($A53,Table,MATCH(W$4,Curves,0))</f>
        <v>0.058619880473754</v>
      </c>
      <c r="X53" s="147" t="n">
        <f aca="false">1/(1+CHOOSE(F$3,(W54+($K$3/10000))/2,(W53+($K$3/10000))/2))^(2*V53/365.25)</f>
        <v>0.793943843055903</v>
      </c>
      <c r="Y53" s="71" t="n">
        <f aca="false">IF(AND(mthbeg&lt;=A53,mthend&gt;=A53),1,0)</f>
        <v>1</v>
      </c>
      <c r="Z53" s="71" t="n">
        <f aca="false">T53*Y53</f>
        <v>30</v>
      </c>
      <c r="AB53" s="132" t="n">
        <f aca="false">F53*G53</f>
        <v>0</v>
      </c>
      <c r="AC53" s="132" t="n">
        <f aca="false">$F53*H53</f>
        <v>0</v>
      </c>
      <c r="AD53" s="132" t="n">
        <f aca="false">$F53*I53</f>
        <v>0</v>
      </c>
      <c r="AE53" s="132" t="n">
        <f aca="false">$F53*J53</f>
        <v>-0</v>
      </c>
      <c r="AF53" s="132" t="n">
        <f aca="false">$F53*K53</f>
        <v>-0</v>
      </c>
      <c r="AG53" s="132" t="n">
        <f aca="false">$F53*L53</f>
        <v>0</v>
      </c>
      <c r="AH53" s="132" t="n">
        <f aca="false">$F53*M53</f>
        <v>0</v>
      </c>
      <c r="AI53" s="132" t="n">
        <f aca="false">$F53*N53</f>
        <v>0</v>
      </c>
      <c r="AJ53" s="132" t="n">
        <f aca="false">F53*O53</f>
        <v>0</v>
      </c>
      <c r="AK53" s="137"/>
      <c r="AL53" s="132" t="n">
        <f aca="false">CHOOSE($G$3,AC53-AD53,AD53-AC53)</f>
        <v>0</v>
      </c>
      <c r="AM53" s="132" t="n">
        <f aca="false">CHOOSE($G$3,AF53-AG53,AG53-AF53)</f>
        <v>0</v>
      </c>
      <c r="AN53" s="132" t="n">
        <f aca="false">CHOOSE($G$3,AI53-AJ53,AJ53-AI53)</f>
        <v>0</v>
      </c>
      <c r="AO53" s="148" t="n">
        <f aca="false">SUM(AL53:AN53)</f>
        <v>0</v>
      </c>
      <c r="AQ53" s="132" t="n">
        <f aca="false">CHOOSE($G$3,AB53-AC53,AC53-AB53)</f>
        <v>0</v>
      </c>
      <c r="AR53" s="132" t="n">
        <f aca="false">CHOOSE($G$3,AE53-AF53,AF53-AE53)</f>
        <v>0</v>
      </c>
      <c r="AS53" s="132" t="n">
        <f aca="false">CHOOSE($G$3,AH53-AI53,AI53-AH53)</f>
        <v>0</v>
      </c>
      <c r="AT53" s="148" t="n">
        <f aca="false">AQ53+AR53+AS53</f>
        <v>0</v>
      </c>
      <c r="AU53" s="148"/>
      <c r="AV53" s="133" t="n">
        <f aca="false">AT53+AO53</f>
        <v>0</v>
      </c>
      <c r="AX53" s="133" t="n">
        <f aca="false">AJ53+AG53+AD53</f>
        <v>0</v>
      </c>
      <c r="AY53" s="149"/>
      <c r="AZ53" s="76" t="n">
        <f aca="false">R53*E53</f>
        <v>0</v>
      </c>
    </row>
    <row r="54" customFormat="false" ht="12.75" hidden="false" customHeight="false" outlineLevel="0" collapsed="false">
      <c r="A54" s="138" t="n">
        <f aca="false">EDATE(A53,1)</f>
        <v>38322</v>
      </c>
      <c r="B54" s="139" t="n">
        <f aca="false">VLOOKUP($A54,Table2,MATCH(I$3,Curves2,0))</f>
        <v>0</v>
      </c>
      <c r="C54" s="140"/>
      <c r="D54" s="141" t="n">
        <f aca="false">B54+C54</f>
        <v>0</v>
      </c>
      <c r="E54" s="126" t="n">
        <f aca="false">IF(Y54=0,0,IF(AND(Y54=1,$H$3=1),D54*T54,IF($H$3=2,D54,"N/A")))</f>
        <v>0</v>
      </c>
      <c r="F54" s="126" t="n">
        <f aca="false">E54*X54</f>
        <v>0</v>
      </c>
      <c r="G54" s="142" t="n">
        <f aca="false">VLOOKUP($A54,Table,MATCH(G$4,Curves,0))</f>
        <v>3.997</v>
      </c>
      <c r="H54" s="143" t="n">
        <f aca="false">G54</f>
        <v>3.997</v>
      </c>
      <c r="I54" s="142" t="n">
        <f aca="false">VLOOKUP($A54,Table1,MATCH(I$3,Curves1,0))</f>
        <v>0</v>
      </c>
      <c r="J54" s="142" t="n">
        <f aca="false">VLOOKUP($A54,Table,MATCH(J$4,Curves,0))</f>
        <v>-0.0305</v>
      </c>
      <c r="K54" s="143" t="n">
        <f aca="false">J54</f>
        <v>-0.0305</v>
      </c>
      <c r="L54" s="144" t="n">
        <v>0</v>
      </c>
      <c r="M54" s="142" t="n">
        <f aca="false">VLOOKUP($A54,Table,MATCH(M$4,Curves,0))</f>
        <v>0.0087</v>
      </c>
      <c r="N54" s="143" t="n">
        <f aca="false">M54</f>
        <v>0.0087</v>
      </c>
      <c r="O54" s="144" t="n">
        <v>0</v>
      </c>
      <c r="P54" s="145"/>
      <c r="Q54" s="144" t="n">
        <f aca="false">M54+J54+G54</f>
        <v>3.9752</v>
      </c>
      <c r="R54" s="144" t="n">
        <f aca="false">O54+L54+I54</f>
        <v>0</v>
      </c>
      <c r="S54" s="145"/>
      <c r="T54" s="71" t="n">
        <f aca="false">A55-A54</f>
        <v>31</v>
      </c>
      <c r="U54" s="146" t="n">
        <f aca="false">CHOOSE(F$3,A55+24,A54)</f>
        <v>38377</v>
      </c>
      <c r="V54" s="71" t="n">
        <f aca="false">U54-C$3</f>
        <v>1489</v>
      </c>
      <c r="W54" s="142" t="n">
        <f aca="false">VLOOKUP($A54,Table,MATCH(W$4,Curves,0))</f>
        <v>0.05864777277744</v>
      </c>
      <c r="X54" s="147" t="n">
        <f aca="false">1/(1+CHOOSE(F$3,(W55+($K$3/10000))/2,(W54+($K$3/10000))/2))^(2*V54/365.25)</f>
        <v>0.789942538412671</v>
      </c>
      <c r="Y54" s="71" t="n">
        <f aca="false">IF(AND(mthbeg&lt;=A54,mthend&gt;=A54),1,0)</f>
        <v>1</v>
      </c>
      <c r="Z54" s="71" t="n">
        <f aca="false">T54*Y54</f>
        <v>31</v>
      </c>
      <c r="AB54" s="132" t="n">
        <f aca="false">F54*G54</f>
        <v>0</v>
      </c>
      <c r="AC54" s="132" t="n">
        <f aca="false">$F54*H54</f>
        <v>0</v>
      </c>
      <c r="AD54" s="132" t="n">
        <f aca="false">$F54*I54</f>
        <v>0</v>
      </c>
      <c r="AE54" s="132" t="n">
        <f aca="false">$F54*J54</f>
        <v>-0</v>
      </c>
      <c r="AF54" s="132" t="n">
        <f aca="false">$F54*K54</f>
        <v>-0</v>
      </c>
      <c r="AG54" s="132" t="n">
        <f aca="false">$F54*L54</f>
        <v>0</v>
      </c>
      <c r="AH54" s="132" t="n">
        <f aca="false">$F54*M54</f>
        <v>0</v>
      </c>
      <c r="AI54" s="132" t="n">
        <f aca="false">$F54*N54</f>
        <v>0</v>
      </c>
      <c r="AJ54" s="132" t="n">
        <f aca="false">F54*O54</f>
        <v>0</v>
      </c>
      <c r="AK54" s="137"/>
      <c r="AL54" s="132" t="n">
        <f aca="false">CHOOSE($G$3,AC54-AD54,AD54-AC54)</f>
        <v>0</v>
      </c>
      <c r="AM54" s="132" t="n">
        <f aca="false">CHOOSE($G$3,AF54-AG54,AG54-AF54)</f>
        <v>0</v>
      </c>
      <c r="AN54" s="132" t="n">
        <f aca="false">CHOOSE($G$3,AI54-AJ54,AJ54-AI54)</f>
        <v>0</v>
      </c>
      <c r="AO54" s="148" t="n">
        <f aca="false">SUM(AL54:AN54)</f>
        <v>0</v>
      </c>
      <c r="AQ54" s="132" t="n">
        <f aca="false">CHOOSE($G$3,AB54-AC54,AC54-AB54)</f>
        <v>0</v>
      </c>
      <c r="AR54" s="132" t="n">
        <f aca="false">CHOOSE($G$3,AE54-AF54,AF54-AE54)</f>
        <v>0</v>
      </c>
      <c r="AS54" s="132" t="n">
        <f aca="false">CHOOSE($G$3,AH54-AI54,AI54-AH54)</f>
        <v>0</v>
      </c>
      <c r="AT54" s="148" t="n">
        <f aca="false">AQ54+AR54+AS54</f>
        <v>0</v>
      </c>
      <c r="AU54" s="148"/>
      <c r="AV54" s="133" t="n">
        <f aca="false">AT54+AO54</f>
        <v>0</v>
      </c>
      <c r="AX54" s="133" t="n">
        <f aca="false">AJ54+AG54+AD54</f>
        <v>0</v>
      </c>
      <c r="AY54" s="149"/>
      <c r="AZ54" s="76" t="n">
        <f aca="false">R54*E54</f>
        <v>0</v>
      </c>
    </row>
    <row r="55" customFormat="false" ht="12.75" hidden="false" customHeight="false" outlineLevel="0" collapsed="false">
      <c r="A55" s="138" t="n">
        <f aca="false">EDATE(A54,1)</f>
        <v>38353</v>
      </c>
      <c r="B55" s="139" t="n">
        <f aca="false">VLOOKUP($A55,Table2,MATCH(I$3,Curves2,0))</f>
        <v>0</v>
      </c>
      <c r="C55" s="140"/>
      <c r="D55" s="141" t="n">
        <f aca="false">B55+C55</f>
        <v>0</v>
      </c>
      <c r="E55" s="126" t="n">
        <f aca="false">IF(Y55=0,0,IF(AND(Y55=1,$H$3=1),D55*T55,IF($H$3=2,D55,"N/A")))</f>
        <v>0</v>
      </c>
      <c r="F55" s="126" t="n">
        <f aca="false">E55*X55</f>
        <v>0</v>
      </c>
      <c r="G55" s="142" t="n">
        <f aca="false">VLOOKUP($A55,Table,MATCH(G$4,Curves,0))</f>
        <v>4.122</v>
      </c>
      <c r="H55" s="143" t="n">
        <f aca="false">G55</f>
        <v>4.122</v>
      </c>
      <c r="I55" s="142" t="n">
        <f aca="false">VLOOKUP($A55,Table1,MATCH(I$3,Curves1,0))</f>
        <v>0</v>
      </c>
      <c r="J55" s="142" t="n">
        <f aca="false">VLOOKUP($A55,Table,MATCH(J$4,Curves,0))</f>
        <v>-0.025</v>
      </c>
      <c r="K55" s="143" t="n">
        <f aca="false">J55</f>
        <v>-0.025</v>
      </c>
      <c r="L55" s="144" t="n">
        <v>0</v>
      </c>
      <c r="M55" s="142" t="n">
        <f aca="false">VLOOKUP($A55,Table,MATCH(M$4,Curves,0))</f>
        <v>0.0087</v>
      </c>
      <c r="N55" s="143" t="n">
        <f aca="false">M55</f>
        <v>0.0087</v>
      </c>
      <c r="O55" s="144" t="n">
        <v>0</v>
      </c>
      <c r="P55" s="145"/>
      <c r="Q55" s="144" t="n">
        <f aca="false">M55+J55+G55</f>
        <v>4.1057</v>
      </c>
      <c r="R55" s="144" t="n">
        <f aca="false">O55+L55+I55</f>
        <v>0</v>
      </c>
      <c r="S55" s="145"/>
      <c r="T55" s="71" t="n">
        <f aca="false">A56-A55</f>
        <v>31</v>
      </c>
      <c r="U55" s="146" t="n">
        <f aca="false">CHOOSE(F$3,A56+24,A55)</f>
        <v>38408</v>
      </c>
      <c r="V55" s="71" t="n">
        <f aca="false">U55-C$3</f>
        <v>1520</v>
      </c>
      <c r="W55" s="142" t="n">
        <f aca="false">VLOOKUP($A55,Table,MATCH(W$4,Curves,0))</f>
        <v>0.058684757331705</v>
      </c>
      <c r="X55" s="147" t="n">
        <f aca="false">1/(1+CHOOSE(F$3,(W56+($K$3/10000))/2,(W55+($K$3/10000))/2))^(2*V55/365.25)</f>
        <v>0.785935248969975</v>
      </c>
      <c r="Y55" s="71" t="n">
        <f aca="false">IF(AND(mthbeg&lt;=A55,mthend&gt;=A55),1,0)</f>
        <v>1</v>
      </c>
      <c r="Z55" s="71" t="n">
        <f aca="false">T55*Y55</f>
        <v>31</v>
      </c>
      <c r="AB55" s="132" t="n">
        <f aca="false">F55*G55</f>
        <v>0</v>
      </c>
      <c r="AC55" s="132" t="n">
        <f aca="false">$F55*H55</f>
        <v>0</v>
      </c>
      <c r="AD55" s="132" t="n">
        <f aca="false">$F55*I55</f>
        <v>0</v>
      </c>
      <c r="AE55" s="132" t="n">
        <f aca="false">$F55*J55</f>
        <v>-0</v>
      </c>
      <c r="AF55" s="132" t="n">
        <f aca="false">$F55*K55</f>
        <v>-0</v>
      </c>
      <c r="AG55" s="132" t="n">
        <f aca="false">$F55*L55</f>
        <v>0</v>
      </c>
      <c r="AH55" s="132" t="n">
        <f aca="false">$F55*M55</f>
        <v>0</v>
      </c>
      <c r="AI55" s="132" t="n">
        <f aca="false">$F55*N55</f>
        <v>0</v>
      </c>
      <c r="AJ55" s="132" t="n">
        <f aca="false">F55*O55</f>
        <v>0</v>
      </c>
      <c r="AK55" s="137"/>
      <c r="AL55" s="132" t="n">
        <f aca="false">CHOOSE($G$3,AC55-AD55,AD55-AC55)</f>
        <v>0</v>
      </c>
      <c r="AM55" s="132" t="n">
        <f aca="false">CHOOSE($G$3,AF55-AG55,AG55-AF55)</f>
        <v>0</v>
      </c>
      <c r="AN55" s="132" t="n">
        <f aca="false">CHOOSE($G$3,AI55-AJ55,AJ55-AI55)</f>
        <v>0</v>
      </c>
      <c r="AO55" s="148" t="n">
        <f aca="false">SUM(AL55:AN55)</f>
        <v>0</v>
      </c>
      <c r="AQ55" s="132" t="n">
        <f aca="false">CHOOSE($G$3,AB55-AC55,AC55-AB55)</f>
        <v>0</v>
      </c>
      <c r="AR55" s="132" t="n">
        <f aca="false">CHOOSE($G$3,AE55-AF55,AF55-AE55)</f>
        <v>0</v>
      </c>
      <c r="AS55" s="132" t="n">
        <f aca="false">CHOOSE($G$3,AH55-AI55,AI55-AH55)</f>
        <v>0</v>
      </c>
      <c r="AT55" s="148" t="n">
        <f aca="false">AQ55+AR55+AS55</f>
        <v>0</v>
      </c>
      <c r="AU55" s="148"/>
      <c r="AV55" s="133" t="n">
        <f aca="false">AT55+AO55</f>
        <v>0</v>
      </c>
      <c r="AX55" s="133" t="n">
        <f aca="false">AJ55+AG55+AD55</f>
        <v>0</v>
      </c>
      <c r="AY55" s="149"/>
      <c r="AZ55" s="76" t="n">
        <f aca="false">R55*E55</f>
        <v>0</v>
      </c>
    </row>
    <row r="56" customFormat="false" ht="12.75" hidden="false" customHeight="false" outlineLevel="0" collapsed="false">
      <c r="A56" s="138" t="n">
        <f aca="false">EDATE(A55,1)</f>
        <v>38384</v>
      </c>
      <c r="B56" s="139" t="n">
        <f aca="false">VLOOKUP($A56,Table2,MATCH(I$3,Curves2,0))</f>
        <v>0</v>
      </c>
      <c r="C56" s="140"/>
      <c r="D56" s="141" t="n">
        <f aca="false">B56+C56</f>
        <v>0</v>
      </c>
      <c r="E56" s="126" t="n">
        <f aca="false">IF(Y56=0,0,IF(AND(Y56=1,$H$3=1),D56*T56,IF($H$3=2,D56,"N/A")))</f>
        <v>0</v>
      </c>
      <c r="F56" s="126" t="n">
        <f aca="false">E56*X56</f>
        <v>0</v>
      </c>
      <c r="G56" s="142" t="n">
        <f aca="false">VLOOKUP($A56,Table,MATCH(G$4,Curves,0))</f>
        <v>4.007</v>
      </c>
      <c r="H56" s="143" t="n">
        <f aca="false">G56</f>
        <v>4.007</v>
      </c>
      <c r="I56" s="142" t="n">
        <f aca="false">VLOOKUP($A56,Table1,MATCH(I$3,Curves1,0))</f>
        <v>0</v>
      </c>
      <c r="J56" s="142" t="n">
        <f aca="false">VLOOKUP($A56,Table,MATCH(J$4,Curves,0))</f>
        <v>-0.025</v>
      </c>
      <c r="K56" s="143" t="n">
        <f aca="false">J56</f>
        <v>-0.025</v>
      </c>
      <c r="L56" s="144" t="n">
        <v>0</v>
      </c>
      <c r="M56" s="142" t="n">
        <f aca="false">VLOOKUP($A56,Table,MATCH(M$4,Curves,0))</f>
        <v>0.0087</v>
      </c>
      <c r="N56" s="143" t="n">
        <f aca="false">M56</f>
        <v>0.0087</v>
      </c>
      <c r="O56" s="144" t="n">
        <v>0</v>
      </c>
      <c r="P56" s="145"/>
      <c r="Q56" s="144" t="n">
        <f aca="false">M56+J56+G56</f>
        <v>3.9907</v>
      </c>
      <c r="R56" s="144" t="n">
        <f aca="false">O56+L56+I56</f>
        <v>0</v>
      </c>
      <c r="S56" s="145"/>
      <c r="T56" s="71" t="n">
        <f aca="false">A57-A56</f>
        <v>28</v>
      </c>
      <c r="U56" s="146" t="n">
        <f aca="false">CHOOSE(F$3,A57+24,A56)</f>
        <v>38436</v>
      </c>
      <c r="V56" s="71" t="n">
        <f aca="false">U56-C$3</f>
        <v>1548</v>
      </c>
      <c r="W56" s="142" t="n">
        <f aca="false">VLOOKUP($A56,Table,MATCH(W$4,Curves,0))</f>
        <v>0.058728463950989</v>
      </c>
      <c r="X56" s="147" t="n">
        <f aca="false">1/(1+CHOOSE(F$3,(W57+($K$3/10000))/2,(W56+($K$3/10000))/2))^(2*V56/365.25)</f>
        <v>0.782328393430408</v>
      </c>
      <c r="Y56" s="71" t="n">
        <f aca="false">IF(AND(mthbeg&lt;=A56,mthend&gt;=A56),1,0)</f>
        <v>1</v>
      </c>
      <c r="Z56" s="71" t="n">
        <f aca="false">T56*Y56</f>
        <v>28</v>
      </c>
      <c r="AB56" s="132" t="n">
        <f aca="false">F56*G56</f>
        <v>0</v>
      </c>
      <c r="AC56" s="132" t="n">
        <f aca="false">$F56*H56</f>
        <v>0</v>
      </c>
      <c r="AD56" s="132" t="n">
        <f aca="false">$F56*I56</f>
        <v>0</v>
      </c>
      <c r="AE56" s="132" t="n">
        <f aca="false">$F56*J56</f>
        <v>-0</v>
      </c>
      <c r="AF56" s="132" t="n">
        <f aca="false">$F56*K56</f>
        <v>-0</v>
      </c>
      <c r="AG56" s="132" t="n">
        <f aca="false">$F56*L56</f>
        <v>0</v>
      </c>
      <c r="AH56" s="132" t="n">
        <f aca="false">$F56*M56</f>
        <v>0</v>
      </c>
      <c r="AI56" s="132" t="n">
        <f aca="false">$F56*N56</f>
        <v>0</v>
      </c>
      <c r="AJ56" s="132" t="n">
        <f aca="false">F56*O56</f>
        <v>0</v>
      </c>
      <c r="AK56" s="137"/>
      <c r="AL56" s="132" t="n">
        <f aca="false">CHOOSE($G$3,AC56-AD56,AD56-AC56)</f>
        <v>0</v>
      </c>
      <c r="AM56" s="132" t="n">
        <f aca="false">CHOOSE($G$3,AF56-AG56,AG56-AF56)</f>
        <v>0</v>
      </c>
      <c r="AN56" s="132" t="n">
        <f aca="false">CHOOSE($G$3,AI56-AJ56,AJ56-AI56)</f>
        <v>0</v>
      </c>
      <c r="AO56" s="148" t="n">
        <f aca="false">SUM(AL56:AN56)</f>
        <v>0</v>
      </c>
      <c r="AQ56" s="132" t="n">
        <f aca="false">CHOOSE($G$3,AB56-AC56,AC56-AB56)</f>
        <v>0</v>
      </c>
      <c r="AR56" s="132" t="n">
        <f aca="false">CHOOSE($G$3,AE56-AF56,AF56-AE56)</f>
        <v>0</v>
      </c>
      <c r="AS56" s="132" t="n">
        <f aca="false">CHOOSE($G$3,AH56-AI56,AI56-AH56)</f>
        <v>0</v>
      </c>
      <c r="AT56" s="148" t="n">
        <f aca="false">AQ56+AR56+AS56</f>
        <v>0</v>
      </c>
      <c r="AU56" s="148"/>
      <c r="AV56" s="133" t="n">
        <f aca="false">AT56+AO56</f>
        <v>0</v>
      </c>
      <c r="AX56" s="133" t="n">
        <f aca="false">AJ56+AG56+AD56</f>
        <v>0</v>
      </c>
      <c r="AY56" s="149"/>
      <c r="AZ56" s="76" t="n">
        <f aca="false">R56*E56</f>
        <v>0</v>
      </c>
    </row>
    <row r="57" customFormat="false" ht="12.75" hidden="false" customHeight="false" outlineLevel="0" collapsed="false">
      <c r="A57" s="138" t="n">
        <f aca="false">EDATE(A56,1)</f>
        <v>38412</v>
      </c>
      <c r="B57" s="139" t="n">
        <f aca="false">VLOOKUP($A57,Table2,MATCH(I$3,Curves2,0))</f>
        <v>0</v>
      </c>
      <c r="C57" s="140"/>
      <c r="D57" s="141" t="n">
        <f aca="false">B57+C57</f>
        <v>0</v>
      </c>
      <c r="E57" s="126" t="n">
        <f aca="false">IF(Y57=0,0,IF(AND(Y57=1,$H$3=1),D57*T57,IF($H$3=2,D57,"N/A")))</f>
        <v>0</v>
      </c>
      <c r="F57" s="126" t="n">
        <f aca="false">E57*X57</f>
        <v>0</v>
      </c>
      <c r="G57" s="142" t="n">
        <f aca="false">VLOOKUP($A57,Table,MATCH(G$4,Curves,0))</f>
        <v>3.867</v>
      </c>
      <c r="H57" s="143" t="n">
        <f aca="false">G57</f>
        <v>3.867</v>
      </c>
      <c r="I57" s="142" t="n">
        <f aca="false">VLOOKUP($A57,Table1,MATCH(I$3,Curves1,0))</f>
        <v>0</v>
      </c>
      <c r="J57" s="142" t="n">
        <f aca="false">VLOOKUP($A57,Table,MATCH(J$4,Curves,0))</f>
        <v>-0.025</v>
      </c>
      <c r="K57" s="143" t="n">
        <f aca="false">J57</f>
        <v>-0.025</v>
      </c>
      <c r="L57" s="144" t="n">
        <v>0</v>
      </c>
      <c r="M57" s="142" t="n">
        <f aca="false">VLOOKUP($A57,Table,MATCH(M$4,Curves,0))</f>
        <v>0.0087</v>
      </c>
      <c r="N57" s="143" t="n">
        <f aca="false">M57</f>
        <v>0.0087</v>
      </c>
      <c r="O57" s="144" t="n">
        <v>0</v>
      </c>
      <c r="P57" s="145"/>
      <c r="Q57" s="144" t="n">
        <f aca="false">M57+J57+G57</f>
        <v>3.8507</v>
      </c>
      <c r="R57" s="144" t="n">
        <f aca="false">O57+L57+I57</f>
        <v>0</v>
      </c>
      <c r="S57" s="145"/>
      <c r="T57" s="71" t="n">
        <f aca="false">A58-A57</f>
        <v>31</v>
      </c>
      <c r="U57" s="146" t="n">
        <f aca="false">CHOOSE(F$3,A58+24,A57)</f>
        <v>38467</v>
      </c>
      <c r="V57" s="71" t="n">
        <f aca="false">U57-C$3</f>
        <v>1579</v>
      </c>
      <c r="W57" s="142" t="n">
        <f aca="false">VLOOKUP($A57,Table,MATCH(W$4,Curves,0))</f>
        <v>0.058767940897985</v>
      </c>
      <c r="X57" s="147" t="n">
        <f aca="false">1/(1+CHOOSE(F$3,(W58+($K$3/10000))/2,(W57+($K$3/10000))/2))^(2*V57/365.25)</f>
        <v>0.778389256178404</v>
      </c>
      <c r="Y57" s="71" t="n">
        <f aca="false">IF(AND(mthbeg&lt;=A57,mthend&gt;=A57),1,0)</f>
        <v>1</v>
      </c>
      <c r="Z57" s="71" t="n">
        <f aca="false">T57*Y57</f>
        <v>31</v>
      </c>
      <c r="AB57" s="132" t="n">
        <f aca="false">F57*G57</f>
        <v>0</v>
      </c>
      <c r="AC57" s="132" t="n">
        <f aca="false">$F57*H57</f>
        <v>0</v>
      </c>
      <c r="AD57" s="132" t="n">
        <f aca="false">$F57*I57</f>
        <v>0</v>
      </c>
      <c r="AE57" s="132" t="n">
        <f aca="false">$F57*J57</f>
        <v>-0</v>
      </c>
      <c r="AF57" s="132" t="n">
        <f aca="false">$F57*K57</f>
        <v>-0</v>
      </c>
      <c r="AG57" s="132" t="n">
        <f aca="false">$F57*L57</f>
        <v>0</v>
      </c>
      <c r="AH57" s="132" t="n">
        <f aca="false">$F57*M57</f>
        <v>0</v>
      </c>
      <c r="AI57" s="132" t="n">
        <f aca="false">$F57*N57</f>
        <v>0</v>
      </c>
      <c r="AJ57" s="132" t="n">
        <f aca="false">F57*O57</f>
        <v>0</v>
      </c>
      <c r="AK57" s="137"/>
      <c r="AL57" s="132" t="n">
        <f aca="false">CHOOSE($G$3,AC57-AD57,AD57-AC57)</f>
        <v>0</v>
      </c>
      <c r="AM57" s="132" t="n">
        <f aca="false">CHOOSE($G$3,AF57-AG57,AG57-AF57)</f>
        <v>0</v>
      </c>
      <c r="AN57" s="132" t="n">
        <f aca="false">CHOOSE($G$3,AI57-AJ57,AJ57-AI57)</f>
        <v>0</v>
      </c>
      <c r="AO57" s="148" t="n">
        <f aca="false">SUM(AL57:AN57)</f>
        <v>0</v>
      </c>
      <c r="AQ57" s="132" t="n">
        <f aca="false">CHOOSE($G$3,AB57-AC57,AC57-AB57)</f>
        <v>0</v>
      </c>
      <c r="AR57" s="132" t="n">
        <f aca="false">CHOOSE($G$3,AE57-AF57,AF57-AE57)</f>
        <v>0</v>
      </c>
      <c r="AS57" s="132" t="n">
        <f aca="false">CHOOSE($G$3,AH57-AI57,AI57-AH57)</f>
        <v>0</v>
      </c>
      <c r="AT57" s="148" t="n">
        <f aca="false">AQ57+AR57+AS57</f>
        <v>0</v>
      </c>
      <c r="AU57" s="148"/>
      <c r="AV57" s="133" t="n">
        <f aca="false">AT57+AO57</f>
        <v>0</v>
      </c>
      <c r="AX57" s="133" t="n">
        <f aca="false">AJ57+AG57+AD57</f>
        <v>0</v>
      </c>
      <c r="AY57" s="149"/>
      <c r="AZ57" s="76" t="n">
        <f aca="false">R57*E57</f>
        <v>0</v>
      </c>
    </row>
    <row r="58" customFormat="false" ht="12.75" hidden="false" customHeight="false" outlineLevel="0" collapsed="false">
      <c r="A58" s="138" t="n">
        <f aca="false">EDATE(A57,1)</f>
        <v>38443</v>
      </c>
      <c r="B58" s="139" t="n">
        <f aca="false">VLOOKUP($A58,Table2,MATCH(I$3,Curves2,0))</f>
        <v>0</v>
      </c>
      <c r="C58" s="140"/>
      <c r="D58" s="141" t="n">
        <f aca="false">B58+C58</f>
        <v>0</v>
      </c>
      <c r="E58" s="126" t="n">
        <f aca="false">IF(Y58=0,0,IF(AND(Y58=1,$H$3=1),D58*T58,IF($H$3=2,D58,"N/A")))</f>
        <v>0</v>
      </c>
      <c r="F58" s="126" t="n">
        <f aca="false">E58*X58</f>
        <v>0</v>
      </c>
      <c r="G58" s="142" t="n">
        <f aca="false">VLOOKUP($A58,Table,MATCH(G$4,Curves,0))</f>
        <v>3.672</v>
      </c>
      <c r="H58" s="143" t="n">
        <f aca="false">G58</f>
        <v>3.672</v>
      </c>
      <c r="I58" s="142" t="n">
        <f aca="false">VLOOKUP($A58,Table1,MATCH(I$3,Curves1,0))</f>
        <v>0</v>
      </c>
      <c r="J58" s="142" t="n">
        <f aca="false">VLOOKUP($A58,Table,MATCH(J$4,Curves,0))</f>
        <v>-0.025</v>
      </c>
      <c r="K58" s="143" t="n">
        <f aca="false">J58</f>
        <v>-0.025</v>
      </c>
      <c r="L58" s="144" t="n">
        <v>0</v>
      </c>
      <c r="M58" s="142" t="n">
        <f aca="false">VLOOKUP($A58,Table,MATCH(M$4,Curves,0))</f>
        <v>0.0085</v>
      </c>
      <c r="N58" s="143" t="n">
        <f aca="false">M58</f>
        <v>0.0085</v>
      </c>
      <c r="O58" s="144" t="n">
        <v>0</v>
      </c>
      <c r="P58" s="145"/>
      <c r="Q58" s="144" t="n">
        <f aca="false">M58+J58+G58</f>
        <v>3.6555</v>
      </c>
      <c r="R58" s="144" t="n">
        <f aca="false">O58+L58+I58</f>
        <v>0</v>
      </c>
      <c r="S58" s="145"/>
      <c r="T58" s="71" t="n">
        <f aca="false">A59-A58</f>
        <v>30</v>
      </c>
      <c r="U58" s="146" t="n">
        <f aca="false">CHOOSE(F$3,A59+24,A58)</f>
        <v>38497</v>
      </c>
      <c r="V58" s="71" t="n">
        <f aca="false">U58-C$3</f>
        <v>1609</v>
      </c>
      <c r="W58" s="142" t="n">
        <f aca="false">VLOOKUP($A58,Table,MATCH(W$4,Curves,0))</f>
        <v>0.058799350228651</v>
      </c>
      <c r="X58" s="147" t="n">
        <f aca="false">1/(1+CHOOSE(F$3,(W59+($K$3/10000))/2,(W58+($K$3/10000))/2))^(2*V58/365.25)</f>
        <v>0.774624742030143</v>
      </c>
      <c r="Y58" s="71" t="n">
        <f aca="false">IF(AND(mthbeg&lt;=A58,mthend&gt;=A58),1,0)</f>
        <v>1</v>
      </c>
      <c r="Z58" s="71" t="n">
        <f aca="false">T58*Y58</f>
        <v>30</v>
      </c>
      <c r="AB58" s="132" t="n">
        <f aca="false">F58*G58</f>
        <v>0</v>
      </c>
      <c r="AC58" s="132" t="n">
        <f aca="false">$F58*H58</f>
        <v>0</v>
      </c>
      <c r="AD58" s="132" t="n">
        <f aca="false">$F58*I58</f>
        <v>0</v>
      </c>
      <c r="AE58" s="132" t="n">
        <f aca="false">$F58*J58</f>
        <v>-0</v>
      </c>
      <c r="AF58" s="132" t="n">
        <f aca="false">$F58*K58</f>
        <v>-0</v>
      </c>
      <c r="AG58" s="132" t="n">
        <f aca="false">$F58*L58</f>
        <v>0</v>
      </c>
      <c r="AH58" s="132" t="n">
        <f aca="false">$F58*M58</f>
        <v>0</v>
      </c>
      <c r="AI58" s="132" t="n">
        <f aca="false">$F58*N58</f>
        <v>0</v>
      </c>
      <c r="AJ58" s="132" t="n">
        <f aca="false">F58*O58</f>
        <v>0</v>
      </c>
      <c r="AK58" s="137"/>
      <c r="AL58" s="132" t="n">
        <f aca="false">CHOOSE($G$3,AC58-AD58,AD58-AC58)</f>
        <v>0</v>
      </c>
      <c r="AM58" s="132" t="n">
        <f aca="false">CHOOSE($G$3,AF58-AG58,AG58-AF58)</f>
        <v>0</v>
      </c>
      <c r="AN58" s="132" t="n">
        <f aca="false">CHOOSE($G$3,AI58-AJ58,AJ58-AI58)</f>
        <v>0</v>
      </c>
      <c r="AO58" s="148" t="n">
        <f aca="false">SUM(AL58:AN58)</f>
        <v>0</v>
      </c>
      <c r="AQ58" s="132" t="n">
        <f aca="false">CHOOSE($G$3,AB58-AC58,AC58-AB58)</f>
        <v>0</v>
      </c>
      <c r="AR58" s="132" t="n">
        <f aca="false">CHOOSE($G$3,AE58-AF58,AF58-AE58)</f>
        <v>0</v>
      </c>
      <c r="AS58" s="132" t="n">
        <f aca="false">CHOOSE($G$3,AH58-AI58,AI58-AH58)</f>
        <v>0</v>
      </c>
      <c r="AT58" s="148" t="n">
        <f aca="false">AQ58+AR58+AS58</f>
        <v>0</v>
      </c>
      <c r="AU58" s="148"/>
      <c r="AV58" s="133" t="n">
        <f aca="false">AT58+AO58</f>
        <v>0</v>
      </c>
      <c r="AX58" s="133" t="n">
        <f aca="false">AJ58+AG58+AD58</f>
        <v>0</v>
      </c>
      <c r="AY58" s="149"/>
      <c r="AZ58" s="76" t="n">
        <f aca="false">R58*E58</f>
        <v>0</v>
      </c>
    </row>
    <row r="59" customFormat="false" ht="12.75" hidden="false" customHeight="false" outlineLevel="0" collapsed="false">
      <c r="A59" s="138" t="n">
        <f aca="false">EDATE(A58,1)</f>
        <v>38473</v>
      </c>
      <c r="B59" s="139" t="n">
        <f aca="false">VLOOKUP($A59,Table2,MATCH(I$3,Curves2,0))</f>
        <v>0</v>
      </c>
      <c r="C59" s="140"/>
      <c r="D59" s="141" t="n">
        <f aca="false">B59+C59</f>
        <v>0</v>
      </c>
      <c r="E59" s="126" t="n">
        <f aca="false">IF(Y59=0,0,IF(AND(Y59=1,$H$3=1),D59*T59,IF($H$3=2,D59,"N/A")))</f>
        <v>0</v>
      </c>
      <c r="F59" s="126" t="n">
        <f aca="false">E59*X59</f>
        <v>0</v>
      </c>
      <c r="G59" s="142" t="n">
        <f aca="false">VLOOKUP($A59,Table,MATCH(G$4,Curves,0))</f>
        <v>3.627</v>
      </c>
      <c r="H59" s="143" t="n">
        <f aca="false">G59</f>
        <v>3.627</v>
      </c>
      <c r="I59" s="142" t="n">
        <f aca="false">VLOOKUP($A59,Table1,MATCH(I$3,Curves1,0))</f>
        <v>0</v>
      </c>
      <c r="J59" s="142" t="n">
        <f aca="false">VLOOKUP($A59,Table,MATCH(J$4,Curves,0))</f>
        <v>-0.025</v>
      </c>
      <c r="K59" s="143" t="n">
        <f aca="false">J59</f>
        <v>-0.025</v>
      </c>
      <c r="L59" s="144" t="n">
        <v>0</v>
      </c>
      <c r="M59" s="142" t="n">
        <f aca="false">VLOOKUP($A59,Table,MATCH(M$4,Curves,0))</f>
        <v>0.0085</v>
      </c>
      <c r="N59" s="143" t="n">
        <f aca="false">M59</f>
        <v>0.0085</v>
      </c>
      <c r="O59" s="144" t="n">
        <v>0</v>
      </c>
      <c r="P59" s="145"/>
      <c r="Q59" s="144" t="n">
        <f aca="false">M59+J59+G59</f>
        <v>3.6105</v>
      </c>
      <c r="R59" s="144" t="n">
        <f aca="false">O59+L59+I59</f>
        <v>0</v>
      </c>
      <c r="S59" s="145"/>
      <c r="T59" s="71" t="n">
        <f aca="false">A60-A59</f>
        <v>31</v>
      </c>
      <c r="U59" s="146" t="n">
        <f aca="false">CHOOSE(F$3,A60+24,A59)</f>
        <v>38528</v>
      </c>
      <c r="V59" s="71" t="n">
        <f aca="false">U59-C$3</f>
        <v>1640</v>
      </c>
      <c r="W59" s="142" t="n">
        <f aca="false">VLOOKUP($A59,Table,MATCH(W$4,Curves,0))</f>
        <v>0.058819945858717</v>
      </c>
      <c r="X59" s="147" t="n">
        <f aca="false">1/(1+CHOOSE(F$3,(W60+($K$3/10000))/2,(W59+($K$3/10000))/2))^(2*V59/365.25)</f>
        <v>0.77075120923653</v>
      </c>
      <c r="Y59" s="71" t="n">
        <f aca="false">IF(AND(mthbeg&lt;=A59,mthend&gt;=A59),1,0)</f>
        <v>1</v>
      </c>
      <c r="Z59" s="71" t="n">
        <f aca="false">T59*Y59</f>
        <v>31</v>
      </c>
      <c r="AB59" s="132" t="n">
        <f aca="false">F59*G59</f>
        <v>0</v>
      </c>
      <c r="AC59" s="132" t="n">
        <f aca="false">$F59*H59</f>
        <v>0</v>
      </c>
      <c r="AD59" s="132" t="n">
        <f aca="false">$F59*I59</f>
        <v>0</v>
      </c>
      <c r="AE59" s="132" t="n">
        <f aca="false">$F59*J59</f>
        <v>-0</v>
      </c>
      <c r="AF59" s="132" t="n">
        <f aca="false">$F59*K59</f>
        <v>-0</v>
      </c>
      <c r="AG59" s="132" t="n">
        <f aca="false">$F59*L59</f>
        <v>0</v>
      </c>
      <c r="AH59" s="132" t="n">
        <f aca="false">$F59*M59</f>
        <v>0</v>
      </c>
      <c r="AI59" s="132" t="n">
        <f aca="false">$F59*N59</f>
        <v>0</v>
      </c>
      <c r="AJ59" s="132" t="n">
        <f aca="false">F59*O59</f>
        <v>0</v>
      </c>
      <c r="AK59" s="137"/>
      <c r="AL59" s="132" t="n">
        <f aca="false">CHOOSE($G$3,AC59-AD59,AD59-AC59)</f>
        <v>0</v>
      </c>
      <c r="AM59" s="132" t="n">
        <f aca="false">CHOOSE($G$3,AF59-AG59,AG59-AF59)</f>
        <v>0</v>
      </c>
      <c r="AN59" s="132" t="n">
        <f aca="false">CHOOSE($G$3,AI59-AJ59,AJ59-AI59)</f>
        <v>0</v>
      </c>
      <c r="AO59" s="148" t="n">
        <f aca="false">SUM(AL59:AN59)</f>
        <v>0</v>
      </c>
      <c r="AQ59" s="132" t="n">
        <f aca="false">CHOOSE($G$3,AB59-AC59,AC59-AB59)</f>
        <v>0</v>
      </c>
      <c r="AR59" s="132" t="n">
        <f aca="false">CHOOSE($G$3,AE59-AF59,AF59-AE59)</f>
        <v>0</v>
      </c>
      <c r="AS59" s="132" t="n">
        <f aca="false">CHOOSE($G$3,AH59-AI59,AI59-AH59)</f>
        <v>0</v>
      </c>
      <c r="AT59" s="148" t="n">
        <f aca="false">AQ59+AR59+AS59</f>
        <v>0</v>
      </c>
      <c r="AU59" s="148"/>
      <c r="AV59" s="133" t="n">
        <f aca="false">AT59+AO59</f>
        <v>0</v>
      </c>
      <c r="AX59" s="133" t="n">
        <f aca="false">AJ59+AG59+AD59</f>
        <v>0</v>
      </c>
      <c r="AY59" s="149"/>
      <c r="AZ59" s="76" t="n">
        <f aca="false">R59*E59</f>
        <v>0</v>
      </c>
    </row>
    <row r="60" customFormat="false" ht="12.75" hidden="false" customHeight="false" outlineLevel="0" collapsed="false">
      <c r="A60" s="138" t="n">
        <f aca="false">EDATE(A59,1)</f>
        <v>38504</v>
      </c>
      <c r="B60" s="139" t="n">
        <f aca="false">VLOOKUP($A60,Table2,MATCH(I$3,Curves2,0))</f>
        <v>0</v>
      </c>
      <c r="C60" s="140"/>
      <c r="D60" s="141" t="n">
        <f aca="false">B60+C60</f>
        <v>0</v>
      </c>
      <c r="E60" s="126" t="n">
        <f aca="false">IF(Y60=0,0,IF(AND(Y60=1,$H$3=1),D60*T60,IF($H$3=2,D60,"N/A")))</f>
        <v>0</v>
      </c>
      <c r="F60" s="126" t="n">
        <f aca="false">E60*X60</f>
        <v>0</v>
      </c>
      <c r="G60" s="142" t="n">
        <f aca="false">VLOOKUP($A60,Table,MATCH(G$4,Curves,0))</f>
        <v>3.647</v>
      </c>
      <c r="H60" s="143" t="n">
        <f aca="false">G60</f>
        <v>3.647</v>
      </c>
      <c r="I60" s="142" t="n">
        <f aca="false">VLOOKUP($A60,Table1,MATCH(I$3,Curves1,0))</f>
        <v>0</v>
      </c>
      <c r="J60" s="142" t="n">
        <f aca="false">VLOOKUP($A60,Table,MATCH(J$4,Curves,0))</f>
        <v>-0.025</v>
      </c>
      <c r="K60" s="143" t="n">
        <f aca="false">J60</f>
        <v>-0.025</v>
      </c>
      <c r="L60" s="144" t="n">
        <v>0</v>
      </c>
      <c r="M60" s="142" t="n">
        <f aca="false">VLOOKUP($A60,Table,MATCH(M$4,Curves,0))</f>
        <v>0.0085</v>
      </c>
      <c r="N60" s="143" t="n">
        <f aca="false">M60</f>
        <v>0.0085</v>
      </c>
      <c r="O60" s="144" t="n">
        <v>0</v>
      </c>
      <c r="P60" s="145"/>
      <c r="Q60" s="144" t="n">
        <f aca="false">M60+J60+G60</f>
        <v>3.6305</v>
      </c>
      <c r="R60" s="144" t="n">
        <f aca="false">O60+L60+I60</f>
        <v>0</v>
      </c>
      <c r="S60" s="145"/>
      <c r="T60" s="71" t="n">
        <f aca="false">A61-A60</f>
        <v>30</v>
      </c>
      <c r="U60" s="146" t="n">
        <f aca="false">CHOOSE(F$3,A61+24,A60)</f>
        <v>38558</v>
      </c>
      <c r="V60" s="71" t="n">
        <f aca="false">U60-C$3</f>
        <v>1670</v>
      </c>
      <c r="W60" s="142" t="n">
        <f aca="false">VLOOKUP($A60,Table,MATCH(W$4,Curves,0))</f>
        <v>0.058841228009932</v>
      </c>
      <c r="X60" s="147" t="n">
        <f aca="false">1/(1+CHOOSE(F$3,(W61+($K$3/10000))/2,(W60+($K$3/10000))/2))^(2*V60/365.25)</f>
        <v>0.767018510469143</v>
      </c>
      <c r="Y60" s="71" t="n">
        <f aca="false">IF(AND(mthbeg&lt;=A60,mthend&gt;=A60),1,0)</f>
        <v>1</v>
      </c>
      <c r="Z60" s="71" t="n">
        <f aca="false">T60*Y60</f>
        <v>30</v>
      </c>
      <c r="AB60" s="132" t="n">
        <f aca="false">F60*G60</f>
        <v>0</v>
      </c>
      <c r="AC60" s="132" t="n">
        <f aca="false">$F60*H60</f>
        <v>0</v>
      </c>
      <c r="AD60" s="132" t="n">
        <f aca="false">$F60*I60</f>
        <v>0</v>
      </c>
      <c r="AE60" s="132" t="n">
        <f aca="false">$F60*J60</f>
        <v>-0</v>
      </c>
      <c r="AF60" s="132" t="n">
        <f aca="false">$F60*K60</f>
        <v>-0</v>
      </c>
      <c r="AG60" s="132" t="n">
        <f aca="false">$F60*L60</f>
        <v>0</v>
      </c>
      <c r="AH60" s="132" t="n">
        <f aca="false">$F60*M60</f>
        <v>0</v>
      </c>
      <c r="AI60" s="132" t="n">
        <f aca="false">$F60*N60</f>
        <v>0</v>
      </c>
      <c r="AJ60" s="132" t="n">
        <f aca="false">F60*O60</f>
        <v>0</v>
      </c>
      <c r="AK60" s="137"/>
      <c r="AL60" s="132" t="n">
        <f aca="false">CHOOSE($G$3,AC60-AD60,AD60-AC60)</f>
        <v>0</v>
      </c>
      <c r="AM60" s="132" t="n">
        <f aca="false">CHOOSE($G$3,AF60-AG60,AG60-AF60)</f>
        <v>0</v>
      </c>
      <c r="AN60" s="132" t="n">
        <f aca="false">CHOOSE($G$3,AI60-AJ60,AJ60-AI60)</f>
        <v>0</v>
      </c>
      <c r="AO60" s="148" t="n">
        <f aca="false">SUM(AL60:AN60)</f>
        <v>0</v>
      </c>
      <c r="AQ60" s="132" t="n">
        <f aca="false">CHOOSE($G$3,AB60-AC60,AC60-AB60)</f>
        <v>0</v>
      </c>
      <c r="AR60" s="132" t="n">
        <f aca="false">CHOOSE($G$3,AE60-AF60,AF60-AE60)</f>
        <v>0</v>
      </c>
      <c r="AS60" s="132" t="n">
        <f aca="false">CHOOSE($G$3,AH60-AI60,AI60-AH60)</f>
        <v>0</v>
      </c>
      <c r="AT60" s="148" t="n">
        <f aca="false">AQ60+AR60+AS60</f>
        <v>0</v>
      </c>
      <c r="AU60" s="148"/>
      <c r="AV60" s="133" t="n">
        <f aca="false">AT60+AO60</f>
        <v>0</v>
      </c>
      <c r="AX60" s="133" t="n">
        <f aca="false">AJ60+AG60+AD60</f>
        <v>0</v>
      </c>
      <c r="AY60" s="149"/>
      <c r="AZ60" s="76" t="n">
        <f aca="false">R60*E60</f>
        <v>0</v>
      </c>
    </row>
    <row r="61" customFormat="false" ht="12.75" hidden="false" customHeight="false" outlineLevel="0" collapsed="false">
      <c r="A61" s="138" t="n">
        <f aca="false">EDATE(A60,1)</f>
        <v>38534</v>
      </c>
      <c r="B61" s="139" t="n">
        <f aca="false">VLOOKUP($A61,Table2,MATCH(I$3,Curves2,0))</f>
        <v>0</v>
      </c>
      <c r="C61" s="140"/>
      <c r="D61" s="141" t="n">
        <f aca="false">B61+C61</f>
        <v>0</v>
      </c>
      <c r="E61" s="126" t="n">
        <f aca="false">IF(Y61=0,0,IF(AND(Y61=1,$H$3=1),D61*T61,IF($H$3=2,D61,"N/A")))</f>
        <v>0</v>
      </c>
      <c r="F61" s="126" t="n">
        <f aca="false">E61*X61</f>
        <v>0</v>
      </c>
      <c r="G61" s="142" t="n">
        <f aca="false">VLOOKUP($A61,Table,MATCH(G$4,Curves,0))</f>
        <v>3.662</v>
      </c>
      <c r="H61" s="143" t="n">
        <f aca="false">G61</f>
        <v>3.662</v>
      </c>
      <c r="I61" s="142" t="n">
        <f aca="false">VLOOKUP($A61,Table1,MATCH(I$3,Curves1,0))</f>
        <v>0</v>
      </c>
      <c r="J61" s="142" t="n">
        <f aca="false">VLOOKUP($A61,Table,MATCH(J$4,Curves,0))</f>
        <v>-0.025</v>
      </c>
      <c r="K61" s="143" t="n">
        <f aca="false">J61</f>
        <v>-0.025</v>
      </c>
      <c r="L61" s="144" t="n">
        <v>0</v>
      </c>
      <c r="M61" s="142" t="n">
        <f aca="false">VLOOKUP($A61,Table,MATCH(M$4,Curves,0))</f>
        <v>0.0085</v>
      </c>
      <c r="N61" s="143" t="n">
        <f aca="false">M61</f>
        <v>0.0085</v>
      </c>
      <c r="O61" s="144" t="n">
        <v>0</v>
      </c>
      <c r="P61" s="145"/>
      <c r="Q61" s="144" t="n">
        <f aca="false">M61+J61+G61</f>
        <v>3.6455</v>
      </c>
      <c r="R61" s="144" t="n">
        <f aca="false">O61+L61+I61</f>
        <v>0</v>
      </c>
      <c r="S61" s="145"/>
      <c r="T61" s="71" t="n">
        <f aca="false">A62-A61</f>
        <v>31</v>
      </c>
      <c r="U61" s="146" t="n">
        <f aca="false">CHOOSE(F$3,A62+24,A61)</f>
        <v>38589</v>
      </c>
      <c r="V61" s="71" t="n">
        <f aca="false">U61-C$3</f>
        <v>1701</v>
      </c>
      <c r="W61" s="142" t="n">
        <f aca="false">VLOOKUP($A61,Table,MATCH(W$4,Curves,0))</f>
        <v>0.058861823640284</v>
      </c>
      <c r="X61" s="147" t="n">
        <f aca="false">1/(1+CHOOSE(F$3,(W62+($K$3/10000))/2,(W61+($K$3/10000))/2))^(2*V61/365.25)</f>
        <v>0.763177744222314</v>
      </c>
      <c r="Y61" s="71" t="n">
        <f aca="false">IF(AND(mthbeg&lt;=A61,mthend&gt;=A61),1,0)</f>
        <v>1</v>
      </c>
      <c r="Z61" s="71" t="n">
        <f aca="false">T61*Y61</f>
        <v>31</v>
      </c>
      <c r="AB61" s="132" t="n">
        <f aca="false">F61*G61</f>
        <v>0</v>
      </c>
      <c r="AC61" s="132" t="n">
        <f aca="false">$F61*H61</f>
        <v>0</v>
      </c>
      <c r="AD61" s="132" t="n">
        <f aca="false">$F61*I61</f>
        <v>0</v>
      </c>
      <c r="AE61" s="132" t="n">
        <f aca="false">$F61*J61</f>
        <v>-0</v>
      </c>
      <c r="AF61" s="132" t="n">
        <f aca="false">$F61*K61</f>
        <v>-0</v>
      </c>
      <c r="AG61" s="132" t="n">
        <f aca="false">$F61*L61</f>
        <v>0</v>
      </c>
      <c r="AH61" s="132" t="n">
        <f aca="false">$F61*M61</f>
        <v>0</v>
      </c>
      <c r="AI61" s="132" t="n">
        <f aca="false">$F61*N61</f>
        <v>0</v>
      </c>
      <c r="AJ61" s="132" t="n">
        <f aca="false">F61*O61</f>
        <v>0</v>
      </c>
      <c r="AK61" s="137"/>
      <c r="AL61" s="132" t="n">
        <f aca="false">CHOOSE($G$3,AC61-AD61,AD61-AC61)</f>
        <v>0</v>
      </c>
      <c r="AM61" s="132" t="n">
        <f aca="false">CHOOSE($G$3,AF61-AG61,AG61-AF61)</f>
        <v>0</v>
      </c>
      <c r="AN61" s="132" t="n">
        <f aca="false">CHOOSE($G$3,AI61-AJ61,AJ61-AI61)</f>
        <v>0</v>
      </c>
      <c r="AO61" s="148" t="n">
        <f aca="false">SUM(AL61:AN61)</f>
        <v>0</v>
      </c>
      <c r="AQ61" s="132" t="n">
        <f aca="false">CHOOSE($G$3,AB61-AC61,AC61-AB61)</f>
        <v>0</v>
      </c>
      <c r="AR61" s="132" t="n">
        <f aca="false">CHOOSE($G$3,AE61-AF61,AF61-AE61)</f>
        <v>0</v>
      </c>
      <c r="AS61" s="132" t="n">
        <f aca="false">CHOOSE($G$3,AH61-AI61,AI61-AH61)</f>
        <v>0</v>
      </c>
      <c r="AT61" s="148" t="n">
        <f aca="false">AQ61+AR61+AS61</f>
        <v>0</v>
      </c>
      <c r="AU61" s="148"/>
      <c r="AV61" s="133" t="n">
        <f aca="false">AT61+AO61</f>
        <v>0</v>
      </c>
      <c r="AX61" s="133" t="n">
        <f aca="false">AJ61+AG61+AD61</f>
        <v>0</v>
      </c>
      <c r="AY61" s="149"/>
      <c r="AZ61" s="76" t="n">
        <f aca="false">R61*E61</f>
        <v>0</v>
      </c>
    </row>
    <row r="62" customFormat="false" ht="12.75" hidden="false" customHeight="false" outlineLevel="0" collapsed="false">
      <c r="A62" s="138" t="n">
        <f aca="false">EDATE(A61,1)</f>
        <v>38565</v>
      </c>
      <c r="B62" s="139" t="n">
        <f aca="false">VLOOKUP($A62,Table2,MATCH(I$3,Curves2,0))</f>
        <v>0</v>
      </c>
      <c r="C62" s="140"/>
      <c r="D62" s="141" t="n">
        <f aca="false">B62+C62</f>
        <v>0</v>
      </c>
      <c r="E62" s="126" t="n">
        <f aca="false">IF(Y62=0,0,IF(AND(Y62=1,$H$3=1),D62*T62,IF($H$3=2,D62,"N/A")))</f>
        <v>0</v>
      </c>
      <c r="F62" s="126" t="n">
        <f aca="false">E62*X62</f>
        <v>0</v>
      </c>
      <c r="G62" s="142" t="n">
        <f aca="false">VLOOKUP($A62,Table,MATCH(G$4,Curves,0))</f>
        <v>3.672</v>
      </c>
      <c r="H62" s="143" t="n">
        <f aca="false">G62</f>
        <v>3.672</v>
      </c>
      <c r="I62" s="142" t="n">
        <f aca="false">VLOOKUP($A62,Table1,MATCH(I$3,Curves1,0))</f>
        <v>0</v>
      </c>
      <c r="J62" s="142" t="n">
        <f aca="false">VLOOKUP($A62,Table,MATCH(J$4,Curves,0))</f>
        <v>-0.025</v>
      </c>
      <c r="K62" s="143" t="n">
        <f aca="false">J62</f>
        <v>-0.025</v>
      </c>
      <c r="L62" s="144" t="n">
        <v>0</v>
      </c>
      <c r="M62" s="142" t="n">
        <f aca="false">VLOOKUP($A62,Table,MATCH(M$4,Curves,0))</f>
        <v>0.0085</v>
      </c>
      <c r="N62" s="143" t="n">
        <f aca="false">M62</f>
        <v>0.0085</v>
      </c>
      <c r="O62" s="144" t="n">
        <v>0</v>
      </c>
      <c r="P62" s="145"/>
      <c r="Q62" s="144" t="n">
        <f aca="false">M62+J62+G62</f>
        <v>3.6555</v>
      </c>
      <c r="R62" s="144" t="n">
        <f aca="false">O62+L62+I62</f>
        <v>0</v>
      </c>
      <c r="S62" s="145"/>
      <c r="T62" s="71" t="n">
        <f aca="false">A63-A62</f>
        <v>31</v>
      </c>
      <c r="U62" s="146" t="n">
        <f aca="false">CHOOSE(F$3,A63+24,A62)</f>
        <v>38620</v>
      </c>
      <c r="V62" s="71" t="n">
        <f aca="false">U62-C$3</f>
        <v>1732</v>
      </c>
      <c r="W62" s="142" t="n">
        <f aca="false">VLOOKUP($A62,Table,MATCH(W$4,Curves,0))</f>
        <v>0.058883105791796</v>
      </c>
      <c r="X62" s="147" t="n">
        <f aca="false">1/(1+CHOOSE(F$3,(W63+($K$3/10000))/2,(W62+($K$3/10000))/2))^(2*V62/365.25)</f>
        <v>0.759353546200148</v>
      </c>
      <c r="Y62" s="71" t="n">
        <f aca="false">IF(AND(mthbeg&lt;=A62,mthend&gt;=A62),1,0)</f>
        <v>1</v>
      </c>
      <c r="Z62" s="71" t="n">
        <f aca="false">T62*Y62</f>
        <v>31</v>
      </c>
      <c r="AB62" s="132" t="n">
        <f aca="false">F62*G62</f>
        <v>0</v>
      </c>
      <c r="AC62" s="132" t="n">
        <f aca="false">$F62*H62</f>
        <v>0</v>
      </c>
      <c r="AD62" s="132" t="n">
        <f aca="false">$F62*I62</f>
        <v>0</v>
      </c>
      <c r="AE62" s="132" t="n">
        <f aca="false">$F62*J62</f>
        <v>-0</v>
      </c>
      <c r="AF62" s="132" t="n">
        <f aca="false">$F62*K62</f>
        <v>-0</v>
      </c>
      <c r="AG62" s="132" t="n">
        <f aca="false">$F62*L62</f>
        <v>0</v>
      </c>
      <c r="AH62" s="132" t="n">
        <f aca="false">$F62*M62</f>
        <v>0</v>
      </c>
      <c r="AI62" s="132" t="n">
        <f aca="false">$F62*N62</f>
        <v>0</v>
      </c>
      <c r="AJ62" s="132" t="n">
        <f aca="false">F62*O62</f>
        <v>0</v>
      </c>
      <c r="AK62" s="137"/>
      <c r="AL62" s="132" t="n">
        <f aca="false">CHOOSE($G$3,AC62-AD62,AD62-AC62)</f>
        <v>0</v>
      </c>
      <c r="AM62" s="132" t="n">
        <f aca="false">CHOOSE($G$3,AF62-AG62,AG62-AF62)</f>
        <v>0</v>
      </c>
      <c r="AN62" s="132" t="n">
        <f aca="false">CHOOSE($G$3,AI62-AJ62,AJ62-AI62)</f>
        <v>0</v>
      </c>
      <c r="AO62" s="148" t="n">
        <f aca="false">SUM(AL62:AN62)</f>
        <v>0</v>
      </c>
      <c r="AQ62" s="132" t="n">
        <f aca="false">CHOOSE($G$3,AB62-AC62,AC62-AB62)</f>
        <v>0</v>
      </c>
      <c r="AR62" s="132" t="n">
        <f aca="false">CHOOSE($G$3,AE62-AF62,AF62-AE62)</f>
        <v>0</v>
      </c>
      <c r="AS62" s="132" t="n">
        <f aca="false">CHOOSE($G$3,AH62-AI62,AI62-AH62)</f>
        <v>0</v>
      </c>
      <c r="AT62" s="148" t="n">
        <f aca="false">AQ62+AR62+AS62</f>
        <v>0</v>
      </c>
      <c r="AU62" s="148"/>
      <c r="AV62" s="133" t="n">
        <f aca="false">AT62+AO62</f>
        <v>0</v>
      </c>
      <c r="AX62" s="133" t="n">
        <f aca="false">AJ62+AG62+AD62</f>
        <v>0</v>
      </c>
      <c r="AY62" s="149"/>
      <c r="AZ62" s="76" t="n">
        <f aca="false">R62*E62</f>
        <v>0</v>
      </c>
    </row>
    <row r="63" customFormat="false" ht="12.75" hidden="false" customHeight="false" outlineLevel="0" collapsed="false">
      <c r="A63" s="138" t="n">
        <f aca="false">EDATE(A62,1)</f>
        <v>38596</v>
      </c>
      <c r="B63" s="139" t="n">
        <f aca="false">VLOOKUP($A63,Table2,MATCH(I$3,Curves2,0))</f>
        <v>0</v>
      </c>
      <c r="C63" s="140"/>
      <c r="D63" s="141" t="n">
        <f aca="false">B63+C63</f>
        <v>0</v>
      </c>
      <c r="E63" s="126" t="n">
        <f aca="false">IF(Y63=0,0,IF(AND(Y63=1,$H$3=1),D63*T63,IF($H$3=2,D63,"N/A")))</f>
        <v>0</v>
      </c>
      <c r="F63" s="126" t="n">
        <f aca="false">E63*X63</f>
        <v>0</v>
      </c>
      <c r="G63" s="142" t="n">
        <f aca="false">VLOOKUP($A63,Table,MATCH(G$4,Curves,0))</f>
        <v>3.689</v>
      </c>
      <c r="H63" s="143" t="n">
        <f aca="false">G63</f>
        <v>3.689</v>
      </c>
      <c r="I63" s="142" t="n">
        <f aca="false">VLOOKUP($A63,Table1,MATCH(I$3,Curves1,0))</f>
        <v>0</v>
      </c>
      <c r="J63" s="142" t="n">
        <f aca="false">VLOOKUP($A63,Table,MATCH(J$4,Curves,0))</f>
        <v>-0.025</v>
      </c>
      <c r="K63" s="143" t="n">
        <f aca="false">J63</f>
        <v>-0.025</v>
      </c>
      <c r="L63" s="144" t="n">
        <v>0</v>
      </c>
      <c r="M63" s="142" t="n">
        <f aca="false">VLOOKUP($A63,Table,MATCH(M$4,Curves,0))</f>
        <v>0.0085</v>
      </c>
      <c r="N63" s="143" t="n">
        <f aca="false">M63</f>
        <v>0.0085</v>
      </c>
      <c r="O63" s="144" t="n">
        <v>0</v>
      </c>
      <c r="P63" s="145"/>
      <c r="Q63" s="144" t="n">
        <f aca="false">M63+J63+G63</f>
        <v>3.6725</v>
      </c>
      <c r="R63" s="144" t="n">
        <f aca="false">O63+L63+I63</f>
        <v>0</v>
      </c>
      <c r="S63" s="145"/>
      <c r="T63" s="71" t="n">
        <f aca="false">A64-A63</f>
        <v>30</v>
      </c>
      <c r="U63" s="146" t="n">
        <f aca="false">CHOOSE(F$3,A64+24,A63)</f>
        <v>38650</v>
      </c>
      <c r="V63" s="71" t="n">
        <f aca="false">U63-C$3</f>
        <v>1762</v>
      </c>
      <c r="W63" s="142" t="n">
        <f aca="false">VLOOKUP($A63,Table,MATCH(W$4,Curves,0))</f>
        <v>0.058904387943459</v>
      </c>
      <c r="X63" s="147" t="n">
        <f aca="false">1/(1+CHOOSE(F$3,(W64+($K$3/10000))/2,(W63+($K$3/10000))/2))^(2*V63/365.25)</f>
        <v>0.755668431611598</v>
      </c>
      <c r="Y63" s="71" t="n">
        <f aca="false">IF(AND(mthbeg&lt;=A63,mthend&gt;=A63),1,0)</f>
        <v>1</v>
      </c>
      <c r="Z63" s="71" t="n">
        <f aca="false">T63*Y63</f>
        <v>30</v>
      </c>
      <c r="AB63" s="132" t="n">
        <f aca="false">F63*G63</f>
        <v>0</v>
      </c>
      <c r="AC63" s="132" t="n">
        <f aca="false">$F63*H63</f>
        <v>0</v>
      </c>
      <c r="AD63" s="132" t="n">
        <f aca="false">$F63*I63</f>
        <v>0</v>
      </c>
      <c r="AE63" s="132" t="n">
        <f aca="false">$F63*J63</f>
        <v>-0</v>
      </c>
      <c r="AF63" s="132" t="n">
        <f aca="false">$F63*K63</f>
        <v>-0</v>
      </c>
      <c r="AG63" s="132" t="n">
        <f aca="false">$F63*L63</f>
        <v>0</v>
      </c>
      <c r="AH63" s="132" t="n">
        <f aca="false">$F63*M63</f>
        <v>0</v>
      </c>
      <c r="AI63" s="132" t="n">
        <f aca="false">$F63*N63</f>
        <v>0</v>
      </c>
      <c r="AJ63" s="132" t="n">
        <f aca="false">F63*O63</f>
        <v>0</v>
      </c>
      <c r="AK63" s="137"/>
      <c r="AL63" s="132" t="n">
        <f aca="false">CHOOSE($G$3,AC63-AD63,AD63-AC63)</f>
        <v>0</v>
      </c>
      <c r="AM63" s="132" t="n">
        <f aca="false">CHOOSE($G$3,AF63-AG63,AG63-AF63)</f>
        <v>0</v>
      </c>
      <c r="AN63" s="132" t="n">
        <f aca="false">CHOOSE($G$3,AI63-AJ63,AJ63-AI63)</f>
        <v>0</v>
      </c>
      <c r="AO63" s="148" t="n">
        <f aca="false">SUM(AL63:AN63)</f>
        <v>0</v>
      </c>
      <c r="AQ63" s="132" t="n">
        <f aca="false">CHOOSE($G$3,AB63-AC63,AC63-AB63)</f>
        <v>0</v>
      </c>
      <c r="AR63" s="132" t="n">
        <f aca="false">CHOOSE($G$3,AE63-AF63,AF63-AE63)</f>
        <v>0</v>
      </c>
      <c r="AS63" s="132" t="n">
        <f aca="false">CHOOSE($G$3,AH63-AI63,AI63-AH63)</f>
        <v>0</v>
      </c>
      <c r="AT63" s="148" t="n">
        <f aca="false">AQ63+AR63+AS63</f>
        <v>0</v>
      </c>
      <c r="AU63" s="148"/>
      <c r="AV63" s="133" t="n">
        <f aca="false">AT63+AO63</f>
        <v>0</v>
      </c>
      <c r="AX63" s="133" t="n">
        <f aca="false">AJ63+AG63+AD63</f>
        <v>0</v>
      </c>
      <c r="AY63" s="149"/>
      <c r="AZ63" s="76" t="n">
        <f aca="false">R63*E63</f>
        <v>0</v>
      </c>
    </row>
    <row r="64" customFormat="false" ht="12.75" hidden="false" customHeight="false" outlineLevel="0" collapsed="false">
      <c r="A64" s="138" t="n">
        <f aca="false">EDATE(A63,1)</f>
        <v>38626</v>
      </c>
      <c r="B64" s="139" t="n">
        <f aca="false">VLOOKUP($A64,Table2,MATCH(I$3,Curves2,0))</f>
        <v>0</v>
      </c>
      <c r="C64" s="140"/>
      <c r="D64" s="141" t="n">
        <f aca="false">B64+C64</f>
        <v>0</v>
      </c>
      <c r="E64" s="126" t="n">
        <f aca="false">IF(Y64=0,0,IF(AND(Y64=1,$H$3=1),D64*T64,IF($H$3=2,D64,"N/A")))</f>
        <v>0</v>
      </c>
      <c r="F64" s="126" t="n">
        <f aca="false">E64*X64</f>
        <v>0</v>
      </c>
      <c r="G64" s="142" t="n">
        <f aca="false">VLOOKUP($A64,Table,MATCH(G$4,Curves,0))</f>
        <v>3.707</v>
      </c>
      <c r="H64" s="143" t="n">
        <f aca="false">G64</f>
        <v>3.707</v>
      </c>
      <c r="I64" s="142" t="n">
        <f aca="false">VLOOKUP($A64,Table1,MATCH(I$3,Curves1,0))</f>
        <v>0</v>
      </c>
      <c r="J64" s="142" t="n">
        <f aca="false">VLOOKUP($A64,Table,MATCH(J$4,Curves,0))</f>
        <v>-0.025</v>
      </c>
      <c r="K64" s="143" t="n">
        <f aca="false">J64</f>
        <v>-0.025</v>
      </c>
      <c r="L64" s="144" t="n">
        <v>0</v>
      </c>
      <c r="M64" s="142" t="n">
        <f aca="false">VLOOKUP($A64,Table,MATCH(M$4,Curves,0))</f>
        <v>0.0085</v>
      </c>
      <c r="N64" s="143" t="n">
        <f aca="false">M64</f>
        <v>0.0085</v>
      </c>
      <c r="O64" s="144" t="n">
        <v>0</v>
      </c>
      <c r="P64" s="145"/>
      <c r="Q64" s="144" t="n">
        <f aca="false">M64+J64+G64</f>
        <v>3.6905</v>
      </c>
      <c r="R64" s="144" t="n">
        <f aca="false">O64+L64+I64</f>
        <v>0</v>
      </c>
      <c r="S64" s="145"/>
      <c r="T64" s="71" t="n">
        <f aca="false">A65-A64</f>
        <v>31</v>
      </c>
      <c r="U64" s="146" t="n">
        <f aca="false">CHOOSE(F$3,A65+24,A64)</f>
        <v>38681</v>
      </c>
      <c r="V64" s="71" t="n">
        <f aca="false">U64-C$3</f>
        <v>1793</v>
      </c>
      <c r="W64" s="142" t="n">
        <f aca="false">VLOOKUP($A64,Table,MATCH(W$4,Curves,0))</f>
        <v>0.058924983574244</v>
      </c>
      <c r="X64" s="147" t="n">
        <f aca="false">1/(1+CHOOSE(F$3,(W65+($K$3/10000))/2,(W64+($K$3/10000))/2))^(2*V64/365.25)</f>
        <v>0.751876671540284</v>
      </c>
      <c r="Y64" s="71" t="n">
        <f aca="false">IF(AND(mthbeg&lt;=A64,mthend&gt;=A64),1,0)</f>
        <v>1</v>
      </c>
      <c r="Z64" s="71" t="n">
        <f aca="false">T64*Y64</f>
        <v>31</v>
      </c>
      <c r="AB64" s="132" t="n">
        <f aca="false">F64*G64</f>
        <v>0</v>
      </c>
      <c r="AC64" s="132" t="n">
        <f aca="false">$F64*H64</f>
        <v>0</v>
      </c>
      <c r="AD64" s="132" t="n">
        <f aca="false">$F64*I64</f>
        <v>0</v>
      </c>
      <c r="AE64" s="132" t="n">
        <f aca="false">$F64*J64</f>
        <v>-0</v>
      </c>
      <c r="AF64" s="132" t="n">
        <f aca="false">$F64*K64</f>
        <v>-0</v>
      </c>
      <c r="AG64" s="132" t="n">
        <f aca="false">$F64*L64</f>
        <v>0</v>
      </c>
      <c r="AH64" s="132" t="n">
        <f aca="false">$F64*M64</f>
        <v>0</v>
      </c>
      <c r="AI64" s="132" t="n">
        <f aca="false">$F64*N64</f>
        <v>0</v>
      </c>
      <c r="AJ64" s="132" t="n">
        <f aca="false">F64*O64</f>
        <v>0</v>
      </c>
      <c r="AK64" s="137"/>
      <c r="AL64" s="132" t="n">
        <f aca="false">CHOOSE($G$3,AC64-AD64,AD64-AC64)</f>
        <v>0</v>
      </c>
      <c r="AM64" s="132" t="n">
        <f aca="false">CHOOSE($G$3,AF64-AG64,AG64-AF64)</f>
        <v>0</v>
      </c>
      <c r="AN64" s="132" t="n">
        <f aca="false">CHOOSE($G$3,AI64-AJ64,AJ64-AI64)</f>
        <v>0</v>
      </c>
      <c r="AO64" s="148" t="n">
        <f aca="false">SUM(AL64:AN64)</f>
        <v>0</v>
      </c>
      <c r="AQ64" s="132" t="n">
        <f aca="false">CHOOSE($G$3,AB64-AC64,AC64-AB64)</f>
        <v>0</v>
      </c>
      <c r="AR64" s="132" t="n">
        <f aca="false">CHOOSE($G$3,AE64-AF64,AF64-AE64)</f>
        <v>0</v>
      </c>
      <c r="AS64" s="132" t="n">
        <f aca="false">CHOOSE($G$3,AH64-AI64,AI64-AH64)</f>
        <v>0</v>
      </c>
      <c r="AT64" s="148" t="n">
        <f aca="false">AQ64+AR64+AS64</f>
        <v>0</v>
      </c>
      <c r="AU64" s="148"/>
      <c r="AV64" s="133" t="n">
        <f aca="false">AT64+AO64</f>
        <v>0</v>
      </c>
      <c r="AX64" s="133" t="n">
        <f aca="false">AJ64+AG64+AD64</f>
        <v>0</v>
      </c>
      <c r="AY64" s="149"/>
      <c r="AZ64" s="76" t="n">
        <f aca="false">R64*E64</f>
        <v>0</v>
      </c>
    </row>
    <row r="65" customFormat="false" ht="12.75" hidden="false" customHeight="false" outlineLevel="0" collapsed="false">
      <c r="A65" s="138" t="n">
        <f aca="false">EDATE(A64,1)</f>
        <v>38657</v>
      </c>
      <c r="B65" s="139" t="n">
        <f aca="false">VLOOKUP($A65,Table2,MATCH(I$3,Curves2,0))</f>
        <v>0</v>
      </c>
      <c r="C65" s="140"/>
      <c r="D65" s="141" t="n">
        <f aca="false">B65+C65</f>
        <v>0</v>
      </c>
      <c r="E65" s="126" t="n">
        <f aca="false">IF(Y65=0,0,IF(AND(Y65=1,$H$3=1),D65*T65,IF($H$3=2,D65,"N/A")))</f>
        <v>0</v>
      </c>
      <c r="F65" s="126" t="n">
        <f aca="false">E65*X65</f>
        <v>0</v>
      </c>
      <c r="G65" s="142" t="n">
        <f aca="false">VLOOKUP($A65,Table,MATCH(G$4,Curves,0))</f>
        <v>3.852</v>
      </c>
      <c r="H65" s="143" t="n">
        <f aca="false">G65</f>
        <v>3.852</v>
      </c>
      <c r="I65" s="142" t="n">
        <f aca="false">VLOOKUP($A65,Table1,MATCH(I$3,Curves1,0))</f>
        <v>0</v>
      </c>
      <c r="J65" s="142" t="n">
        <f aca="false">VLOOKUP($A65,Table,MATCH(J$4,Curves,0))</f>
        <v>-0.0305</v>
      </c>
      <c r="K65" s="143" t="n">
        <f aca="false">J65</f>
        <v>-0.0305</v>
      </c>
      <c r="L65" s="144" t="n">
        <v>0</v>
      </c>
      <c r="M65" s="142" t="n">
        <f aca="false">VLOOKUP($A65,Table,MATCH(M$4,Curves,0))</f>
        <v>0.0087</v>
      </c>
      <c r="N65" s="143" t="n">
        <f aca="false">M65</f>
        <v>0.0087</v>
      </c>
      <c r="O65" s="144" t="n">
        <v>0</v>
      </c>
      <c r="P65" s="145"/>
      <c r="Q65" s="144" t="n">
        <f aca="false">M65+J65+G65</f>
        <v>3.8302</v>
      </c>
      <c r="R65" s="144" t="n">
        <f aca="false">O65+L65+I65</f>
        <v>0</v>
      </c>
      <c r="S65" s="145"/>
      <c r="T65" s="71" t="n">
        <f aca="false">A66-A65</f>
        <v>30</v>
      </c>
      <c r="U65" s="146" t="n">
        <f aca="false">CHOOSE(F$3,A66+24,A65)</f>
        <v>38711</v>
      </c>
      <c r="V65" s="71" t="n">
        <f aca="false">U65-C$3</f>
        <v>1823</v>
      </c>
      <c r="W65" s="142" t="n">
        <f aca="false">VLOOKUP($A65,Table,MATCH(W$4,Curves,0))</f>
        <v>0.058946265726202</v>
      </c>
      <c r="X65" s="147" t="n">
        <f aca="false">1/(1+CHOOSE(F$3,(W66+($K$3/10000))/2,(W65+($K$3/10000))/2))^(2*V65/365.25)</f>
        <v>0.748222843492863</v>
      </c>
      <c r="Y65" s="71" t="n">
        <f aca="false">IF(AND(mthbeg&lt;=A65,mthend&gt;=A65),1,0)</f>
        <v>1</v>
      </c>
      <c r="Z65" s="71" t="n">
        <f aca="false">T65*Y65</f>
        <v>30</v>
      </c>
      <c r="AB65" s="132" t="n">
        <f aca="false">F65*G65</f>
        <v>0</v>
      </c>
      <c r="AC65" s="132" t="n">
        <f aca="false">$F65*H65</f>
        <v>0</v>
      </c>
      <c r="AD65" s="132" t="n">
        <f aca="false">$F65*I65</f>
        <v>0</v>
      </c>
      <c r="AE65" s="132" t="n">
        <f aca="false">$F65*J65</f>
        <v>-0</v>
      </c>
      <c r="AF65" s="132" t="n">
        <f aca="false">$F65*K65</f>
        <v>-0</v>
      </c>
      <c r="AG65" s="132" t="n">
        <f aca="false">$F65*L65</f>
        <v>0</v>
      </c>
      <c r="AH65" s="132" t="n">
        <f aca="false">$F65*M65</f>
        <v>0</v>
      </c>
      <c r="AI65" s="132" t="n">
        <f aca="false">$F65*N65</f>
        <v>0</v>
      </c>
      <c r="AJ65" s="132" t="n">
        <f aca="false">F65*O65</f>
        <v>0</v>
      </c>
      <c r="AK65" s="137"/>
      <c r="AL65" s="132" t="n">
        <f aca="false">CHOOSE($G$3,AC65-AD65,AD65-AC65)</f>
        <v>0</v>
      </c>
      <c r="AM65" s="132" t="n">
        <f aca="false">CHOOSE($G$3,AF65-AG65,AG65-AF65)</f>
        <v>0</v>
      </c>
      <c r="AN65" s="132" t="n">
        <f aca="false">CHOOSE($G$3,AI65-AJ65,AJ65-AI65)</f>
        <v>0</v>
      </c>
      <c r="AO65" s="148" t="n">
        <f aca="false">SUM(AL65:AN65)</f>
        <v>0</v>
      </c>
      <c r="AQ65" s="132" t="n">
        <f aca="false">CHOOSE($G$3,AB65-AC65,AC65-AB65)</f>
        <v>0</v>
      </c>
      <c r="AR65" s="132" t="n">
        <f aca="false">CHOOSE($G$3,AE65-AF65,AF65-AE65)</f>
        <v>0</v>
      </c>
      <c r="AS65" s="132" t="n">
        <f aca="false">CHOOSE($G$3,AH65-AI65,AI65-AH65)</f>
        <v>0</v>
      </c>
      <c r="AT65" s="148" t="n">
        <f aca="false">AQ65+AR65+AS65</f>
        <v>0</v>
      </c>
      <c r="AU65" s="148"/>
      <c r="AV65" s="133" t="n">
        <f aca="false">AT65+AO65</f>
        <v>0</v>
      </c>
      <c r="AX65" s="133" t="n">
        <f aca="false">AJ65+AG65+AD65</f>
        <v>0</v>
      </c>
      <c r="AY65" s="149"/>
      <c r="AZ65" s="76" t="n">
        <f aca="false">R65*E65</f>
        <v>0</v>
      </c>
    </row>
    <row r="66" customFormat="false" ht="12.75" hidden="false" customHeight="false" outlineLevel="0" collapsed="false">
      <c r="A66" s="138" t="n">
        <f aca="false">EDATE(A65,1)</f>
        <v>38687</v>
      </c>
      <c r="B66" s="139" t="n">
        <f aca="false">VLOOKUP($A66,Table2,MATCH(I$3,Curves2,0))</f>
        <v>0</v>
      </c>
      <c r="C66" s="140"/>
      <c r="D66" s="141" t="n">
        <f aca="false">B66+C66</f>
        <v>0</v>
      </c>
      <c r="E66" s="126" t="n">
        <f aca="false">IF(Y66=0,0,IF(AND(Y66=1,$H$3=1),D66*T66,IF($H$3=2,D66,"N/A")))</f>
        <v>0</v>
      </c>
      <c r="F66" s="126" t="n">
        <f aca="false">E66*X66</f>
        <v>0</v>
      </c>
      <c r="G66" s="142" t="n">
        <f aca="false">VLOOKUP($A66,Table,MATCH(G$4,Curves,0))</f>
        <v>3.987</v>
      </c>
      <c r="H66" s="143" t="n">
        <f aca="false">G66</f>
        <v>3.987</v>
      </c>
      <c r="I66" s="142" t="n">
        <f aca="false">VLOOKUP($A66,Table1,MATCH(I$3,Curves1,0))</f>
        <v>0</v>
      </c>
      <c r="J66" s="142" t="n">
        <f aca="false">VLOOKUP($A66,Table,MATCH(J$4,Curves,0))</f>
        <v>-0.0305</v>
      </c>
      <c r="K66" s="143" t="n">
        <f aca="false">J66</f>
        <v>-0.0305</v>
      </c>
      <c r="L66" s="144" t="n">
        <v>0</v>
      </c>
      <c r="M66" s="142" t="n">
        <f aca="false">VLOOKUP($A66,Table,MATCH(M$4,Curves,0))</f>
        <v>0.0087</v>
      </c>
      <c r="N66" s="143" t="n">
        <f aca="false">M66</f>
        <v>0.0087</v>
      </c>
      <c r="O66" s="144" t="n">
        <v>0</v>
      </c>
      <c r="P66" s="145"/>
      <c r="Q66" s="144" t="n">
        <f aca="false">M66+J66+G66</f>
        <v>3.9652</v>
      </c>
      <c r="R66" s="144" t="n">
        <f aca="false">O66+L66+I66</f>
        <v>0</v>
      </c>
      <c r="S66" s="145"/>
      <c r="T66" s="71" t="n">
        <f aca="false">A67-A66</f>
        <v>31</v>
      </c>
      <c r="U66" s="146" t="n">
        <f aca="false">CHOOSE(F$3,A67+24,A66)</f>
        <v>38742</v>
      </c>
      <c r="V66" s="71" t="n">
        <f aca="false">U66-C$3</f>
        <v>1854</v>
      </c>
      <c r="W66" s="142" t="n">
        <f aca="false">VLOOKUP($A66,Table,MATCH(W$4,Curves,0))</f>
        <v>0.058966861357273</v>
      </c>
      <c r="X66" s="147" t="n">
        <f aca="false">1/(1+CHOOSE(F$3,(W67+($K$3/10000))/2,(W66+($K$3/10000))/2))^(2*V66/365.25)</f>
        <v>0.744541427640193</v>
      </c>
      <c r="Y66" s="71" t="n">
        <f aca="false">IF(AND(mthbeg&lt;=A66,mthend&gt;=A66),1,0)</f>
        <v>0</v>
      </c>
      <c r="Z66" s="71" t="n">
        <f aca="false">T66*Y66</f>
        <v>0</v>
      </c>
      <c r="AB66" s="132" t="n">
        <f aca="false">F66*G66</f>
        <v>0</v>
      </c>
      <c r="AC66" s="132" t="n">
        <f aca="false">$F66*H66</f>
        <v>0</v>
      </c>
      <c r="AD66" s="132" t="n">
        <f aca="false">$F66*I66</f>
        <v>0</v>
      </c>
      <c r="AE66" s="132" t="n">
        <f aca="false">$F66*J66</f>
        <v>-0</v>
      </c>
      <c r="AF66" s="132" t="n">
        <f aca="false">$F66*K66</f>
        <v>-0</v>
      </c>
      <c r="AG66" s="132" t="n">
        <f aca="false">$F66*L66</f>
        <v>0</v>
      </c>
      <c r="AH66" s="132" t="n">
        <f aca="false">$F66*M66</f>
        <v>0</v>
      </c>
      <c r="AI66" s="132" t="n">
        <f aca="false">$F66*N66</f>
        <v>0</v>
      </c>
      <c r="AJ66" s="132" t="n">
        <f aca="false">F66*O66</f>
        <v>0</v>
      </c>
      <c r="AK66" s="137"/>
      <c r="AL66" s="132" t="n">
        <f aca="false">CHOOSE($G$3,AC66-AD66,AD66-AC66)</f>
        <v>0</v>
      </c>
      <c r="AM66" s="132" t="n">
        <f aca="false">CHOOSE($G$3,AF66-AG66,AG66-AF66)</f>
        <v>0</v>
      </c>
      <c r="AN66" s="132" t="n">
        <f aca="false">CHOOSE($G$3,AI66-AJ66,AJ66-AI66)</f>
        <v>0</v>
      </c>
      <c r="AO66" s="148" t="n">
        <f aca="false">SUM(AL66:AN66)</f>
        <v>0</v>
      </c>
      <c r="AQ66" s="132" t="n">
        <f aca="false">CHOOSE($G$3,AB66-AC66,AC66-AB66)</f>
        <v>0</v>
      </c>
      <c r="AR66" s="132" t="n">
        <f aca="false">CHOOSE($G$3,AE66-AF66,AF66-AE66)</f>
        <v>0</v>
      </c>
      <c r="AS66" s="132" t="n">
        <f aca="false">CHOOSE($G$3,AH66-AI66,AI66-AH66)</f>
        <v>0</v>
      </c>
      <c r="AT66" s="148" t="n">
        <f aca="false">AQ66+AR66+AS66</f>
        <v>0</v>
      </c>
      <c r="AU66" s="148"/>
      <c r="AV66" s="133" t="n">
        <f aca="false">AT66+AO66</f>
        <v>0</v>
      </c>
      <c r="AX66" s="133" t="n">
        <f aca="false">AJ66+AG66+AD66</f>
        <v>0</v>
      </c>
      <c r="AY66" s="149"/>
      <c r="AZ66" s="76" t="n">
        <f aca="false">R66*E66</f>
        <v>0</v>
      </c>
    </row>
    <row r="67" customFormat="false" ht="12.75" hidden="false" customHeight="false" outlineLevel="0" collapsed="false">
      <c r="A67" s="138" t="n">
        <f aca="false">EDATE(A66,1)</f>
        <v>38718</v>
      </c>
      <c r="B67" s="139" t="n">
        <f aca="false">VLOOKUP($A67,Table2,MATCH(I$3,Curves2,0))</f>
        <v>0</v>
      </c>
      <c r="C67" s="140"/>
      <c r="D67" s="141" t="n">
        <f aca="false">B67+C67</f>
        <v>0</v>
      </c>
      <c r="E67" s="126" t="n">
        <f aca="false">IF(Y67=0,0,IF(AND(Y67=1,$H$3=1),D67*T67,IF($H$3=2,D67,"N/A")))</f>
        <v>0</v>
      </c>
      <c r="F67" s="126" t="n">
        <f aca="false">E67*X67</f>
        <v>0</v>
      </c>
      <c r="G67" s="142" t="n">
        <f aca="false">VLOOKUP($A67,Table,MATCH(G$4,Curves,0))</f>
        <v>3.987</v>
      </c>
      <c r="H67" s="143" t="n">
        <f aca="false">G67</f>
        <v>3.987</v>
      </c>
      <c r="I67" s="142" t="n">
        <f aca="false">VLOOKUP($A67,Table1,MATCH(I$3,Curves1,0))</f>
        <v>0</v>
      </c>
      <c r="J67" s="142" t="n">
        <f aca="false">VLOOKUP($A67,Table,MATCH(J$4,Curves,0))</f>
        <v>-0.0305</v>
      </c>
      <c r="K67" s="143" t="n">
        <f aca="false">J67</f>
        <v>-0.0305</v>
      </c>
      <c r="L67" s="144" t="n">
        <v>0</v>
      </c>
      <c r="M67" s="142" t="n">
        <f aca="false">VLOOKUP($A67,Table,MATCH(M$4,Curves,0))</f>
        <v>0.0087</v>
      </c>
      <c r="N67" s="143" t="n">
        <f aca="false">M67</f>
        <v>0.0087</v>
      </c>
      <c r="O67" s="144" t="n">
        <v>0</v>
      </c>
      <c r="P67" s="145"/>
      <c r="Q67" s="144" t="n">
        <f aca="false">M67+J67+G67</f>
        <v>3.9652</v>
      </c>
      <c r="R67" s="144" t="n">
        <f aca="false">O67+L67+I67</f>
        <v>0</v>
      </c>
      <c r="S67" s="145"/>
      <c r="T67" s="71" t="n">
        <f aca="false">A68-A67</f>
        <v>31</v>
      </c>
      <c r="U67" s="146" t="n">
        <f aca="false">CHOOSE(F$3,A68+24,A67)</f>
        <v>38773</v>
      </c>
      <c r="V67" s="71" t="n">
        <f aca="false">U67-C$3</f>
        <v>1885</v>
      </c>
      <c r="W67" s="142" t="n">
        <f aca="false">VLOOKUP($A67,Table,MATCH(W$4,Curves,0))</f>
        <v>0.058966861357273</v>
      </c>
      <c r="X67" s="147" t="n">
        <f aca="false">1/(1+CHOOSE(F$3,(W68+($K$3/10000))/2,(W67+($K$3/10000))/2))^(2*V67/365.25)</f>
        <v>0.740878125138109</v>
      </c>
      <c r="Y67" s="71" t="n">
        <f aca="false">IF(AND(mthbeg&lt;=A67,mthend&gt;=A67),1,0)</f>
        <v>0</v>
      </c>
      <c r="Z67" s="71" t="n">
        <f aca="false">T67*Y67</f>
        <v>0</v>
      </c>
      <c r="AB67" s="132" t="n">
        <f aca="false">F67*G67</f>
        <v>0</v>
      </c>
      <c r="AC67" s="132" t="n">
        <f aca="false">$F67*H67</f>
        <v>0</v>
      </c>
      <c r="AD67" s="132" t="n">
        <f aca="false">$F67*I67</f>
        <v>0</v>
      </c>
      <c r="AE67" s="132" t="n">
        <f aca="false">$F67*J67</f>
        <v>-0</v>
      </c>
      <c r="AF67" s="132" t="n">
        <f aca="false">$F67*K67</f>
        <v>-0</v>
      </c>
      <c r="AG67" s="132" t="n">
        <f aca="false">$F67*L67</f>
        <v>0</v>
      </c>
      <c r="AH67" s="132" t="n">
        <f aca="false">$F67*M67</f>
        <v>0</v>
      </c>
      <c r="AI67" s="132" t="n">
        <f aca="false">$F67*N67</f>
        <v>0</v>
      </c>
      <c r="AJ67" s="132" t="n">
        <f aca="false">F67*O67</f>
        <v>0</v>
      </c>
      <c r="AK67" s="137"/>
      <c r="AL67" s="132" t="n">
        <f aca="false">CHOOSE($G$3,AC67-AD67,AD67-AC67)</f>
        <v>0</v>
      </c>
      <c r="AM67" s="132" t="n">
        <f aca="false">CHOOSE($G$3,AF67-AG67,AG67-AF67)</f>
        <v>0</v>
      </c>
      <c r="AN67" s="132" t="n">
        <f aca="false">CHOOSE($G$3,AI67-AJ67,AJ67-AI67)</f>
        <v>0</v>
      </c>
      <c r="AO67" s="148" t="n">
        <f aca="false">SUM(AL67:AN67)</f>
        <v>0</v>
      </c>
      <c r="AQ67" s="132" t="n">
        <f aca="false">CHOOSE($G$3,AB67-AC67,AC67-AB67)</f>
        <v>0</v>
      </c>
      <c r="AR67" s="132" t="n">
        <f aca="false">CHOOSE($G$3,AE67-AF67,AF67-AE67)</f>
        <v>0</v>
      </c>
      <c r="AS67" s="132" t="n">
        <f aca="false">CHOOSE($G$3,AH67-AI67,AI67-AH67)</f>
        <v>0</v>
      </c>
      <c r="AT67" s="148" t="n">
        <f aca="false">AQ67+AR67+AS67</f>
        <v>0</v>
      </c>
      <c r="AU67" s="148"/>
      <c r="AV67" s="133" t="n">
        <f aca="false">AT67+AO67</f>
        <v>0</v>
      </c>
      <c r="AX67" s="133" t="n">
        <f aca="false">AJ67+AG67+AD67</f>
        <v>0</v>
      </c>
      <c r="AY67" s="149"/>
      <c r="AZ67" s="76" t="n">
        <f aca="false">R67*E67</f>
        <v>0</v>
      </c>
    </row>
    <row r="68" customFormat="false" ht="12.75" hidden="false" customHeight="false" outlineLevel="0" collapsed="false">
      <c r="A68" s="138" t="n">
        <f aca="false">EDATE(A67,1)</f>
        <v>38749</v>
      </c>
      <c r="B68" s="139" t="n">
        <f aca="false">VLOOKUP($A68,Table2,MATCH(I$3,Curves2,0))</f>
        <v>0</v>
      </c>
      <c r="C68" s="140"/>
      <c r="D68" s="141" t="n">
        <f aca="false">B68+C68</f>
        <v>0</v>
      </c>
      <c r="E68" s="126" t="n">
        <f aca="false">IF(Y68=0,0,IF(AND(Y68=1,$H$3=1),D68*T68,IF($H$3=2,D68,"N/A")))</f>
        <v>0</v>
      </c>
      <c r="F68" s="126" t="n">
        <f aca="false">E68*X68</f>
        <v>0</v>
      </c>
      <c r="G68" s="142" t="n">
        <f aca="false">VLOOKUP($A68,Table,MATCH(G$4,Curves,0))</f>
        <v>3.987</v>
      </c>
      <c r="H68" s="143" t="n">
        <f aca="false">G68</f>
        <v>3.987</v>
      </c>
      <c r="I68" s="142" t="n">
        <f aca="false">VLOOKUP($A68,Table1,MATCH(I$3,Curves1,0))</f>
        <v>0</v>
      </c>
      <c r="J68" s="142" t="n">
        <f aca="false">VLOOKUP($A68,Table,MATCH(J$4,Curves,0))</f>
        <v>-0.0305</v>
      </c>
      <c r="K68" s="143" t="n">
        <f aca="false">J68</f>
        <v>-0.0305</v>
      </c>
      <c r="L68" s="144" t="n">
        <v>0</v>
      </c>
      <c r="M68" s="142" t="n">
        <f aca="false">VLOOKUP($A68,Table,MATCH(M$4,Curves,0))</f>
        <v>0.0087</v>
      </c>
      <c r="N68" s="143" t="n">
        <f aca="false">M68</f>
        <v>0.0087</v>
      </c>
      <c r="O68" s="144" t="n">
        <v>0</v>
      </c>
      <c r="P68" s="145"/>
      <c r="Q68" s="144" t="n">
        <f aca="false">M68+J68+G68</f>
        <v>3.9652</v>
      </c>
      <c r="R68" s="144" t="n">
        <f aca="false">O68+L68+I68</f>
        <v>0</v>
      </c>
      <c r="S68" s="145"/>
      <c r="T68" s="71" t="n">
        <f aca="false">A69-A68</f>
        <v>28</v>
      </c>
      <c r="U68" s="146" t="n">
        <f aca="false">CHOOSE(F$3,A69+24,A68)</f>
        <v>38801</v>
      </c>
      <c r="V68" s="71" t="n">
        <f aca="false">U68-C$3</f>
        <v>1913</v>
      </c>
      <c r="W68" s="142" t="n">
        <f aca="false">VLOOKUP($A68,Table,MATCH(W$4,Curves,0))</f>
        <v>0.058966861357273</v>
      </c>
      <c r="X68" s="147" t="n">
        <f aca="false">1/(1+CHOOSE(F$3,(W69+($K$3/10000))/2,(W68+($K$3/10000))/2))^(2*V68/365.25)</f>
        <v>0.737584830452934</v>
      </c>
      <c r="Y68" s="71" t="n">
        <f aca="false">IF(AND(mthbeg&lt;=A68,mthend&gt;=A68),1,0)</f>
        <v>0</v>
      </c>
      <c r="Z68" s="71" t="n">
        <f aca="false">T68*Y68</f>
        <v>0</v>
      </c>
      <c r="AB68" s="132" t="n">
        <f aca="false">F68*G68</f>
        <v>0</v>
      </c>
      <c r="AC68" s="132" t="n">
        <f aca="false">$F68*H68</f>
        <v>0</v>
      </c>
      <c r="AD68" s="132" t="n">
        <f aca="false">$F68*I68</f>
        <v>0</v>
      </c>
      <c r="AE68" s="132" t="n">
        <f aca="false">$F68*J68</f>
        <v>-0</v>
      </c>
      <c r="AF68" s="132" t="n">
        <f aca="false">$F68*K68</f>
        <v>-0</v>
      </c>
      <c r="AG68" s="132" t="n">
        <f aca="false">$F68*L68</f>
        <v>0</v>
      </c>
      <c r="AH68" s="132" t="n">
        <f aca="false">$F68*M68</f>
        <v>0</v>
      </c>
      <c r="AI68" s="132" t="n">
        <f aca="false">$F68*N68</f>
        <v>0</v>
      </c>
      <c r="AJ68" s="132" t="n">
        <f aca="false">F68*O68</f>
        <v>0</v>
      </c>
      <c r="AK68" s="137"/>
      <c r="AL68" s="132" t="n">
        <f aca="false">CHOOSE($G$3,AC68-AD68,AD68-AC68)</f>
        <v>0</v>
      </c>
      <c r="AM68" s="132" t="n">
        <f aca="false">CHOOSE($G$3,AF68-AG68,AG68-AF68)</f>
        <v>0</v>
      </c>
      <c r="AN68" s="132" t="n">
        <f aca="false">CHOOSE($G$3,AI68-AJ68,AJ68-AI68)</f>
        <v>0</v>
      </c>
      <c r="AO68" s="148" t="n">
        <f aca="false">SUM(AL68:AN68)</f>
        <v>0</v>
      </c>
      <c r="AQ68" s="132" t="n">
        <f aca="false">CHOOSE($G$3,AB68-AC68,AC68-AB68)</f>
        <v>0</v>
      </c>
      <c r="AR68" s="132" t="n">
        <f aca="false">CHOOSE($G$3,AE68-AF68,AF68-AE68)</f>
        <v>0</v>
      </c>
      <c r="AS68" s="132" t="n">
        <f aca="false">CHOOSE($G$3,AH68-AI68,AI68-AH68)</f>
        <v>0</v>
      </c>
      <c r="AT68" s="148" t="n">
        <f aca="false">AQ68+AR68+AS68</f>
        <v>0</v>
      </c>
      <c r="AU68" s="148"/>
      <c r="AV68" s="133" t="n">
        <f aca="false">AT68+AO68</f>
        <v>0</v>
      </c>
      <c r="AX68" s="133" t="n">
        <f aca="false">AJ68+AG68+AD68</f>
        <v>0</v>
      </c>
      <c r="AY68" s="149"/>
      <c r="AZ68" s="76" t="n">
        <f aca="false">R68*E68</f>
        <v>0</v>
      </c>
    </row>
    <row r="69" customFormat="false" ht="12.75" hidden="false" customHeight="false" outlineLevel="0" collapsed="false">
      <c r="A69" s="138" t="n">
        <f aca="false">EDATE(A68,1)</f>
        <v>38777</v>
      </c>
      <c r="B69" s="139" t="n">
        <f aca="false">VLOOKUP($A69,Table2,MATCH(I$3,Curves2,0))</f>
        <v>0</v>
      </c>
      <c r="C69" s="140"/>
      <c r="D69" s="141" t="n">
        <f aca="false">B69+C69</f>
        <v>0</v>
      </c>
      <c r="E69" s="126" t="n">
        <f aca="false">IF(Y69=0,0,IF(AND(Y69=1,$H$3=1),D69*T69,IF($H$3=2,D69,"N/A")))</f>
        <v>0</v>
      </c>
      <c r="F69" s="126" t="n">
        <f aca="false">E69*X69</f>
        <v>0</v>
      </c>
      <c r="G69" s="142" t="n">
        <f aca="false">VLOOKUP($A69,Table,MATCH(G$4,Curves,0))</f>
        <v>3.987</v>
      </c>
      <c r="H69" s="143" t="n">
        <f aca="false">G69</f>
        <v>3.987</v>
      </c>
      <c r="I69" s="142" t="n">
        <f aca="false">VLOOKUP($A69,Table1,MATCH(I$3,Curves1,0))</f>
        <v>0</v>
      </c>
      <c r="J69" s="142" t="n">
        <f aca="false">VLOOKUP($A69,Table,MATCH(J$4,Curves,0))</f>
        <v>-0.0305</v>
      </c>
      <c r="K69" s="143" t="n">
        <f aca="false">J69</f>
        <v>-0.0305</v>
      </c>
      <c r="L69" s="144" t="n">
        <v>0</v>
      </c>
      <c r="M69" s="142" t="n">
        <f aca="false">VLOOKUP($A69,Table,MATCH(M$4,Curves,0))</f>
        <v>0.0087</v>
      </c>
      <c r="N69" s="143" t="n">
        <f aca="false">M69</f>
        <v>0.0087</v>
      </c>
      <c r="O69" s="144" t="n">
        <v>0</v>
      </c>
      <c r="P69" s="145"/>
      <c r="Q69" s="144" t="n">
        <f aca="false">M69+J69+G69</f>
        <v>3.9652</v>
      </c>
      <c r="R69" s="144" t="n">
        <f aca="false">O69+L69+I69</f>
        <v>0</v>
      </c>
      <c r="S69" s="145"/>
      <c r="T69" s="71" t="n">
        <f aca="false">A70-A69</f>
        <v>31</v>
      </c>
      <c r="U69" s="146" t="n">
        <f aca="false">CHOOSE(F$3,A70+24,A69)</f>
        <v>38832</v>
      </c>
      <c r="V69" s="71" t="n">
        <f aca="false">U69-C$3</f>
        <v>1944</v>
      </c>
      <c r="W69" s="142" t="n">
        <f aca="false">VLOOKUP($A69,Table,MATCH(W$4,Curves,0))</f>
        <v>0.058966861357273</v>
      </c>
      <c r="X69" s="147" t="n">
        <f aca="false">1/(1+CHOOSE(F$3,(W70+($K$3/10000))/2,(W69+($K$3/10000))/2))^(2*V69/365.25)</f>
        <v>0.733955755891614</v>
      </c>
      <c r="Y69" s="71" t="n">
        <f aca="false">IF(AND(mthbeg&lt;=A69,mthend&gt;=A69),1,0)</f>
        <v>0</v>
      </c>
      <c r="Z69" s="71" t="n">
        <f aca="false">T69*Y69</f>
        <v>0</v>
      </c>
      <c r="AB69" s="132" t="n">
        <f aca="false">F69*G69</f>
        <v>0</v>
      </c>
      <c r="AC69" s="132" t="n">
        <f aca="false">$F69*H69</f>
        <v>0</v>
      </c>
      <c r="AD69" s="132" t="n">
        <f aca="false">$F69*I69</f>
        <v>0</v>
      </c>
      <c r="AE69" s="132" t="n">
        <f aca="false">$F69*J69</f>
        <v>-0</v>
      </c>
      <c r="AF69" s="132" t="n">
        <f aca="false">$F69*K69</f>
        <v>-0</v>
      </c>
      <c r="AG69" s="132" t="n">
        <f aca="false">$F69*L69</f>
        <v>0</v>
      </c>
      <c r="AH69" s="132" t="n">
        <f aca="false">$F69*M69</f>
        <v>0</v>
      </c>
      <c r="AI69" s="132" t="n">
        <f aca="false">$F69*N69</f>
        <v>0</v>
      </c>
      <c r="AJ69" s="132" t="n">
        <f aca="false">F69*O69</f>
        <v>0</v>
      </c>
      <c r="AK69" s="137"/>
      <c r="AL69" s="132" t="n">
        <f aca="false">CHOOSE($G$3,AC69-AD69,AD69-AC69)</f>
        <v>0</v>
      </c>
      <c r="AM69" s="132" t="n">
        <f aca="false">CHOOSE($G$3,AF69-AG69,AG69-AF69)</f>
        <v>0</v>
      </c>
      <c r="AN69" s="132" t="n">
        <f aca="false">CHOOSE($G$3,AI69-AJ69,AJ69-AI69)</f>
        <v>0</v>
      </c>
      <c r="AO69" s="148" t="n">
        <f aca="false">SUM(AL69:AN69)</f>
        <v>0</v>
      </c>
      <c r="AQ69" s="132" t="n">
        <f aca="false">CHOOSE($G$3,AB69-AC69,AC69-AB69)</f>
        <v>0</v>
      </c>
      <c r="AR69" s="132" t="n">
        <f aca="false">CHOOSE($G$3,AE69-AF69,AF69-AE69)</f>
        <v>0</v>
      </c>
      <c r="AS69" s="132" t="n">
        <f aca="false">CHOOSE($G$3,AH69-AI69,AI69-AH69)</f>
        <v>0</v>
      </c>
      <c r="AT69" s="148" t="n">
        <f aca="false">AQ69+AR69+AS69</f>
        <v>0</v>
      </c>
      <c r="AU69" s="148"/>
      <c r="AV69" s="133" t="n">
        <f aca="false">AT69+AO69</f>
        <v>0</v>
      </c>
      <c r="AX69" s="133" t="n">
        <f aca="false">AJ69+AG69+AD69</f>
        <v>0</v>
      </c>
      <c r="AY69" s="149"/>
      <c r="AZ69" s="76" t="n">
        <f aca="false">R69*E69</f>
        <v>0</v>
      </c>
    </row>
    <row r="70" customFormat="false" ht="12.75" hidden="false" customHeight="false" outlineLevel="0" collapsed="false">
      <c r="A70" s="138" t="n">
        <f aca="false">EDATE(A69,1)</f>
        <v>38808</v>
      </c>
      <c r="B70" s="139" t="n">
        <f aca="false">VLOOKUP($A70,Table2,MATCH(I$3,Curves2,0))</f>
        <v>0</v>
      </c>
      <c r="C70" s="140"/>
      <c r="D70" s="141" t="n">
        <f aca="false">B70+C70</f>
        <v>0</v>
      </c>
      <c r="E70" s="126" t="n">
        <f aca="false">IF(Y70=0,0,IF(AND(Y70=1,$H$3=1),D70*T70,IF($H$3=2,D70,"N/A")))</f>
        <v>0</v>
      </c>
      <c r="F70" s="126" t="n">
        <f aca="false">E70*X70</f>
        <v>0</v>
      </c>
      <c r="G70" s="142" t="n">
        <f aca="false">VLOOKUP($A70,Table,MATCH(G$4,Curves,0))</f>
        <v>3.987</v>
      </c>
      <c r="H70" s="143" t="n">
        <f aca="false">G70</f>
        <v>3.987</v>
      </c>
      <c r="I70" s="142" t="n">
        <f aca="false">VLOOKUP($A70,Table1,MATCH(I$3,Curves1,0))</f>
        <v>0</v>
      </c>
      <c r="J70" s="142" t="n">
        <f aca="false">VLOOKUP($A70,Table,MATCH(J$4,Curves,0))</f>
        <v>-0.0305</v>
      </c>
      <c r="K70" s="143" t="n">
        <f aca="false">J70</f>
        <v>-0.0305</v>
      </c>
      <c r="L70" s="144" t="n">
        <v>0</v>
      </c>
      <c r="M70" s="142" t="n">
        <f aca="false">VLOOKUP($A70,Table,MATCH(M$4,Curves,0))</f>
        <v>0.0087</v>
      </c>
      <c r="N70" s="143" t="n">
        <f aca="false">M70</f>
        <v>0.0087</v>
      </c>
      <c r="O70" s="144" t="n">
        <v>0</v>
      </c>
      <c r="P70" s="145"/>
      <c r="Q70" s="144" t="n">
        <f aca="false">M70+J70+G70</f>
        <v>3.9652</v>
      </c>
      <c r="R70" s="144" t="n">
        <f aca="false">O70+L70+I70</f>
        <v>0</v>
      </c>
      <c r="S70" s="145"/>
      <c r="T70" s="71" t="n">
        <f aca="false">A71-A70</f>
        <v>30</v>
      </c>
      <c r="U70" s="146" t="n">
        <f aca="false">CHOOSE(F$3,A71+24,A70)</f>
        <v>38862</v>
      </c>
      <c r="V70" s="71" t="n">
        <f aca="false">U70-C$3</f>
        <v>1974</v>
      </c>
      <c r="W70" s="142" t="n">
        <f aca="false">VLOOKUP($A70,Table,MATCH(W$4,Curves,0))</f>
        <v>0.058966861357273</v>
      </c>
      <c r="X70" s="147" t="n">
        <f aca="false">1/(1+CHOOSE(F$3,(W71+($K$3/10000))/2,(W70+($K$3/10000))/2))^(2*V70/365.25)</f>
        <v>0.730460750271427</v>
      </c>
      <c r="Y70" s="71" t="n">
        <f aca="false">IF(AND(mthbeg&lt;=A70,mthend&gt;=A70),1,0)</f>
        <v>0</v>
      </c>
      <c r="Z70" s="71" t="n">
        <f aca="false">T70*Y70</f>
        <v>0</v>
      </c>
      <c r="AB70" s="132" t="n">
        <f aca="false">F70*G70</f>
        <v>0</v>
      </c>
      <c r="AC70" s="132" t="n">
        <f aca="false">$F70*H70</f>
        <v>0</v>
      </c>
      <c r="AD70" s="132" t="n">
        <f aca="false">$F70*I70</f>
        <v>0</v>
      </c>
      <c r="AE70" s="132" t="n">
        <f aca="false">$F70*J70</f>
        <v>-0</v>
      </c>
      <c r="AF70" s="132" t="n">
        <f aca="false">$F70*K70</f>
        <v>-0</v>
      </c>
      <c r="AG70" s="132" t="n">
        <f aca="false">$F70*L70</f>
        <v>0</v>
      </c>
      <c r="AH70" s="132" t="n">
        <f aca="false">$F70*M70</f>
        <v>0</v>
      </c>
      <c r="AI70" s="132" t="n">
        <f aca="false">$F70*N70</f>
        <v>0</v>
      </c>
      <c r="AJ70" s="132" t="n">
        <f aca="false">F70*O70</f>
        <v>0</v>
      </c>
      <c r="AK70" s="137"/>
      <c r="AL70" s="132" t="n">
        <f aca="false">CHOOSE($G$3,AC70-AD70,AD70-AC70)</f>
        <v>0</v>
      </c>
      <c r="AM70" s="132" t="n">
        <f aca="false">CHOOSE($G$3,AF70-AG70,AG70-AF70)</f>
        <v>0</v>
      </c>
      <c r="AN70" s="132" t="n">
        <f aca="false">CHOOSE($G$3,AI70-AJ70,AJ70-AI70)</f>
        <v>0</v>
      </c>
      <c r="AO70" s="148" t="n">
        <f aca="false">SUM(AL70:AN70)</f>
        <v>0</v>
      </c>
      <c r="AQ70" s="132" t="n">
        <f aca="false">CHOOSE($G$3,AB70-AC70,AC70-AB70)</f>
        <v>0</v>
      </c>
      <c r="AR70" s="132" t="n">
        <f aca="false">CHOOSE($G$3,AE70-AF70,AF70-AE70)</f>
        <v>0</v>
      </c>
      <c r="AS70" s="132" t="n">
        <f aca="false">CHOOSE($G$3,AH70-AI70,AI70-AH70)</f>
        <v>0</v>
      </c>
      <c r="AT70" s="148" t="n">
        <f aca="false">AQ70+AR70+AS70</f>
        <v>0</v>
      </c>
      <c r="AU70" s="148"/>
      <c r="AV70" s="133" t="n">
        <f aca="false">AT70+AO70</f>
        <v>0</v>
      </c>
      <c r="AX70" s="133" t="n">
        <f aca="false">AJ70+AG70+AD70</f>
        <v>0</v>
      </c>
      <c r="AY70" s="149"/>
      <c r="AZ70" s="76" t="n">
        <f aca="false">R70*E70</f>
        <v>0</v>
      </c>
    </row>
    <row r="71" customFormat="false" ht="12.75" hidden="false" customHeight="false" outlineLevel="0" collapsed="false">
      <c r="A71" s="138" t="n">
        <f aca="false">EDATE(A70,1)</f>
        <v>38838</v>
      </c>
      <c r="B71" s="139" t="n">
        <f aca="false">VLOOKUP($A71,Table2,MATCH(I$3,Curves2,0))</f>
        <v>0</v>
      </c>
      <c r="C71" s="140"/>
      <c r="D71" s="141" t="n">
        <f aca="false">B71+C71</f>
        <v>0</v>
      </c>
      <c r="E71" s="126" t="n">
        <f aca="false">IF(Y71=0,0,IF(AND(Y71=1,$H$3=1),D71*T71,IF($H$3=2,D71,"N/A")))</f>
        <v>0</v>
      </c>
      <c r="F71" s="126" t="n">
        <f aca="false">E71*X71</f>
        <v>0</v>
      </c>
      <c r="G71" s="142" t="n">
        <f aca="false">VLOOKUP($A71,Table,MATCH(G$4,Curves,0))</f>
        <v>3.987</v>
      </c>
      <c r="H71" s="143" t="n">
        <f aca="false">G71</f>
        <v>3.987</v>
      </c>
      <c r="I71" s="142" t="n">
        <f aca="false">VLOOKUP($A71,Table1,MATCH(I$3,Curves1,0))</f>
        <v>0</v>
      </c>
      <c r="J71" s="142" t="n">
        <f aca="false">VLOOKUP($A71,Table,MATCH(J$4,Curves,0))</f>
        <v>-0.0305</v>
      </c>
      <c r="K71" s="143" t="n">
        <f aca="false">J71</f>
        <v>-0.0305</v>
      </c>
      <c r="L71" s="144" t="n">
        <v>0</v>
      </c>
      <c r="M71" s="142" t="n">
        <f aca="false">VLOOKUP($A71,Table,MATCH(M$4,Curves,0))</f>
        <v>0.0087</v>
      </c>
      <c r="N71" s="143" t="n">
        <f aca="false">M71</f>
        <v>0.0087</v>
      </c>
      <c r="O71" s="144" t="n">
        <v>0</v>
      </c>
      <c r="P71" s="145"/>
      <c r="Q71" s="144" t="n">
        <f aca="false">M71+J71+G71</f>
        <v>3.9652</v>
      </c>
      <c r="R71" s="144" t="n">
        <f aca="false">O71+L71+I71</f>
        <v>0</v>
      </c>
      <c r="S71" s="145"/>
      <c r="T71" s="71" t="n">
        <f aca="false">A72-A71</f>
        <v>31</v>
      </c>
      <c r="U71" s="146" t="n">
        <f aca="false">CHOOSE(F$3,A72+24,A71)</f>
        <v>38893</v>
      </c>
      <c r="V71" s="71" t="n">
        <f aca="false">U71-C$3</f>
        <v>2005</v>
      </c>
      <c r="W71" s="142" t="n">
        <f aca="false">VLOOKUP($A71,Table,MATCH(W$4,Curves,0))</f>
        <v>0.058966861357273</v>
      </c>
      <c r="X71" s="147" t="n">
        <f aca="false">1/(1+CHOOSE(F$3,(W72+($K$3/10000))/2,(W71+($K$3/10000))/2))^(2*V71/365.25)</f>
        <v>0.726866727702898</v>
      </c>
      <c r="Y71" s="71" t="n">
        <f aca="false">IF(AND(mthbeg&lt;=A71,mthend&gt;=A71),1,0)</f>
        <v>0</v>
      </c>
      <c r="Z71" s="71" t="n">
        <f aca="false">T71*Y71</f>
        <v>0</v>
      </c>
      <c r="AB71" s="132" t="n">
        <f aca="false">F71*G71</f>
        <v>0</v>
      </c>
      <c r="AC71" s="132" t="n">
        <f aca="false">$F71*H71</f>
        <v>0</v>
      </c>
      <c r="AD71" s="132" t="n">
        <f aca="false">$F71*I71</f>
        <v>0</v>
      </c>
      <c r="AE71" s="132" t="n">
        <f aca="false">$F71*J71</f>
        <v>-0</v>
      </c>
      <c r="AF71" s="132" t="n">
        <f aca="false">$F71*K71</f>
        <v>-0</v>
      </c>
      <c r="AG71" s="132" t="n">
        <f aca="false">$F71*L71</f>
        <v>0</v>
      </c>
      <c r="AH71" s="132" t="n">
        <f aca="false">$F71*M71</f>
        <v>0</v>
      </c>
      <c r="AI71" s="132" t="n">
        <f aca="false">$F71*N71</f>
        <v>0</v>
      </c>
      <c r="AJ71" s="132" t="n">
        <f aca="false">F71*O71</f>
        <v>0</v>
      </c>
      <c r="AK71" s="137"/>
      <c r="AL71" s="132" t="n">
        <f aca="false">CHOOSE($G$3,AC71-AD71,AD71-AC71)</f>
        <v>0</v>
      </c>
      <c r="AM71" s="132" t="n">
        <f aca="false">CHOOSE($G$3,AF71-AG71,AG71-AF71)</f>
        <v>0</v>
      </c>
      <c r="AN71" s="132" t="n">
        <f aca="false">CHOOSE($G$3,AI71-AJ71,AJ71-AI71)</f>
        <v>0</v>
      </c>
      <c r="AO71" s="148" t="n">
        <f aca="false">SUM(AL71:AN71)</f>
        <v>0</v>
      </c>
      <c r="AQ71" s="132" t="n">
        <f aca="false">CHOOSE($G$3,AB71-AC71,AC71-AB71)</f>
        <v>0</v>
      </c>
      <c r="AR71" s="132" t="n">
        <f aca="false">CHOOSE($G$3,AE71-AF71,AF71-AE71)</f>
        <v>0</v>
      </c>
      <c r="AS71" s="132" t="n">
        <f aca="false">CHOOSE($G$3,AH71-AI71,AI71-AH71)</f>
        <v>0</v>
      </c>
      <c r="AT71" s="148" t="n">
        <f aca="false">AQ71+AR71+AS71</f>
        <v>0</v>
      </c>
      <c r="AU71" s="148"/>
      <c r="AV71" s="133" t="n">
        <f aca="false">AT71+AO71</f>
        <v>0</v>
      </c>
      <c r="AX71" s="133" t="n">
        <f aca="false">AJ71+AG71+AD71</f>
        <v>0</v>
      </c>
      <c r="AY71" s="149"/>
      <c r="AZ71" s="76" t="n">
        <f aca="false">R71*E71</f>
        <v>0</v>
      </c>
    </row>
    <row r="72" customFormat="false" ht="12.75" hidden="false" customHeight="false" outlineLevel="0" collapsed="false">
      <c r="A72" s="138" t="n">
        <f aca="false">EDATE(A71,1)</f>
        <v>38869</v>
      </c>
      <c r="B72" s="139" t="n">
        <f aca="false">VLOOKUP($A72,Table2,MATCH(I$3,Curves2,0))</f>
        <v>0</v>
      </c>
      <c r="C72" s="140"/>
      <c r="D72" s="141" t="n">
        <f aca="false">B72+C72</f>
        <v>0</v>
      </c>
      <c r="E72" s="126" t="n">
        <f aca="false">IF(Y72=0,0,IF(AND(Y72=1,$H$3=1),D72*T72,IF($H$3=2,D72,"N/A")))</f>
        <v>0</v>
      </c>
      <c r="F72" s="126" t="n">
        <f aca="false">E72*X72</f>
        <v>0</v>
      </c>
      <c r="G72" s="142" t="n">
        <f aca="false">VLOOKUP($A72,Table,MATCH(G$4,Curves,0))</f>
        <v>3.987</v>
      </c>
      <c r="H72" s="143" t="n">
        <f aca="false">G72</f>
        <v>3.987</v>
      </c>
      <c r="I72" s="142" t="n">
        <f aca="false">VLOOKUP($A72,Table1,MATCH(I$3,Curves1,0))</f>
        <v>0</v>
      </c>
      <c r="J72" s="142" t="n">
        <f aca="false">VLOOKUP($A72,Table,MATCH(J$4,Curves,0))</f>
        <v>-0.0305</v>
      </c>
      <c r="K72" s="143" t="n">
        <f aca="false">J72</f>
        <v>-0.0305</v>
      </c>
      <c r="L72" s="144" t="n">
        <v>0</v>
      </c>
      <c r="M72" s="142" t="n">
        <f aca="false">VLOOKUP($A72,Table,MATCH(M$4,Curves,0))</f>
        <v>0.0087</v>
      </c>
      <c r="N72" s="143" t="n">
        <f aca="false">M72</f>
        <v>0.0087</v>
      </c>
      <c r="O72" s="144" t="n">
        <v>0</v>
      </c>
      <c r="P72" s="145"/>
      <c r="Q72" s="144" t="n">
        <f aca="false">M72+J72+G72</f>
        <v>3.9652</v>
      </c>
      <c r="R72" s="144" t="n">
        <f aca="false">O72+L72+I72</f>
        <v>0</v>
      </c>
      <c r="S72" s="145"/>
      <c r="T72" s="71" t="n">
        <f aca="false">A73-A72</f>
        <v>30</v>
      </c>
      <c r="U72" s="146" t="n">
        <f aca="false">CHOOSE(F$3,A73+24,A72)</f>
        <v>38923</v>
      </c>
      <c r="V72" s="71" t="n">
        <f aca="false">U72-C$3</f>
        <v>2035</v>
      </c>
      <c r="W72" s="142" t="n">
        <f aca="false">VLOOKUP($A72,Table,MATCH(W$4,Curves,0))</f>
        <v>0.058966861357273</v>
      </c>
      <c r="X72" s="147" t="n">
        <f aca="false">1/(1+CHOOSE(F$3,(W73+($K$3/10000))/2,(W72+($K$3/10000))/2))^(2*V72/365.25)</f>
        <v>0.72340547914935</v>
      </c>
      <c r="Y72" s="71" t="n">
        <f aca="false">IF(AND(mthbeg&lt;=A72,mthend&gt;=A72),1,0)</f>
        <v>0</v>
      </c>
      <c r="Z72" s="71" t="n">
        <f aca="false">T72*Y72</f>
        <v>0</v>
      </c>
      <c r="AB72" s="132" t="n">
        <f aca="false">F72*G72</f>
        <v>0</v>
      </c>
      <c r="AC72" s="132" t="n">
        <f aca="false">$F72*H72</f>
        <v>0</v>
      </c>
      <c r="AD72" s="132" t="n">
        <f aca="false">$F72*I72</f>
        <v>0</v>
      </c>
      <c r="AE72" s="132" t="n">
        <f aca="false">$F72*J72</f>
        <v>-0</v>
      </c>
      <c r="AF72" s="132" t="n">
        <f aca="false">$F72*K72</f>
        <v>-0</v>
      </c>
      <c r="AG72" s="132" t="n">
        <f aca="false">$F72*L72</f>
        <v>0</v>
      </c>
      <c r="AH72" s="132" t="n">
        <f aca="false">$F72*M72</f>
        <v>0</v>
      </c>
      <c r="AI72" s="132" t="n">
        <f aca="false">$F72*N72</f>
        <v>0</v>
      </c>
      <c r="AJ72" s="132" t="n">
        <f aca="false">F72*O72</f>
        <v>0</v>
      </c>
      <c r="AK72" s="137"/>
      <c r="AL72" s="132" t="n">
        <f aca="false">CHOOSE($G$3,AC72-AD72,AD72-AC72)</f>
        <v>0</v>
      </c>
      <c r="AM72" s="132" t="n">
        <f aca="false">CHOOSE($G$3,AF72-AG72,AG72-AF72)</f>
        <v>0</v>
      </c>
      <c r="AN72" s="132" t="n">
        <f aca="false">CHOOSE($G$3,AI72-AJ72,AJ72-AI72)</f>
        <v>0</v>
      </c>
      <c r="AO72" s="148" t="n">
        <f aca="false">SUM(AL72:AN72)</f>
        <v>0</v>
      </c>
      <c r="AQ72" s="132" t="n">
        <f aca="false">CHOOSE($G$3,AB72-AC72,AC72-AB72)</f>
        <v>0</v>
      </c>
      <c r="AR72" s="132" t="n">
        <f aca="false">CHOOSE($G$3,AE72-AF72,AF72-AE72)</f>
        <v>0</v>
      </c>
      <c r="AS72" s="132" t="n">
        <f aca="false">CHOOSE($G$3,AH72-AI72,AI72-AH72)</f>
        <v>0</v>
      </c>
      <c r="AT72" s="148" t="n">
        <f aca="false">AQ72+AR72+AS72</f>
        <v>0</v>
      </c>
      <c r="AU72" s="148"/>
      <c r="AV72" s="133" t="n">
        <f aca="false">AT72+AO72</f>
        <v>0</v>
      </c>
      <c r="AX72" s="133" t="n">
        <f aca="false">AJ72+AG72+AD72</f>
        <v>0</v>
      </c>
      <c r="AY72" s="149"/>
      <c r="AZ72" s="76" t="n">
        <f aca="false">R72*E72</f>
        <v>0</v>
      </c>
    </row>
    <row r="73" customFormat="false" ht="12.75" hidden="false" customHeight="false" outlineLevel="0" collapsed="false">
      <c r="A73" s="138" t="n">
        <f aca="false">EDATE(A72,1)</f>
        <v>38899</v>
      </c>
      <c r="B73" s="139" t="n">
        <f aca="false">VLOOKUP($A73,Table2,MATCH(I$3,Curves2,0))</f>
        <v>0</v>
      </c>
      <c r="C73" s="140"/>
      <c r="D73" s="141" t="n">
        <f aca="false">B73+C73</f>
        <v>0</v>
      </c>
      <c r="E73" s="126" t="n">
        <f aca="false">IF(Y73=0,0,IF(AND(Y73=1,$H$3=1),D73*T73,IF($H$3=2,D73,"N/A")))</f>
        <v>0</v>
      </c>
      <c r="F73" s="126" t="n">
        <f aca="false">E73*X73</f>
        <v>0</v>
      </c>
      <c r="G73" s="142" t="n">
        <f aca="false">VLOOKUP($A73,Table,MATCH(G$4,Curves,0))</f>
        <v>3.987</v>
      </c>
      <c r="H73" s="143" t="n">
        <f aca="false">G73</f>
        <v>3.987</v>
      </c>
      <c r="I73" s="142" t="n">
        <f aca="false">VLOOKUP($A73,Table1,MATCH(I$3,Curves1,0))</f>
        <v>0</v>
      </c>
      <c r="J73" s="142" t="n">
        <f aca="false">VLOOKUP($A73,Table,MATCH(J$4,Curves,0))</f>
        <v>-0.0305</v>
      </c>
      <c r="K73" s="143" t="n">
        <f aca="false">J73</f>
        <v>-0.0305</v>
      </c>
      <c r="L73" s="144" t="n">
        <v>0</v>
      </c>
      <c r="M73" s="142" t="n">
        <f aca="false">VLOOKUP($A73,Table,MATCH(M$4,Curves,0))</f>
        <v>0.0087</v>
      </c>
      <c r="N73" s="143" t="n">
        <f aca="false">M73</f>
        <v>0.0087</v>
      </c>
      <c r="O73" s="144" t="n">
        <v>0</v>
      </c>
      <c r="P73" s="145"/>
      <c r="Q73" s="144" t="n">
        <f aca="false">M73+J73+G73</f>
        <v>3.9652</v>
      </c>
      <c r="R73" s="144" t="n">
        <f aca="false">O73+L73+I73</f>
        <v>0</v>
      </c>
      <c r="S73" s="145"/>
      <c r="T73" s="71" t="n">
        <f aca="false">A74-A73</f>
        <v>31</v>
      </c>
      <c r="U73" s="146" t="n">
        <f aca="false">CHOOSE(F$3,A74+24,A73)</f>
        <v>38954</v>
      </c>
      <c r="V73" s="71" t="n">
        <f aca="false">U73-C$3</f>
        <v>2066</v>
      </c>
      <c r="W73" s="142" t="n">
        <f aca="false">VLOOKUP($A73,Table,MATCH(W$4,Curves,0))</f>
        <v>0.058966861357273</v>
      </c>
      <c r="X73" s="147" t="n">
        <f aca="false">1/(1+CHOOSE(F$3,(W74+($K$3/10000))/2,(W73+($K$3/10000))/2))^(2*V73/365.25)</f>
        <v>0.719846170018374</v>
      </c>
      <c r="Y73" s="71" t="n">
        <f aca="false">IF(AND(mthbeg&lt;=A73,mthend&gt;=A73),1,0)</f>
        <v>0</v>
      </c>
      <c r="Z73" s="71" t="n">
        <f aca="false">T73*Y73</f>
        <v>0</v>
      </c>
      <c r="AB73" s="132" t="n">
        <f aca="false">F73*G73</f>
        <v>0</v>
      </c>
      <c r="AC73" s="132" t="n">
        <f aca="false">$F73*H73</f>
        <v>0</v>
      </c>
      <c r="AD73" s="132" t="n">
        <f aca="false">$F73*I73</f>
        <v>0</v>
      </c>
      <c r="AE73" s="132" t="n">
        <f aca="false">$F73*J73</f>
        <v>-0</v>
      </c>
      <c r="AF73" s="132" t="n">
        <f aca="false">$F73*K73</f>
        <v>-0</v>
      </c>
      <c r="AG73" s="132" t="n">
        <f aca="false">$F73*L73</f>
        <v>0</v>
      </c>
      <c r="AH73" s="132" t="n">
        <f aca="false">$F73*M73</f>
        <v>0</v>
      </c>
      <c r="AI73" s="132" t="n">
        <f aca="false">$F73*N73</f>
        <v>0</v>
      </c>
      <c r="AJ73" s="132" t="n">
        <f aca="false">F73*O73</f>
        <v>0</v>
      </c>
      <c r="AK73" s="137"/>
      <c r="AL73" s="132" t="n">
        <f aca="false">CHOOSE($G$3,AC73-AD73,AD73-AC73)</f>
        <v>0</v>
      </c>
      <c r="AM73" s="132" t="n">
        <f aca="false">CHOOSE($G$3,AF73-AG73,AG73-AF73)</f>
        <v>0</v>
      </c>
      <c r="AN73" s="132" t="n">
        <f aca="false">CHOOSE($G$3,AI73-AJ73,AJ73-AI73)</f>
        <v>0</v>
      </c>
      <c r="AO73" s="148" t="n">
        <f aca="false">SUM(AL73:AN73)</f>
        <v>0</v>
      </c>
      <c r="AQ73" s="132" t="n">
        <f aca="false">CHOOSE($G$3,AB73-AC73,AC73-AB73)</f>
        <v>0</v>
      </c>
      <c r="AR73" s="132" t="n">
        <f aca="false">CHOOSE($G$3,AE73-AF73,AF73-AE73)</f>
        <v>0</v>
      </c>
      <c r="AS73" s="132" t="n">
        <f aca="false">CHOOSE($G$3,AH73-AI73,AI73-AH73)</f>
        <v>0</v>
      </c>
      <c r="AT73" s="148" t="n">
        <f aca="false">AQ73+AR73+AS73</f>
        <v>0</v>
      </c>
      <c r="AU73" s="148"/>
      <c r="AV73" s="133" t="n">
        <f aca="false">AT73+AO73</f>
        <v>0</v>
      </c>
      <c r="AX73" s="133" t="n">
        <f aca="false">AJ73+AG73+AD73</f>
        <v>0</v>
      </c>
      <c r="AY73" s="149"/>
      <c r="AZ73" s="76" t="n">
        <f aca="false">R73*E73</f>
        <v>0</v>
      </c>
    </row>
    <row r="74" customFormat="false" ht="12.75" hidden="false" customHeight="false" outlineLevel="0" collapsed="false">
      <c r="A74" s="138" t="n">
        <f aca="false">EDATE(A73,1)</f>
        <v>38930</v>
      </c>
      <c r="B74" s="139" t="n">
        <f aca="false">VLOOKUP($A74,Table2,MATCH(I$3,Curves2,0))</f>
        <v>0</v>
      </c>
      <c r="C74" s="140"/>
      <c r="D74" s="141" t="n">
        <f aca="false">B74+C74</f>
        <v>0</v>
      </c>
      <c r="E74" s="126" t="n">
        <f aca="false">IF(Y74=0,0,IF(AND(Y74=1,$H$3=1),D74*T74,IF($H$3=2,D74,"N/A")))</f>
        <v>0</v>
      </c>
      <c r="F74" s="126" t="n">
        <f aca="false">E74*X74</f>
        <v>0</v>
      </c>
      <c r="G74" s="142" t="n">
        <f aca="false">VLOOKUP($A74,Table,MATCH(G$4,Curves,0))</f>
        <v>3.987</v>
      </c>
      <c r="H74" s="143" t="n">
        <f aca="false">G74</f>
        <v>3.987</v>
      </c>
      <c r="I74" s="142" t="n">
        <f aca="false">VLOOKUP($A74,Table1,MATCH(I$3,Curves1,0))</f>
        <v>0</v>
      </c>
      <c r="J74" s="142" t="n">
        <f aca="false">VLOOKUP($A74,Table,MATCH(J$4,Curves,0))</f>
        <v>-0.0305</v>
      </c>
      <c r="K74" s="143" t="n">
        <f aca="false">J74</f>
        <v>-0.0305</v>
      </c>
      <c r="L74" s="144" t="n">
        <v>0</v>
      </c>
      <c r="M74" s="142" t="n">
        <f aca="false">VLOOKUP($A74,Table,MATCH(M$4,Curves,0))</f>
        <v>0.0087</v>
      </c>
      <c r="N74" s="143" t="n">
        <f aca="false">M74</f>
        <v>0.0087</v>
      </c>
      <c r="O74" s="144" t="n">
        <v>0</v>
      </c>
      <c r="P74" s="145"/>
      <c r="Q74" s="144" t="n">
        <f aca="false">M74+J74+G74</f>
        <v>3.9652</v>
      </c>
      <c r="R74" s="144" t="n">
        <f aca="false">O74+L74+I74</f>
        <v>0</v>
      </c>
      <c r="S74" s="145"/>
      <c r="T74" s="71" t="n">
        <f aca="false">A75-A74</f>
        <v>31</v>
      </c>
      <c r="U74" s="146" t="n">
        <f aca="false">CHOOSE(F$3,A75+24,A74)</f>
        <v>38985</v>
      </c>
      <c r="V74" s="71" t="n">
        <f aca="false">U74-C$3</f>
        <v>2097</v>
      </c>
      <c r="W74" s="142" t="n">
        <f aca="false">VLOOKUP($A74,Table,MATCH(W$4,Curves,0))</f>
        <v>0.058966861357273</v>
      </c>
      <c r="X74" s="147" t="n">
        <f aca="false">1/(1+CHOOSE(F$3,(W75+($K$3/10000))/2,(W74+($K$3/10000))/2))^(2*V74/365.25)</f>
        <v>0.71630437344689</v>
      </c>
      <c r="Y74" s="71" t="n">
        <f aca="false">IF(AND(mthbeg&lt;=A74,mthend&gt;=A74),1,0)</f>
        <v>0</v>
      </c>
      <c r="Z74" s="71" t="n">
        <f aca="false">T74*Y74</f>
        <v>0</v>
      </c>
      <c r="AB74" s="132" t="n">
        <f aca="false">F74*G74</f>
        <v>0</v>
      </c>
      <c r="AC74" s="132" t="n">
        <f aca="false">$F74*H74</f>
        <v>0</v>
      </c>
      <c r="AD74" s="132" t="n">
        <f aca="false">$F74*I74</f>
        <v>0</v>
      </c>
      <c r="AE74" s="132" t="n">
        <f aca="false">$F74*J74</f>
        <v>-0</v>
      </c>
      <c r="AF74" s="132" t="n">
        <f aca="false">$F74*K74</f>
        <v>-0</v>
      </c>
      <c r="AG74" s="132" t="n">
        <f aca="false">$F74*L74</f>
        <v>0</v>
      </c>
      <c r="AH74" s="132" t="n">
        <f aca="false">$F74*M74</f>
        <v>0</v>
      </c>
      <c r="AI74" s="132" t="n">
        <f aca="false">$F74*N74</f>
        <v>0</v>
      </c>
      <c r="AJ74" s="132" t="n">
        <f aca="false">F74*O74</f>
        <v>0</v>
      </c>
      <c r="AK74" s="137"/>
      <c r="AL74" s="132" t="n">
        <f aca="false">CHOOSE($G$3,AC74-AD74,AD74-AC74)</f>
        <v>0</v>
      </c>
      <c r="AM74" s="132" t="n">
        <f aca="false">CHOOSE($G$3,AF74-AG74,AG74-AF74)</f>
        <v>0</v>
      </c>
      <c r="AN74" s="132" t="n">
        <f aca="false">CHOOSE($G$3,AI74-AJ74,AJ74-AI74)</f>
        <v>0</v>
      </c>
      <c r="AO74" s="148" t="n">
        <f aca="false">SUM(AL74:AN74)</f>
        <v>0</v>
      </c>
      <c r="AQ74" s="132" t="n">
        <f aca="false">CHOOSE($G$3,AB74-AC74,AC74-AB74)</f>
        <v>0</v>
      </c>
      <c r="AR74" s="132" t="n">
        <f aca="false">CHOOSE($G$3,AE74-AF74,AF74-AE74)</f>
        <v>0</v>
      </c>
      <c r="AS74" s="132" t="n">
        <f aca="false">CHOOSE($G$3,AH74-AI74,AI74-AH74)</f>
        <v>0</v>
      </c>
      <c r="AT74" s="148" t="n">
        <f aca="false">AQ74+AR74+AS74</f>
        <v>0</v>
      </c>
      <c r="AU74" s="148"/>
      <c r="AV74" s="133" t="n">
        <f aca="false">AT74+AO74</f>
        <v>0</v>
      </c>
      <c r="AX74" s="133" t="n">
        <f aca="false">AJ74+AG74+AD74</f>
        <v>0</v>
      </c>
      <c r="AY74" s="149"/>
      <c r="AZ74" s="76" t="n">
        <f aca="false">R74*E74</f>
        <v>0</v>
      </c>
    </row>
    <row r="75" customFormat="false" ht="12.75" hidden="false" customHeight="false" outlineLevel="0" collapsed="false">
      <c r="A75" s="138" t="n">
        <f aca="false">EDATE(A74,1)</f>
        <v>38961</v>
      </c>
      <c r="B75" s="139" t="n">
        <f aca="false">VLOOKUP($A75,Table2,MATCH(I$3,Curves2,0))</f>
        <v>0</v>
      </c>
      <c r="C75" s="140"/>
      <c r="D75" s="141" t="n">
        <f aca="false">B75+C75</f>
        <v>0</v>
      </c>
      <c r="E75" s="126" t="n">
        <f aca="false">IF(Y75=0,0,IF(AND(Y75=1,$H$3=1),D75*T75,IF($H$3=2,D75,"N/A")))</f>
        <v>0</v>
      </c>
      <c r="F75" s="126" t="n">
        <f aca="false">E75*X75</f>
        <v>0</v>
      </c>
      <c r="G75" s="142" t="n">
        <f aca="false">VLOOKUP($A75,Table,MATCH(G$4,Curves,0))</f>
        <v>3.987</v>
      </c>
      <c r="H75" s="143" t="n">
        <f aca="false">G75</f>
        <v>3.987</v>
      </c>
      <c r="I75" s="142" t="n">
        <f aca="false">VLOOKUP($A75,Table1,MATCH(I$3,Curves1,0))</f>
        <v>0</v>
      </c>
      <c r="J75" s="142" t="n">
        <f aca="false">VLOOKUP($A75,Table,MATCH(J$4,Curves,0))</f>
        <v>-0.0305</v>
      </c>
      <c r="K75" s="143" t="n">
        <f aca="false">J75</f>
        <v>-0.0305</v>
      </c>
      <c r="L75" s="144" t="n">
        <v>0</v>
      </c>
      <c r="M75" s="142" t="n">
        <f aca="false">VLOOKUP($A75,Table,MATCH(M$4,Curves,0))</f>
        <v>0.0087</v>
      </c>
      <c r="N75" s="143" t="n">
        <f aca="false">M75</f>
        <v>0.0087</v>
      </c>
      <c r="O75" s="144" t="n">
        <v>0</v>
      </c>
      <c r="P75" s="145"/>
      <c r="Q75" s="144" t="n">
        <f aca="false">M75+J75+G75</f>
        <v>3.9652</v>
      </c>
      <c r="R75" s="144" t="n">
        <f aca="false">O75+L75+I75</f>
        <v>0</v>
      </c>
      <c r="S75" s="145"/>
      <c r="T75" s="71" t="n">
        <f aca="false">A76-A75</f>
        <v>30</v>
      </c>
      <c r="U75" s="146" t="n">
        <f aca="false">CHOOSE(F$3,A76+24,A75)</f>
        <v>39015</v>
      </c>
      <c r="V75" s="71" t="n">
        <f aca="false">U75-C$3</f>
        <v>2127</v>
      </c>
      <c r="W75" s="142" t="n">
        <f aca="false">VLOOKUP($A75,Table,MATCH(W$4,Curves,0))</f>
        <v>0.058966861357273</v>
      </c>
      <c r="X75" s="147" t="n">
        <f aca="false">1/(1+CHOOSE(F$3,(W76+($K$3/10000))/2,(W75+($K$3/10000))/2))^(2*V75/365.25)</f>
        <v>0.712893421504807</v>
      </c>
      <c r="Y75" s="71" t="n">
        <f aca="false">IF(AND(mthbeg&lt;=A75,mthend&gt;=A75),1,0)</f>
        <v>0</v>
      </c>
      <c r="Z75" s="71" t="n">
        <f aca="false">T75*Y75</f>
        <v>0</v>
      </c>
      <c r="AB75" s="132" t="n">
        <f aca="false">F75*G75</f>
        <v>0</v>
      </c>
      <c r="AC75" s="132" t="n">
        <f aca="false">$F75*H75</f>
        <v>0</v>
      </c>
      <c r="AD75" s="132" t="n">
        <f aca="false">$F75*I75</f>
        <v>0</v>
      </c>
      <c r="AE75" s="132" t="n">
        <f aca="false">$F75*J75</f>
        <v>-0</v>
      </c>
      <c r="AF75" s="132" t="n">
        <f aca="false">$F75*K75</f>
        <v>-0</v>
      </c>
      <c r="AG75" s="132" t="n">
        <f aca="false">$F75*L75</f>
        <v>0</v>
      </c>
      <c r="AH75" s="132" t="n">
        <f aca="false">$F75*M75</f>
        <v>0</v>
      </c>
      <c r="AI75" s="132" t="n">
        <f aca="false">$F75*N75</f>
        <v>0</v>
      </c>
      <c r="AJ75" s="132" t="n">
        <f aca="false">F75*O75</f>
        <v>0</v>
      </c>
      <c r="AK75" s="137"/>
      <c r="AL75" s="132" t="n">
        <f aca="false">CHOOSE($G$3,AC75-AD75,AD75-AC75)</f>
        <v>0</v>
      </c>
      <c r="AM75" s="132" t="n">
        <f aca="false">CHOOSE($G$3,AF75-AG75,AG75-AF75)</f>
        <v>0</v>
      </c>
      <c r="AN75" s="132" t="n">
        <f aca="false">CHOOSE($G$3,AI75-AJ75,AJ75-AI75)</f>
        <v>0</v>
      </c>
      <c r="AO75" s="148" t="n">
        <f aca="false">SUM(AL75:AN75)</f>
        <v>0</v>
      </c>
      <c r="AQ75" s="132" t="n">
        <f aca="false">CHOOSE($G$3,AB75-AC75,AC75-AB75)</f>
        <v>0</v>
      </c>
      <c r="AR75" s="132" t="n">
        <f aca="false">CHOOSE($G$3,AE75-AF75,AF75-AE75)</f>
        <v>0</v>
      </c>
      <c r="AS75" s="132" t="n">
        <f aca="false">CHOOSE($G$3,AH75-AI75,AI75-AH75)</f>
        <v>0</v>
      </c>
      <c r="AT75" s="148" t="n">
        <f aca="false">AQ75+AR75+AS75</f>
        <v>0</v>
      </c>
      <c r="AU75" s="148"/>
      <c r="AV75" s="133" t="n">
        <f aca="false">AT75+AO75</f>
        <v>0</v>
      </c>
      <c r="AX75" s="133" t="n">
        <f aca="false">AJ75+AG75+AD75</f>
        <v>0</v>
      </c>
      <c r="AY75" s="149"/>
      <c r="AZ75" s="76" t="n">
        <f aca="false">R75*E75</f>
        <v>0</v>
      </c>
    </row>
    <row r="76" customFormat="false" ht="12.75" hidden="false" customHeight="false" outlineLevel="0" collapsed="false">
      <c r="A76" s="138" t="n">
        <f aca="false">EDATE(A75,1)</f>
        <v>38991</v>
      </c>
      <c r="B76" s="139" t="n">
        <f aca="false">VLOOKUP($A76,Table2,MATCH(I$3,Curves2,0))</f>
        <v>0</v>
      </c>
      <c r="C76" s="140"/>
      <c r="D76" s="141" t="n">
        <f aca="false">B76+C76</f>
        <v>0</v>
      </c>
      <c r="E76" s="126" t="n">
        <f aca="false">IF(Y76=0,0,IF(AND(Y76=1,$H$3=1),D76*T76,IF($H$3=2,D76,"N/A")))</f>
        <v>0</v>
      </c>
      <c r="F76" s="126" t="n">
        <f aca="false">E76*X76</f>
        <v>0</v>
      </c>
      <c r="G76" s="142" t="n">
        <f aca="false">VLOOKUP($A76,Table,MATCH(G$4,Curves,0))</f>
        <v>3.987</v>
      </c>
      <c r="H76" s="143" t="n">
        <f aca="false">G76</f>
        <v>3.987</v>
      </c>
      <c r="I76" s="142" t="n">
        <f aca="false">VLOOKUP($A76,Table1,MATCH(I$3,Curves1,0))</f>
        <v>0</v>
      </c>
      <c r="J76" s="142" t="n">
        <f aca="false">VLOOKUP($A76,Table,MATCH(J$4,Curves,0))</f>
        <v>-0.0305</v>
      </c>
      <c r="K76" s="143" t="n">
        <f aca="false">J76</f>
        <v>-0.0305</v>
      </c>
      <c r="L76" s="144" t="n">
        <v>0</v>
      </c>
      <c r="M76" s="142" t="n">
        <f aca="false">VLOOKUP($A76,Table,MATCH(M$4,Curves,0))</f>
        <v>0.0087</v>
      </c>
      <c r="N76" s="143" t="n">
        <f aca="false">M76</f>
        <v>0.0087</v>
      </c>
      <c r="O76" s="144" t="n">
        <v>0</v>
      </c>
      <c r="P76" s="145"/>
      <c r="Q76" s="144" t="n">
        <f aca="false">M76+J76+G76</f>
        <v>3.9652</v>
      </c>
      <c r="R76" s="144" t="n">
        <f aca="false">O76+L76+I76</f>
        <v>0</v>
      </c>
      <c r="S76" s="145"/>
      <c r="T76" s="71" t="n">
        <f aca="false">A77-A76</f>
        <v>31</v>
      </c>
      <c r="U76" s="146" t="n">
        <f aca="false">CHOOSE(F$3,A77+24,A76)</f>
        <v>39046</v>
      </c>
      <c r="V76" s="71" t="n">
        <f aca="false">U76-C$3</f>
        <v>2158</v>
      </c>
      <c r="W76" s="142" t="n">
        <f aca="false">VLOOKUP($A76,Table,MATCH(W$4,Curves,0))</f>
        <v>0.058966861357273</v>
      </c>
      <c r="X76" s="147" t="n">
        <f aca="false">1/(1+CHOOSE(F$3,(W77+($K$3/10000))/2,(W76+($K$3/10000))/2))^(2*V76/365.25)</f>
        <v>0.709385833937793</v>
      </c>
      <c r="Y76" s="71" t="n">
        <f aca="false">IF(AND(mthbeg&lt;=A76,mthend&gt;=A76),1,0)</f>
        <v>0</v>
      </c>
      <c r="Z76" s="71" t="n">
        <f aca="false">T76*Y76</f>
        <v>0</v>
      </c>
      <c r="AB76" s="132" t="n">
        <f aca="false">F76*G76</f>
        <v>0</v>
      </c>
      <c r="AC76" s="132" t="n">
        <f aca="false">$F76*H76</f>
        <v>0</v>
      </c>
      <c r="AD76" s="132" t="n">
        <f aca="false">$F76*I76</f>
        <v>0</v>
      </c>
      <c r="AE76" s="132" t="n">
        <f aca="false">$F76*J76</f>
        <v>-0</v>
      </c>
      <c r="AF76" s="132" t="n">
        <f aca="false">$F76*K76</f>
        <v>-0</v>
      </c>
      <c r="AG76" s="132" t="n">
        <f aca="false">$F76*L76</f>
        <v>0</v>
      </c>
      <c r="AH76" s="132" t="n">
        <f aca="false">$F76*M76</f>
        <v>0</v>
      </c>
      <c r="AI76" s="132" t="n">
        <f aca="false">$F76*N76</f>
        <v>0</v>
      </c>
      <c r="AJ76" s="132" t="n">
        <f aca="false">F76*O76</f>
        <v>0</v>
      </c>
      <c r="AK76" s="137"/>
      <c r="AL76" s="132" t="n">
        <f aca="false">CHOOSE($G$3,AC76-AD76,AD76-AC76)</f>
        <v>0</v>
      </c>
      <c r="AM76" s="132" t="n">
        <f aca="false">CHOOSE($G$3,AF76-AG76,AG76-AF76)</f>
        <v>0</v>
      </c>
      <c r="AN76" s="132" t="n">
        <f aca="false">CHOOSE($G$3,AI76-AJ76,AJ76-AI76)</f>
        <v>0</v>
      </c>
      <c r="AO76" s="148" t="n">
        <f aca="false">SUM(AL76:AN76)</f>
        <v>0</v>
      </c>
      <c r="AQ76" s="132" t="n">
        <f aca="false">CHOOSE($G$3,AB76-AC76,AC76-AB76)</f>
        <v>0</v>
      </c>
      <c r="AR76" s="132" t="n">
        <f aca="false">CHOOSE($G$3,AE76-AF76,AF76-AE76)</f>
        <v>0</v>
      </c>
      <c r="AS76" s="132" t="n">
        <f aca="false">CHOOSE($G$3,AH76-AI76,AI76-AH76)</f>
        <v>0</v>
      </c>
      <c r="AT76" s="148" t="n">
        <f aca="false">AQ76+AR76+AS76</f>
        <v>0</v>
      </c>
      <c r="AU76" s="148"/>
      <c r="AV76" s="133" t="n">
        <f aca="false">AT76+AO76</f>
        <v>0</v>
      </c>
      <c r="AX76" s="133" t="n">
        <f aca="false">AJ76+AG76+AD76</f>
        <v>0</v>
      </c>
      <c r="AY76" s="149"/>
      <c r="AZ76" s="76" t="n">
        <f aca="false">R76*E76</f>
        <v>0</v>
      </c>
    </row>
    <row r="77" customFormat="false" ht="12.75" hidden="false" customHeight="false" outlineLevel="0" collapsed="false">
      <c r="A77" s="138" t="n">
        <f aca="false">EDATE(A76,1)</f>
        <v>39022</v>
      </c>
      <c r="B77" s="139" t="n">
        <f aca="false">VLOOKUP($A77,Table2,MATCH(I$3,Curves2,0))</f>
        <v>0</v>
      </c>
      <c r="C77" s="140"/>
      <c r="D77" s="141" t="n">
        <f aca="false">B77+C77</f>
        <v>0</v>
      </c>
      <c r="E77" s="126" t="n">
        <f aca="false">IF(Y77=0,0,IF(AND(Y77=1,$H$3=1),D77*T77,IF($H$3=2,D77,"N/A")))</f>
        <v>0</v>
      </c>
      <c r="F77" s="126" t="n">
        <f aca="false">E77*X77</f>
        <v>0</v>
      </c>
      <c r="G77" s="142" t="n">
        <f aca="false">VLOOKUP($A77,Table,MATCH(G$4,Curves,0))</f>
        <v>3.987</v>
      </c>
      <c r="H77" s="143" t="n">
        <f aca="false">G77</f>
        <v>3.987</v>
      </c>
      <c r="I77" s="142" t="n">
        <f aca="false">VLOOKUP($A77,Table1,MATCH(I$3,Curves1,0))</f>
        <v>0</v>
      </c>
      <c r="J77" s="142" t="n">
        <f aca="false">VLOOKUP($A77,Table,MATCH(J$4,Curves,0))</f>
        <v>-0.0305</v>
      </c>
      <c r="K77" s="143" t="n">
        <f aca="false">J77</f>
        <v>-0.0305</v>
      </c>
      <c r="L77" s="144" t="n">
        <v>0</v>
      </c>
      <c r="M77" s="142" t="n">
        <f aca="false">VLOOKUP($A77,Table,MATCH(M$4,Curves,0))</f>
        <v>0.0087</v>
      </c>
      <c r="N77" s="143" t="n">
        <f aca="false">M77</f>
        <v>0.0087</v>
      </c>
      <c r="O77" s="144" t="n">
        <v>0</v>
      </c>
      <c r="P77" s="145"/>
      <c r="Q77" s="144" t="n">
        <f aca="false">M77+J77+G77</f>
        <v>3.9652</v>
      </c>
      <c r="R77" s="144" t="n">
        <f aca="false">O77+L77+I77</f>
        <v>0</v>
      </c>
      <c r="S77" s="145"/>
      <c r="T77" s="71" t="n">
        <f aca="false">A78-A77</f>
        <v>30</v>
      </c>
      <c r="U77" s="146" t="n">
        <f aca="false">CHOOSE(F$3,A78+24,A77)</f>
        <v>39076</v>
      </c>
      <c r="V77" s="71" t="n">
        <f aca="false">U77-C$3</f>
        <v>2188</v>
      </c>
      <c r="W77" s="142" t="n">
        <f aca="false">VLOOKUP($A77,Table,MATCH(W$4,Curves,0))</f>
        <v>0.058966861357273</v>
      </c>
      <c r="X77" s="147" t="n">
        <f aca="false">1/(1+CHOOSE(F$3,(W78+($K$3/10000))/2,(W77+($K$3/10000))/2))^(2*V77/365.25)</f>
        <v>0.706007827216554</v>
      </c>
      <c r="Y77" s="71" t="n">
        <f aca="false">IF(AND(mthbeg&lt;=A77,mthend&gt;=A77),1,0)</f>
        <v>0</v>
      </c>
      <c r="Z77" s="71" t="n">
        <f aca="false">T77*Y77</f>
        <v>0</v>
      </c>
      <c r="AB77" s="132" t="n">
        <f aca="false">F77*G77</f>
        <v>0</v>
      </c>
      <c r="AC77" s="132" t="n">
        <f aca="false">$F77*H77</f>
        <v>0</v>
      </c>
      <c r="AD77" s="132" t="n">
        <f aca="false">$F77*I77</f>
        <v>0</v>
      </c>
      <c r="AE77" s="132" t="n">
        <f aca="false">$F77*J77</f>
        <v>-0</v>
      </c>
      <c r="AF77" s="132" t="n">
        <f aca="false">$F77*K77</f>
        <v>-0</v>
      </c>
      <c r="AG77" s="132" t="n">
        <f aca="false">$F77*L77</f>
        <v>0</v>
      </c>
      <c r="AH77" s="132" t="n">
        <f aca="false">$F77*M77</f>
        <v>0</v>
      </c>
      <c r="AI77" s="132" t="n">
        <f aca="false">$F77*N77</f>
        <v>0</v>
      </c>
      <c r="AJ77" s="132" t="n">
        <f aca="false">F77*O77</f>
        <v>0</v>
      </c>
      <c r="AK77" s="137"/>
      <c r="AL77" s="132" t="n">
        <f aca="false">CHOOSE($G$3,AC77-AD77,AD77-AC77)</f>
        <v>0</v>
      </c>
      <c r="AM77" s="132" t="n">
        <f aca="false">CHOOSE($G$3,AF77-AG77,AG77-AF77)</f>
        <v>0</v>
      </c>
      <c r="AN77" s="132" t="n">
        <f aca="false">CHOOSE($G$3,AI77-AJ77,AJ77-AI77)</f>
        <v>0</v>
      </c>
      <c r="AO77" s="148" t="n">
        <f aca="false">SUM(AL77:AN77)</f>
        <v>0</v>
      </c>
      <c r="AQ77" s="132" t="n">
        <f aca="false">CHOOSE($G$3,AB77-AC77,AC77-AB77)</f>
        <v>0</v>
      </c>
      <c r="AR77" s="132" t="n">
        <f aca="false">CHOOSE($G$3,AE77-AF77,AF77-AE77)</f>
        <v>0</v>
      </c>
      <c r="AS77" s="132" t="n">
        <f aca="false">CHOOSE($G$3,AH77-AI77,AI77-AH77)</f>
        <v>0</v>
      </c>
      <c r="AT77" s="148" t="n">
        <f aca="false">AQ77+AR77+AS77</f>
        <v>0</v>
      </c>
      <c r="AU77" s="148"/>
      <c r="AV77" s="133" t="n">
        <f aca="false">AT77+AO77</f>
        <v>0</v>
      </c>
      <c r="AX77" s="133" t="n">
        <f aca="false">AJ77+AG77+AD77</f>
        <v>0</v>
      </c>
      <c r="AY77" s="149"/>
      <c r="AZ77" s="76" t="n">
        <f aca="false">R77*E77</f>
        <v>0</v>
      </c>
    </row>
    <row r="78" customFormat="false" ht="12.75" hidden="false" customHeight="false" outlineLevel="0" collapsed="false">
      <c r="A78" s="138" t="n">
        <f aca="false">EDATE(A77,1)</f>
        <v>39052</v>
      </c>
      <c r="B78" s="139" t="n">
        <f aca="false">VLOOKUP($A78,Table2,MATCH(I$3,Curves2,0))</f>
        <v>0</v>
      </c>
      <c r="C78" s="140"/>
      <c r="D78" s="141" t="n">
        <f aca="false">B78+C78</f>
        <v>0</v>
      </c>
      <c r="E78" s="126" t="n">
        <f aca="false">IF(Y78=0,0,IF(AND(Y78=1,$H$3=1),D78*T78,IF($H$3=2,D78,"N/A")))</f>
        <v>0</v>
      </c>
      <c r="F78" s="126" t="n">
        <f aca="false">E78*X78</f>
        <v>0</v>
      </c>
      <c r="G78" s="142" t="n">
        <f aca="false">VLOOKUP($A78,Table,MATCH(G$4,Curves,0))</f>
        <v>3.987</v>
      </c>
      <c r="H78" s="143" t="n">
        <f aca="false">G78</f>
        <v>3.987</v>
      </c>
      <c r="I78" s="142" t="n">
        <f aca="false">VLOOKUP($A78,Table1,MATCH(I$3,Curves1,0))</f>
        <v>0</v>
      </c>
      <c r="J78" s="142" t="n">
        <f aca="false">VLOOKUP($A78,Table,MATCH(J$4,Curves,0))</f>
        <v>-0.0305</v>
      </c>
      <c r="K78" s="143" t="n">
        <f aca="false">J78</f>
        <v>-0.0305</v>
      </c>
      <c r="L78" s="144" t="n">
        <v>0</v>
      </c>
      <c r="M78" s="142" t="n">
        <f aca="false">VLOOKUP($A78,Table,MATCH(M$4,Curves,0))</f>
        <v>0.0087</v>
      </c>
      <c r="N78" s="143" t="n">
        <f aca="false">M78</f>
        <v>0.0087</v>
      </c>
      <c r="O78" s="144" t="n">
        <v>0</v>
      </c>
      <c r="P78" s="145"/>
      <c r="Q78" s="144" t="n">
        <f aca="false">M78+J78+G78</f>
        <v>3.9652</v>
      </c>
      <c r="R78" s="144" t="n">
        <f aca="false">O78+L78+I78</f>
        <v>0</v>
      </c>
      <c r="S78" s="145"/>
      <c r="T78" s="71" t="n">
        <f aca="false">A79-A78</f>
        <v>31</v>
      </c>
      <c r="U78" s="146" t="n">
        <f aca="false">CHOOSE(F$3,A79+24,A78)</f>
        <v>39107</v>
      </c>
      <c r="V78" s="71" t="n">
        <f aca="false">U78-C$3</f>
        <v>2219</v>
      </c>
      <c r="W78" s="142" t="n">
        <f aca="false">VLOOKUP($A78,Table,MATCH(W$4,Curves,0))</f>
        <v>0.058966861357273</v>
      </c>
      <c r="X78" s="147" t="n">
        <f aca="false">1/(1+CHOOSE(F$3,(W79+($K$3/10000))/2,(W78+($K$3/10000))/2))^(2*V78/365.25)</f>
        <v>0.702534118240909</v>
      </c>
      <c r="Y78" s="71" t="n">
        <f aca="false">IF(AND(mthbeg&lt;=A78,mthend&gt;=A78),1,0)</f>
        <v>0</v>
      </c>
      <c r="Z78" s="71" t="n">
        <f aca="false">T78*Y78</f>
        <v>0</v>
      </c>
      <c r="AB78" s="132" t="n">
        <f aca="false">F78*G78</f>
        <v>0</v>
      </c>
      <c r="AC78" s="132" t="n">
        <f aca="false">$F78*H78</f>
        <v>0</v>
      </c>
      <c r="AD78" s="132" t="n">
        <f aca="false">$F78*I78</f>
        <v>0</v>
      </c>
      <c r="AE78" s="132" t="n">
        <f aca="false">$F78*J78</f>
        <v>-0</v>
      </c>
      <c r="AF78" s="132" t="n">
        <f aca="false">$F78*K78</f>
        <v>-0</v>
      </c>
      <c r="AG78" s="132" t="n">
        <f aca="false">$F78*L78</f>
        <v>0</v>
      </c>
      <c r="AH78" s="132" t="n">
        <f aca="false">$F78*M78</f>
        <v>0</v>
      </c>
      <c r="AI78" s="132" t="n">
        <f aca="false">$F78*N78</f>
        <v>0</v>
      </c>
      <c r="AJ78" s="132" t="n">
        <f aca="false">F78*O78</f>
        <v>0</v>
      </c>
      <c r="AK78" s="137"/>
      <c r="AL78" s="132" t="n">
        <f aca="false">CHOOSE($G$3,AC78-AD78,AD78-AC78)</f>
        <v>0</v>
      </c>
      <c r="AM78" s="132" t="n">
        <f aca="false">CHOOSE($G$3,AF78-AG78,AG78-AF78)</f>
        <v>0</v>
      </c>
      <c r="AN78" s="132" t="n">
        <f aca="false">CHOOSE($G$3,AI78-AJ78,AJ78-AI78)</f>
        <v>0</v>
      </c>
      <c r="AO78" s="148" t="n">
        <f aca="false">SUM(AL78:AN78)</f>
        <v>0</v>
      </c>
      <c r="AQ78" s="132" t="n">
        <f aca="false">CHOOSE($G$3,AB78-AC78,AC78-AB78)</f>
        <v>0</v>
      </c>
      <c r="AR78" s="132" t="n">
        <f aca="false">CHOOSE($G$3,AE78-AF78,AF78-AE78)</f>
        <v>0</v>
      </c>
      <c r="AS78" s="132" t="n">
        <f aca="false">CHOOSE($G$3,AH78-AI78,AI78-AH78)</f>
        <v>0</v>
      </c>
      <c r="AT78" s="148" t="n">
        <f aca="false">AQ78+AR78+AS78</f>
        <v>0</v>
      </c>
      <c r="AU78" s="148"/>
      <c r="AV78" s="133" t="n">
        <f aca="false">AT78+AO78</f>
        <v>0</v>
      </c>
      <c r="AX78" s="133" t="n">
        <f aca="false">AJ78+AG78+AD78</f>
        <v>0</v>
      </c>
      <c r="AY78" s="149"/>
      <c r="AZ78" s="76" t="n">
        <f aca="false">R78*E78</f>
        <v>0</v>
      </c>
    </row>
    <row r="79" customFormat="false" ht="12.75" hidden="false" customHeight="false" outlineLevel="0" collapsed="false">
      <c r="A79" s="138" t="n">
        <f aca="false">EDATE(A78,1)</f>
        <v>39083</v>
      </c>
      <c r="B79" s="139" t="n">
        <f aca="false">VLOOKUP($A79,Table2,MATCH(I$3,Curves2,0))</f>
        <v>0</v>
      </c>
      <c r="C79" s="140"/>
      <c r="D79" s="141" t="n">
        <f aca="false">B79+C79</f>
        <v>0</v>
      </c>
      <c r="E79" s="126" t="n">
        <f aca="false">IF(Y79=0,0,IF(AND(Y79=1,$H$3=1),D79*T79,IF($H$3=2,D79,"N/A")))</f>
        <v>0</v>
      </c>
      <c r="F79" s="126" t="n">
        <f aca="false">E79*X79</f>
        <v>0</v>
      </c>
      <c r="G79" s="142" t="n">
        <f aca="false">VLOOKUP($A79,Table,MATCH(G$4,Curves,0))</f>
        <v>3.987</v>
      </c>
      <c r="H79" s="143" t="n">
        <f aca="false">G79</f>
        <v>3.987</v>
      </c>
      <c r="I79" s="142" t="n">
        <f aca="false">VLOOKUP($A79,Table1,MATCH(I$3,Curves1,0))</f>
        <v>0</v>
      </c>
      <c r="J79" s="142" t="n">
        <f aca="false">VLOOKUP($A79,Table,MATCH(J$4,Curves,0))</f>
        <v>-0.0305</v>
      </c>
      <c r="K79" s="143" t="n">
        <f aca="false">J79</f>
        <v>-0.0305</v>
      </c>
      <c r="L79" s="144" t="n">
        <v>0</v>
      </c>
      <c r="M79" s="142" t="n">
        <f aca="false">VLOOKUP($A79,Table,MATCH(M$4,Curves,0))</f>
        <v>0.0087</v>
      </c>
      <c r="N79" s="143" t="n">
        <f aca="false">M79</f>
        <v>0.0087</v>
      </c>
      <c r="O79" s="144" t="n">
        <v>0</v>
      </c>
      <c r="P79" s="145"/>
      <c r="Q79" s="144" t="n">
        <f aca="false">M79+J79+G79</f>
        <v>3.9652</v>
      </c>
      <c r="R79" s="144" t="n">
        <f aca="false">O79+L79+I79</f>
        <v>0</v>
      </c>
      <c r="S79" s="145"/>
      <c r="T79" s="71" t="n">
        <f aca="false">A80-A79</f>
        <v>31</v>
      </c>
      <c r="U79" s="146" t="n">
        <f aca="false">CHOOSE(F$3,A80+24,A79)</f>
        <v>39138</v>
      </c>
      <c r="V79" s="71" t="n">
        <f aca="false">U79-C$3</f>
        <v>2250</v>
      </c>
      <c r="W79" s="142" t="n">
        <f aca="false">VLOOKUP($A79,Table,MATCH(W$4,Curves,0))</f>
        <v>0.058966861357273</v>
      </c>
      <c r="X79" s="147" t="n">
        <f aca="false">1/(1+CHOOSE(F$3,(W80+($K$3/10000))/2,(W79+($K$3/10000))/2))^(2*V79/365.25)</f>
        <v>0.699077500653747</v>
      </c>
      <c r="Y79" s="71" t="n">
        <f aca="false">IF(AND(mthbeg&lt;=A79,mthend&gt;=A79),1,0)</f>
        <v>0</v>
      </c>
      <c r="Z79" s="71" t="n">
        <f aca="false">T79*Y79</f>
        <v>0</v>
      </c>
      <c r="AB79" s="132" t="n">
        <f aca="false">F79*G79</f>
        <v>0</v>
      </c>
      <c r="AC79" s="132" t="n">
        <f aca="false">$F79*H79</f>
        <v>0</v>
      </c>
      <c r="AD79" s="132" t="n">
        <f aca="false">$F79*I79</f>
        <v>0</v>
      </c>
      <c r="AE79" s="132" t="n">
        <f aca="false">$F79*J79</f>
        <v>-0</v>
      </c>
      <c r="AF79" s="132" t="n">
        <f aca="false">$F79*K79</f>
        <v>-0</v>
      </c>
      <c r="AG79" s="132" t="n">
        <f aca="false">$F79*L79</f>
        <v>0</v>
      </c>
      <c r="AH79" s="132" t="n">
        <f aca="false">$F79*M79</f>
        <v>0</v>
      </c>
      <c r="AI79" s="132" t="n">
        <f aca="false">$F79*N79</f>
        <v>0</v>
      </c>
      <c r="AJ79" s="132" t="n">
        <f aca="false">F79*O79</f>
        <v>0</v>
      </c>
      <c r="AK79" s="137"/>
      <c r="AL79" s="132" t="n">
        <f aca="false">CHOOSE($G$3,AC79-AD79,AD79-AC79)</f>
        <v>0</v>
      </c>
      <c r="AM79" s="132" t="n">
        <f aca="false">CHOOSE($G$3,AF79-AG79,AG79-AF79)</f>
        <v>0</v>
      </c>
      <c r="AN79" s="132" t="n">
        <f aca="false">CHOOSE($G$3,AI79-AJ79,AJ79-AI79)</f>
        <v>0</v>
      </c>
      <c r="AO79" s="148" t="n">
        <f aca="false">SUM(AL79:AN79)</f>
        <v>0</v>
      </c>
      <c r="AQ79" s="132" t="n">
        <f aca="false">CHOOSE($G$3,AB79-AC79,AC79-AB79)</f>
        <v>0</v>
      </c>
      <c r="AR79" s="132" t="n">
        <f aca="false">CHOOSE($G$3,AE79-AF79,AF79-AE79)</f>
        <v>0</v>
      </c>
      <c r="AS79" s="132" t="n">
        <f aca="false">CHOOSE($G$3,AH79-AI79,AI79-AH79)</f>
        <v>0</v>
      </c>
      <c r="AT79" s="148" t="n">
        <f aca="false">AQ79+AR79+AS79</f>
        <v>0</v>
      </c>
      <c r="AU79" s="148"/>
      <c r="AV79" s="133" t="n">
        <f aca="false">AT79+AO79</f>
        <v>0</v>
      </c>
      <c r="AX79" s="133" t="n">
        <f aca="false">AJ79+AG79+AD79</f>
        <v>0</v>
      </c>
      <c r="AY79" s="149"/>
      <c r="AZ79" s="76" t="n">
        <f aca="false">R79*E79</f>
        <v>0</v>
      </c>
    </row>
    <row r="80" customFormat="false" ht="12.75" hidden="false" customHeight="false" outlineLevel="0" collapsed="false">
      <c r="A80" s="138" t="n">
        <f aca="false">EDATE(A79,1)</f>
        <v>39114</v>
      </c>
      <c r="B80" s="139" t="n">
        <f aca="false">VLOOKUP($A80,Table2,MATCH(I$3,Curves2,0))</f>
        <v>0</v>
      </c>
      <c r="C80" s="140"/>
      <c r="D80" s="141" t="n">
        <f aca="false">B80+C80</f>
        <v>0</v>
      </c>
      <c r="E80" s="126" t="n">
        <f aca="false">IF(Y80=0,0,IF(AND(Y80=1,$H$3=1),D80*T80,IF($H$3=2,D80,"N/A")))</f>
        <v>0</v>
      </c>
      <c r="F80" s="126" t="n">
        <f aca="false">E80*X80</f>
        <v>0</v>
      </c>
      <c r="G80" s="142" t="n">
        <f aca="false">VLOOKUP($A80,Table,MATCH(G$4,Curves,0))</f>
        <v>3.987</v>
      </c>
      <c r="H80" s="143" t="n">
        <f aca="false">G80</f>
        <v>3.987</v>
      </c>
      <c r="I80" s="142" t="n">
        <f aca="false">VLOOKUP($A80,Table1,MATCH(I$3,Curves1,0))</f>
        <v>0</v>
      </c>
      <c r="J80" s="142" t="n">
        <f aca="false">VLOOKUP($A80,Table,MATCH(J$4,Curves,0))</f>
        <v>-0.0305</v>
      </c>
      <c r="K80" s="143" t="n">
        <f aca="false">J80</f>
        <v>-0.0305</v>
      </c>
      <c r="L80" s="144" t="n">
        <v>0</v>
      </c>
      <c r="M80" s="142" t="n">
        <f aca="false">VLOOKUP($A80,Table,MATCH(M$4,Curves,0))</f>
        <v>0.0087</v>
      </c>
      <c r="N80" s="143" t="n">
        <f aca="false">M80</f>
        <v>0.0087</v>
      </c>
      <c r="O80" s="144" t="n">
        <v>0</v>
      </c>
      <c r="P80" s="145"/>
      <c r="Q80" s="144" t="n">
        <f aca="false">M80+J80+G80</f>
        <v>3.9652</v>
      </c>
      <c r="R80" s="144" t="n">
        <f aca="false">O80+L80+I80</f>
        <v>0</v>
      </c>
      <c r="S80" s="145"/>
      <c r="T80" s="71" t="n">
        <f aca="false">A81-A80</f>
        <v>28</v>
      </c>
      <c r="U80" s="146" t="n">
        <f aca="false">CHOOSE(F$3,A81+24,A80)</f>
        <v>39166</v>
      </c>
      <c r="V80" s="71" t="n">
        <f aca="false">U80-C$3</f>
        <v>2278</v>
      </c>
      <c r="W80" s="142" t="n">
        <f aca="false">VLOOKUP($A80,Table,MATCH(W$4,Curves,0))</f>
        <v>0.058966861357273</v>
      </c>
      <c r="X80" s="147" t="n">
        <f aca="false">1/(1+CHOOSE(F$3,(W81+($K$3/10000))/2,(W80+($K$3/10000))/2))^(2*V80/365.25)</f>
        <v>0.695970014902296</v>
      </c>
      <c r="Y80" s="71" t="n">
        <f aca="false">IF(AND(mthbeg&lt;=A80,mthend&gt;=A80),1,0)</f>
        <v>0</v>
      </c>
      <c r="Z80" s="71" t="n">
        <f aca="false">T80*Y80</f>
        <v>0</v>
      </c>
      <c r="AB80" s="132" t="n">
        <f aca="false">F80*G80</f>
        <v>0</v>
      </c>
      <c r="AC80" s="132" t="n">
        <f aca="false">$F80*H80</f>
        <v>0</v>
      </c>
      <c r="AD80" s="132" t="n">
        <f aca="false">$F80*I80</f>
        <v>0</v>
      </c>
      <c r="AE80" s="132" t="n">
        <f aca="false">$F80*J80</f>
        <v>-0</v>
      </c>
      <c r="AF80" s="132" t="n">
        <f aca="false">$F80*K80</f>
        <v>-0</v>
      </c>
      <c r="AG80" s="132" t="n">
        <f aca="false">$F80*L80</f>
        <v>0</v>
      </c>
      <c r="AH80" s="132" t="n">
        <f aca="false">$F80*M80</f>
        <v>0</v>
      </c>
      <c r="AI80" s="132" t="n">
        <f aca="false">$F80*N80</f>
        <v>0</v>
      </c>
      <c r="AJ80" s="132" t="n">
        <f aca="false">F80*O80</f>
        <v>0</v>
      </c>
      <c r="AK80" s="137"/>
      <c r="AL80" s="132" t="n">
        <f aca="false">CHOOSE($G$3,AC80-AD80,AD80-AC80)</f>
        <v>0</v>
      </c>
      <c r="AM80" s="132" t="n">
        <f aca="false">CHOOSE($G$3,AF80-AG80,AG80-AF80)</f>
        <v>0</v>
      </c>
      <c r="AN80" s="132" t="n">
        <f aca="false">CHOOSE($G$3,AI80-AJ80,AJ80-AI80)</f>
        <v>0</v>
      </c>
      <c r="AO80" s="148" t="n">
        <f aca="false">SUM(AL80:AN80)</f>
        <v>0</v>
      </c>
      <c r="AQ80" s="132" t="n">
        <f aca="false">CHOOSE($G$3,AB80-AC80,AC80-AB80)</f>
        <v>0</v>
      </c>
      <c r="AR80" s="132" t="n">
        <f aca="false">CHOOSE($G$3,AE80-AF80,AF80-AE80)</f>
        <v>0</v>
      </c>
      <c r="AS80" s="132" t="n">
        <f aca="false">CHOOSE($G$3,AH80-AI80,AI80-AH80)</f>
        <v>0</v>
      </c>
      <c r="AT80" s="148" t="n">
        <f aca="false">AQ80+AR80+AS80</f>
        <v>0</v>
      </c>
      <c r="AU80" s="148"/>
      <c r="AV80" s="133" t="n">
        <f aca="false">AT80+AO80</f>
        <v>0</v>
      </c>
      <c r="AX80" s="133" t="n">
        <f aca="false">AJ80+AG80+AD80</f>
        <v>0</v>
      </c>
      <c r="AY80" s="149"/>
      <c r="AZ80" s="76" t="n">
        <f aca="false">R80*E80</f>
        <v>0</v>
      </c>
    </row>
    <row r="81" customFormat="false" ht="12.75" hidden="false" customHeight="false" outlineLevel="0" collapsed="false">
      <c r="A81" s="138" t="n">
        <f aca="false">EDATE(A80,1)</f>
        <v>39142</v>
      </c>
      <c r="B81" s="139" t="n">
        <f aca="false">VLOOKUP($A81,Table2,MATCH(I$3,Curves2,0))</f>
        <v>0</v>
      </c>
      <c r="C81" s="140"/>
      <c r="D81" s="141" t="n">
        <f aca="false">B81+C81</f>
        <v>0</v>
      </c>
      <c r="E81" s="126" t="n">
        <f aca="false">IF(Y81=0,0,IF(AND(Y81=1,$H$3=1),D81*T81,IF($H$3=2,D81,"N/A")))</f>
        <v>0</v>
      </c>
      <c r="F81" s="126" t="n">
        <f aca="false">E81*X81</f>
        <v>0</v>
      </c>
      <c r="G81" s="142" t="n">
        <f aca="false">VLOOKUP($A81,Table,MATCH(G$4,Curves,0))</f>
        <v>3.987</v>
      </c>
      <c r="H81" s="143" t="n">
        <f aca="false">G81</f>
        <v>3.987</v>
      </c>
      <c r="I81" s="142" t="n">
        <f aca="false">VLOOKUP($A81,Table1,MATCH(I$3,Curves1,0))</f>
        <v>0</v>
      </c>
      <c r="J81" s="142" t="n">
        <f aca="false">VLOOKUP($A81,Table,MATCH(J$4,Curves,0))</f>
        <v>-0.0305</v>
      </c>
      <c r="K81" s="143" t="n">
        <f aca="false">J81</f>
        <v>-0.0305</v>
      </c>
      <c r="L81" s="144" t="n">
        <v>0</v>
      </c>
      <c r="M81" s="142" t="n">
        <f aca="false">VLOOKUP($A81,Table,MATCH(M$4,Curves,0))</f>
        <v>0.0087</v>
      </c>
      <c r="N81" s="143" t="n">
        <f aca="false">M81</f>
        <v>0.0087</v>
      </c>
      <c r="O81" s="144" t="n">
        <v>0</v>
      </c>
      <c r="P81" s="145"/>
      <c r="Q81" s="144" t="n">
        <f aca="false">M81+J81+G81</f>
        <v>3.9652</v>
      </c>
      <c r="R81" s="144" t="n">
        <f aca="false">O81+L81+I81</f>
        <v>0</v>
      </c>
      <c r="S81" s="145"/>
      <c r="T81" s="71" t="n">
        <f aca="false">A82-A81</f>
        <v>31</v>
      </c>
      <c r="U81" s="146" t="n">
        <f aca="false">CHOOSE(F$3,A82+24,A81)</f>
        <v>39197</v>
      </c>
      <c r="V81" s="71" t="n">
        <f aca="false">U81-C$3</f>
        <v>2309</v>
      </c>
      <c r="W81" s="142" t="n">
        <f aca="false">VLOOKUP($A81,Table,MATCH(W$4,Curves,0))</f>
        <v>0.058966861357273</v>
      </c>
      <c r="X81" s="147" t="n">
        <f aca="false">1/(1+CHOOSE(F$3,(W82+($K$3/10000))/2,(W81+($K$3/10000))/2))^(2*V81/365.25)</f>
        <v>0.692545694102515</v>
      </c>
      <c r="Y81" s="71" t="n">
        <f aca="false">IF(AND(mthbeg&lt;=A81,mthend&gt;=A81),1,0)</f>
        <v>0</v>
      </c>
      <c r="Z81" s="71" t="n">
        <f aca="false">T81*Y81</f>
        <v>0</v>
      </c>
      <c r="AB81" s="132" t="n">
        <f aca="false">F81*G81</f>
        <v>0</v>
      </c>
      <c r="AC81" s="132" t="n">
        <f aca="false">$F81*H81</f>
        <v>0</v>
      </c>
      <c r="AD81" s="132" t="n">
        <f aca="false">$F81*I81</f>
        <v>0</v>
      </c>
      <c r="AE81" s="132" t="n">
        <f aca="false">$F81*J81</f>
        <v>-0</v>
      </c>
      <c r="AF81" s="132" t="n">
        <f aca="false">$F81*K81</f>
        <v>-0</v>
      </c>
      <c r="AG81" s="132" t="n">
        <f aca="false">$F81*L81</f>
        <v>0</v>
      </c>
      <c r="AH81" s="132" t="n">
        <f aca="false">$F81*M81</f>
        <v>0</v>
      </c>
      <c r="AI81" s="132" t="n">
        <f aca="false">$F81*N81</f>
        <v>0</v>
      </c>
      <c r="AJ81" s="132" t="n">
        <f aca="false">F81*O81</f>
        <v>0</v>
      </c>
      <c r="AK81" s="137"/>
      <c r="AL81" s="132" t="n">
        <f aca="false">CHOOSE($G$3,AC81-AD81,AD81-AC81)</f>
        <v>0</v>
      </c>
      <c r="AM81" s="132" t="n">
        <f aca="false">CHOOSE($G$3,AF81-AG81,AG81-AF81)</f>
        <v>0</v>
      </c>
      <c r="AN81" s="132" t="n">
        <f aca="false">CHOOSE($G$3,AI81-AJ81,AJ81-AI81)</f>
        <v>0</v>
      </c>
      <c r="AO81" s="148" t="n">
        <f aca="false">SUM(AL81:AN81)</f>
        <v>0</v>
      </c>
      <c r="AQ81" s="132" t="n">
        <f aca="false">CHOOSE($G$3,AB81-AC81,AC81-AB81)</f>
        <v>0</v>
      </c>
      <c r="AR81" s="132" t="n">
        <f aca="false">CHOOSE($G$3,AE81-AF81,AF81-AE81)</f>
        <v>0</v>
      </c>
      <c r="AS81" s="132" t="n">
        <f aca="false">CHOOSE($G$3,AH81-AI81,AI81-AH81)</f>
        <v>0</v>
      </c>
      <c r="AT81" s="148" t="n">
        <f aca="false">AQ81+AR81+AS81</f>
        <v>0</v>
      </c>
      <c r="AU81" s="148"/>
      <c r="AV81" s="133" t="n">
        <f aca="false">AT81+AO81</f>
        <v>0</v>
      </c>
      <c r="AX81" s="133" t="n">
        <f aca="false">AJ81+AG81+AD81</f>
        <v>0</v>
      </c>
      <c r="AY81" s="149"/>
      <c r="AZ81" s="76" t="n">
        <f aca="false">R81*E81</f>
        <v>0</v>
      </c>
    </row>
    <row r="82" customFormat="false" ht="12.75" hidden="false" customHeight="false" outlineLevel="0" collapsed="false">
      <c r="A82" s="138" t="n">
        <f aca="false">EDATE(A81,1)</f>
        <v>39173</v>
      </c>
      <c r="B82" s="139" t="n">
        <f aca="false">VLOOKUP($A82,Table2,MATCH(I$3,Curves2,0))</f>
        <v>0</v>
      </c>
      <c r="C82" s="140"/>
      <c r="D82" s="141" t="n">
        <f aca="false">B82+C82</f>
        <v>0</v>
      </c>
      <c r="E82" s="126" t="n">
        <f aca="false">IF(Y82=0,0,IF(AND(Y82=1,$H$3=1),D82*T82,IF($H$3=2,D82,"N/A")))</f>
        <v>0</v>
      </c>
      <c r="F82" s="126" t="n">
        <f aca="false">E82*X82</f>
        <v>0</v>
      </c>
      <c r="G82" s="142" t="n">
        <f aca="false">VLOOKUP($A82,Table,MATCH(G$4,Curves,0))</f>
        <v>3.987</v>
      </c>
      <c r="H82" s="143" t="n">
        <f aca="false">G82</f>
        <v>3.987</v>
      </c>
      <c r="I82" s="142" t="n">
        <f aca="false">VLOOKUP($A82,Table1,MATCH(I$3,Curves1,0))</f>
        <v>0</v>
      </c>
      <c r="J82" s="142" t="n">
        <f aca="false">VLOOKUP($A82,Table,MATCH(J$4,Curves,0))</f>
        <v>-0.0305</v>
      </c>
      <c r="K82" s="143" t="n">
        <f aca="false">J82</f>
        <v>-0.0305</v>
      </c>
      <c r="L82" s="144" t="n">
        <v>0</v>
      </c>
      <c r="M82" s="142" t="n">
        <f aca="false">VLOOKUP($A82,Table,MATCH(M$4,Curves,0))</f>
        <v>0.0087</v>
      </c>
      <c r="N82" s="143" t="n">
        <f aca="false">M82</f>
        <v>0.0087</v>
      </c>
      <c r="O82" s="144" t="n">
        <v>0</v>
      </c>
      <c r="P82" s="145"/>
      <c r="Q82" s="144" t="n">
        <f aca="false">M82+J82+G82</f>
        <v>3.9652</v>
      </c>
      <c r="R82" s="144" t="n">
        <f aca="false">O82+L82+I82</f>
        <v>0</v>
      </c>
      <c r="S82" s="145"/>
      <c r="T82" s="71" t="n">
        <f aca="false">A83-A82</f>
        <v>30</v>
      </c>
      <c r="U82" s="146" t="n">
        <f aca="false">CHOOSE(F$3,A83+24,A82)</f>
        <v>39227</v>
      </c>
      <c r="V82" s="71" t="n">
        <f aca="false">U82-C$3</f>
        <v>2339</v>
      </c>
      <c r="W82" s="142" t="n">
        <f aca="false">VLOOKUP($A82,Table,MATCH(W$4,Curves,0))</f>
        <v>0.058966861357273</v>
      </c>
      <c r="X82" s="147" t="n">
        <f aca="false">1/(1+CHOOSE(F$3,(W83+($K$3/10000))/2,(W82+($K$3/10000))/2))^(2*V82/365.25)</f>
        <v>0.689247878023419</v>
      </c>
      <c r="Y82" s="71" t="n">
        <f aca="false">IF(AND(mthbeg&lt;=A82,mthend&gt;=A82),1,0)</f>
        <v>0</v>
      </c>
      <c r="Z82" s="71" t="n">
        <f aca="false">T82*Y82</f>
        <v>0</v>
      </c>
      <c r="AB82" s="132" t="n">
        <f aca="false">F82*G82</f>
        <v>0</v>
      </c>
      <c r="AC82" s="132" t="n">
        <f aca="false">$F82*H82</f>
        <v>0</v>
      </c>
      <c r="AD82" s="132" t="n">
        <f aca="false">$F82*I82</f>
        <v>0</v>
      </c>
      <c r="AE82" s="132" t="n">
        <f aca="false">$F82*J82</f>
        <v>-0</v>
      </c>
      <c r="AF82" s="132" t="n">
        <f aca="false">$F82*K82</f>
        <v>-0</v>
      </c>
      <c r="AG82" s="132" t="n">
        <f aca="false">$F82*L82</f>
        <v>0</v>
      </c>
      <c r="AH82" s="132" t="n">
        <f aca="false">$F82*M82</f>
        <v>0</v>
      </c>
      <c r="AI82" s="132" t="n">
        <f aca="false">$F82*N82</f>
        <v>0</v>
      </c>
      <c r="AJ82" s="132" t="n">
        <f aca="false">F82*O82</f>
        <v>0</v>
      </c>
      <c r="AK82" s="137"/>
      <c r="AL82" s="132" t="n">
        <f aca="false">CHOOSE($G$3,AC82-AD82,AD82-AC82)</f>
        <v>0</v>
      </c>
      <c r="AM82" s="132" t="n">
        <f aca="false">CHOOSE($G$3,AF82-AG82,AG82-AF82)</f>
        <v>0</v>
      </c>
      <c r="AN82" s="132" t="n">
        <f aca="false">CHOOSE($G$3,AI82-AJ82,AJ82-AI82)</f>
        <v>0</v>
      </c>
      <c r="AO82" s="148" t="n">
        <f aca="false">SUM(AL82:AN82)</f>
        <v>0</v>
      </c>
      <c r="AQ82" s="132" t="n">
        <f aca="false">CHOOSE($G$3,AB82-AC82,AC82-AB82)</f>
        <v>0</v>
      </c>
      <c r="AR82" s="132" t="n">
        <f aca="false">CHOOSE($G$3,AE82-AF82,AF82-AE82)</f>
        <v>0</v>
      </c>
      <c r="AS82" s="132" t="n">
        <f aca="false">CHOOSE($G$3,AH82-AI82,AI82-AH82)</f>
        <v>0</v>
      </c>
      <c r="AT82" s="148" t="n">
        <f aca="false">AQ82+AR82+AS82</f>
        <v>0</v>
      </c>
      <c r="AU82" s="148"/>
      <c r="AV82" s="133" t="n">
        <f aca="false">AT82+AO82</f>
        <v>0</v>
      </c>
      <c r="AX82" s="133" t="n">
        <f aca="false">AJ82+AG82+AD82</f>
        <v>0</v>
      </c>
      <c r="AY82" s="149"/>
      <c r="AZ82" s="76" t="n">
        <f aca="false">R82*E82</f>
        <v>0</v>
      </c>
    </row>
    <row r="83" customFormat="false" ht="12.75" hidden="false" customHeight="false" outlineLevel="0" collapsed="false">
      <c r="A83" s="138" t="n">
        <f aca="false">EDATE(A82,1)</f>
        <v>39203</v>
      </c>
      <c r="B83" s="139" t="n">
        <f aca="false">VLOOKUP($A83,Table2,MATCH(I$3,Curves2,0))</f>
        <v>0</v>
      </c>
      <c r="C83" s="140"/>
      <c r="D83" s="141" t="n">
        <f aca="false">B83+C83</f>
        <v>0</v>
      </c>
      <c r="E83" s="126" t="n">
        <f aca="false">IF(Y83=0,0,IF(AND(Y83=1,$H$3=1),D83*T83,IF($H$3=2,D83,"N/A")))</f>
        <v>0</v>
      </c>
      <c r="F83" s="126" t="n">
        <f aca="false">E83*X83</f>
        <v>0</v>
      </c>
      <c r="G83" s="142" t="n">
        <f aca="false">VLOOKUP($A83,Table,MATCH(G$4,Curves,0))</f>
        <v>3.987</v>
      </c>
      <c r="H83" s="143" t="n">
        <f aca="false">G83</f>
        <v>3.987</v>
      </c>
      <c r="I83" s="142" t="n">
        <f aca="false">VLOOKUP($A83,Table1,MATCH(I$3,Curves1,0))</f>
        <v>0</v>
      </c>
      <c r="J83" s="142" t="n">
        <f aca="false">VLOOKUP($A83,Table,MATCH(J$4,Curves,0))</f>
        <v>-0.0305</v>
      </c>
      <c r="K83" s="143" t="n">
        <f aca="false">J83</f>
        <v>-0.0305</v>
      </c>
      <c r="L83" s="144" t="n">
        <v>0</v>
      </c>
      <c r="M83" s="142" t="n">
        <f aca="false">VLOOKUP($A83,Table,MATCH(M$4,Curves,0))</f>
        <v>0.0087</v>
      </c>
      <c r="N83" s="143" t="n">
        <f aca="false">M83</f>
        <v>0.0087</v>
      </c>
      <c r="O83" s="144" t="n">
        <v>0</v>
      </c>
      <c r="P83" s="145"/>
      <c r="Q83" s="144" t="n">
        <f aca="false">M83+J83+G83</f>
        <v>3.9652</v>
      </c>
      <c r="R83" s="144" t="n">
        <f aca="false">O83+L83+I83</f>
        <v>0</v>
      </c>
      <c r="S83" s="145"/>
      <c r="T83" s="71" t="n">
        <f aca="false">A84-A83</f>
        <v>31</v>
      </c>
      <c r="U83" s="146" t="n">
        <f aca="false">CHOOSE(F$3,A84+24,A83)</f>
        <v>39258</v>
      </c>
      <c r="V83" s="71" t="n">
        <f aca="false">U83-C$3</f>
        <v>2370</v>
      </c>
      <c r="W83" s="142" t="n">
        <f aca="false">VLOOKUP($A83,Table,MATCH(W$4,Curves,0))</f>
        <v>0.058966861357273</v>
      </c>
      <c r="X83" s="147" t="n">
        <f aca="false">1/(1+CHOOSE(F$3,(W84+($K$3/10000))/2,(W83+($K$3/10000))/2))^(2*V83/365.25)</f>
        <v>0.685856631569716</v>
      </c>
      <c r="Y83" s="71" t="n">
        <f aca="false">IF(AND(mthbeg&lt;=A83,mthend&gt;=A83),1,0)</f>
        <v>0</v>
      </c>
      <c r="Z83" s="71" t="n">
        <f aca="false">T83*Y83</f>
        <v>0</v>
      </c>
      <c r="AB83" s="132" t="n">
        <f aca="false">F83*G83</f>
        <v>0</v>
      </c>
      <c r="AC83" s="132" t="n">
        <f aca="false">$F83*H83</f>
        <v>0</v>
      </c>
      <c r="AD83" s="132" t="n">
        <f aca="false">$F83*I83</f>
        <v>0</v>
      </c>
      <c r="AE83" s="132" t="n">
        <f aca="false">$F83*J83</f>
        <v>-0</v>
      </c>
      <c r="AF83" s="132" t="n">
        <f aca="false">$F83*K83</f>
        <v>-0</v>
      </c>
      <c r="AG83" s="132" t="n">
        <f aca="false">$F83*L83</f>
        <v>0</v>
      </c>
      <c r="AH83" s="132" t="n">
        <f aca="false">$F83*M83</f>
        <v>0</v>
      </c>
      <c r="AI83" s="132" t="n">
        <f aca="false">$F83*N83</f>
        <v>0</v>
      </c>
      <c r="AJ83" s="132" t="n">
        <f aca="false">F83*O83</f>
        <v>0</v>
      </c>
      <c r="AK83" s="137"/>
      <c r="AL83" s="132" t="n">
        <f aca="false">CHOOSE($G$3,AC83-AD83,AD83-AC83)</f>
        <v>0</v>
      </c>
      <c r="AM83" s="132" t="n">
        <f aca="false">CHOOSE($G$3,AF83-AG83,AG83-AF83)</f>
        <v>0</v>
      </c>
      <c r="AN83" s="132" t="n">
        <f aca="false">CHOOSE($G$3,AI83-AJ83,AJ83-AI83)</f>
        <v>0</v>
      </c>
      <c r="AO83" s="148" t="n">
        <f aca="false">SUM(AL83:AN83)</f>
        <v>0</v>
      </c>
      <c r="AQ83" s="132" t="n">
        <f aca="false">CHOOSE($G$3,AB83-AC83,AC83-AB83)</f>
        <v>0</v>
      </c>
      <c r="AR83" s="132" t="n">
        <f aca="false">CHOOSE($G$3,AE83-AF83,AF83-AE83)</f>
        <v>0</v>
      </c>
      <c r="AS83" s="132" t="n">
        <f aca="false">CHOOSE($G$3,AH83-AI83,AI83-AH83)</f>
        <v>0</v>
      </c>
      <c r="AT83" s="148" t="n">
        <f aca="false">AQ83+AR83+AS83</f>
        <v>0</v>
      </c>
      <c r="AU83" s="148"/>
      <c r="AV83" s="133" t="n">
        <f aca="false">AT83+AO83</f>
        <v>0</v>
      </c>
      <c r="AX83" s="133" t="n">
        <f aca="false">AJ83+AG83+AD83</f>
        <v>0</v>
      </c>
      <c r="AY83" s="149"/>
      <c r="AZ83" s="76" t="n">
        <f aca="false">R83*E83</f>
        <v>0</v>
      </c>
    </row>
    <row r="84" customFormat="false" ht="12.75" hidden="false" customHeight="false" outlineLevel="0" collapsed="false">
      <c r="A84" s="138" t="n">
        <f aca="false">EDATE(A83,1)</f>
        <v>39234</v>
      </c>
      <c r="B84" s="139" t="n">
        <f aca="false">VLOOKUP($A84,Table2,MATCH(I$3,Curves2,0))</f>
        <v>0</v>
      </c>
      <c r="C84" s="140"/>
      <c r="D84" s="141" t="n">
        <f aca="false">B84+C84</f>
        <v>0</v>
      </c>
      <c r="E84" s="126" t="n">
        <f aca="false">IF(Y84=0,0,IF(AND(Y84=1,$H$3=1),D84*T84,IF($H$3=2,D84,"N/A")))</f>
        <v>0</v>
      </c>
      <c r="F84" s="126" t="n">
        <f aca="false">E84*X84</f>
        <v>0</v>
      </c>
      <c r="G84" s="142" t="n">
        <f aca="false">VLOOKUP($A84,Table,MATCH(G$4,Curves,0))</f>
        <v>3.987</v>
      </c>
      <c r="H84" s="143" t="n">
        <f aca="false">G84</f>
        <v>3.987</v>
      </c>
      <c r="I84" s="142" t="n">
        <f aca="false">VLOOKUP($A84,Table1,MATCH(I$3,Curves1,0))</f>
        <v>0</v>
      </c>
      <c r="J84" s="142" t="n">
        <f aca="false">VLOOKUP($A84,Table,MATCH(J$4,Curves,0))</f>
        <v>-0.0305</v>
      </c>
      <c r="K84" s="143" t="n">
        <f aca="false">J84</f>
        <v>-0.0305</v>
      </c>
      <c r="L84" s="144" t="n">
        <v>0</v>
      </c>
      <c r="M84" s="142" t="n">
        <f aca="false">VLOOKUP($A84,Table,MATCH(M$4,Curves,0))</f>
        <v>0.0087</v>
      </c>
      <c r="N84" s="143" t="n">
        <f aca="false">M84</f>
        <v>0.0087</v>
      </c>
      <c r="O84" s="144" t="n">
        <v>0</v>
      </c>
      <c r="P84" s="145"/>
      <c r="Q84" s="144" t="n">
        <f aca="false">M84+J84+G84</f>
        <v>3.9652</v>
      </c>
      <c r="R84" s="144" t="n">
        <f aca="false">O84+L84+I84</f>
        <v>0</v>
      </c>
      <c r="S84" s="145"/>
      <c r="T84" s="71" t="n">
        <f aca="false">A85-A84</f>
        <v>30</v>
      </c>
      <c r="U84" s="146" t="n">
        <f aca="false">CHOOSE(F$3,A85+24,A84)</f>
        <v>39288</v>
      </c>
      <c r="V84" s="71" t="n">
        <f aca="false">U84-C$3</f>
        <v>2400</v>
      </c>
      <c r="W84" s="142" t="n">
        <f aca="false">VLOOKUP($A84,Table,MATCH(W$4,Curves,0))</f>
        <v>0.058966861357273</v>
      </c>
      <c r="X84" s="147" t="n">
        <f aca="false">1/(1+CHOOSE(F$3,(W85+($K$3/10000))/2,(W84+($K$3/10000))/2))^(2*V84/365.25)</f>
        <v>0.682590667970771</v>
      </c>
      <c r="Y84" s="71" t="n">
        <f aca="false">IF(AND(mthbeg&lt;=A84,mthend&gt;=A84),1,0)</f>
        <v>0</v>
      </c>
      <c r="Z84" s="71" t="n">
        <f aca="false">T84*Y84</f>
        <v>0</v>
      </c>
      <c r="AB84" s="132" t="n">
        <f aca="false">F84*G84</f>
        <v>0</v>
      </c>
      <c r="AC84" s="132" t="n">
        <f aca="false">$F84*H84</f>
        <v>0</v>
      </c>
      <c r="AD84" s="132" t="n">
        <f aca="false">$F84*I84</f>
        <v>0</v>
      </c>
      <c r="AE84" s="132" t="n">
        <f aca="false">$F84*J84</f>
        <v>-0</v>
      </c>
      <c r="AF84" s="132" t="n">
        <f aca="false">$F84*K84</f>
        <v>-0</v>
      </c>
      <c r="AG84" s="132" t="n">
        <f aca="false">$F84*L84</f>
        <v>0</v>
      </c>
      <c r="AH84" s="132" t="n">
        <f aca="false">$F84*M84</f>
        <v>0</v>
      </c>
      <c r="AI84" s="132" t="n">
        <f aca="false">$F84*N84</f>
        <v>0</v>
      </c>
      <c r="AJ84" s="132" t="n">
        <f aca="false">F84*O84</f>
        <v>0</v>
      </c>
      <c r="AK84" s="137"/>
      <c r="AL84" s="132" t="n">
        <f aca="false">CHOOSE($G$3,AC84-AD84,AD84-AC84)</f>
        <v>0</v>
      </c>
      <c r="AM84" s="132" t="n">
        <f aca="false">CHOOSE($G$3,AF84-AG84,AG84-AF84)</f>
        <v>0</v>
      </c>
      <c r="AN84" s="132" t="n">
        <f aca="false">CHOOSE($G$3,AI84-AJ84,AJ84-AI84)</f>
        <v>0</v>
      </c>
      <c r="AO84" s="148" t="n">
        <f aca="false">SUM(AL84:AN84)</f>
        <v>0</v>
      </c>
      <c r="AQ84" s="132" t="n">
        <f aca="false">CHOOSE($G$3,AB84-AC84,AC84-AB84)</f>
        <v>0</v>
      </c>
      <c r="AR84" s="132" t="n">
        <f aca="false">CHOOSE($G$3,AE84-AF84,AF84-AE84)</f>
        <v>0</v>
      </c>
      <c r="AS84" s="132" t="n">
        <f aca="false">CHOOSE($G$3,AH84-AI84,AI84-AH84)</f>
        <v>0</v>
      </c>
      <c r="AT84" s="148" t="n">
        <f aca="false">AQ84+AR84+AS84</f>
        <v>0</v>
      </c>
      <c r="AU84" s="148"/>
      <c r="AV84" s="133" t="n">
        <f aca="false">AT84+AO84</f>
        <v>0</v>
      </c>
      <c r="AX84" s="133" t="n">
        <f aca="false">AJ84+AG84+AD84</f>
        <v>0</v>
      </c>
      <c r="AY84" s="149"/>
      <c r="AZ84" s="76" t="n">
        <f aca="false">R84*E84</f>
        <v>0</v>
      </c>
    </row>
    <row r="85" customFormat="false" ht="12.75" hidden="false" customHeight="false" outlineLevel="0" collapsed="false">
      <c r="A85" s="138" t="n">
        <f aca="false">EDATE(A84,1)</f>
        <v>39264</v>
      </c>
      <c r="B85" s="139" t="n">
        <f aca="false">VLOOKUP($A85,Table2,MATCH(I$3,Curves2,0))</f>
        <v>0</v>
      </c>
      <c r="C85" s="140"/>
      <c r="D85" s="141" t="n">
        <f aca="false">B85+C85</f>
        <v>0</v>
      </c>
      <c r="E85" s="126" t="n">
        <f aca="false">IF(Y85=0,0,IF(AND(Y85=1,$H$3=1),D85*T85,IF($H$3=2,D85,"N/A")))</f>
        <v>0</v>
      </c>
      <c r="F85" s="126" t="n">
        <f aca="false">E85*X85</f>
        <v>0</v>
      </c>
      <c r="G85" s="142" t="n">
        <f aca="false">VLOOKUP($A85,Table,MATCH(G$4,Curves,0))</f>
        <v>3.987</v>
      </c>
      <c r="H85" s="143" t="n">
        <f aca="false">G85</f>
        <v>3.987</v>
      </c>
      <c r="I85" s="142" t="n">
        <f aca="false">VLOOKUP($A85,Table1,MATCH(I$3,Curves1,0))</f>
        <v>0</v>
      </c>
      <c r="J85" s="142" t="n">
        <f aca="false">VLOOKUP($A85,Table,MATCH(J$4,Curves,0))</f>
        <v>-0.0305</v>
      </c>
      <c r="K85" s="143" t="n">
        <f aca="false">J85</f>
        <v>-0.0305</v>
      </c>
      <c r="L85" s="144" t="n">
        <v>0</v>
      </c>
      <c r="M85" s="142" t="n">
        <f aca="false">VLOOKUP($A85,Table,MATCH(M$4,Curves,0))</f>
        <v>0.0087</v>
      </c>
      <c r="N85" s="143" t="n">
        <f aca="false">M85</f>
        <v>0.0087</v>
      </c>
      <c r="O85" s="144" t="n">
        <v>0</v>
      </c>
      <c r="P85" s="145"/>
      <c r="Q85" s="144" t="n">
        <f aca="false">M85+J85+G85</f>
        <v>3.9652</v>
      </c>
      <c r="R85" s="144" t="n">
        <f aca="false">O85+L85+I85</f>
        <v>0</v>
      </c>
      <c r="S85" s="145"/>
      <c r="T85" s="71" t="n">
        <f aca="false">A86-A85</f>
        <v>31</v>
      </c>
      <c r="U85" s="146" t="n">
        <f aca="false">CHOOSE(F$3,A86+24,A85)</f>
        <v>39319</v>
      </c>
      <c r="V85" s="71" t="n">
        <f aca="false">U85-C$3</f>
        <v>2431</v>
      </c>
      <c r="W85" s="142" t="n">
        <f aca="false">VLOOKUP($A85,Table,MATCH(W$4,Curves,0))</f>
        <v>0.058966861357273</v>
      </c>
      <c r="X85" s="147" t="n">
        <f aca="false">1/(1+CHOOSE(F$3,(W86+($K$3/10000))/2,(W85+($K$3/10000))/2))^(2*V85/365.25)</f>
        <v>0.679232176409325</v>
      </c>
      <c r="Y85" s="71" t="n">
        <f aca="false">IF(AND(mthbeg&lt;=A85,mthend&gt;=A85),1,0)</f>
        <v>0</v>
      </c>
      <c r="Z85" s="71" t="n">
        <f aca="false">T85*Y85</f>
        <v>0</v>
      </c>
      <c r="AB85" s="132" t="n">
        <f aca="false">F85*G85</f>
        <v>0</v>
      </c>
      <c r="AC85" s="132" t="n">
        <f aca="false">$F85*H85</f>
        <v>0</v>
      </c>
      <c r="AD85" s="132" t="n">
        <f aca="false">$F85*I85</f>
        <v>0</v>
      </c>
      <c r="AE85" s="132" t="n">
        <f aca="false">$F85*J85</f>
        <v>-0</v>
      </c>
      <c r="AF85" s="132" t="n">
        <f aca="false">$F85*K85</f>
        <v>-0</v>
      </c>
      <c r="AG85" s="132" t="n">
        <f aca="false">$F85*L85</f>
        <v>0</v>
      </c>
      <c r="AH85" s="132" t="n">
        <f aca="false">$F85*M85</f>
        <v>0</v>
      </c>
      <c r="AI85" s="132" t="n">
        <f aca="false">$F85*N85</f>
        <v>0</v>
      </c>
      <c r="AJ85" s="132" t="n">
        <f aca="false">F85*O85</f>
        <v>0</v>
      </c>
      <c r="AK85" s="137"/>
      <c r="AL85" s="132" t="n">
        <f aca="false">CHOOSE($G$3,AC85-AD85,AD85-AC85)</f>
        <v>0</v>
      </c>
      <c r="AM85" s="132" t="n">
        <f aca="false">CHOOSE($G$3,AF85-AG85,AG85-AF85)</f>
        <v>0</v>
      </c>
      <c r="AN85" s="132" t="n">
        <f aca="false">CHOOSE($G$3,AI85-AJ85,AJ85-AI85)</f>
        <v>0</v>
      </c>
      <c r="AO85" s="148" t="n">
        <f aca="false">SUM(AL85:AN85)</f>
        <v>0</v>
      </c>
      <c r="AQ85" s="132" t="n">
        <f aca="false">CHOOSE($G$3,AB85-AC85,AC85-AB85)</f>
        <v>0</v>
      </c>
      <c r="AR85" s="132" t="n">
        <f aca="false">CHOOSE($G$3,AE85-AF85,AF85-AE85)</f>
        <v>0</v>
      </c>
      <c r="AS85" s="132" t="n">
        <f aca="false">CHOOSE($G$3,AH85-AI85,AI85-AH85)</f>
        <v>0</v>
      </c>
      <c r="AT85" s="148" t="n">
        <f aca="false">AQ85+AR85+AS85</f>
        <v>0</v>
      </c>
      <c r="AU85" s="148"/>
      <c r="AV85" s="133" t="n">
        <f aca="false">AT85+AO85</f>
        <v>0</v>
      </c>
      <c r="AX85" s="133" t="n">
        <f aca="false">AJ85+AG85+AD85</f>
        <v>0</v>
      </c>
      <c r="AY85" s="149"/>
      <c r="AZ85" s="76" t="n">
        <f aca="false">R85*E85</f>
        <v>0</v>
      </c>
    </row>
    <row r="86" customFormat="false" ht="12.75" hidden="false" customHeight="false" outlineLevel="0" collapsed="false">
      <c r="A86" s="138" t="n">
        <f aca="false">EDATE(A85,1)</f>
        <v>39295</v>
      </c>
      <c r="B86" s="139" t="n">
        <f aca="false">VLOOKUP($A86,Table2,MATCH(I$3,Curves2,0))</f>
        <v>0</v>
      </c>
      <c r="C86" s="140"/>
      <c r="D86" s="141" t="n">
        <f aca="false">B86+C86</f>
        <v>0</v>
      </c>
      <c r="E86" s="126" t="n">
        <f aca="false">IF(Y86=0,0,IF(AND(Y86=1,$H$3=1),D86*T86,IF($H$3=2,D86,"N/A")))</f>
        <v>0</v>
      </c>
      <c r="F86" s="126" t="n">
        <f aca="false">E86*X86</f>
        <v>0</v>
      </c>
      <c r="G86" s="142" t="n">
        <f aca="false">VLOOKUP($A86,Table,MATCH(G$4,Curves,0))</f>
        <v>3.987</v>
      </c>
      <c r="H86" s="143" t="n">
        <f aca="false">G86</f>
        <v>3.987</v>
      </c>
      <c r="I86" s="142" t="n">
        <f aca="false">VLOOKUP($A86,Table1,MATCH(I$3,Curves1,0))</f>
        <v>0</v>
      </c>
      <c r="J86" s="142" t="n">
        <f aca="false">VLOOKUP($A86,Table,MATCH(J$4,Curves,0))</f>
        <v>-0.0305</v>
      </c>
      <c r="K86" s="143" t="n">
        <f aca="false">J86</f>
        <v>-0.0305</v>
      </c>
      <c r="L86" s="144" t="n">
        <v>0</v>
      </c>
      <c r="M86" s="142" t="n">
        <f aca="false">VLOOKUP($A86,Table,MATCH(M$4,Curves,0))</f>
        <v>0.0087</v>
      </c>
      <c r="N86" s="143" t="n">
        <f aca="false">M86</f>
        <v>0.0087</v>
      </c>
      <c r="O86" s="144" t="n">
        <v>0</v>
      </c>
      <c r="P86" s="145"/>
      <c r="Q86" s="144" t="n">
        <f aca="false">M86+J86+G86</f>
        <v>3.9652</v>
      </c>
      <c r="R86" s="144" t="n">
        <f aca="false">O86+L86+I86</f>
        <v>0</v>
      </c>
      <c r="S86" s="145"/>
      <c r="T86" s="71" t="n">
        <f aca="false">A87-A86</f>
        <v>31</v>
      </c>
      <c r="U86" s="146" t="n">
        <f aca="false">CHOOSE(F$3,A87+24,A86)</f>
        <v>39350</v>
      </c>
      <c r="V86" s="71" t="n">
        <f aca="false">U86-C$3</f>
        <v>2462</v>
      </c>
      <c r="W86" s="142" t="n">
        <f aca="false">VLOOKUP($A86,Table,MATCH(W$4,Curves,0))</f>
        <v>0.058966861357273</v>
      </c>
      <c r="X86" s="147" t="n">
        <f aca="false">1/(1+CHOOSE(F$3,(W87+($K$3/10000))/2,(W86+($K$3/10000))/2))^(2*V86/365.25)</f>
        <v>0.675890209342129</v>
      </c>
      <c r="Y86" s="71" t="n">
        <f aca="false">IF(AND(mthbeg&lt;=A86,mthend&gt;=A86),1,0)</f>
        <v>0</v>
      </c>
      <c r="Z86" s="71" t="n">
        <f aca="false">T86*Y86</f>
        <v>0</v>
      </c>
      <c r="AB86" s="132" t="n">
        <f aca="false">F86*G86</f>
        <v>0</v>
      </c>
      <c r="AC86" s="132" t="n">
        <f aca="false">$F86*H86</f>
        <v>0</v>
      </c>
      <c r="AD86" s="132" t="n">
        <f aca="false">$F86*I86</f>
        <v>0</v>
      </c>
      <c r="AE86" s="132" t="n">
        <f aca="false">$F86*J86</f>
        <v>-0</v>
      </c>
      <c r="AF86" s="132" t="n">
        <f aca="false">$F86*K86</f>
        <v>-0</v>
      </c>
      <c r="AG86" s="132" t="n">
        <f aca="false">$F86*L86</f>
        <v>0</v>
      </c>
      <c r="AH86" s="132" t="n">
        <f aca="false">$F86*M86</f>
        <v>0</v>
      </c>
      <c r="AI86" s="132" t="n">
        <f aca="false">$F86*N86</f>
        <v>0</v>
      </c>
      <c r="AJ86" s="132" t="n">
        <f aca="false">F86*O86</f>
        <v>0</v>
      </c>
      <c r="AK86" s="137"/>
      <c r="AL86" s="132" t="n">
        <f aca="false">CHOOSE($G$3,AC86-AD86,AD86-AC86)</f>
        <v>0</v>
      </c>
      <c r="AM86" s="132" t="n">
        <f aca="false">CHOOSE($G$3,AF86-AG86,AG86-AF86)</f>
        <v>0</v>
      </c>
      <c r="AN86" s="132" t="n">
        <f aca="false">CHOOSE($G$3,AI86-AJ86,AJ86-AI86)</f>
        <v>0</v>
      </c>
      <c r="AO86" s="148" t="n">
        <f aca="false">SUM(AL86:AN86)</f>
        <v>0</v>
      </c>
      <c r="AQ86" s="132" t="n">
        <f aca="false">CHOOSE($G$3,AB86-AC86,AC86-AB86)</f>
        <v>0</v>
      </c>
      <c r="AR86" s="132" t="n">
        <f aca="false">CHOOSE($G$3,AE86-AF86,AF86-AE86)</f>
        <v>0</v>
      </c>
      <c r="AS86" s="132" t="n">
        <f aca="false">CHOOSE($G$3,AH86-AI86,AI86-AH86)</f>
        <v>0</v>
      </c>
      <c r="AT86" s="148" t="n">
        <f aca="false">AQ86+AR86+AS86</f>
        <v>0</v>
      </c>
      <c r="AU86" s="148"/>
      <c r="AV86" s="133" t="n">
        <f aca="false">AT86+AO86</f>
        <v>0</v>
      </c>
      <c r="AX86" s="133" t="n">
        <f aca="false">AJ86+AG86+AD86</f>
        <v>0</v>
      </c>
      <c r="AY86" s="149"/>
      <c r="AZ86" s="76" t="n">
        <f aca="false">R86*E86</f>
        <v>0</v>
      </c>
    </row>
    <row r="87" customFormat="false" ht="12.75" hidden="false" customHeight="false" outlineLevel="0" collapsed="false">
      <c r="A87" s="138" t="n">
        <f aca="false">EDATE(A86,1)</f>
        <v>39326</v>
      </c>
      <c r="B87" s="139" t="n">
        <f aca="false">VLOOKUP($A87,Table2,MATCH(I$3,Curves2,0))</f>
        <v>0</v>
      </c>
      <c r="C87" s="140"/>
      <c r="D87" s="141" t="n">
        <f aca="false">B87+C87</f>
        <v>0</v>
      </c>
      <c r="E87" s="126" t="n">
        <f aca="false">IF(Y87=0,0,IF(AND(Y87=1,$H$3=1),D87*T87,IF($H$3=2,D87,"N/A")))</f>
        <v>0</v>
      </c>
      <c r="F87" s="126" t="n">
        <f aca="false">E87*X87</f>
        <v>0</v>
      </c>
      <c r="G87" s="142" t="n">
        <f aca="false">VLOOKUP($A87,Table,MATCH(G$4,Curves,0))</f>
        <v>3.987</v>
      </c>
      <c r="H87" s="143" t="n">
        <f aca="false">G87</f>
        <v>3.987</v>
      </c>
      <c r="I87" s="142" t="n">
        <f aca="false">VLOOKUP($A87,Table1,MATCH(I$3,Curves1,0))</f>
        <v>0</v>
      </c>
      <c r="J87" s="142" t="n">
        <f aca="false">VLOOKUP($A87,Table,MATCH(J$4,Curves,0))</f>
        <v>-0.0305</v>
      </c>
      <c r="K87" s="143" t="n">
        <f aca="false">J87</f>
        <v>-0.0305</v>
      </c>
      <c r="L87" s="144" t="n">
        <v>0</v>
      </c>
      <c r="M87" s="142" t="n">
        <f aca="false">VLOOKUP($A87,Table,MATCH(M$4,Curves,0))</f>
        <v>0.0087</v>
      </c>
      <c r="N87" s="143" t="n">
        <f aca="false">M87</f>
        <v>0.0087</v>
      </c>
      <c r="O87" s="144" t="n">
        <v>0</v>
      </c>
      <c r="P87" s="145"/>
      <c r="Q87" s="144" t="n">
        <f aca="false">M87+J87+G87</f>
        <v>3.9652</v>
      </c>
      <c r="R87" s="144" t="n">
        <f aca="false">O87+L87+I87</f>
        <v>0</v>
      </c>
      <c r="S87" s="145"/>
      <c r="T87" s="71" t="n">
        <f aca="false">A88-A87</f>
        <v>30</v>
      </c>
      <c r="U87" s="146" t="n">
        <f aca="false">CHOOSE(F$3,A88+24,A87)</f>
        <v>39380</v>
      </c>
      <c r="V87" s="71" t="n">
        <f aca="false">U87-C$3</f>
        <v>2492</v>
      </c>
      <c r="W87" s="142" t="n">
        <f aca="false">VLOOKUP($A87,Table,MATCH(W$4,Curves,0))</f>
        <v>0.058966861357273</v>
      </c>
      <c r="X87" s="147" t="n">
        <f aca="false">1/(1+CHOOSE(F$3,(W88+($K$3/10000))/2,(W87+($K$3/10000))/2))^(2*V87/365.25)</f>
        <v>0.672671704600776</v>
      </c>
      <c r="Y87" s="71" t="n">
        <f aca="false">IF(AND(mthbeg&lt;=A87,mthend&gt;=A87),1,0)</f>
        <v>0</v>
      </c>
      <c r="Z87" s="71" t="n">
        <f aca="false">T87*Y87</f>
        <v>0</v>
      </c>
      <c r="AB87" s="132" t="n">
        <f aca="false">F87*G87</f>
        <v>0</v>
      </c>
      <c r="AC87" s="132" t="n">
        <f aca="false">$F87*H87</f>
        <v>0</v>
      </c>
      <c r="AD87" s="132" t="n">
        <f aca="false">$F87*I87</f>
        <v>0</v>
      </c>
      <c r="AE87" s="132" t="n">
        <f aca="false">$F87*J87</f>
        <v>-0</v>
      </c>
      <c r="AF87" s="132" t="n">
        <f aca="false">$F87*K87</f>
        <v>-0</v>
      </c>
      <c r="AG87" s="132" t="n">
        <f aca="false">$F87*L87</f>
        <v>0</v>
      </c>
      <c r="AH87" s="132" t="n">
        <f aca="false">$F87*M87</f>
        <v>0</v>
      </c>
      <c r="AI87" s="132" t="n">
        <f aca="false">$F87*N87</f>
        <v>0</v>
      </c>
      <c r="AJ87" s="132" t="n">
        <f aca="false">F87*O87</f>
        <v>0</v>
      </c>
      <c r="AK87" s="137"/>
      <c r="AL87" s="132" t="n">
        <f aca="false">CHOOSE($G$3,AC87-AD87,AD87-AC87)</f>
        <v>0</v>
      </c>
      <c r="AM87" s="132" t="n">
        <f aca="false">CHOOSE($G$3,AF87-AG87,AG87-AF87)</f>
        <v>0</v>
      </c>
      <c r="AN87" s="132" t="n">
        <f aca="false">CHOOSE($G$3,AI87-AJ87,AJ87-AI87)</f>
        <v>0</v>
      </c>
      <c r="AO87" s="148" t="n">
        <f aca="false">SUM(AL87:AN87)</f>
        <v>0</v>
      </c>
      <c r="AQ87" s="132" t="n">
        <f aca="false">CHOOSE($G$3,AB87-AC87,AC87-AB87)</f>
        <v>0</v>
      </c>
      <c r="AR87" s="132" t="n">
        <f aca="false">CHOOSE($G$3,AE87-AF87,AF87-AE87)</f>
        <v>0</v>
      </c>
      <c r="AS87" s="132" t="n">
        <f aca="false">CHOOSE($G$3,AH87-AI87,AI87-AH87)</f>
        <v>0</v>
      </c>
      <c r="AT87" s="148" t="n">
        <f aca="false">AQ87+AR87+AS87</f>
        <v>0</v>
      </c>
      <c r="AU87" s="148"/>
      <c r="AV87" s="133" t="n">
        <f aca="false">AT87+AO87</f>
        <v>0</v>
      </c>
      <c r="AX87" s="133" t="n">
        <f aca="false">AJ87+AG87+AD87</f>
        <v>0</v>
      </c>
      <c r="AY87" s="149"/>
      <c r="AZ87" s="76" t="n">
        <f aca="false">R87*E87</f>
        <v>0</v>
      </c>
    </row>
    <row r="88" customFormat="false" ht="12.75" hidden="false" customHeight="false" outlineLevel="0" collapsed="false">
      <c r="A88" s="138" t="n">
        <f aca="false">EDATE(A87,1)</f>
        <v>39356</v>
      </c>
      <c r="B88" s="139" t="n">
        <f aca="false">VLOOKUP($A88,Table2,MATCH(I$3,Curves2,0))</f>
        <v>0</v>
      </c>
      <c r="C88" s="140"/>
      <c r="D88" s="141" t="n">
        <f aca="false">B88+C88</f>
        <v>0</v>
      </c>
      <c r="E88" s="126" t="n">
        <f aca="false">IF(Y88=0,0,IF(AND(Y88=1,$H$3=1),D88*T88,IF($H$3=2,D88,"N/A")))</f>
        <v>0</v>
      </c>
      <c r="F88" s="126" t="n">
        <f aca="false">E88*X88</f>
        <v>0</v>
      </c>
      <c r="G88" s="142" t="n">
        <f aca="false">VLOOKUP($A88,Table,MATCH(G$4,Curves,0))</f>
        <v>3.987</v>
      </c>
      <c r="H88" s="143" t="n">
        <f aca="false">G88</f>
        <v>3.987</v>
      </c>
      <c r="I88" s="142" t="n">
        <f aca="false">VLOOKUP($A88,Table1,MATCH(I$3,Curves1,0))</f>
        <v>0</v>
      </c>
      <c r="J88" s="142" t="n">
        <f aca="false">VLOOKUP($A88,Table,MATCH(J$4,Curves,0))</f>
        <v>-0.0305</v>
      </c>
      <c r="K88" s="143" t="n">
        <f aca="false">J88</f>
        <v>-0.0305</v>
      </c>
      <c r="L88" s="144" t="n">
        <v>0</v>
      </c>
      <c r="M88" s="142" t="n">
        <f aca="false">VLOOKUP($A88,Table,MATCH(M$4,Curves,0))</f>
        <v>0.0087</v>
      </c>
      <c r="N88" s="143" t="n">
        <f aca="false">M88</f>
        <v>0.0087</v>
      </c>
      <c r="O88" s="144" t="n">
        <v>0</v>
      </c>
      <c r="P88" s="145"/>
      <c r="Q88" s="144" t="n">
        <f aca="false">M88+J88+G88</f>
        <v>3.9652</v>
      </c>
      <c r="R88" s="144" t="n">
        <f aca="false">O88+L88+I88</f>
        <v>0</v>
      </c>
      <c r="S88" s="145"/>
      <c r="T88" s="71" t="n">
        <f aca="false">A89-A88</f>
        <v>31</v>
      </c>
      <c r="U88" s="146" t="n">
        <f aca="false">CHOOSE(F$3,A89+24,A88)</f>
        <v>39411</v>
      </c>
      <c r="V88" s="71" t="n">
        <f aca="false">U88-C$3</f>
        <v>2523</v>
      </c>
      <c r="W88" s="142" t="n">
        <f aca="false">VLOOKUP($A88,Table,MATCH(W$4,Curves,0))</f>
        <v>0.058966861357273</v>
      </c>
      <c r="X88" s="147" t="n">
        <f aca="false">1/(1+CHOOSE(F$3,(W89+($K$3/10000))/2,(W88+($K$3/10000))/2))^(2*V88/365.25)</f>
        <v>0.669362016453059</v>
      </c>
      <c r="Y88" s="71" t="n">
        <f aca="false">IF(AND(mthbeg&lt;=A88,mthend&gt;=A88),1,0)</f>
        <v>0</v>
      </c>
      <c r="Z88" s="71" t="n">
        <f aca="false">T88*Y88</f>
        <v>0</v>
      </c>
      <c r="AB88" s="132" t="n">
        <f aca="false">F88*G88</f>
        <v>0</v>
      </c>
      <c r="AC88" s="132" t="n">
        <f aca="false">$F88*H88</f>
        <v>0</v>
      </c>
      <c r="AD88" s="132" t="n">
        <f aca="false">$F88*I88</f>
        <v>0</v>
      </c>
      <c r="AE88" s="132" t="n">
        <f aca="false">$F88*J88</f>
        <v>-0</v>
      </c>
      <c r="AF88" s="132" t="n">
        <f aca="false">$F88*K88</f>
        <v>-0</v>
      </c>
      <c r="AG88" s="132" t="n">
        <f aca="false">$F88*L88</f>
        <v>0</v>
      </c>
      <c r="AH88" s="132" t="n">
        <f aca="false">$F88*M88</f>
        <v>0</v>
      </c>
      <c r="AI88" s="132" t="n">
        <f aca="false">$F88*N88</f>
        <v>0</v>
      </c>
      <c r="AJ88" s="132" t="n">
        <f aca="false">F88*O88</f>
        <v>0</v>
      </c>
      <c r="AK88" s="137"/>
      <c r="AL88" s="132" t="n">
        <f aca="false">CHOOSE($G$3,AC88-AD88,AD88-AC88)</f>
        <v>0</v>
      </c>
      <c r="AM88" s="132" t="n">
        <f aca="false">CHOOSE($G$3,AF88-AG88,AG88-AF88)</f>
        <v>0</v>
      </c>
      <c r="AN88" s="132" t="n">
        <f aca="false">CHOOSE($G$3,AI88-AJ88,AJ88-AI88)</f>
        <v>0</v>
      </c>
      <c r="AO88" s="148" t="n">
        <f aca="false">SUM(AL88:AN88)</f>
        <v>0</v>
      </c>
      <c r="AQ88" s="132" t="n">
        <f aca="false">CHOOSE($G$3,AB88-AC88,AC88-AB88)</f>
        <v>0</v>
      </c>
      <c r="AR88" s="132" t="n">
        <f aca="false">CHOOSE($G$3,AE88-AF88,AF88-AE88)</f>
        <v>0</v>
      </c>
      <c r="AS88" s="132" t="n">
        <f aca="false">CHOOSE($G$3,AH88-AI88,AI88-AH88)</f>
        <v>0</v>
      </c>
      <c r="AT88" s="148" t="n">
        <f aca="false">AQ88+AR88+AS88</f>
        <v>0</v>
      </c>
      <c r="AU88" s="148"/>
      <c r="AV88" s="133" t="n">
        <f aca="false">AT88+AO88</f>
        <v>0</v>
      </c>
      <c r="AX88" s="133" t="n">
        <f aca="false">AJ88+AG88+AD88</f>
        <v>0</v>
      </c>
      <c r="AY88" s="149"/>
      <c r="AZ88" s="76" t="n">
        <f aca="false">R88*E88</f>
        <v>0</v>
      </c>
    </row>
    <row r="89" customFormat="false" ht="12.75" hidden="false" customHeight="false" outlineLevel="0" collapsed="false">
      <c r="A89" s="138" t="n">
        <f aca="false">EDATE(A88,1)</f>
        <v>39387</v>
      </c>
      <c r="B89" s="139" t="n">
        <f aca="false">VLOOKUP($A89,Table2,MATCH(I$3,Curves2,0))</f>
        <v>0</v>
      </c>
      <c r="C89" s="140"/>
      <c r="D89" s="141" t="n">
        <f aca="false">B89+C89</f>
        <v>0</v>
      </c>
      <c r="E89" s="126" t="n">
        <f aca="false">IF(Y89=0,0,IF(AND(Y89=1,$H$3=1),D89*T89,IF($H$3=2,D89,"N/A")))</f>
        <v>0</v>
      </c>
      <c r="F89" s="126" t="n">
        <f aca="false">E89*X89</f>
        <v>0</v>
      </c>
      <c r="G89" s="142" t="n">
        <f aca="false">VLOOKUP($A89,Table,MATCH(G$4,Curves,0))</f>
        <v>3.987</v>
      </c>
      <c r="H89" s="143" t="n">
        <f aca="false">G89</f>
        <v>3.987</v>
      </c>
      <c r="I89" s="142" t="n">
        <f aca="false">VLOOKUP($A89,Table1,MATCH(I$3,Curves1,0))</f>
        <v>0</v>
      </c>
      <c r="J89" s="142" t="n">
        <f aca="false">VLOOKUP($A89,Table,MATCH(J$4,Curves,0))</f>
        <v>-0.0305</v>
      </c>
      <c r="K89" s="143" t="n">
        <f aca="false">J89</f>
        <v>-0.0305</v>
      </c>
      <c r="L89" s="144" t="n">
        <v>0</v>
      </c>
      <c r="M89" s="142" t="n">
        <f aca="false">VLOOKUP($A89,Table,MATCH(M$4,Curves,0))</f>
        <v>0.0087</v>
      </c>
      <c r="N89" s="143" t="n">
        <f aca="false">M89</f>
        <v>0.0087</v>
      </c>
      <c r="O89" s="144" t="n">
        <v>0</v>
      </c>
      <c r="P89" s="145"/>
      <c r="Q89" s="144" t="n">
        <f aca="false">M89+J89+G89</f>
        <v>3.9652</v>
      </c>
      <c r="R89" s="144" t="n">
        <f aca="false">O89+L89+I89</f>
        <v>0</v>
      </c>
      <c r="S89" s="145"/>
      <c r="T89" s="71" t="n">
        <f aca="false">A90-A89</f>
        <v>30</v>
      </c>
      <c r="U89" s="146" t="n">
        <f aca="false">CHOOSE(F$3,A90+24,A89)</f>
        <v>39441</v>
      </c>
      <c r="V89" s="71" t="n">
        <f aca="false">U89-C$3</f>
        <v>2553</v>
      </c>
      <c r="W89" s="142" t="n">
        <f aca="false">VLOOKUP($A89,Table,MATCH(W$4,Curves,0))</f>
        <v>0.058966861357273</v>
      </c>
      <c r="X89" s="147" t="n">
        <f aca="false">1/(1+CHOOSE(F$3,(W90+($K$3/10000))/2,(W89+($K$3/10000))/2))^(2*V89/365.25)</f>
        <v>0.66617459815071</v>
      </c>
      <c r="Y89" s="71" t="n">
        <f aca="false">IF(AND(mthbeg&lt;=A89,mthend&gt;=A89),1,0)</f>
        <v>0</v>
      </c>
      <c r="Z89" s="71" t="n">
        <f aca="false">T89*Y89</f>
        <v>0</v>
      </c>
      <c r="AB89" s="132" t="n">
        <f aca="false">F89*G89</f>
        <v>0</v>
      </c>
      <c r="AC89" s="132" t="n">
        <f aca="false">$F89*H89</f>
        <v>0</v>
      </c>
      <c r="AD89" s="132" t="n">
        <f aca="false">$F89*I89</f>
        <v>0</v>
      </c>
      <c r="AE89" s="132" t="n">
        <f aca="false">$F89*J89</f>
        <v>-0</v>
      </c>
      <c r="AF89" s="132" t="n">
        <f aca="false">$F89*K89</f>
        <v>-0</v>
      </c>
      <c r="AG89" s="132" t="n">
        <f aca="false">$F89*L89</f>
        <v>0</v>
      </c>
      <c r="AH89" s="132" t="n">
        <f aca="false">$F89*M89</f>
        <v>0</v>
      </c>
      <c r="AI89" s="132" t="n">
        <f aca="false">$F89*N89</f>
        <v>0</v>
      </c>
      <c r="AJ89" s="132" t="n">
        <f aca="false">F89*O89</f>
        <v>0</v>
      </c>
      <c r="AK89" s="137"/>
      <c r="AL89" s="132" t="n">
        <f aca="false">CHOOSE($G$3,AC89-AD89,AD89-AC89)</f>
        <v>0</v>
      </c>
      <c r="AM89" s="132" t="n">
        <f aca="false">CHOOSE($G$3,AF89-AG89,AG89-AF89)</f>
        <v>0</v>
      </c>
      <c r="AN89" s="132" t="n">
        <f aca="false">CHOOSE($G$3,AI89-AJ89,AJ89-AI89)</f>
        <v>0</v>
      </c>
      <c r="AO89" s="148" t="n">
        <f aca="false">SUM(AL89:AN89)</f>
        <v>0</v>
      </c>
      <c r="AQ89" s="132" t="n">
        <f aca="false">CHOOSE($G$3,AB89-AC89,AC89-AB89)</f>
        <v>0</v>
      </c>
      <c r="AR89" s="132" t="n">
        <f aca="false">CHOOSE($G$3,AE89-AF89,AF89-AE89)</f>
        <v>0</v>
      </c>
      <c r="AS89" s="132" t="n">
        <f aca="false">CHOOSE($G$3,AH89-AI89,AI89-AH89)</f>
        <v>0</v>
      </c>
      <c r="AT89" s="148" t="n">
        <f aca="false">AQ89+AR89+AS89</f>
        <v>0</v>
      </c>
      <c r="AU89" s="148"/>
      <c r="AV89" s="133" t="n">
        <f aca="false">AT89+AO89</f>
        <v>0</v>
      </c>
      <c r="AX89" s="133" t="n">
        <f aca="false">AJ89+AG89+AD89</f>
        <v>0</v>
      </c>
      <c r="AY89" s="149"/>
      <c r="AZ89" s="76" t="n">
        <f aca="false">R89*E89</f>
        <v>0</v>
      </c>
    </row>
    <row r="90" customFormat="false" ht="12.75" hidden="false" customHeight="false" outlineLevel="0" collapsed="false">
      <c r="A90" s="138" t="n">
        <f aca="false">EDATE(A89,1)</f>
        <v>39417</v>
      </c>
      <c r="B90" s="139" t="n">
        <f aca="false">VLOOKUP($A90,Table2,MATCH(I$3,Curves2,0))</f>
        <v>0</v>
      </c>
      <c r="C90" s="140"/>
      <c r="D90" s="141" t="n">
        <f aca="false">B90+C90</f>
        <v>0</v>
      </c>
      <c r="E90" s="126" t="n">
        <f aca="false">IF(Y90=0,0,IF(AND(Y90=1,$H$3=1),D90*T90,IF($H$3=2,D90,"N/A")))</f>
        <v>0</v>
      </c>
      <c r="F90" s="126" t="n">
        <f aca="false">E90*X90</f>
        <v>0</v>
      </c>
      <c r="G90" s="142" t="n">
        <f aca="false">VLOOKUP($A90,Table,MATCH(G$4,Curves,0))</f>
        <v>3.987</v>
      </c>
      <c r="H90" s="143" t="n">
        <f aca="false">G90</f>
        <v>3.987</v>
      </c>
      <c r="I90" s="142" t="n">
        <f aca="false">VLOOKUP($A90,Table1,MATCH(I$3,Curves1,0))</f>
        <v>0</v>
      </c>
      <c r="J90" s="142" t="n">
        <f aca="false">VLOOKUP($A90,Table,MATCH(J$4,Curves,0))</f>
        <v>-0.0305</v>
      </c>
      <c r="K90" s="143" t="n">
        <f aca="false">J90</f>
        <v>-0.0305</v>
      </c>
      <c r="L90" s="144" t="n">
        <v>0</v>
      </c>
      <c r="M90" s="142" t="n">
        <f aca="false">VLOOKUP($A90,Table,MATCH(M$4,Curves,0))</f>
        <v>0.0087</v>
      </c>
      <c r="N90" s="143" t="n">
        <f aca="false">M90</f>
        <v>0.0087</v>
      </c>
      <c r="O90" s="144" t="n">
        <v>0</v>
      </c>
      <c r="P90" s="145"/>
      <c r="Q90" s="144" t="n">
        <f aca="false">M90+J90+G90</f>
        <v>3.9652</v>
      </c>
      <c r="R90" s="144" t="n">
        <f aca="false">O90+L90+I90</f>
        <v>0</v>
      </c>
      <c r="S90" s="145"/>
      <c r="T90" s="71" t="n">
        <f aca="false">A91-A90</f>
        <v>31</v>
      </c>
      <c r="U90" s="146" t="n">
        <f aca="false">CHOOSE(F$3,A91+24,A90)</f>
        <v>39472</v>
      </c>
      <c r="V90" s="71" t="n">
        <f aca="false">U90-C$3</f>
        <v>2584</v>
      </c>
      <c r="W90" s="142" t="n">
        <f aca="false">VLOOKUP($A90,Table,MATCH(W$4,Curves,0))</f>
        <v>0.058966861357273</v>
      </c>
      <c r="X90" s="147" t="n">
        <f aca="false">1/(1+CHOOSE(F$3,(W91+($K$3/10000))/2,(W90+($K$3/10000))/2))^(2*V90/365.25)</f>
        <v>0.662896877151403</v>
      </c>
      <c r="Y90" s="71" t="n">
        <f aca="false">IF(AND(mthbeg&lt;=A90,mthend&gt;=A90),1,0)</f>
        <v>0</v>
      </c>
      <c r="Z90" s="71" t="n">
        <f aca="false">T90*Y90</f>
        <v>0</v>
      </c>
      <c r="AB90" s="132" t="n">
        <f aca="false">F90*G90</f>
        <v>0</v>
      </c>
      <c r="AC90" s="132" t="n">
        <f aca="false">$F90*H90</f>
        <v>0</v>
      </c>
      <c r="AD90" s="132" t="n">
        <f aca="false">$F90*I90</f>
        <v>0</v>
      </c>
      <c r="AE90" s="132" t="n">
        <f aca="false">$F90*J90</f>
        <v>-0</v>
      </c>
      <c r="AF90" s="132" t="n">
        <f aca="false">$F90*K90</f>
        <v>-0</v>
      </c>
      <c r="AG90" s="132" t="n">
        <f aca="false">$F90*L90</f>
        <v>0</v>
      </c>
      <c r="AH90" s="132" t="n">
        <f aca="false">$F90*M90</f>
        <v>0</v>
      </c>
      <c r="AI90" s="132" t="n">
        <f aca="false">$F90*N90</f>
        <v>0</v>
      </c>
      <c r="AJ90" s="132" t="n">
        <f aca="false">F90*O90</f>
        <v>0</v>
      </c>
      <c r="AK90" s="137"/>
      <c r="AL90" s="132" t="n">
        <f aca="false">CHOOSE($G$3,AC90-AD90,AD90-AC90)</f>
        <v>0</v>
      </c>
      <c r="AM90" s="132" t="n">
        <f aca="false">CHOOSE($G$3,AF90-AG90,AG90-AF90)</f>
        <v>0</v>
      </c>
      <c r="AN90" s="132" t="n">
        <f aca="false">CHOOSE($G$3,AI90-AJ90,AJ90-AI90)</f>
        <v>0</v>
      </c>
      <c r="AO90" s="148" t="n">
        <f aca="false">SUM(AL90:AN90)</f>
        <v>0</v>
      </c>
      <c r="AQ90" s="132" t="n">
        <f aca="false">CHOOSE($G$3,AB90-AC90,AC90-AB90)</f>
        <v>0</v>
      </c>
      <c r="AR90" s="132" t="n">
        <f aca="false">CHOOSE($G$3,AE90-AF90,AF90-AE90)</f>
        <v>0</v>
      </c>
      <c r="AS90" s="132" t="n">
        <f aca="false">CHOOSE($G$3,AH90-AI90,AI90-AH90)</f>
        <v>0</v>
      </c>
      <c r="AT90" s="148" t="n">
        <f aca="false">AQ90+AR90+AS90</f>
        <v>0</v>
      </c>
      <c r="AU90" s="148"/>
      <c r="AV90" s="133" t="n">
        <f aca="false">AT90+AO90</f>
        <v>0</v>
      </c>
      <c r="AX90" s="133" t="n">
        <f aca="false">AJ90+AG90+AD90</f>
        <v>0</v>
      </c>
      <c r="AY90" s="149"/>
      <c r="AZ90" s="76" t="n">
        <f aca="false">R90*E90</f>
        <v>0</v>
      </c>
    </row>
    <row r="91" customFormat="false" ht="12.75" hidden="false" customHeight="false" outlineLevel="0" collapsed="false">
      <c r="A91" s="138" t="n">
        <f aca="false">EDATE(A90,1)</f>
        <v>39448</v>
      </c>
      <c r="B91" s="139" t="n">
        <f aca="false">VLOOKUP($A91,Table2,MATCH(I$3,Curves2,0))</f>
        <v>0</v>
      </c>
      <c r="C91" s="140"/>
      <c r="D91" s="141" t="n">
        <f aca="false">B91+C91</f>
        <v>0</v>
      </c>
      <c r="E91" s="126" t="n">
        <f aca="false">IF(Y91=0,0,IF(AND(Y91=1,$H$3=1),D91*T91,IF($H$3=2,D91,"N/A")))</f>
        <v>0</v>
      </c>
      <c r="F91" s="126" t="n">
        <f aca="false">E91*X91</f>
        <v>0</v>
      </c>
      <c r="G91" s="142" t="n">
        <f aca="false">VLOOKUP($A91,Table,MATCH(G$4,Curves,0))</f>
        <v>3.987</v>
      </c>
      <c r="H91" s="143" t="n">
        <f aca="false">G91</f>
        <v>3.987</v>
      </c>
      <c r="I91" s="142" t="n">
        <f aca="false">VLOOKUP($A91,Table1,MATCH(I$3,Curves1,0))</f>
        <v>0</v>
      </c>
      <c r="J91" s="142" t="n">
        <f aca="false">VLOOKUP($A91,Table,MATCH(J$4,Curves,0))</f>
        <v>-0.0305</v>
      </c>
      <c r="K91" s="143" t="n">
        <f aca="false">J91</f>
        <v>-0.0305</v>
      </c>
      <c r="L91" s="144" t="n">
        <v>0</v>
      </c>
      <c r="M91" s="142" t="n">
        <f aca="false">VLOOKUP($A91,Table,MATCH(M$4,Curves,0))</f>
        <v>0.0087</v>
      </c>
      <c r="N91" s="143" t="n">
        <f aca="false">M91</f>
        <v>0.0087</v>
      </c>
      <c r="O91" s="144" t="n">
        <v>0</v>
      </c>
      <c r="P91" s="145"/>
      <c r="Q91" s="144" t="n">
        <f aca="false">M91+J91+G91</f>
        <v>3.9652</v>
      </c>
      <c r="R91" s="144" t="n">
        <f aca="false">O91+L91+I91</f>
        <v>0</v>
      </c>
      <c r="S91" s="145"/>
      <c r="T91" s="71" t="n">
        <f aca="false">A92-A91</f>
        <v>31</v>
      </c>
      <c r="U91" s="146" t="n">
        <f aca="false">CHOOSE(F$3,A92+24,A91)</f>
        <v>39503</v>
      </c>
      <c r="V91" s="71" t="n">
        <f aca="false">U91-C$3</f>
        <v>2615</v>
      </c>
      <c r="W91" s="142" t="n">
        <f aca="false">VLOOKUP($A91,Table,MATCH(W$4,Curves,0))</f>
        <v>0.058966861357273</v>
      </c>
      <c r="X91" s="147" t="n">
        <f aca="false">1/(1+CHOOSE(F$3,(W92+($K$3/10000))/2,(W91+($K$3/10000))/2))^(2*V91/365.25)</f>
        <v>0.659635283237967</v>
      </c>
      <c r="Y91" s="71" t="n">
        <f aca="false">IF(AND(mthbeg&lt;=A91,mthend&gt;=A91),1,0)</f>
        <v>0</v>
      </c>
      <c r="Z91" s="71" t="n">
        <f aca="false">T91*Y91</f>
        <v>0</v>
      </c>
      <c r="AB91" s="132" t="n">
        <f aca="false">F91*G91</f>
        <v>0</v>
      </c>
      <c r="AC91" s="132" t="n">
        <f aca="false">$F91*H91</f>
        <v>0</v>
      </c>
      <c r="AD91" s="132" t="n">
        <f aca="false">$F91*I91</f>
        <v>0</v>
      </c>
      <c r="AE91" s="132" t="n">
        <f aca="false">$F91*J91</f>
        <v>-0</v>
      </c>
      <c r="AF91" s="132" t="n">
        <f aca="false">$F91*K91</f>
        <v>-0</v>
      </c>
      <c r="AG91" s="132" t="n">
        <f aca="false">$F91*L91</f>
        <v>0</v>
      </c>
      <c r="AH91" s="132" t="n">
        <f aca="false">$F91*M91</f>
        <v>0</v>
      </c>
      <c r="AI91" s="132" t="n">
        <f aca="false">$F91*N91</f>
        <v>0</v>
      </c>
      <c r="AJ91" s="132" t="n">
        <f aca="false">F91*O91</f>
        <v>0</v>
      </c>
      <c r="AK91" s="137"/>
      <c r="AL91" s="132" t="n">
        <f aca="false">CHOOSE($G$3,AC91-AD91,AD91-AC91)</f>
        <v>0</v>
      </c>
      <c r="AM91" s="132" t="n">
        <f aca="false">CHOOSE($G$3,AF91-AG91,AG91-AF91)</f>
        <v>0</v>
      </c>
      <c r="AN91" s="132" t="n">
        <f aca="false">CHOOSE($G$3,AI91-AJ91,AJ91-AI91)</f>
        <v>0</v>
      </c>
      <c r="AO91" s="148" t="n">
        <f aca="false">SUM(AL91:AN91)</f>
        <v>0</v>
      </c>
      <c r="AQ91" s="132" t="n">
        <f aca="false">CHOOSE($G$3,AB91-AC91,AC91-AB91)</f>
        <v>0</v>
      </c>
      <c r="AR91" s="132" t="n">
        <f aca="false">CHOOSE($G$3,AE91-AF91,AF91-AE91)</f>
        <v>0</v>
      </c>
      <c r="AS91" s="132" t="n">
        <f aca="false">CHOOSE($G$3,AH91-AI91,AI91-AH91)</f>
        <v>0</v>
      </c>
      <c r="AT91" s="148" t="n">
        <f aca="false">AQ91+AR91+AS91</f>
        <v>0</v>
      </c>
      <c r="AU91" s="148"/>
      <c r="AV91" s="133" t="n">
        <f aca="false">AT91+AO91</f>
        <v>0</v>
      </c>
      <c r="AX91" s="133" t="n">
        <f aca="false">AJ91+AG91+AD91</f>
        <v>0</v>
      </c>
      <c r="AY91" s="149"/>
      <c r="AZ91" s="76" t="n">
        <f aca="false">R91*E91</f>
        <v>0</v>
      </c>
    </row>
    <row r="92" customFormat="false" ht="12.75" hidden="false" customHeight="false" outlineLevel="0" collapsed="false">
      <c r="A92" s="138" t="n">
        <f aca="false">EDATE(A91,1)</f>
        <v>39479</v>
      </c>
      <c r="B92" s="139" t="n">
        <f aca="false">VLOOKUP($A92,Table2,MATCH(I$3,Curves2,0))</f>
        <v>0</v>
      </c>
      <c r="C92" s="140"/>
      <c r="D92" s="141" t="n">
        <f aca="false">B92+C92</f>
        <v>0</v>
      </c>
      <c r="E92" s="126" t="n">
        <f aca="false">IF(Y92=0,0,IF(AND(Y92=1,$H$3=1),D92*T92,IF($H$3=2,D92,"N/A")))</f>
        <v>0</v>
      </c>
      <c r="F92" s="126" t="n">
        <f aca="false">E92*X92</f>
        <v>0</v>
      </c>
      <c r="G92" s="142" t="n">
        <f aca="false">VLOOKUP($A92,Table,MATCH(G$4,Curves,0))</f>
        <v>3.987</v>
      </c>
      <c r="H92" s="143" t="n">
        <f aca="false">G92</f>
        <v>3.987</v>
      </c>
      <c r="I92" s="142" t="n">
        <f aca="false">VLOOKUP($A92,Table1,MATCH(I$3,Curves1,0))</f>
        <v>0</v>
      </c>
      <c r="J92" s="142" t="n">
        <f aca="false">VLOOKUP($A92,Table,MATCH(J$4,Curves,0))</f>
        <v>-0.0305</v>
      </c>
      <c r="K92" s="143" t="n">
        <f aca="false">J92</f>
        <v>-0.0305</v>
      </c>
      <c r="L92" s="144" t="n">
        <v>0</v>
      </c>
      <c r="M92" s="142" t="n">
        <f aca="false">VLOOKUP($A92,Table,MATCH(M$4,Curves,0))</f>
        <v>0.0087</v>
      </c>
      <c r="N92" s="143" t="n">
        <f aca="false">M92</f>
        <v>0.0087</v>
      </c>
      <c r="O92" s="144" t="n">
        <v>0</v>
      </c>
      <c r="P92" s="145"/>
      <c r="Q92" s="144" t="n">
        <f aca="false">M92+J92+G92</f>
        <v>3.9652</v>
      </c>
      <c r="R92" s="144" t="n">
        <f aca="false">O92+L92+I92</f>
        <v>0</v>
      </c>
      <c r="S92" s="145"/>
      <c r="T92" s="71" t="n">
        <f aca="false">A93-A92</f>
        <v>29</v>
      </c>
      <c r="U92" s="146" t="n">
        <f aca="false">CHOOSE(F$3,A93+24,A92)</f>
        <v>39532</v>
      </c>
      <c r="V92" s="71" t="n">
        <f aca="false">U92-C$3</f>
        <v>2644</v>
      </c>
      <c r="W92" s="142" t="n">
        <f aca="false">VLOOKUP($A92,Table,MATCH(W$4,Curves,0))</f>
        <v>0.058966861357273</v>
      </c>
      <c r="X92" s="147" t="n">
        <f aca="false">1/(1+CHOOSE(F$3,(W93+($K$3/10000))/2,(W92+($K$3/10000))/2))^(2*V92/365.25)</f>
        <v>0.656598644405898</v>
      </c>
      <c r="Y92" s="71" t="n">
        <f aca="false">IF(AND(mthbeg&lt;=A92,mthend&gt;=A92),1,0)</f>
        <v>0</v>
      </c>
      <c r="Z92" s="71" t="n">
        <f aca="false">T92*Y92</f>
        <v>0</v>
      </c>
      <c r="AB92" s="132" t="n">
        <f aca="false">F92*G92</f>
        <v>0</v>
      </c>
      <c r="AC92" s="132" t="n">
        <f aca="false">$F92*H92</f>
        <v>0</v>
      </c>
      <c r="AD92" s="132" t="n">
        <f aca="false">$F92*I92</f>
        <v>0</v>
      </c>
      <c r="AE92" s="132" t="n">
        <f aca="false">$F92*J92</f>
        <v>-0</v>
      </c>
      <c r="AF92" s="132" t="n">
        <f aca="false">$F92*K92</f>
        <v>-0</v>
      </c>
      <c r="AG92" s="132" t="n">
        <f aca="false">$F92*L92</f>
        <v>0</v>
      </c>
      <c r="AH92" s="132" t="n">
        <f aca="false">$F92*M92</f>
        <v>0</v>
      </c>
      <c r="AI92" s="132" t="n">
        <f aca="false">$F92*N92</f>
        <v>0</v>
      </c>
      <c r="AJ92" s="132" t="n">
        <f aca="false">F92*O92</f>
        <v>0</v>
      </c>
      <c r="AK92" s="137"/>
      <c r="AL92" s="132" t="n">
        <f aca="false">CHOOSE($G$3,AC92-AD92,AD92-AC92)</f>
        <v>0</v>
      </c>
      <c r="AM92" s="132" t="n">
        <f aca="false">CHOOSE($G$3,AF92-AG92,AG92-AF92)</f>
        <v>0</v>
      </c>
      <c r="AN92" s="132" t="n">
        <f aca="false">CHOOSE($G$3,AI92-AJ92,AJ92-AI92)</f>
        <v>0</v>
      </c>
      <c r="AO92" s="148" t="n">
        <f aca="false">SUM(AL92:AN92)</f>
        <v>0</v>
      </c>
      <c r="AQ92" s="132" t="n">
        <f aca="false">CHOOSE($G$3,AB92-AC92,AC92-AB92)</f>
        <v>0</v>
      </c>
      <c r="AR92" s="132" t="n">
        <f aca="false">CHOOSE($G$3,AE92-AF92,AF92-AE92)</f>
        <v>0</v>
      </c>
      <c r="AS92" s="132" t="n">
        <f aca="false">CHOOSE($G$3,AH92-AI92,AI92-AH92)</f>
        <v>0</v>
      </c>
      <c r="AT92" s="148" t="n">
        <f aca="false">AQ92+AR92+AS92</f>
        <v>0</v>
      </c>
      <c r="AU92" s="148"/>
      <c r="AV92" s="133" t="n">
        <f aca="false">AT92+AO92</f>
        <v>0</v>
      </c>
      <c r="AX92" s="133" t="n">
        <f aca="false">AJ92+AG92+AD92</f>
        <v>0</v>
      </c>
      <c r="AY92" s="149"/>
      <c r="AZ92" s="76" t="n">
        <f aca="false">R92*E92</f>
        <v>0</v>
      </c>
    </row>
    <row r="93" customFormat="false" ht="12.75" hidden="false" customHeight="false" outlineLevel="0" collapsed="false">
      <c r="A93" s="138" t="n">
        <f aca="false">EDATE(A92,1)</f>
        <v>39508</v>
      </c>
      <c r="B93" s="139" t="n">
        <f aca="false">VLOOKUP($A93,Table2,MATCH(I$3,Curves2,0))</f>
        <v>0</v>
      </c>
      <c r="C93" s="140"/>
      <c r="D93" s="141" t="n">
        <f aca="false">B93+C93</f>
        <v>0</v>
      </c>
      <c r="E93" s="126" t="n">
        <f aca="false">IF(Y93=0,0,IF(AND(Y93=1,$H$3=1),D93*T93,IF($H$3=2,D93,"N/A")))</f>
        <v>0</v>
      </c>
      <c r="F93" s="126" t="n">
        <f aca="false">E93*X93</f>
        <v>0</v>
      </c>
      <c r="G93" s="142" t="n">
        <f aca="false">VLOOKUP($A93,Table,MATCH(G$4,Curves,0))</f>
        <v>3.987</v>
      </c>
      <c r="H93" s="143" t="n">
        <f aca="false">G93</f>
        <v>3.987</v>
      </c>
      <c r="I93" s="142" t="n">
        <f aca="false">VLOOKUP($A93,Table1,MATCH(I$3,Curves1,0))</f>
        <v>0</v>
      </c>
      <c r="J93" s="142" t="n">
        <f aca="false">VLOOKUP($A93,Table,MATCH(J$4,Curves,0))</f>
        <v>-0.0305</v>
      </c>
      <c r="K93" s="143" t="n">
        <f aca="false">J93</f>
        <v>-0.0305</v>
      </c>
      <c r="L93" s="144" t="n">
        <v>0</v>
      </c>
      <c r="M93" s="142" t="n">
        <f aca="false">VLOOKUP($A93,Table,MATCH(M$4,Curves,0))</f>
        <v>0.0087</v>
      </c>
      <c r="N93" s="143" t="n">
        <f aca="false">M93</f>
        <v>0.0087</v>
      </c>
      <c r="O93" s="144" t="n">
        <v>0</v>
      </c>
      <c r="P93" s="145"/>
      <c r="Q93" s="144" t="n">
        <f aca="false">M93+J93+G93</f>
        <v>3.9652</v>
      </c>
      <c r="R93" s="144" t="n">
        <f aca="false">O93+L93+I93</f>
        <v>0</v>
      </c>
      <c r="S93" s="145"/>
      <c r="T93" s="71" t="n">
        <f aca="false">A94-A93</f>
        <v>31</v>
      </c>
      <c r="U93" s="146" t="n">
        <f aca="false">CHOOSE(F$3,A94+24,A93)</f>
        <v>39563</v>
      </c>
      <c r="V93" s="71" t="n">
        <f aca="false">U93-C$3</f>
        <v>2675</v>
      </c>
      <c r="W93" s="142" t="n">
        <f aca="false">VLOOKUP($A93,Table,MATCH(W$4,Curves,0))</f>
        <v>0.058966861357273</v>
      </c>
      <c r="X93" s="147" t="n">
        <f aca="false">1/(1+CHOOSE(F$3,(W94+($K$3/10000))/2,(W93+($K$3/10000))/2))^(2*V93/365.25)</f>
        <v>0.653368039139861</v>
      </c>
      <c r="Y93" s="71" t="n">
        <f aca="false">IF(AND(mthbeg&lt;=A93,mthend&gt;=A93),1,0)</f>
        <v>0</v>
      </c>
      <c r="Z93" s="71" t="n">
        <f aca="false">T93*Y93</f>
        <v>0</v>
      </c>
      <c r="AB93" s="132" t="n">
        <f aca="false">F93*G93</f>
        <v>0</v>
      </c>
      <c r="AC93" s="132" t="n">
        <f aca="false">$F93*H93</f>
        <v>0</v>
      </c>
      <c r="AD93" s="132" t="n">
        <f aca="false">$F93*I93</f>
        <v>0</v>
      </c>
      <c r="AE93" s="132" t="n">
        <f aca="false">$F93*J93</f>
        <v>-0</v>
      </c>
      <c r="AF93" s="132" t="n">
        <f aca="false">$F93*K93</f>
        <v>-0</v>
      </c>
      <c r="AG93" s="132" t="n">
        <f aca="false">$F93*L93</f>
        <v>0</v>
      </c>
      <c r="AH93" s="132" t="n">
        <f aca="false">$F93*M93</f>
        <v>0</v>
      </c>
      <c r="AI93" s="132" t="n">
        <f aca="false">$F93*N93</f>
        <v>0</v>
      </c>
      <c r="AJ93" s="132" t="n">
        <f aca="false">F93*O93</f>
        <v>0</v>
      </c>
      <c r="AK93" s="137"/>
      <c r="AL93" s="132" t="n">
        <f aca="false">CHOOSE($G$3,AC93-AD93,AD93-AC93)</f>
        <v>0</v>
      </c>
      <c r="AM93" s="132" t="n">
        <f aca="false">CHOOSE($G$3,AF93-AG93,AG93-AF93)</f>
        <v>0</v>
      </c>
      <c r="AN93" s="132" t="n">
        <f aca="false">CHOOSE($G$3,AI93-AJ93,AJ93-AI93)</f>
        <v>0</v>
      </c>
      <c r="AO93" s="148" t="n">
        <f aca="false">SUM(AL93:AN93)</f>
        <v>0</v>
      </c>
      <c r="AQ93" s="132" t="n">
        <f aca="false">CHOOSE($G$3,AB93-AC93,AC93-AB93)</f>
        <v>0</v>
      </c>
      <c r="AR93" s="132" t="n">
        <f aca="false">CHOOSE($G$3,AE93-AF93,AF93-AE93)</f>
        <v>0</v>
      </c>
      <c r="AS93" s="132" t="n">
        <f aca="false">CHOOSE($G$3,AH93-AI93,AI93-AH93)</f>
        <v>0</v>
      </c>
      <c r="AT93" s="148" t="n">
        <f aca="false">AQ93+AR93+AS93</f>
        <v>0</v>
      </c>
      <c r="AU93" s="148"/>
      <c r="AV93" s="133" t="n">
        <f aca="false">AT93+AO93</f>
        <v>0</v>
      </c>
      <c r="AX93" s="133" t="n">
        <f aca="false">AJ93+AG93+AD93</f>
        <v>0</v>
      </c>
      <c r="AY93" s="149"/>
      <c r="AZ93" s="76" t="n">
        <f aca="false">R93*E93</f>
        <v>0</v>
      </c>
    </row>
    <row r="94" customFormat="false" ht="12.75" hidden="false" customHeight="false" outlineLevel="0" collapsed="false">
      <c r="A94" s="138" t="n">
        <f aca="false">EDATE(A93,1)</f>
        <v>39539</v>
      </c>
      <c r="B94" s="139" t="n">
        <f aca="false">VLOOKUP($A94,Table2,MATCH(I$3,Curves2,0))</f>
        <v>0</v>
      </c>
      <c r="C94" s="140"/>
      <c r="D94" s="141" t="n">
        <f aca="false">B94+C94</f>
        <v>0</v>
      </c>
      <c r="E94" s="126" t="n">
        <f aca="false">IF(Y94=0,0,IF(AND(Y94=1,$H$3=1),D94*T94,IF($H$3=2,D94,"N/A")))</f>
        <v>0</v>
      </c>
      <c r="F94" s="126" t="n">
        <f aca="false">E94*X94</f>
        <v>0</v>
      </c>
      <c r="G94" s="142" t="n">
        <f aca="false">VLOOKUP($A94,Table,MATCH(G$4,Curves,0))</f>
        <v>3.987</v>
      </c>
      <c r="H94" s="143" t="n">
        <f aca="false">G94</f>
        <v>3.987</v>
      </c>
      <c r="I94" s="142" t="n">
        <f aca="false">VLOOKUP($A94,Table1,MATCH(I$3,Curves1,0))</f>
        <v>0</v>
      </c>
      <c r="J94" s="142" t="n">
        <f aca="false">VLOOKUP($A94,Table,MATCH(J$4,Curves,0))</f>
        <v>-0.0305</v>
      </c>
      <c r="K94" s="143" t="n">
        <f aca="false">J94</f>
        <v>-0.0305</v>
      </c>
      <c r="L94" s="144" t="n">
        <v>0</v>
      </c>
      <c r="M94" s="142" t="n">
        <f aca="false">VLOOKUP($A94,Table,MATCH(M$4,Curves,0))</f>
        <v>0.0087</v>
      </c>
      <c r="N94" s="143" t="n">
        <f aca="false">M94</f>
        <v>0.0087</v>
      </c>
      <c r="O94" s="144" t="n">
        <v>0</v>
      </c>
      <c r="P94" s="145"/>
      <c r="Q94" s="144" t="n">
        <f aca="false">M94+J94+G94</f>
        <v>3.9652</v>
      </c>
      <c r="R94" s="144" t="n">
        <f aca="false">O94+L94+I94</f>
        <v>0</v>
      </c>
      <c r="S94" s="145"/>
      <c r="T94" s="71" t="n">
        <f aca="false">A95-A94</f>
        <v>30</v>
      </c>
      <c r="U94" s="146" t="n">
        <f aca="false">CHOOSE(F$3,A95+24,A94)</f>
        <v>39593</v>
      </c>
      <c r="V94" s="71" t="n">
        <f aca="false">U94-C$3</f>
        <v>2705</v>
      </c>
      <c r="W94" s="142" t="n">
        <f aca="false">VLOOKUP($A94,Table,MATCH(W$4,Curves,0))</f>
        <v>0.058966861357273</v>
      </c>
      <c r="X94" s="147" t="n">
        <f aca="false">1/(1+CHOOSE(F$3,(W95+($K$3/10000))/2,(W94+($K$3/10000))/2))^(2*V94/365.25)</f>
        <v>0.650256782159431</v>
      </c>
      <c r="Y94" s="71" t="n">
        <f aca="false">IF(AND(mthbeg&lt;=A94,mthend&gt;=A94),1,0)</f>
        <v>0</v>
      </c>
      <c r="Z94" s="71" t="n">
        <f aca="false">T94*Y94</f>
        <v>0</v>
      </c>
      <c r="AB94" s="132" t="n">
        <f aca="false">F94*G94</f>
        <v>0</v>
      </c>
      <c r="AC94" s="132" t="n">
        <f aca="false">$F94*H94</f>
        <v>0</v>
      </c>
      <c r="AD94" s="132" t="n">
        <f aca="false">$F94*I94</f>
        <v>0</v>
      </c>
      <c r="AE94" s="132" t="n">
        <f aca="false">$F94*J94</f>
        <v>-0</v>
      </c>
      <c r="AF94" s="132" t="n">
        <f aca="false">$F94*K94</f>
        <v>-0</v>
      </c>
      <c r="AG94" s="132" t="n">
        <f aca="false">$F94*L94</f>
        <v>0</v>
      </c>
      <c r="AH94" s="132" t="n">
        <f aca="false">$F94*M94</f>
        <v>0</v>
      </c>
      <c r="AI94" s="132" t="n">
        <f aca="false">$F94*N94</f>
        <v>0</v>
      </c>
      <c r="AJ94" s="132" t="n">
        <f aca="false">F94*O94</f>
        <v>0</v>
      </c>
      <c r="AK94" s="137"/>
      <c r="AL94" s="132" t="n">
        <f aca="false">CHOOSE($G$3,AC94-AD94,AD94-AC94)</f>
        <v>0</v>
      </c>
      <c r="AM94" s="132" t="n">
        <f aca="false">CHOOSE($G$3,AF94-AG94,AG94-AF94)</f>
        <v>0</v>
      </c>
      <c r="AN94" s="132" t="n">
        <f aca="false">CHOOSE($G$3,AI94-AJ94,AJ94-AI94)</f>
        <v>0</v>
      </c>
      <c r="AO94" s="148" t="n">
        <f aca="false">SUM(AL94:AN94)</f>
        <v>0</v>
      </c>
      <c r="AQ94" s="132" t="n">
        <f aca="false">CHOOSE($G$3,AB94-AC94,AC94-AB94)</f>
        <v>0</v>
      </c>
      <c r="AR94" s="132" t="n">
        <f aca="false">CHOOSE($G$3,AE94-AF94,AF94-AE94)</f>
        <v>0</v>
      </c>
      <c r="AS94" s="132" t="n">
        <f aca="false">CHOOSE($G$3,AH94-AI94,AI94-AH94)</f>
        <v>0</v>
      </c>
      <c r="AT94" s="148" t="n">
        <f aca="false">AQ94+AR94+AS94</f>
        <v>0</v>
      </c>
      <c r="AU94" s="148"/>
      <c r="AV94" s="133" t="n">
        <f aca="false">AT94+AO94</f>
        <v>0</v>
      </c>
      <c r="AX94" s="133" t="n">
        <f aca="false">AJ94+AG94+AD94</f>
        <v>0</v>
      </c>
      <c r="AY94" s="149"/>
      <c r="AZ94" s="76" t="n">
        <f aca="false">R94*E94</f>
        <v>0</v>
      </c>
    </row>
    <row r="95" customFormat="false" ht="12.75" hidden="false" customHeight="false" outlineLevel="0" collapsed="false">
      <c r="A95" s="138" t="n">
        <f aca="false">EDATE(A94,1)</f>
        <v>39569</v>
      </c>
      <c r="B95" s="139" t="n">
        <f aca="false">VLOOKUP($A95,Table2,MATCH(I$3,Curves2,0))</f>
        <v>0</v>
      </c>
      <c r="C95" s="140"/>
      <c r="D95" s="141" t="n">
        <f aca="false">B95+C95</f>
        <v>0</v>
      </c>
      <c r="E95" s="126" t="n">
        <f aca="false">IF(Y95=0,0,IF(AND(Y95=1,$H$3=1),D95*T95,IF($H$3=2,D95,"N/A")))</f>
        <v>0</v>
      </c>
      <c r="F95" s="126" t="n">
        <f aca="false">E95*X95</f>
        <v>0</v>
      </c>
      <c r="G95" s="142" t="n">
        <f aca="false">VLOOKUP($A95,Table,MATCH(G$4,Curves,0))</f>
        <v>3.987</v>
      </c>
      <c r="H95" s="143" t="n">
        <f aca="false">G95</f>
        <v>3.987</v>
      </c>
      <c r="I95" s="142" t="n">
        <f aca="false">VLOOKUP($A95,Table1,MATCH(I$3,Curves1,0))</f>
        <v>0</v>
      </c>
      <c r="J95" s="142" t="n">
        <f aca="false">VLOOKUP($A95,Table,MATCH(J$4,Curves,0))</f>
        <v>-0.0305</v>
      </c>
      <c r="K95" s="143" t="n">
        <f aca="false">J95</f>
        <v>-0.0305</v>
      </c>
      <c r="L95" s="144" t="n">
        <v>0</v>
      </c>
      <c r="M95" s="142" t="n">
        <f aca="false">VLOOKUP($A95,Table,MATCH(M$4,Curves,0))</f>
        <v>0.0087</v>
      </c>
      <c r="N95" s="143" t="n">
        <f aca="false">M95</f>
        <v>0.0087</v>
      </c>
      <c r="O95" s="144" t="n">
        <v>0</v>
      </c>
      <c r="P95" s="145"/>
      <c r="Q95" s="144" t="n">
        <f aca="false">M95+J95+G95</f>
        <v>3.9652</v>
      </c>
      <c r="R95" s="144" t="n">
        <f aca="false">O95+L95+I95</f>
        <v>0</v>
      </c>
      <c r="S95" s="145"/>
      <c r="T95" s="71" t="n">
        <f aca="false">A96-A95</f>
        <v>31</v>
      </c>
      <c r="U95" s="146" t="n">
        <f aca="false">CHOOSE(F$3,A96+24,A95)</f>
        <v>39624</v>
      </c>
      <c r="V95" s="71" t="n">
        <f aca="false">U95-C$3</f>
        <v>2736</v>
      </c>
      <c r="W95" s="142" t="n">
        <f aca="false">VLOOKUP($A95,Table,MATCH(W$4,Curves,0))</f>
        <v>0.058966861357273</v>
      </c>
      <c r="X95" s="147" t="n">
        <f aca="false">1/(1+CHOOSE(F$3,(W96+($K$3/10000))/2,(W95+($K$3/10000))/2))^(2*V95/365.25)</f>
        <v>0.647057380207237</v>
      </c>
      <c r="Y95" s="71" t="n">
        <f aca="false">IF(AND(mthbeg&lt;=A95,mthend&gt;=A95),1,0)</f>
        <v>0</v>
      </c>
      <c r="Z95" s="71" t="n">
        <f aca="false">T95*Y95</f>
        <v>0</v>
      </c>
      <c r="AB95" s="132" t="n">
        <f aca="false">F95*G95</f>
        <v>0</v>
      </c>
      <c r="AC95" s="132" t="n">
        <f aca="false">$F95*H95</f>
        <v>0</v>
      </c>
      <c r="AD95" s="132" t="n">
        <f aca="false">$F95*I95</f>
        <v>0</v>
      </c>
      <c r="AE95" s="132" t="n">
        <f aca="false">$F95*J95</f>
        <v>-0</v>
      </c>
      <c r="AF95" s="132" t="n">
        <f aca="false">$F95*K95</f>
        <v>-0</v>
      </c>
      <c r="AG95" s="132" t="n">
        <f aca="false">$F95*L95</f>
        <v>0</v>
      </c>
      <c r="AH95" s="132" t="n">
        <f aca="false">$F95*M95</f>
        <v>0</v>
      </c>
      <c r="AI95" s="132" t="n">
        <f aca="false">$F95*N95</f>
        <v>0</v>
      </c>
      <c r="AJ95" s="132" t="n">
        <f aca="false">F95*O95</f>
        <v>0</v>
      </c>
      <c r="AK95" s="137"/>
      <c r="AL95" s="132" t="n">
        <f aca="false">CHOOSE($G$3,AC95-AD95,AD95-AC95)</f>
        <v>0</v>
      </c>
      <c r="AM95" s="132" t="n">
        <f aca="false">CHOOSE($G$3,AF95-AG95,AG95-AF95)</f>
        <v>0</v>
      </c>
      <c r="AN95" s="132" t="n">
        <f aca="false">CHOOSE($G$3,AI95-AJ95,AJ95-AI95)</f>
        <v>0</v>
      </c>
      <c r="AO95" s="148" t="n">
        <f aca="false">SUM(AL95:AN95)</f>
        <v>0</v>
      </c>
      <c r="AQ95" s="132" t="n">
        <f aca="false">CHOOSE($G$3,AB95-AC95,AC95-AB95)</f>
        <v>0</v>
      </c>
      <c r="AR95" s="132" t="n">
        <f aca="false">CHOOSE($G$3,AE95-AF95,AF95-AE95)</f>
        <v>0</v>
      </c>
      <c r="AS95" s="132" t="n">
        <f aca="false">CHOOSE($G$3,AH95-AI95,AI95-AH95)</f>
        <v>0</v>
      </c>
      <c r="AT95" s="148" t="n">
        <f aca="false">AQ95+AR95+AS95</f>
        <v>0</v>
      </c>
      <c r="AU95" s="148"/>
      <c r="AV95" s="133" t="n">
        <f aca="false">AT95+AO95</f>
        <v>0</v>
      </c>
      <c r="AX95" s="133" t="n">
        <f aca="false">AJ95+AG95+AD95</f>
        <v>0</v>
      </c>
      <c r="AY95" s="149"/>
      <c r="AZ95" s="76" t="n">
        <f aca="false">R95*E95</f>
        <v>0</v>
      </c>
    </row>
    <row r="96" customFormat="false" ht="12.75" hidden="false" customHeight="false" outlineLevel="0" collapsed="false">
      <c r="A96" s="138" t="n">
        <f aca="false">EDATE(A95,1)</f>
        <v>39600</v>
      </c>
      <c r="B96" s="139" t="n">
        <f aca="false">VLOOKUP($A96,Table2,MATCH(I$3,Curves2,0))</f>
        <v>0</v>
      </c>
      <c r="C96" s="140"/>
      <c r="D96" s="141" t="n">
        <f aca="false">B96+C96</f>
        <v>0</v>
      </c>
      <c r="E96" s="126" t="n">
        <f aca="false">IF(Y96=0,0,IF(AND(Y96=1,$H$3=1),D96*T96,IF($H$3=2,D96,"N/A")))</f>
        <v>0</v>
      </c>
      <c r="F96" s="126" t="n">
        <f aca="false">E96*X96</f>
        <v>0</v>
      </c>
      <c r="G96" s="142" t="n">
        <f aca="false">VLOOKUP($A96,Table,MATCH(G$4,Curves,0))</f>
        <v>3.987</v>
      </c>
      <c r="H96" s="143" t="n">
        <f aca="false">G96</f>
        <v>3.987</v>
      </c>
      <c r="I96" s="142" t="n">
        <f aca="false">VLOOKUP($A96,Table1,MATCH(I$3,Curves1,0))</f>
        <v>0</v>
      </c>
      <c r="J96" s="142" t="n">
        <f aca="false">VLOOKUP($A96,Table,MATCH(J$4,Curves,0))</f>
        <v>-0.0305</v>
      </c>
      <c r="K96" s="143" t="n">
        <f aca="false">J96</f>
        <v>-0.0305</v>
      </c>
      <c r="L96" s="144" t="n">
        <v>0</v>
      </c>
      <c r="M96" s="142" t="n">
        <f aca="false">VLOOKUP($A96,Table,MATCH(M$4,Curves,0))</f>
        <v>0.0087</v>
      </c>
      <c r="N96" s="143" t="n">
        <f aca="false">M96</f>
        <v>0.0087</v>
      </c>
      <c r="O96" s="144" t="n">
        <v>0</v>
      </c>
      <c r="P96" s="145"/>
      <c r="Q96" s="144" t="n">
        <f aca="false">M96+J96+G96</f>
        <v>3.9652</v>
      </c>
      <c r="R96" s="144" t="n">
        <f aca="false">O96+L96+I96</f>
        <v>0</v>
      </c>
      <c r="S96" s="145"/>
      <c r="T96" s="71" t="n">
        <f aca="false">A97-A96</f>
        <v>30</v>
      </c>
      <c r="U96" s="146" t="n">
        <f aca="false">CHOOSE(F$3,A97+24,A96)</f>
        <v>39654</v>
      </c>
      <c r="V96" s="71" t="n">
        <f aca="false">U96-C$3</f>
        <v>2766</v>
      </c>
      <c r="W96" s="142" t="n">
        <f aca="false">VLOOKUP($A96,Table,MATCH(W$4,Curves,0))</f>
        <v>0.058966861357273</v>
      </c>
      <c r="X96" s="147" t="n">
        <f aca="false">1/(1+CHOOSE(F$3,(W97+($K$3/10000))/2,(W96+($K$3/10000))/2))^(2*V96/365.25)</f>
        <v>0.643976173796286</v>
      </c>
      <c r="Y96" s="71" t="n">
        <f aca="false">IF(AND(mthbeg&lt;=A96,mthend&gt;=A96),1,0)</f>
        <v>0</v>
      </c>
      <c r="Z96" s="71" t="n">
        <f aca="false">T96*Y96</f>
        <v>0</v>
      </c>
      <c r="AB96" s="132" t="n">
        <f aca="false">F96*G96</f>
        <v>0</v>
      </c>
      <c r="AC96" s="132" t="n">
        <f aca="false">$F96*H96</f>
        <v>0</v>
      </c>
      <c r="AD96" s="132" t="n">
        <f aca="false">$F96*I96</f>
        <v>0</v>
      </c>
      <c r="AE96" s="132" t="n">
        <f aca="false">$F96*J96</f>
        <v>-0</v>
      </c>
      <c r="AF96" s="132" t="n">
        <f aca="false">$F96*K96</f>
        <v>-0</v>
      </c>
      <c r="AG96" s="132" t="n">
        <f aca="false">$F96*L96</f>
        <v>0</v>
      </c>
      <c r="AH96" s="132" t="n">
        <f aca="false">$F96*M96</f>
        <v>0</v>
      </c>
      <c r="AI96" s="132" t="n">
        <f aca="false">$F96*N96</f>
        <v>0</v>
      </c>
      <c r="AJ96" s="132" t="n">
        <f aca="false">F96*O96</f>
        <v>0</v>
      </c>
      <c r="AK96" s="137"/>
      <c r="AL96" s="132" t="n">
        <f aca="false">CHOOSE($G$3,AC96-AD96,AD96-AC96)</f>
        <v>0</v>
      </c>
      <c r="AM96" s="132" t="n">
        <f aca="false">CHOOSE($G$3,AF96-AG96,AG96-AF96)</f>
        <v>0</v>
      </c>
      <c r="AN96" s="132" t="n">
        <f aca="false">CHOOSE($G$3,AI96-AJ96,AJ96-AI96)</f>
        <v>0</v>
      </c>
      <c r="AO96" s="148" t="n">
        <f aca="false">SUM(AL96:AN96)</f>
        <v>0</v>
      </c>
      <c r="AQ96" s="132" t="n">
        <f aca="false">CHOOSE($G$3,AB96-AC96,AC96-AB96)</f>
        <v>0</v>
      </c>
      <c r="AR96" s="132" t="n">
        <f aca="false">CHOOSE($G$3,AE96-AF96,AF96-AE96)</f>
        <v>0</v>
      </c>
      <c r="AS96" s="132" t="n">
        <f aca="false">CHOOSE($G$3,AH96-AI96,AI96-AH96)</f>
        <v>0</v>
      </c>
      <c r="AT96" s="148" t="n">
        <f aca="false">AQ96+AR96+AS96</f>
        <v>0</v>
      </c>
      <c r="AU96" s="148"/>
      <c r="AV96" s="133" t="n">
        <f aca="false">AT96+AO96</f>
        <v>0</v>
      </c>
      <c r="AX96" s="133" t="n">
        <f aca="false">AJ96+AG96+AD96</f>
        <v>0</v>
      </c>
      <c r="AY96" s="149"/>
      <c r="AZ96" s="76" t="n">
        <f aca="false">R96*E96</f>
        <v>0</v>
      </c>
    </row>
    <row r="97" customFormat="false" ht="12.75" hidden="false" customHeight="false" outlineLevel="0" collapsed="false">
      <c r="A97" s="138" t="n">
        <f aca="false">EDATE(A96,1)</f>
        <v>39630</v>
      </c>
      <c r="B97" s="139" t="n">
        <f aca="false">VLOOKUP($A97,Table2,MATCH(I$3,Curves2,0))</f>
        <v>0</v>
      </c>
      <c r="C97" s="140"/>
      <c r="D97" s="141" t="n">
        <f aca="false">B97+C97</f>
        <v>0</v>
      </c>
      <c r="E97" s="126" t="n">
        <f aca="false">IF(Y97=0,0,IF(AND(Y97=1,$H$3=1),D97*T97,IF($H$3=2,D97,"N/A")))</f>
        <v>0</v>
      </c>
      <c r="F97" s="126" t="n">
        <f aca="false">E97*X97</f>
        <v>0</v>
      </c>
      <c r="G97" s="142" t="n">
        <f aca="false">VLOOKUP($A97,Table,MATCH(G$4,Curves,0))</f>
        <v>3.987</v>
      </c>
      <c r="H97" s="143" t="n">
        <f aca="false">G97</f>
        <v>3.987</v>
      </c>
      <c r="I97" s="142" t="n">
        <f aca="false">VLOOKUP($A97,Table1,MATCH(I$3,Curves1,0))</f>
        <v>0</v>
      </c>
      <c r="J97" s="142" t="n">
        <f aca="false">VLOOKUP($A97,Table,MATCH(J$4,Curves,0))</f>
        <v>-0.0305</v>
      </c>
      <c r="K97" s="143" t="n">
        <f aca="false">J97</f>
        <v>-0.0305</v>
      </c>
      <c r="L97" s="144" t="n">
        <v>0</v>
      </c>
      <c r="M97" s="142" t="n">
        <f aca="false">VLOOKUP($A97,Table,MATCH(M$4,Curves,0))</f>
        <v>0.0087</v>
      </c>
      <c r="N97" s="143" t="n">
        <f aca="false">M97</f>
        <v>0.0087</v>
      </c>
      <c r="O97" s="144" t="n">
        <v>0</v>
      </c>
      <c r="P97" s="145"/>
      <c r="Q97" s="144" t="n">
        <f aca="false">M97+J97+G97</f>
        <v>3.9652</v>
      </c>
      <c r="R97" s="144" t="n">
        <f aca="false">O97+L97+I97</f>
        <v>0</v>
      </c>
      <c r="S97" s="145"/>
      <c r="T97" s="71" t="n">
        <f aca="false">A98-A97</f>
        <v>31</v>
      </c>
      <c r="U97" s="146" t="n">
        <f aca="false">CHOOSE(F$3,A98+24,A97)</f>
        <v>39685</v>
      </c>
      <c r="V97" s="71" t="n">
        <f aca="false">U97-C$3</f>
        <v>2797</v>
      </c>
      <c r="W97" s="142" t="n">
        <f aca="false">VLOOKUP($A97,Table,MATCH(W$4,Curves,0))</f>
        <v>0.058966861357273</v>
      </c>
      <c r="X97" s="147" t="n">
        <f aca="false">1/(1+CHOOSE(F$3,(W98+($K$3/10000))/2,(W97+($K$3/10000))/2))^(2*V97/365.25)</f>
        <v>0.640807673775773</v>
      </c>
      <c r="Y97" s="71" t="n">
        <f aca="false">IF(AND(mthbeg&lt;=A97,mthend&gt;=A97),1,0)</f>
        <v>0</v>
      </c>
      <c r="Z97" s="71" t="n">
        <f aca="false">T97*Y97</f>
        <v>0</v>
      </c>
      <c r="AB97" s="132" t="n">
        <f aca="false">F97*G97</f>
        <v>0</v>
      </c>
      <c r="AC97" s="132" t="n">
        <f aca="false">$F97*H97</f>
        <v>0</v>
      </c>
      <c r="AD97" s="132" t="n">
        <f aca="false">$F97*I97</f>
        <v>0</v>
      </c>
      <c r="AE97" s="132" t="n">
        <f aca="false">$F97*J97</f>
        <v>-0</v>
      </c>
      <c r="AF97" s="132" t="n">
        <f aca="false">$F97*K97</f>
        <v>-0</v>
      </c>
      <c r="AG97" s="132" t="n">
        <f aca="false">$F97*L97</f>
        <v>0</v>
      </c>
      <c r="AH97" s="132" t="n">
        <f aca="false">$F97*M97</f>
        <v>0</v>
      </c>
      <c r="AI97" s="132" t="n">
        <f aca="false">$F97*N97</f>
        <v>0</v>
      </c>
      <c r="AJ97" s="132" t="n">
        <f aca="false">F97*O97</f>
        <v>0</v>
      </c>
      <c r="AK97" s="137"/>
      <c r="AL97" s="132" t="n">
        <f aca="false">CHOOSE($G$3,AC97-AD97,AD97-AC97)</f>
        <v>0</v>
      </c>
      <c r="AM97" s="132" t="n">
        <f aca="false">CHOOSE($G$3,AF97-AG97,AG97-AF97)</f>
        <v>0</v>
      </c>
      <c r="AN97" s="132" t="n">
        <f aca="false">CHOOSE($G$3,AI97-AJ97,AJ97-AI97)</f>
        <v>0</v>
      </c>
      <c r="AO97" s="148" t="n">
        <f aca="false">SUM(AL97:AN97)</f>
        <v>0</v>
      </c>
      <c r="AQ97" s="132" t="n">
        <f aca="false">CHOOSE($G$3,AB97-AC97,AC97-AB97)</f>
        <v>0</v>
      </c>
      <c r="AR97" s="132" t="n">
        <f aca="false">CHOOSE($G$3,AE97-AF97,AF97-AE97)</f>
        <v>0</v>
      </c>
      <c r="AS97" s="132" t="n">
        <f aca="false">CHOOSE($G$3,AH97-AI97,AI97-AH97)</f>
        <v>0</v>
      </c>
      <c r="AT97" s="148" t="n">
        <f aca="false">AQ97+AR97+AS97</f>
        <v>0</v>
      </c>
      <c r="AU97" s="148"/>
      <c r="AV97" s="133" t="n">
        <f aca="false">AT97+AO97</f>
        <v>0</v>
      </c>
      <c r="AX97" s="133" t="n">
        <f aca="false">AJ97+AG97+AD97</f>
        <v>0</v>
      </c>
      <c r="AY97" s="149"/>
      <c r="AZ97" s="76" t="n">
        <f aca="false">R97*E97</f>
        <v>0</v>
      </c>
    </row>
    <row r="98" customFormat="false" ht="12.75" hidden="false" customHeight="false" outlineLevel="0" collapsed="false">
      <c r="A98" s="138" t="n">
        <f aca="false">EDATE(A97,1)</f>
        <v>39661</v>
      </c>
      <c r="B98" s="139" t="n">
        <f aca="false">VLOOKUP($A98,Table2,MATCH(I$3,Curves2,0))</f>
        <v>0</v>
      </c>
      <c r="C98" s="140"/>
      <c r="D98" s="141" t="n">
        <f aca="false">B98+C98</f>
        <v>0</v>
      </c>
      <c r="E98" s="126" t="n">
        <f aca="false">IF(Y98=0,0,IF(AND(Y98=1,$H$3=1),D98*T98,IF($H$3=2,D98,"N/A")))</f>
        <v>0</v>
      </c>
      <c r="F98" s="126" t="n">
        <f aca="false">E98*X98</f>
        <v>0</v>
      </c>
      <c r="G98" s="142" t="n">
        <f aca="false">VLOOKUP($A98,Table,MATCH(G$4,Curves,0))</f>
        <v>3.987</v>
      </c>
      <c r="H98" s="143" t="n">
        <f aca="false">G98</f>
        <v>3.987</v>
      </c>
      <c r="I98" s="142" t="n">
        <f aca="false">VLOOKUP($A98,Table1,MATCH(I$3,Curves1,0))</f>
        <v>0</v>
      </c>
      <c r="J98" s="142" t="n">
        <f aca="false">VLOOKUP($A98,Table,MATCH(J$4,Curves,0))</f>
        <v>-0.0305</v>
      </c>
      <c r="K98" s="143" t="n">
        <f aca="false">J98</f>
        <v>-0.0305</v>
      </c>
      <c r="L98" s="144" t="n">
        <v>0</v>
      </c>
      <c r="M98" s="142" t="n">
        <f aca="false">VLOOKUP($A98,Table,MATCH(M$4,Curves,0))</f>
        <v>0.0087</v>
      </c>
      <c r="N98" s="143" t="n">
        <f aca="false">M98</f>
        <v>0.0087</v>
      </c>
      <c r="O98" s="144" t="n">
        <v>0</v>
      </c>
      <c r="P98" s="145"/>
      <c r="Q98" s="144" t="n">
        <f aca="false">M98+J98+G98</f>
        <v>3.9652</v>
      </c>
      <c r="R98" s="144" t="n">
        <f aca="false">O98+L98+I98</f>
        <v>0</v>
      </c>
      <c r="S98" s="145"/>
      <c r="T98" s="71" t="n">
        <f aca="false">A99-A98</f>
        <v>31</v>
      </c>
      <c r="U98" s="146" t="n">
        <f aca="false">CHOOSE(F$3,A99+24,A98)</f>
        <v>39716</v>
      </c>
      <c r="V98" s="71" t="n">
        <f aca="false">U98-C$3</f>
        <v>2828</v>
      </c>
      <c r="W98" s="142" t="n">
        <f aca="false">VLOOKUP($A98,Table,MATCH(W$4,Curves,0))</f>
        <v>0.058966861357273</v>
      </c>
      <c r="X98" s="147" t="n">
        <f aca="false">1/(1+CHOOSE(F$3,(W99+($K$3/10000))/2,(W98+($K$3/10000))/2))^(2*V98/365.25)</f>
        <v>0.637654763450638</v>
      </c>
      <c r="Y98" s="71" t="n">
        <f aca="false">IF(AND(mthbeg&lt;=A98,mthend&gt;=A98),1,0)</f>
        <v>0</v>
      </c>
      <c r="Z98" s="71" t="n">
        <f aca="false">T98*Y98</f>
        <v>0</v>
      </c>
      <c r="AB98" s="132" t="n">
        <f aca="false">F98*G98</f>
        <v>0</v>
      </c>
      <c r="AC98" s="132" t="n">
        <f aca="false">$F98*H98</f>
        <v>0</v>
      </c>
      <c r="AD98" s="132" t="n">
        <f aca="false">$F98*I98</f>
        <v>0</v>
      </c>
      <c r="AE98" s="132" t="n">
        <f aca="false">$F98*J98</f>
        <v>-0</v>
      </c>
      <c r="AF98" s="132" t="n">
        <f aca="false">$F98*K98</f>
        <v>-0</v>
      </c>
      <c r="AG98" s="132" t="n">
        <f aca="false">$F98*L98</f>
        <v>0</v>
      </c>
      <c r="AH98" s="132" t="n">
        <f aca="false">$F98*M98</f>
        <v>0</v>
      </c>
      <c r="AI98" s="132" t="n">
        <f aca="false">$F98*N98</f>
        <v>0</v>
      </c>
      <c r="AJ98" s="132" t="n">
        <f aca="false">F98*O98</f>
        <v>0</v>
      </c>
      <c r="AK98" s="137"/>
      <c r="AL98" s="132" t="n">
        <f aca="false">CHOOSE($G$3,AC98-AD98,AD98-AC98)</f>
        <v>0</v>
      </c>
      <c r="AM98" s="132" t="n">
        <f aca="false">CHOOSE($G$3,AF98-AG98,AG98-AF98)</f>
        <v>0</v>
      </c>
      <c r="AN98" s="132" t="n">
        <f aca="false">CHOOSE($G$3,AI98-AJ98,AJ98-AI98)</f>
        <v>0</v>
      </c>
      <c r="AO98" s="148" t="n">
        <f aca="false">SUM(AL98:AN98)</f>
        <v>0</v>
      </c>
      <c r="AQ98" s="132" t="n">
        <f aca="false">CHOOSE($G$3,AB98-AC98,AC98-AB98)</f>
        <v>0</v>
      </c>
      <c r="AR98" s="132" t="n">
        <f aca="false">CHOOSE($G$3,AE98-AF98,AF98-AE98)</f>
        <v>0</v>
      </c>
      <c r="AS98" s="132" t="n">
        <f aca="false">CHOOSE($G$3,AH98-AI98,AI98-AH98)</f>
        <v>0</v>
      </c>
      <c r="AT98" s="148" t="n">
        <f aca="false">AQ98+AR98+AS98</f>
        <v>0</v>
      </c>
      <c r="AU98" s="148"/>
      <c r="AV98" s="133" t="n">
        <f aca="false">AT98+AO98</f>
        <v>0</v>
      </c>
      <c r="AX98" s="133" t="n">
        <f aca="false">AJ98+AG98+AD98</f>
        <v>0</v>
      </c>
      <c r="AY98" s="149"/>
      <c r="AZ98" s="76" t="n">
        <f aca="false">R98*E98</f>
        <v>0</v>
      </c>
    </row>
    <row r="99" customFormat="false" ht="12.75" hidden="false" customHeight="false" outlineLevel="0" collapsed="false">
      <c r="A99" s="138" t="n">
        <f aca="false">EDATE(A98,1)</f>
        <v>39692</v>
      </c>
      <c r="B99" s="139" t="n">
        <f aca="false">VLOOKUP($A99,Table2,MATCH(I$3,Curves2,0))</f>
        <v>0</v>
      </c>
      <c r="C99" s="140"/>
      <c r="D99" s="141" t="n">
        <f aca="false">B99+C99</f>
        <v>0</v>
      </c>
      <c r="E99" s="126" t="n">
        <f aca="false">IF(Y99=0,0,IF(AND(Y99=1,$H$3=1),D99*T99,IF($H$3=2,D99,"N/A")))</f>
        <v>0</v>
      </c>
      <c r="F99" s="126" t="n">
        <f aca="false">E99*X99</f>
        <v>0</v>
      </c>
      <c r="G99" s="142" t="n">
        <f aca="false">VLOOKUP($A99,Table,MATCH(G$4,Curves,0))</f>
        <v>3.987</v>
      </c>
      <c r="H99" s="143" t="n">
        <f aca="false">G99</f>
        <v>3.987</v>
      </c>
      <c r="I99" s="142" t="n">
        <f aca="false">VLOOKUP($A99,Table1,MATCH(I$3,Curves1,0))</f>
        <v>0</v>
      </c>
      <c r="J99" s="142" t="n">
        <f aca="false">VLOOKUP($A99,Table,MATCH(J$4,Curves,0))</f>
        <v>-0.0305</v>
      </c>
      <c r="K99" s="143" t="n">
        <f aca="false">J99</f>
        <v>-0.0305</v>
      </c>
      <c r="L99" s="144" t="n">
        <v>0</v>
      </c>
      <c r="M99" s="142" t="n">
        <f aca="false">VLOOKUP($A99,Table,MATCH(M$4,Curves,0))</f>
        <v>0.0087</v>
      </c>
      <c r="N99" s="143" t="n">
        <f aca="false">M99</f>
        <v>0.0087</v>
      </c>
      <c r="O99" s="144" t="n">
        <v>0</v>
      </c>
      <c r="P99" s="145"/>
      <c r="Q99" s="144" t="n">
        <f aca="false">M99+J99+G99</f>
        <v>3.9652</v>
      </c>
      <c r="R99" s="144" t="n">
        <f aca="false">O99+L99+I99</f>
        <v>0</v>
      </c>
      <c r="S99" s="145"/>
      <c r="T99" s="71" t="n">
        <f aca="false">A100-A99</f>
        <v>30</v>
      </c>
      <c r="U99" s="146" t="n">
        <f aca="false">CHOOSE(F$3,A100+24,A99)</f>
        <v>39746</v>
      </c>
      <c r="V99" s="71" t="n">
        <f aca="false">U99-C$3</f>
        <v>2858</v>
      </c>
      <c r="W99" s="142" t="n">
        <f aca="false">VLOOKUP($A99,Table,MATCH(W$4,Curves,0))</f>
        <v>0.058966861357273</v>
      </c>
      <c r="X99" s="147" t="n">
        <f aca="false">1/(1+CHOOSE(F$3,(W100+($K$3/10000))/2,(W99+($K$3/10000))/2))^(2*V99/365.25)</f>
        <v>0.63461833112606</v>
      </c>
      <c r="Y99" s="71" t="n">
        <f aca="false">IF(AND(mthbeg&lt;=A99,mthend&gt;=A99),1,0)</f>
        <v>0</v>
      </c>
      <c r="Z99" s="71" t="n">
        <f aca="false">T99*Y99</f>
        <v>0</v>
      </c>
      <c r="AB99" s="132" t="n">
        <f aca="false">F99*G99</f>
        <v>0</v>
      </c>
      <c r="AC99" s="132" t="n">
        <f aca="false">$F99*H99</f>
        <v>0</v>
      </c>
      <c r="AD99" s="132" t="n">
        <f aca="false">$F99*I99</f>
        <v>0</v>
      </c>
      <c r="AE99" s="132" t="n">
        <f aca="false">$F99*J99</f>
        <v>-0</v>
      </c>
      <c r="AF99" s="132" t="n">
        <f aca="false">$F99*K99</f>
        <v>-0</v>
      </c>
      <c r="AG99" s="132" t="n">
        <f aca="false">$F99*L99</f>
        <v>0</v>
      </c>
      <c r="AH99" s="132" t="n">
        <f aca="false">$F99*M99</f>
        <v>0</v>
      </c>
      <c r="AI99" s="132" t="n">
        <f aca="false">$F99*N99</f>
        <v>0</v>
      </c>
      <c r="AJ99" s="132" t="n">
        <f aca="false">F99*O99</f>
        <v>0</v>
      </c>
      <c r="AK99" s="137"/>
      <c r="AL99" s="132" t="n">
        <f aca="false">CHOOSE($G$3,AC99-AD99,AD99-AC99)</f>
        <v>0</v>
      </c>
      <c r="AM99" s="132" t="n">
        <f aca="false">CHOOSE($G$3,AF99-AG99,AG99-AF99)</f>
        <v>0</v>
      </c>
      <c r="AN99" s="132" t="n">
        <f aca="false">CHOOSE($G$3,AI99-AJ99,AJ99-AI99)</f>
        <v>0</v>
      </c>
      <c r="AO99" s="148" t="n">
        <f aca="false">SUM(AL99:AN99)</f>
        <v>0</v>
      </c>
      <c r="AQ99" s="132" t="n">
        <f aca="false">CHOOSE($G$3,AB99-AC99,AC99-AB99)</f>
        <v>0</v>
      </c>
      <c r="AR99" s="132" t="n">
        <f aca="false">CHOOSE($G$3,AE99-AF99,AF99-AE99)</f>
        <v>0</v>
      </c>
      <c r="AS99" s="132" t="n">
        <f aca="false">CHOOSE($G$3,AH99-AI99,AI99-AH99)</f>
        <v>0</v>
      </c>
      <c r="AT99" s="148" t="n">
        <f aca="false">AQ99+AR99+AS99</f>
        <v>0</v>
      </c>
      <c r="AU99" s="148"/>
      <c r="AV99" s="133" t="n">
        <f aca="false">AT99+AO99</f>
        <v>0</v>
      </c>
      <c r="AX99" s="133" t="n">
        <f aca="false">AJ99+AG99+AD99</f>
        <v>0</v>
      </c>
      <c r="AY99" s="149"/>
      <c r="AZ99" s="76" t="n">
        <f aca="false">R99*E99</f>
        <v>0</v>
      </c>
    </row>
    <row r="100" customFormat="false" ht="12.75" hidden="false" customHeight="false" outlineLevel="0" collapsed="false">
      <c r="A100" s="138" t="n">
        <f aca="false">EDATE(A99,1)</f>
        <v>39722</v>
      </c>
      <c r="B100" s="139" t="n">
        <f aca="false">VLOOKUP($A100,Table2,MATCH(I$3,Curves2,0))</f>
        <v>0</v>
      </c>
      <c r="C100" s="140"/>
      <c r="D100" s="141" t="n">
        <f aca="false">B100+C100</f>
        <v>0</v>
      </c>
      <c r="E100" s="126" t="n">
        <f aca="false">IF(Y100=0,0,IF(AND(Y100=1,$H$3=1),D100*T100,IF($H$3=2,D100,"N/A")))</f>
        <v>0</v>
      </c>
      <c r="F100" s="126" t="n">
        <f aca="false">E100*X100</f>
        <v>0</v>
      </c>
      <c r="G100" s="142" t="n">
        <f aca="false">VLOOKUP($A100,Table,MATCH(G$4,Curves,0))</f>
        <v>3.987</v>
      </c>
      <c r="H100" s="143" t="n">
        <f aca="false">G100</f>
        <v>3.987</v>
      </c>
      <c r="I100" s="142" t="n">
        <f aca="false">VLOOKUP($A100,Table1,MATCH(I$3,Curves1,0))</f>
        <v>0</v>
      </c>
      <c r="J100" s="142" t="n">
        <f aca="false">VLOOKUP($A100,Table,MATCH(J$4,Curves,0))</f>
        <v>-0.0305</v>
      </c>
      <c r="K100" s="143" t="n">
        <f aca="false">J100</f>
        <v>-0.0305</v>
      </c>
      <c r="L100" s="144" t="n">
        <v>0</v>
      </c>
      <c r="M100" s="142" t="n">
        <f aca="false">VLOOKUP($A100,Table,MATCH(M$4,Curves,0))</f>
        <v>0.0087</v>
      </c>
      <c r="N100" s="143" t="n">
        <f aca="false">M100</f>
        <v>0.0087</v>
      </c>
      <c r="O100" s="144" t="n">
        <v>0</v>
      </c>
      <c r="P100" s="145"/>
      <c r="Q100" s="144" t="n">
        <f aca="false">M100+J100+G100</f>
        <v>3.9652</v>
      </c>
      <c r="R100" s="144" t="n">
        <f aca="false">O100+L100+I100</f>
        <v>0</v>
      </c>
      <c r="S100" s="145"/>
      <c r="T100" s="71" t="n">
        <f aca="false">A101-A100</f>
        <v>31</v>
      </c>
      <c r="U100" s="146" t="n">
        <f aca="false">CHOOSE(F$3,A101+24,A100)</f>
        <v>39777</v>
      </c>
      <c r="V100" s="71" t="n">
        <f aca="false">U100-C$3</f>
        <v>2889</v>
      </c>
      <c r="W100" s="142" t="n">
        <f aca="false">VLOOKUP($A100,Table,MATCH(W$4,Curves,0))</f>
        <v>0.058966861357273</v>
      </c>
      <c r="X100" s="147" t="n">
        <f aca="false">1/(1+CHOOSE(F$3,(W101+($K$3/10000))/2,(W100+($K$3/10000))/2))^(2*V100/365.25)</f>
        <v>0.631495873685846</v>
      </c>
      <c r="Y100" s="71" t="n">
        <f aca="false">IF(AND(mthbeg&lt;=A100,mthend&gt;=A100),1,0)</f>
        <v>0</v>
      </c>
      <c r="Z100" s="71" t="n">
        <f aca="false">T100*Y100</f>
        <v>0</v>
      </c>
      <c r="AB100" s="132" t="n">
        <f aca="false">F100*G100</f>
        <v>0</v>
      </c>
      <c r="AC100" s="132" t="n">
        <f aca="false">$F100*H100</f>
        <v>0</v>
      </c>
      <c r="AD100" s="132" t="n">
        <f aca="false">$F100*I100</f>
        <v>0</v>
      </c>
      <c r="AE100" s="132" t="n">
        <f aca="false">$F100*J100</f>
        <v>-0</v>
      </c>
      <c r="AF100" s="132" t="n">
        <f aca="false">$F100*K100</f>
        <v>-0</v>
      </c>
      <c r="AG100" s="132" t="n">
        <f aca="false">$F100*L100</f>
        <v>0</v>
      </c>
      <c r="AH100" s="132" t="n">
        <f aca="false">$F100*M100</f>
        <v>0</v>
      </c>
      <c r="AI100" s="132" t="n">
        <f aca="false">$F100*N100</f>
        <v>0</v>
      </c>
      <c r="AJ100" s="132" t="n">
        <f aca="false">F100*O100</f>
        <v>0</v>
      </c>
      <c r="AK100" s="137"/>
      <c r="AL100" s="132" t="n">
        <f aca="false">CHOOSE($G$3,AC100-AD100,AD100-AC100)</f>
        <v>0</v>
      </c>
      <c r="AM100" s="132" t="n">
        <f aca="false">CHOOSE($G$3,AF100-AG100,AG100-AF100)</f>
        <v>0</v>
      </c>
      <c r="AN100" s="132" t="n">
        <f aca="false">CHOOSE($G$3,AI100-AJ100,AJ100-AI100)</f>
        <v>0</v>
      </c>
      <c r="AO100" s="148" t="n">
        <f aca="false">SUM(AL100:AN100)</f>
        <v>0</v>
      </c>
      <c r="AQ100" s="132" t="n">
        <f aca="false">CHOOSE($G$3,AB100-AC100,AC100-AB100)</f>
        <v>0</v>
      </c>
      <c r="AR100" s="132" t="n">
        <f aca="false">CHOOSE($G$3,AE100-AF100,AF100-AE100)</f>
        <v>0</v>
      </c>
      <c r="AS100" s="132" t="n">
        <f aca="false">CHOOSE($G$3,AH100-AI100,AI100-AH100)</f>
        <v>0</v>
      </c>
      <c r="AT100" s="148" t="n">
        <f aca="false">AQ100+AR100+AS100</f>
        <v>0</v>
      </c>
      <c r="AU100" s="148"/>
      <c r="AV100" s="133" t="n">
        <f aca="false">AT100+AO100</f>
        <v>0</v>
      </c>
      <c r="AX100" s="133" t="n">
        <f aca="false">AJ100+AG100+AD100</f>
        <v>0</v>
      </c>
      <c r="AY100" s="149"/>
      <c r="AZ100" s="76" t="n">
        <f aca="false">R100*E100</f>
        <v>0</v>
      </c>
    </row>
    <row r="101" customFormat="false" ht="12.75" hidden="false" customHeight="false" outlineLevel="0" collapsed="false">
      <c r="A101" s="138" t="n">
        <f aca="false">EDATE(A100,1)</f>
        <v>39753</v>
      </c>
      <c r="B101" s="139" t="n">
        <f aca="false">VLOOKUP($A101,Table2,MATCH(I$3,Curves2,0))</f>
        <v>0</v>
      </c>
      <c r="C101" s="140"/>
      <c r="D101" s="141" t="n">
        <f aca="false">B101+C101</f>
        <v>0</v>
      </c>
      <c r="E101" s="126" t="n">
        <f aca="false">IF(Y101=0,0,IF(AND(Y101=1,$H$3=1),D101*T101,IF($H$3=2,D101,"N/A")))</f>
        <v>0</v>
      </c>
      <c r="F101" s="126" t="n">
        <f aca="false">E101*X101</f>
        <v>0</v>
      </c>
      <c r="G101" s="142" t="n">
        <f aca="false">VLOOKUP($A101,Table,MATCH(G$4,Curves,0))</f>
        <v>3.987</v>
      </c>
      <c r="H101" s="143" t="n">
        <f aca="false">G101</f>
        <v>3.987</v>
      </c>
      <c r="I101" s="142" t="n">
        <f aca="false">VLOOKUP($A101,Table1,MATCH(I$3,Curves1,0))</f>
        <v>0</v>
      </c>
      <c r="J101" s="142" t="n">
        <f aca="false">VLOOKUP($A101,Table,MATCH(J$4,Curves,0))</f>
        <v>-0.0305</v>
      </c>
      <c r="K101" s="143" t="n">
        <f aca="false">J101</f>
        <v>-0.0305</v>
      </c>
      <c r="L101" s="144" t="n">
        <v>0</v>
      </c>
      <c r="M101" s="142" t="n">
        <f aca="false">VLOOKUP($A101,Table,MATCH(M$4,Curves,0))</f>
        <v>0.0087</v>
      </c>
      <c r="N101" s="143" t="n">
        <f aca="false">M101</f>
        <v>0.0087</v>
      </c>
      <c r="O101" s="144" t="n">
        <v>0</v>
      </c>
      <c r="P101" s="145"/>
      <c r="Q101" s="144" t="n">
        <f aca="false">M101+J101+G101</f>
        <v>3.9652</v>
      </c>
      <c r="R101" s="144" t="n">
        <f aca="false">O101+L101+I101</f>
        <v>0</v>
      </c>
      <c r="S101" s="145"/>
      <c r="T101" s="71" t="n">
        <f aca="false">A102-A101</f>
        <v>30</v>
      </c>
      <c r="U101" s="146" t="n">
        <f aca="false">CHOOSE(F$3,A102+24,A101)</f>
        <v>39807</v>
      </c>
      <c r="V101" s="71" t="n">
        <f aca="false">U101-C$3</f>
        <v>2919</v>
      </c>
      <c r="W101" s="142" t="n">
        <f aca="false">VLOOKUP($A101,Table,MATCH(W$4,Curves,0))</f>
        <v>0.058966861357273</v>
      </c>
      <c r="X101" s="147" t="n">
        <f aca="false">1/(1+CHOOSE(F$3,(W102+($K$3/10000))/2,(W101+($K$3/10000))/2))^(2*V101/365.25)</f>
        <v>0.62848876922493</v>
      </c>
      <c r="Y101" s="71" t="n">
        <f aca="false">IF(AND(mthbeg&lt;=A101,mthend&gt;=A101),1,0)</f>
        <v>0</v>
      </c>
      <c r="Z101" s="71" t="n">
        <f aca="false">T101*Y101</f>
        <v>0</v>
      </c>
      <c r="AB101" s="132" t="n">
        <f aca="false">F101*G101</f>
        <v>0</v>
      </c>
      <c r="AC101" s="132" t="n">
        <f aca="false">$F101*H101</f>
        <v>0</v>
      </c>
      <c r="AD101" s="132" t="n">
        <f aca="false">$F101*I101</f>
        <v>0</v>
      </c>
      <c r="AE101" s="132" t="n">
        <f aca="false">$F101*J101</f>
        <v>-0</v>
      </c>
      <c r="AF101" s="132" t="n">
        <f aca="false">$F101*K101</f>
        <v>-0</v>
      </c>
      <c r="AG101" s="132" t="n">
        <f aca="false">$F101*L101</f>
        <v>0</v>
      </c>
      <c r="AH101" s="132" t="n">
        <f aca="false">$F101*M101</f>
        <v>0</v>
      </c>
      <c r="AI101" s="132" t="n">
        <f aca="false">$F101*N101</f>
        <v>0</v>
      </c>
      <c r="AJ101" s="132" t="n">
        <f aca="false">F101*O101</f>
        <v>0</v>
      </c>
      <c r="AK101" s="137"/>
      <c r="AL101" s="132" t="n">
        <f aca="false">CHOOSE($G$3,AC101-AD101,AD101-AC101)</f>
        <v>0</v>
      </c>
      <c r="AM101" s="132" t="n">
        <f aca="false">CHOOSE($G$3,AF101-AG101,AG101-AF101)</f>
        <v>0</v>
      </c>
      <c r="AN101" s="132" t="n">
        <f aca="false">CHOOSE($G$3,AI101-AJ101,AJ101-AI101)</f>
        <v>0</v>
      </c>
      <c r="AO101" s="148" t="n">
        <f aca="false">SUM(AL101:AN101)</f>
        <v>0</v>
      </c>
      <c r="AQ101" s="132" t="n">
        <f aca="false">CHOOSE($G$3,AB101-AC101,AC101-AB101)</f>
        <v>0</v>
      </c>
      <c r="AR101" s="132" t="n">
        <f aca="false">CHOOSE($G$3,AE101-AF101,AF101-AE101)</f>
        <v>0</v>
      </c>
      <c r="AS101" s="132" t="n">
        <f aca="false">CHOOSE($G$3,AH101-AI101,AI101-AH101)</f>
        <v>0</v>
      </c>
      <c r="AT101" s="148" t="n">
        <f aca="false">AQ101+AR101+AS101</f>
        <v>0</v>
      </c>
      <c r="AU101" s="148"/>
      <c r="AV101" s="133" t="n">
        <f aca="false">AT101+AO101</f>
        <v>0</v>
      </c>
      <c r="AX101" s="133" t="n">
        <f aca="false">AJ101+AG101+AD101</f>
        <v>0</v>
      </c>
      <c r="AY101" s="149"/>
      <c r="AZ101" s="76" t="n">
        <f aca="false">R101*E101</f>
        <v>0</v>
      </c>
    </row>
    <row r="102" customFormat="false" ht="12.75" hidden="false" customHeight="false" outlineLevel="0" collapsed="false">
      <c r="A102" s="138" t="n">
        <f aca="false">EDATE(A101,1)</f>
        <v>39783</v>
      </c>
      <c r="B102" s="139" t="n">
        <f aca="false">VLOOKUP($A102,Table2,MATCH(I$3,Curves2,0))</f>
        <v>0</v>
      </c>
      <c r="C102" s="140"/>
      <c r="D102" s="141" t="n">
        <f aca="false">B102+C102</f>
        <v>0</v>
      </c>
      <c r="E102" s="126" t="n">
        <f aca="false">IF(Y102=0,0,IF(AND(Y102=1,$H$3=1),D102*T102,IF($H$3=2,D102,"N/A")))</f>
        <v>0</v>
      </c>
      <c r="F102" s="126" t="n">
        <f aca="false">E102*X102</f>
        <v>0</v>
      </c>
      <c r="G102" s="142" t="n">
        <f aca="false">VLOOKUP($A102,Table,MATCH(G$4,Curves,0))</f>
        <v>3.987</v>
      </c>
      <c r="H102" s="143" t="n">
        <f aca="false">G102</f>
        <v>3.987</v>
      </c>
      <c r="I102" s="142" t="n">
        <f aca="false">VLOOKUP($A102,Table1,MATCH(I$3,Curves1,0))</f>
        <v>0</v>
      </c>
      <c r="J102" s="142" t="n">
        <f aca="false">VLOOKUP($A102,Table,MATCH(J$4,Curves,0))</f>
        <v>-0.0305</v>
      </c>
      <c r="K102" s="143" t="n">
        <f aca="false">J102</f>
        <v>-0.0305</v>
      </c>
      <c r="L102" s="144" t="n">
        <v>0</v>
      </c>
      <c r="M102" s="142" t="n">
        <f aca="false">VLOOKUP($A102,Table,MATCH(M$4,Curves,0))</f>
        <v>0.0087</v>
      </c>
      <c r="N102" s="143" t="n">
        <f aca="false">M102</f>
        <v>0.0087</v>
      </c>
      <c r="O102" s="144" t="n">
        <v>0</v>
      </c>
      <c r="P102" s="145"/>
      <c r="Q102" s="144" t="n">
        <f aca="false">M102+J102+G102</f>
        <v>3.9652</v>
      </c>
      <c r="R102" s="144" t="n">
        <f aca="false">O102+L102+I102</f>
        <v>0</v>
      </c>
      <c r="S102" s="145"/>
      <c r="T102" s="71" t="n">
        <f aca="false">A103-A102</f>
        <v>31</v>
      </c>
      <c r="U102" s="146" t="n">
        <f aca="false">CHOOSE(F$3,A103+24,A102)</f>
        <v>39838</v>
      </c>
      <c r="V102" s="71" t="n">
        <f aca="false">U102-C$3</f>
        <v>2950</v>
      </c>
      <c r="W102" s="142" t="n">
        <f aca="false">VLOOKUP($A102,Table,MATCH(W$4,Curves,0))</f>
        <v>0.058966861357273</v>
      </c>
      <c r="X102" s="147" t="n">
        <f aca="false">1/(1+CHOOSE(F$3,(W103+($K$3/10000))/2,(W102+($K$3/10000))/2))^(2*V102/365.25)</f>
        <v>0.625396470535614</v>
      </c>
      <c r="Y102" s="71" t="n">
        <f aca="false">IF(AND(mthbeg&lt;=A102,mthend&gt;=A102),1,0)</f>
        <v>0</v>
      </c>
      <c r="Z102" s="71" t="n">
        <f aca="false">T102*Y102</f>
        <v>0</v>
      </c>
      <c r="AB102" s="132" t="n">
        <f aca="false">F102*G102</f>
        <v>0</v>
      </c>
      <c r="AC102" s="132" t="n">
        <f aca="false">$F102*H102</f>
        <v>0</v>
      </c>
      <c r="AD102" s="132" t="n">
        <f aca="false">$F102*I102</f>
        <v>0</v>
      </c>
      <c r="AE102" s="132" t="n">
        <f aca="false">$F102*J102</f>
        <v>-0</v>
      </c>
      <c r="AF102" s="132" t="n">
        <f aca="false">$F102*K102</f>
        <v>-0</v>
      </c>
      <c r="AG102" s="132" t="n">
        <f aca="false">$F102*L102</f>
        <v>0</v>
      </c>
      <c r="AH102" s="132" t="n">
        <f aca="false">$F102*M102</f>
        <v>0</v>
      </c>
      <c r="AI102" s="132" t="n">
        <f aca="false">$F102*N102</f>
        <v>0</v>
      </c>
      <c r="AJ102" s="132" t="n">
        <f aca="false">F102*O102</f>
        <v>0</v>
      </c>
      <c r="AK102" s="137"/>
      <c r="AL102" s="132" t="n">
        <f aca="false">CHOOSE($G$3,AC102-AD102,AD102-AC102)</f>
        <v>0</v>
      </c>
      <c r="AM102" s="132" t="n">
        <f aca="false">CHOOSE($G$3,AF102-AG102,AG102-AF102)</f>
        <v>0</v>
      </c>
      <c r="AN102" s="132" t="n">
        <f aca="false">CHOOSE($G$3,AI102-AJ102,AJ102-AI102)</f>
        <v>0</v>
      </c>
      <c r="AO102" s="148" t="n">
        <f aca="false">SUM(AL102:AN102)</f>
        <v>0</v>
      </c>
      <c r="AQ102" s="132" t="n">
        <f aca="false">CHOOSE($G$3,AB102-AC102,AC102-AB102)</f>
        <v>0</v>
      </c>
      <c r="AR102" s="132" t="n">
        <f aca="false">CHOOSE($G$3,AE102-AF102,AF102-AE102)</f>
        <v>0</v>
      </c>
      <c r="AS102" s="132" t="n">
        <f aca="false">CHOOSE($G$3,AH102-AI102,AI102-AH102)</f>
        <v>0</v>
      </c>
      <c r="AT102" s="148" t="n">
        <f aca="false">AQ102+AR102+AS102</f>
        <v>0</v>
      </c>
      <c r="AU102" s="148"/>
      <c r="AV102" s="133" t="n">
        <f aca="false">AT102+AO102</f>
        <v>0</v>
      </c>
      <c r="AX102" s="133" t="n">
        <f aca="false">AJ102+AG102+AD102</f>
        <v>0</v>
      </c>
      <c r="AY102" s="149"/>
      <c r="AZ102" s="76" t="n">
        <f aca="false">R102*E102</f>
        <v>0</v>
      </c>
    </row>
    <row r="103" customFormat="false" ht="12.75" hidden="false" customHeight="false" outlineLevel="0" collapsed="false">
      <c r="A103" s="138" t="n">
        <f aca="false">EDATE(A102,1)</f>
        <v>39814</v>
      </c>
      <c r="B103" s="139" t="n">
        <f aca="false">VLOOKUP($A103,Table2,MATCH(I$3,Curves2,0))</f>
        <v>0</v>
      </c>
      <c r="C103" s="140"/>
      <c r="D103" s="141" t="n">
        <f aca="false">B103+C103</f>
        <v>0</v>
      </c>
      <c r="E103" s="126" t="n">
        <f aca="false">IF(Y103=0,0,IF(AND(Y103=1,$H$3=1),D103*T103,IF($H$3=2,D103,"N/A")))</f>
        <v>0</v>
      </c>
      <c r="F103" s="126" t="n">
        <f aca="false">E103*X103</f>
        <v>0</v>
      </c>
      <c r="G103" s="142" t="n">
        <f aca="false">VLOOKUP($A103,Table,MATCH(G$4,Curves,0))</f>
        <v>3.987</v>
      </c>
      <c r="H103" s="143" t="n">
        <f aca="false">G103</f>
        <v>3.987</v>
      </c>
      <c r="I103" s="142" t="n">
        <f aca="false">VLOOKUP($A103,Table1,MATCH(I$3,Curves1,0))</f>
        <v>0</v>
      </c>
      <c r="J103" s="142" t="n">
        <f aca="false">VLOOKUP($A103,Table,MATCH(J$4,Curves,0))</f>
        <v>-0.0305</v>
      </c>
      <c r="K103" s="143" t="n">
        <f aca="false">J103</f>
        <v>-0.0305</v>
      </c>
      <c r="L103" s="144" t="n">
        <v>0</v>
      </c>
      <c r="M103" s="142" t="n">
        <f aca="false">VLOOKUP($A103,Table,MATCH(M$4,Curves,0))</f>
        <v>0.0087</v>
      </c>
      <c r="N103" s="143" t="n">
        <f aca="false">M103</f>
        <v>0.0087</v>
      </c>
      <c r="O103" s="144" t="n">
        <v>0</v>
      </c>
      <c r="P103" s="145"/>
      <c r="Q103" s="144" t="n">
        <f aca="false">M103+J103+G103</f>
        <v>3.9652</v>
      </c>
      <c r="R103" s="144" t="n">
        <f aca="false">O103+L103+I103</f>
        <v>0</v>
      </c>
      <c r="S103" s="145"/>
      <c r="T103" s="71" t="n">
        <f aca="false">A104-A103</f>
        <v>31</v>
      </c>
      <c r="U103" s="146" t="n">
        <f aca="false">CHOOSE(F$3,A104+24,A103)</f>
        <v>39869</v>
      </c>
      <c r="V103" s="71" t="n">
        <f aca="false">U103-C$3</f>
        <v>2981</v>
      </c>
      <c r="W103" s="142" t="n">
        <f aca="false">VLOOKUP($A103,Table,MATCH(W$4,Curves,0))</f>
        <v>0.058966861357273</v>
      </c>
      <c r="X103" s="147" t="n">
        <f aca="false">1/(1+CHOOSE(F$3,(W104+($K$3/10000))/2,(W103+($K$3/10000))/2))^(2*V103/365.25)</f>
        <v>0.622319386614885</v>
      </c>
      <c r="Y103" s="71" t="n">
        <f aca="false">IF(AND(mthbeg&lt;=A103,mthend&gt;=A103),1,0)</f>
        <v>0</v>
      </c>
      <c r="Z103" s="71" t="n">
        <f aca="false">T103*Y103</f>
        <v>0</v>
      </c>
      <c r="AB103" s="132" t="n">
        <f aca="false">F103*G103</f>
        <v>0</v>
      </c>
      <c r="AC103" s="132" t="n">
        <f aca="false">$F103*H103</f>
        <v>0</v>
      </c>
      <c r="AD103" s="132" t="n">
        <f aca="false">$F103*I103</f>
        <v>0</v>
      </c>
      <c r="AE103" s="132" t="n">
        <f aca="false">$F103*J103</f>
        <v>-0</v>
      </c>
      <c r="AF103" s="132" t="n">
        <f aca="false">$F103*K103</f>
        <v>-0</v>
      </c>
      <c r="AG103" s="132" t="n">
        <f aca="false">$F103*L103</f>
        <v>0</v>
      </c>
      <c r="AH103" s="132" t="n">
        <f aca="false">$F103*M103</f>
        <v>0</v>
      </c>
      <c r="AI103" s="132" t="n">
        <f aca="false">$F103*N103</f>
        <v>0</v>
      </c>
      <c r="AJ103" s="132" t="n">
        <f aca="false">F103*O103</f>
        <v>0</v>
      </c>
      <c r="AK103" s="137"/>
      <c r="AL103" s="132" t="n">
        <f aca="false">CHOOSE($G$3,AC103-AD103,AD103-AC103)</f>
        <v>0</v>
      </c>
      <c r="AM103" s="132" t="n">
        <f aca="false">CHOOSE($G$3,AF103-AG103,AG103-AF103)</f>
        <v>0</v>
      </c>
      <c r="AN103" s="132" t="n">
        <f aca="false">CHOOSE($G$3,AI103-AJ103,AJ103-AI103)</f>
        <v>0</v>
      </c>
      <c r="AO103" s="148" t="n">
        <f aca="false">SUM(AL103:AN103)</f>
        <v>0</v>
      </c>
      <c r="AQ103" s="132" t="n">
        <f aca="false">CHOOSE($G$3,AB103-AC103,AC103-AB103)</f>
        <v>0</v>
      </c>
      <c r="AR103" s="132" t="n">
        <f aca="false">CHOOSE($G$3,AE103-AF103,AF103-AE103)</f>
        <v>0</v>
      </c>
      <c r="AS103" s="132" t="n">
        <f aca="false">CHOOSE($G$3,AH103-AI103,AI103-AH103)</f>
        <v>0</v>
      </c>
      <c r="AT103" s="148" t="n">
        <f aca="false">AQ103+AR103+AS103</f>
        <v>0</v>
      </c>
      <c r="AU103" s="148"/>
      <c r="AV103" s="133" t="n">
        <f aca="false">AT103+AO103</f>
        <v>0</v>
      </c>
      <c r="AX103" s="133" t="n">
        <f aca="false">AJ103+AG103+AD103</f>
        <v>0</v>
      </c>
      <c r="AY103" s="149"/>
      <c r="AZ103" s="76" t="n">
        <f aca="false">R103*E103</f>
        <v>0</v>
      </c>
    </row>
    <row r="104" customFormat="false" ht="12.75" hidden="false" customHeight="false" outlineLevel="0" collapsed="false">
      <c r="A104" s="138" t="n">
        <f aca="false">EDATE(A103,1)</f>
        <v>39845</v>
      </c>
      <c r="B104" s="139" t="n">
        <f aca="false">VLOOKUP($A104,Table2,MATCH(I$3,Curves2,0))</f>
        <v>0</v>
      </c>
      <c r="C104" s="140"/>
      <c r="D104" s="141" t="n">
        <f aca="false">B104+C104</f>
        <v>0</v>
      </c>
      <c r="E104" s="126" t="n">
        <f aca="false">IF(Y104=0,0,IF(AND(Y104=1,$H$3=1),D104*T104,IF($H$3=2,D104,"N/A")))</f>
        <v>0</v>
      </c>
      <c r="F104" s="126" t="n">
        <f aca="false">E104*X104</f>
        <v>0</v>
      </c>
      <c r="G104" s="142" t="n">
        <f aca="false">VLOOKUP($A104,Table,MATCH(G$4,Curves,0))</f>
        <v>3.987</v>
      </c>
      <c r="H104" s="143" t="n">
        <f aca="false">G104</f>
        <v>3.987</v>
      </c>
      <c r="I104" s="142" t="n">
        <f aca="false">VLOOKUP($A104,Table1,MATCH(I$3,Curves1,0))</f>
        <v>0</v>
      </c>
      <c r="J104" s="142" t="n">
        <f aca="false">VLOOKUP($A104,Table,MATCH(J$4,Curves,0))</f>
        <v>-0.0305</v>
      </c>
      <c r="K104" s="143" t="n">
        <f aca="false">J104</f>
        <v>-0.0305</v>
      </c>
      <c r="L104" s="144" t="n">
        <v>0</v>
      </c>
      <c r="M104" s="142" t="n">
        <f aca="false">VLOOKUP($A104,Table,MATCH(M$4,Curves,0))</f>
        <v>0.0087</v>
      </c>
      <c r="N104" s="143" t="n">
        <f aca="false">M104</f>
        <v>0.0087</v>
      </c>
      <c r="O104" s="144" t="n">
        <v>0</v>
      </c>
      <c r="P104" s="145"/>
      <c r="Q104" s="144" t="n">
        <f aca="false">M104+J104+G104</f>
        <v>3.9652</v>
      </c>
      <c r="R104" s="144" t="n">
        <f aca="false">O104+L104+I104</f>
        <v>0</v>
      </c>
      <c r="S104" s="145"/>
      <c r="T104" s="71" t="n">
        <f aca="false">A105-A104</f>
        <v>28</v>
      </c>
      <c r="U104" s="146" t="n">
        <f aca="false">CHOOSE(F$3,A105+24,A104)</f>
        <v>39897</v>
      </c>
      <c r="V104" s="71" t="n">
        <f aca="false">U104-C$3</f>
        <v>3009</v>
      </c>
      <c r="W104" s="142" t="n">
        <f aca="false">VLOOKUP($A104,Table,MATCH(W$4,Curves,0))</f>
        <v>0.058966861357273</v>
      </c>
      <c r="X104" s="147" t="n">
        <f aca="false">1/(1+CHOOSE(F$3,(W105+($K$3/10000))/2,(W104+($K$3/10000))/2))^(2*V104/365.25)</f>
        <v>0.619553100151726</v>
      </c>
      <c r="Y104" s="71" t="n">
        <f aca="false">IF(AND(mthbeg&lt;=A104,mthend&gt;=A104),1,0)</f>
        <v>0</v>
      </c>
      <c r="Z104" s="71" t="n">
        <f aca="false">T104*Y104</f>
        <v>0</v>
      </c>
      <c r="AB104" s="132" t="n">
        <f aca="false">F104*G104</f>
        <v>0</v>
      </c>
      <c r="AC104" s="132" t="n">
        <f aca="false">$F104*H104</f>
        <v>0</v>
      </c>
      <c r="AD104" s="132" t="n">
        <f aca="false">$F104*I104</f>
        <v>0</v>
      </c>
      <c r="AE104" s="132" t="n">
        <f aca="false">$F104*J104</f>
        <v>-0</v>
      </c>
      <c r="AF104" s="132" t="n">
        <f aca="false">$F104*K104</f>
        <v>-0</v>
      </c>
      <c r="AG104" s="132" t="n">
        <f aca="false">$F104*L104</f>
        <v>0</v>
      </c>
      <c r="AH104" s="132" t="n">
        <f aca="false">$F104*M104</f>
        <v>0</v>
      </c>
      <c r="AI104" s="132" t="n">
        <f aca="false">$F104*N104</f>
        <v>0</v>
      </c>
      <c r="AJ104" s="132" t="n">
        <f aca="false">F104*O104</f>
        <v>0</v>
      </c>
      <c r="AK104" s="137"/>
      <c r="AL104" s="132" t="n">
        <f aca="false">CHOOSE($G$3,AC104-AD104,AD104-AC104)</f>
        <v>0</v>
      </c>
      <c r="AM104" s="132" t="n">
        <f aca="false">CHOOSE($G$3,AF104-AG104,AG104-AF104)</f>
        <v>0</v>
      </c>
      <c r="AN104" s="132" t="n">
        <f aca="false">CHOOSE($G$3,AI104-AJ104,AJ104-AI104)</f>
        <v>0</v>
      </c>
      <c r="AO104" s="148" t="n">
        <f aca="false">SUM(AL104:AN104)</f>
        <v>0</v>
      </c>
      <c r="AQ104" s="132" t="n">
        <f aca="false">CHOOSE($G$3,AB104-AC104,AC104-AB104)</f>
        <v>0</v>
      </c>
      <c r="AR104" s="132" t="n">
        <f aca="false">CHOOSE($G$3,AE104-AF104,AF104-AE104)</f>
        <v>0</v>
      </c>
      <c r="AS104" s="132" t="n">
        <f aca="false">CHOOSE($G$3,AH104-AI104,AI104-AH104)</f>
        <v>0</v>
      </c>
      <c r="AT104" s="148" t="n">
        <f aca="false">AQ104+AR104+AS104</f>
        <v>0</v>
      </c>
      <c r="AU104" s="148"/>
      <c r="AV104" s="133" t="n">
        <f aca="false">AT104+AO104</f>
        <v>0</v>
      </c>
      <c r="AX104" s="133" t="n">
        <f aca="false">AJ104+AG104+AD104</f>
        <v>0</v>
      </c>
      <c r="AY104" s="149"/>
      <c r="AZ104" s="76" t="n">
        <f aca="false">R104*E104</f>
        <v>0</v>
      </c>
    </row>
    <row r="105" customFormat="false" ht="12.75" hidden="false" customHeight="false" outlineLevel="0" collapsed="false">
      <c r="A105" s="138" t="n">
        <f aca="false">EDATE(A104,1)</f>
        <v>39873</v>
      </c>
      <c r="B105" s="139" t="n">
        <f aca="false">VLOOKUP($A105,Table2,MATCH(I$3,Curves2,0))</f>
        <v>0</v>
      </c>
      <c r="C105" s="140"/>
      <c r="D105" s="141" t="n">
        <f aca="false">B105+C105</f>
        <v>0</v>
      </c>
      <c r="E105" s="126" t="n">
        <f aca="false">IF(Y105=0,0,IF(AND(Y105=1,$H$3=1),D105*T105,IF($H$3=2,D105,"N/A")))</f>
        <v>0</v>
      </c>
      <c r="F105" s="126" t="n">
        <f aca="false">E105*X105</f>
        <v>0</v>
      </c>
      <c r="G105" s="142" t="n">
        <f aca="false">VLOOKUP($A105,Table,MATCH(G$4,Curves,0))</f>
        <v>3.987</v>
      </c>
      <c r="H105" s="143" t="n">
        <f aca="false">G105</f>
        <v>3.987</v>
      </c>
      <c r="I105" s="142" t="n">
        <f aca="false">VLOOKUP($A105,Table1,MATCH(I$3,Curves1,0))</f>
        <v>0</v>
      </c>
      <c r="J105" s="142" t="n">
        <f aca="false">VLOOKUP($A105,Table,MATCH(J$4,Curves,0))</f>
        <v>-0.0305</v>
      </c>
      <c r="K105" s="143" t="n">
        <f aca="false">J105</f>
        <v>-0.0305</v>
      </c>
      <c r="L105" s="144" t="n">
        <v>0</v>
      </c>
      <c r="M105" s="142" t="n">
        <f aca="false">VLOOKUP($A105,Table,MATCH(M$4,Curves,0))</f>
        <v>0.0087</v>
      </c>
      <c r="N105" s="143" t="n">
        <f aca="false">M105</f>
        <v>0.0087</v>
      </c>
      <c r="O105" s="144" t="n">
        <v>0</v>
      </c>
      <c r="P105" s="145"/>
      <c r="Q105" s="144" t="n">
        <f aca="false">M105+J105+G105</f>
        <v>3.9652</v>
      </c>
      <c r="R105" s="144" t="n">
        <f aca="false">O105+L105+I105</f>
        <v>0</v>
      </c>
      <c r="S105" s="145"/>
      <c r="T105" s="71" t="n">
        <f aca="false">A106-A105</f>
        <v>31</v>
      </c>
      <c r="U105" s="146" t="n">
        <f aca="false">CHOOSE(F$3,A106+24,A105)</f>
        <v>39928</v>
      </c>
      <c r="V105" s="71" t="n">
        <f aca="false">U105-C$3</f>
        <v>3040</v>
      </c>
      <c r="W105" s="142" t="n">
        <f aca="false">VLOOKUP($A105,Table,MATCH(W$4,Curves,0))</f>
        <v>0.058966861357273</v>
      </c>
      <c r="X105" s="147" t="n">
        <f aca="false">1/(1+CHOOSE(F$3,(W106+($K$3/10000))/2,(W105+($K$3/10000))/2))^(2*V105/365.25)</f>
        <v>0.616504766858637</v>
      </c>
      <c r="Y105" s="71" t="n">
        <f aca="false">IF(AND(mthbeg&lt;=A105,mthend&gt;=A105),1,0)</f>
        <v>0</v>
      </c>
      <c r="Z105" s="71" t="n">
        <f aca="false">T105*Y105</f>
        <v>0</v>
      </c>
      <c r="AB105" s="132" t="n">
        <f aca="false">F105*G105</f>
        <v>0</v>
      </c>
      <c r="AC105" s="132" t="n">
        <f aca="false">$F105*H105</f>
        <v>0</v>
      </c>
      <c r="AD105" s="132" t="n">
        <f aca="false">$F105*I105</f>
        <v>0</v>
      </c>
      <c r="AE105" s="132" t="n">
        <f aca="false">$F105*J105</f>
        <v>-0</v>
      </c>
      <c r="AF105" s="132" t="n">
        <f aca="false">$F105*K105</f>
        <v>-0</v>
      </c>
      <c r="AG105" s="132" t="n">
        <f aca="false">$F105*L105</f>
        <v>0</v>
      </c>
      <c r="AH105" s="132" t="n">
        <f aca="false">$F105*M105</f>
        <v>0</v>
      </c>
      <c r="AI105" s="132" t="n">
        <f aca="false">$F105*N105</f>
        <v>0</v>
      </c>
      <c r="AJ105" s="132" t="n">
        <f aca="false">F105*O105</f>
        <v>0</v>
      </c>
      <c r="AK105" s="137"/>
      <c r="AL105" s="132" t="n">
        <f aca="false">CHOOSE($G$3,AC105-AD105,AD105-AC105)</f>
        <v>0</v>
      </c>
      <c r="AM105" s="132" t="n">
        <f aca="false">CHOOSE($G$3,AF105-AG105,AG105-AF105)</f>
        <v>0</v>
      </c>
      <c r="AN105" s="132" t="n">
        <f aca="false">CHOOSE($G$3,AI105-AJ105,AJ105-AI105)</f>
        <v>0</v>
      </c>
      <c r="AO105" s="148" t="n">
        <f aca="false">SUM(AL105:AN105)</f>
        <v>0</v>
      </c>
      <c r="AQ105" s="132" t="n">
        <f aca="false">CHOOSE($G$3,AB105-AC105,AC105-AB105)</f>
        <v>0</v>
      </c>
      <c r="AR105" s="132" t="n">
        <f aca="false">CHOOSE($G$3,AE105-AF105,AF105-AE105)</f>
        <v>0</v>
      </c>
      <c r="AS105" s="132" t="n">
        <f aca="false">CHOOSE($G$3,AH105-AI105,AI105-AH105)</f>
        <v>0</v>
      </c>
      <c r="AT105" s="148" t="n">
        <f aca="false">AQ105+AR105+AS105</f>
        <v>0</v>
      </c>
      <c r="AU105" s="148"/>
      <c r="AV105" s="133" t="n">
        <f aca="false">AT105+AO105</f>
        <v>0</v>
      </c>
      <c r="AX105" s="133" t="n">
        <f aca="false">AJ105+AG105+AD105</f>
        <v>0</v>
      </c>
      <c r="AY105" s="149"/>
      <c r="AZ105" s="76" t="n">
        <f aca="false">R105*E105</f>
        <v>0</v>
      </c>
    </row>
    <row r="106" customFormat="false" ht="12.75" hidden="false" customHeight="false" outlineLevel="0" collapsed="false">
      <c r="A106" s="138" t="n">
        <f aca="false">EDATE(A105,1)</f>
        <v>39904</v>
      </c>
      <c r="B106" s="139" t="n">
        <f aca="false">VLOOKUP($A106,Table2,MATCH(I$3,Curves2,0))</f>
        <v>0</v>
      </c>
      <c r="C106" s="140"/>
      <c r="D106" s="141" t="n">
        <f aca="false">B106+C106</f>
        <v>0</v>
      </c>
      <c r="E106" s="126" t="n">
        <f aca="false">IF(Y106=0,0,IF(AND(Y106=1,$H$3=1),D106*T106,IF($H$3=2,D106,"N/A")))</f>
        <v>0</v>
      </c>
      <c r="F106" s="126" t="n">
        <f aca="false">E106*X106</f>
        <v>0</v>
      </c>
      <c r="G106" s="142" t="n">
        <f aca="false">VLOOKUP($A106,Table,MATCH(G$4,Curves,0))</f>
        <v>3.987</v>
      </c>
      <c r="H106" s="143" t="n">
        <f aca="false">G106</f>
        <v>3.987</v>
      </c>
      <c r="I106" s="142" t="n">
        <f aca="false">VLOOKUP($A106,Table1,MATCH(I$3,Curves1,0))</f>
        <v>0</v>
      </c>
      <c r="J106" s="142" t="n">
        <f aca="false">VLOOKUP($A106,Table,MATCH(J$4,Curves,0))</f>
        <v>-0.0305</v>
      </c>
      <c r="K106" s="143" t="n">
        <f aca="false">J106</f>
        <v>-0.0305</v>
      </c>
      <c r="L106" s="144" t="n">
        <v>0</v>
      </c>
      <c r="M106" s="142" t="n">
        <f aca="false">VLOOKUP($A106,Table,MATCH(M$4,Curves,0))</f>
        <v>0.0087</v>
      </c>
      <c r="N106" s="143" t="n">
        <f aca="false">M106</f>
        <v>0.0087</v>
      </c>
      <c r="O106" s="144" t="n">
        <v>0</v>
      </c>
      <c r="P106" s="145"/>
      <c r="Q106" s="144" t="n">
        <f aca="false">M106+J106+G106</f>
        <v>3.9652</v>
      </c>
      <c r="R106" s="144" t="n">
        <f aca="false">O106+L106+I106</f>
        <v>0</v>
      </c>
      <c r="S106" s="145"/>
      <c r="T106" s="71" t="n">
        <f aca="false">A107-A106</f>
        <v>30</v>
      </c>
      <c r="U106" s="146" t="n">
        <f aca="false">CHOOSE(F$3,A107+24,A106)</f>
        <v>39958</v>
      </c>
      <c r="V106" s="71" t="n">
        <f aca="false">U106-C$3</f>
        <v>3070</v>
      </c>
      <c r="W106" s="142" t="n">
        <f aca="false">VLOOKUP($A106,Table,MATCH(W$4,Curves,0))</f>
        <v>0.058966861357273</v>
      </c>
      <c r="X106" s="147" t="n">
        <f aca="false">1/(1+CHOOSE(F$3,(W107+($K$3/10000))/2,(W106+($K$3/10000))/2))^(2*V106/365.25)</f>
        <v>0.613569048175669</v>
      </c>
      <c r="Y106" s="71" t="n">
        <f aca="false">IF(AND(mthbeg&lt;=A106,mthend&gt;=A106),1,0)</f>
        <v>0</v>
      </c>
      <c r="Z106" s="71" t="n">
        <f aca="false">T106*Y106</f>
        <v>0</v>
      </c>
      <c r="AB106" s="132" t="n">
        <f aca="false">F106*G106</f>
        <v>0</v>
      </c>
      <c r="AC106" s="132" t="n">
        <f aca="false">$F106*H106</f>
        <v>0</v>
      </c>
      <c r="AD106" s="132" t="n">
        <f aca="false">$F106*I106</f>
        <v>0</v>
      </c>
      <c r="AE106" s="132" t="n">
        <f aca="false">$F106*J106</f>
        <v>-0</v>
      </c>
      <c r="AF106" s="132" t="n">
        <f aca="false">$F106*K106</f>
        <v>-0</v>
      </c>
      <c r="AG106" s="132" t="n">
        <f aca="false">$F106*L106</f>
        <v>0</v>
      </c>
      <c r="AH106" s="132" t="n">
        <f aca="false">$F106*M106</f>
        <v>0</v>
      </c>
      <c r="AI106" s="132" t="n">
        <f aca="false">$F106*N106</f>
        <v>0</v>
      </c>
      <c r="AJ106" s="132" t="n">
        <f aca="false">F106*O106</f>
        <v>0</v>
      </c>
      <c r="AK106" s="137"/>
      <c r="AL106" s="132" t="n">
        <f aca="false">CHOOSE($G$3,AC106-AD106,AD106-AC106)</f>
        <v>0</v>
      </c>
      <c r="AM106" s="132" t="n">
        <f aca="false">CHOOSE($G$3,AF106-AG106,AG106-AF106)</f>
        <v>0</v>
      </c>
      <c r="AN106" s="132" t="n">
        <f aca="false">CHOOSE($G$3,AI106-AJ106,AJ106-AI106)</f>
        <v>0</v>
      </c>
      <c r="AO106" s="148" t="n">
        <f aca="false">SUM(AL106:AN106)</f>
        <v>0</v>
      </c>
      <c r="AQ106" s="132" t="n">
        <f aca="false">CHOOSE($G$3,AB106-AC106,AC106-AB106)</f>
        <v>0</v>
      </c>
      <c r="AR106" s="132" t="n">
        <f aca="false">CHOOSE($G$3,AE106-AF106,AF106-AE106)</f>
        <v>0</v>
      </c>
      <c r="AS106" s="132" t="n">
        <f aca="false">CHOOSE($G$3,AH106-AI106,AI106-AH106)</f>
        <v>0</v>
      </c>
      <c r="AT106" s="148" t="n">
        <f aca="false">AQ106+AR106+AS106</f>
        <v>0</v>
      </c>
      <c r="AU106" s="148"/>
      <c r="AV106" s="133" t="n">
        <f aca="false">AT106+AO106</f>
        <v>0</v>
      </c>
      <c r="AX106" s="133" t="n">
        <f aca="false">AJ106+AG106+AD106</f>
        <v>0</v>
      </c>
      <c r="AY106" s="149"/>
      <c r="AZ106" s="76" t="n">
        <f aca="false">R106*E106</f>
        <v>0</v>
      </c>
    </row>
    <row r="107" customFormat="false" ht="12.75" hidden="false" customHeight="false" outlineLevel="0" collapsed="false">
      <c r="A107" s="138" t="n">
        <f aca="false">EDATE(A106,1)</f>
        <v>39934</v>
      </c>
      <c r="B107" s="139" t="n">
        <f aca="false">VLOOKUP($A107,Table2,MATCH(I$3,Curves2,0))</f>
        <v>0</v>
      </c>
      <c r="C107" s="140"/>
      <c r="D107" s="141" t="n">
        <f aca="false">B107+C107</f>
        <v>0</v>
      </c>
      <c r="E107" s="126" t="n">
        <f aca="false">IF(Y107=0,0,IF(AND(Y107=1,$H$3=1),D107*T107,IF($H$3=2,D107,"N/A")))</f>
        <v>0</v>
      </c>
      <c r="F107" s="126" t="n">
        <f aca="false">E107*X107</f>
        <v>0</v>
      </c>
      <c r="G107" s="142" t="n">
        <f aca="false">VLOOKUP($A107,Table,MATCH(G$4,Curves,0))</f>
        <v>3.987</v>
      </c>
      <c r="H107" s="143" t="n">
        <f aca="false">G107</f>
        <v>3.987</v>
      </c>
      <c r="I107" s="142" t="n">
        <f aca="false">VLOOKUP($A107,Table1,MATCH(I$3,Curves1,0))</f>
        <v>0</v>
      </c>
      <c r="J107" s="142" t="n">
        <f aca="false">VLOOKUP($A107,Table,MATCH(J$4,Curves,0))</f>
        <v>-0.0305</v>
      </c>
      <c r="K107" s="143" t="n">
        <f aca="false">J107</f>
        <v>-0.0305</v>
      </c>
      <c r="L107" s="144" t="n">
        <v>0</v>
      </c>
      <c r="M107" s="142" t="n">
        <f aca="false">VLOOKUP($A107,Table,MATCH(M$4,Curves,0))</f>
        <v>0.0087</v>
      </c>
      <c r="N107" s="143" t="n">
        <f aca="false">M107</f>
        <v>0.0087</v>
      </c>
      <c r="O107" s="144" t="n">
        <v>0</v>
      </c>
      <c r="P107" s="145"/>
      <c r="Q107" s="144" t="n">
        <f aca="false">M107+J107+G107</f>
        <v>3.9652</v>
      </c>
      <c r="R107" s="144" t="n">
        <f aca="false">O107+L107+I107</f>
        <v>0</v>
      </c>
      <c r="S107" s="145"/>
      <c r="T107" s="71" t="n">
        <f aca="false">A108-A107</f>
        <v>31</v>
      </c>
      <c r="U107" s="146" t="n">
        <f aca="false">CHOOSE(F$3,A108+24,A107)</f>
        <v>39989</v>
      </c>
      <c r="V107" s="71" t="n">
        <f aca="false">U107-C$3</f>
        <v>3101</v>
      </c>
      <c r="W107" s="142" t="n">
        <f aca="false">VLOOKUP($A107,Table,MATCH(W$4,Curves,0))</f>
        <v>0.058966861357273</v>
      </c>
      <c r="X107" s="147" t="n">
        <f aca="false">1/(1+CHOOSE(F$3,(W108+($K$3/10000))/2,(W107+($K$3/10000))/2))^(2*V107/365.25)</f>
        <v>0.610550157693634</v>
      </c>
      <c r="Y107" s="71" t="n">
        <f aca="false">IF(AND(mthbeg&lt;=A107,mthend&gt;=A107),1,0)</f>
        <v>0</v>
      </c>
      <c r="Z107" s="71" t="n">
        <f aca="false">T107*Y107</f>
        <v>0</v>
      </c>
      <c r="AB107" s="132" t="n">
        <f aca="false">F107*G107</f>
        <v>0</v>
      </c>
      <c r="AC107" s="132" t="n">
        <f aca="false">$F107*H107</f>
        <v>0</v>
      </c>
      <c r="AD107" s="132" t="n">
        <f aca="false">$F107*I107</f>
        <v>0</v>
      </c>
      <c r="AE107" s="132" t="n">
        <f aca="false">$F107*J107</f>
        <v>-0</v>
      </c>
      <c r="AF107" s="132" t="n">
        <f aca="false">$F107*K107</f>
        <v>-0</v>
      </c>
      <c r="AG107" s="132" t="n">
        <f aca="false">$F107*L107</f>
        <v>0</v>
      </c>
      <c r="AH107" s="132" t="n">
        <f aca="false">$F107*M107</f>
        <v>0</v>
      </c>
      <c r="AI107" s="132" t="n">
        <f aca="false">$F107*N107</f>
        <v>0</v>
      </c>
      <c r="AJ107" s="132" t="n">
        <f aca="false">F107*O107</f>
        <v>0</v>
      </c>
      <c r="AK107" s="137"/>
      <c r="AL107" s="132" t="n">
        <f aca="false">CHOOSE($G$3,AC107-AD107,AD107-AC107)</f>
        <v>0</v>
      </c>
      <c r="AM107" s="132" t="n">
        <f aca="false">CHOOSE($G$3,AF107-AG107,AG107-AF107)</f>
        <v>0</v>
      </c>
      <c r="AN107" s="132" t="n">
        <f aca="false">CHOOSE($G$3,AI107-AJ107,AJ107-AI107)</f>
        <v>0</v>
      </c>
      <c r="AO107" s="148" t="n">
        <f aca="false">SUM(AL107:AN107)</f>
        <v>0</v>
      </c>
      <c r="AQ107" s="132" t="n">
        <f aca="false">CHOOSE($G$3,AB107-AC107,AC107-AB107)</f>
        <v>0</v>
      </c>
      <c r="AR107" s="132" t="n">
        <f aca="false">CHOOSE($G$3,AE107-AF107,AF107-AE107)</f>
        <v>0</v>
      </c>
      <c r="AS107" s="132" t="n">
        <f aca="false">CHOOSE($G$3,AH107-AI107,AI107-AH107)</f>
        <v>0</v>
      </c>
      <c r="AT107" s="148" t="n">
        <f aca="false">AQ107+AR107+AS107</f>
        <v>0</v>
      </c>
      <c r="AU107" s="148"/>
      <c r="AV107" s="133" t="n">
        <f aca="false">AT107+AO107</f>
        <v>0</v>
      </c>
      <c r="AX107" s="133" t="n">
        <f aca="false">AJ107+AG107+AD107</f>
        <v>0</v>
      </c>
      <c r="AY107" s="149"/>
      <c r="AZ107" s="76" t="n">
        <f aca="false">R107*E107</f>
        <v>0</v>
      </c>
    </row>
    <row r="108" customFormat="false" ht="12.75" hidden="false" customHeight="false" outlineLevel="0" collapsed="false">
      <c r="A108" s="138" t="n">
        <f aca="false">EDATE(A107,1)</f>
        <v>39965</v>
      </c>
      <c r="B108" s="139" t="n">
        <f aca="false">VLOOKUP($A108,Table2,MATCH(I$3,Curves2,0))</f>
        <v>0</v>
      </c>
      <c r="C108" s="140"/>
      <c r="D108" s="141" t="n">
        <f aca="false">B108+C108</f>
        <v>0</v>
      </c>
      <c r="E108" s="126" t="n">
        <f aca="false">IF(Y108=0,0,IF(AND(Y108=1,$H$3=1),D108*T108,IF($H$3=2,D108,"N/A")))</f>
        <v>0</v>
      </c>
      <c r="F108" s="126" t="n">
        <f aca="false">E108*X108</f>
        <v>0</v>
      </c>
      <c r="G108" s="142" t="n">
        <f aca="false">VLOOKUP($A108,Table,MATCH(G$4,Curves,0))</f>
        <v>3.987</v>
      </c>
      <c r="H108" s="143" t="n">
        <f aca="false">G108</f>
        <v>3.987</v>
      </c>
      <c r="I108" s="142" t="n">
        <f aca="false">VLOOKUP($A108,Table1,MATCH(I$3,Curves1,0))</f>
        <v>0</v>
      </c>
      <c r="J108" s="142" t="n">
        <f aca="false">VLOOKUP($A108,Table,MATCH(J$4,Curves,0))</f>
        <v>-0.0305</v>
      </c>
      <c r="K108" s="143" t="n">
        <f aca="false">J108</f>
        <v>-0.0305</v>
      </c>
      <c r="L108" s="144" t="n">
        <v>0</v>
      </c>
      <c r="M108" s="142" t="n">
        <f aca="false">VLOOKUP($A108,Table,MATCH(M$4,Curves,0))</f>
        <v>0.0087</v>
      </c>
      <c r="N108" s="143" t="n">
        <f aca="false">M108</f>
        <v>0.0087</v>
      </c>
      <c r="O108" s="144" t="n">
        <v>0</v>
      </c>
      <c r="P108" s="145"/>
      <c r="Q108" s="144" t="n">
        <f aca="false">M108+J108+G108</f>
        <v>3.9652</v>
      </c>
      <c r="R108" s="144" t="n">
        <f aca="false">O108+L108+I108</f>
        <v>0</v>
      </c>
      <c r="S108" s="145"/>
      <c r="T108" s="71" t="n">
        <f aca="false">A109-A108</f>
        <v>30</v>
      </c>
      <c r="U108" s="146" t="n">
        <f aca="false">CHOOSE(F$3,A109+24,A108)</f>
        <v>40019</v>
      </c>
      <c r="V108" s="71" t="n">
        <f aca="false">U108-C$3</f>
        <v>3131</v>
      </c>
      <c r="W108" s="142" t="n">
        <f aca="false">VLOOKUP($A108,Table,MATCH(W$4,Curves,0))</f>
        <v>0.058966861357273</v>
      </c>
      <c r="X108" s="147" t="n">
        <f aca="false">1/(1+CHOOSE(F$3,(W109+($K$3/10000))/2,(W108+($K$3/10000))/2))^(2*V108/365.25)</f>
        <v>0.607642794115631</v>
      </c>
      <c r="Y108" s="71" t="n">
        <f aca="false">IF(AND(mthbeg&lt;=A108,mthend&gt;=A108),1,0)</f>
        <v>0</v>
      </c>
      <c r="Z108" s="71" t="n">
        <f aca="false">T108*Y108</f>
        <v>0</v>
      </c>
      <c r="AB108" s="132" t="n">
        <f aca="false">F108*G108</f>
        <v>0</v>
      </c>
      <c r="AC108" s="132" t="n">
        <f aca="false">$F108*H108</f>
        <v>0</v>
      </c>
      <c r="AD108" s="132" t="n">
        <f aca="false">$F108*I108</f>
        <v>0</v>
      </c>
      <c r="AE108" s="132" t="n">
        <f aca="false">$F108*J108</f>
        <v>-0</v>
      </c>
      <c r="AF108" s="132" t="n">
        <f aca="false">$F108*K108</f>
        <v>-0</v>
      </c>
      <c r="AG108" s="132" t="n">
        <f aca="false">$F108*L108</f>
        <v>0</v>
      </c>
      <c r="AH108" s="132" t="n">
        <f aca="false">$F108*M108</f>
        <v>0</v>
      </c>
      <c r="AI108" s="132" t="n">
        <f aca="false">$F108*N108</f>
        <v>0</v>
      </c>
      <c r="AJ108" s="132" t="n">
        <f aca="false">F108*O108</f>
        <v>0</v>
      </c>
      <c r="AK108" s="137"/>
      <c r="AL108" s="132" t="n">
        <f aca="false">CHOOSE($G$3,AC108-AD108,AD108-AC108)</f>
        <v>0</v>
      </c>
      <c r="AM108" s="132" t="n">
        <f aca="false">CHOOSE($G$3,AF108-AG108,AG108-AF108)</f>
        <v>0</v>
      </c>
      <c r="AN108" s="132" t="n">
        <f aca="false">CHOOSE($G$3,AI108-AJ108,AJ108-AI108)</f>
        <v>0</v>
      </c>
      <c r="AO108" s="148" t="n">
        <f aca="false">SUM(AL108:AN108)</f>
        <v>0</v>
      </c>
      <c r="AQ108" s="132" t="n">
        <f aca="false">CHOOSE($G$3,AB108-AC108,AC108-AB108)</f>
        <v>0</v>
      </c>
      <c r="AR108" s="132" t="n">
        <f aca="false">CHOOSE($G$3,AE108-AF108,AF108-AE108)</f>
        <v>0</v>
      </c>
      <c r="AS108" s="132" t="n">
        <f aca="false">CHOOSE($G$3,AH108-AI108,AI108-AH108)</f>
        <v>0</v>
      </c>
      <c r="AT108" s="148" t="n">
        <f aca="false">AQ108+AR108+AS108</f>
        <v>0</v>
      </c>
      <c r="AU108" s="148"/>
      <c r="AV108" s="133" t="n">
        <f aca="false">AT108+AO108</f>
        <v>0</v>
      </c>
      <c r="AX108" s="133" t="n">
        <f aca="false">AJ108+AG108+AD108</f>
        <v>0</v>
      </c>
      <c r="AY108" s="149"/>
      <c r="AZ108" s="76" t="n">
        <f aca="false">R108*E108</f>
        <v>0</v>
      </c>
    </row>
    <row r="109" customFormat="false" ht="12.75" hidden="false" customHeight="false" outlineLevel="0" collapsed="false">
      <c r="A109" s="138" t="n">
        <f aca="false">EDATE(A108,1)</f>
        <v>39995</v>
      </c>
      <c r="B109" s="139" t="n">
        <f aca="false">VLOOKUP($A109,Table2,MATCH(I$3,Curves2,0))</f>
        <v>0</v>
      </c>
      <c r="C109" s="140"/>
      <c r="D109" s="141" t="n">
        <f aca="false">B109+C109</f>
        <v>0</v>
      </c>
      <c r="E109" s="126" t="n">
        <f aca="false">IF(Y109=0,0,IF(AND(Y109=1,$H$3=1),D109*T109,IF($H$3=2,D109,"N/A")))</f>
        <v>0</v>
      </c>
      <c r="F109" s="126" t="n">
        <f aca="false">E109*X109</f>
        <v>0</v>
      </c>
      <c r="G109" s="142" t="n">
        <f aca="false">VLOOKUP($A109,Table,MATCH(G$4,Curves,0))</f>
        <v>3.987</v>
      </c>
      <c r="H109" s="143" t="n">
        <f aca="false">G109</f>
        <v>3.987</v>
      </c>
      <c r="I109" s="142" t="n">
        <f aca="false">VLOOKUP($A109,Table1,MATCH(I$3,Curves1,0))</f>
        <v>0</v>
      </c>
      <c r="J109" s="142" t="n">
        <f aca="false">VLOOKUP($A109,Table,MATCH(J$4,Curves,0))</f>
        <v>-0.0305</v>
      </c>
      <c r="K109" s="143" t="n">
        <f aca="false">J109</f>
        <v>-0.0305</v>
      </c>
      <c r="L109" s="144" t="n">
        <v>0</v>
      </c>
      <c r="M109" s="142" t="n">
        <f aca="false">VLOOKUP($A109,Table,MATCH(M$4,Curves,0))</f>
        <v>0.0087</v>
      </c>
      <c r="N109" s="143" t="n">
        <f aca="false">M109</f>
        <v>0.0087</v>
      </c>
      <c r="O109" s="144" t="n">
        <v>0</v>
      </c>
      <c r="P109" s="145"/>
      <c r="Q109" s="144" t="n">
        <f aca="false">M109+J109+G109</f>
        <v>3.9652</v>
      </c>
      <c r="R109" s="144" t="n">
        <f aca="false">O109+L109+I109</f>
        <v>0</v>
      </c>
      <c r="S109" s="145"/>
      <c r="T109" s="71" t="n">
        <f aca="false">A110-A109</f>
        <v>31</v>
      </c>
      <c r="U109" s="146" t="n">
        <f aca="false">CHOOSE(F$3,A110+24,A109)</f>
        <v>40050</v>
      </c>
      <c r="V109" s="71" t="n">
        <f aca="false">U109-C$3</f>
        <v>3162</v>
      </c>
      <c r="W109" s="142" t="n">
        <f aca="false">VLOOKUP($A109,Table,MATCH(W$4,Curves,0))</f>
        <v>0.058966861357273</v>
      </c>
      <c r="X109" s="147" t="n">
        <f aca="false">1/(1+CHOOSE(F$3,(W110+($K$3/10000))/2,(W109+($K$3/10000))/2))^(2*V109/365.25)</f>
        <v>0.604653062066586</v>
      </c>
      <c r="Y109" s="71" t="n">
        <f aca="false">IF(AND(mthbeg&lt;=A109,mthend&gt;=A109),1,0)</f>
        <v>0</v>
      </c>
      <c r="Z109" s="71" t="n">
        <f aca="false">T109*Y109</f>
        <v>0</v>
      </c>
      <c r="AB109" s="132" t="n">
        <f aca="false">F109*G109</f>
        <v>0</v>
      </c>
      <c r="AC109" s="132" t="n">
        <f aca="false">$F109*H109</f>
        <v>0</v>
      </c>
      <c r="AD109" s="132" t="n">
        <f aca="false">$F109*I109</f>
        <v>0</v>
      </c>
      <c r="AE109" s="132" t="n">
        <f aca="false">$F109*J109</f>
        <v>-0</v>
      </c>
      <c r="AF109" s="132" t="n">
        <f aca="false">$F109*K109</f>
        <v>-0</v>
      </c>
      <c r="AG109" s="132" t="n">
        <f aca="false">$F109*L109</f>
        <v>0</v>
      </c>
      <c r="AH109" s="132" t="n">
        <f aca="false">$F109*M109</f>
        <v>0</v>
      </c>
      <c r="AI109" s="132" t="n">
        <f aca="false">$F109*N109</f>
        <v>0</v>
      </c>
      <c r="AJ109" s="132" t="n">
        <f aca="false">F109*O109</f>
        <v>0</v>
      </c>
      <c r="AK109" s="137"/>
      <c r="AL109" s="132" t="n">
        <f aca="false">CHOOSE($G$3,AC109-AD109,AD109-AC109)</f>
        <v>0</v>
      </c>
      <c r="AM109" s="132" t="n">
        <f aca="false">CHOOSE($G$3,AF109-AG109,AG109-AF109)</f>
        <v>0</v>
      </c>
      <c r="AN109" s="132" t="n">
        <f aca="false">CHOOSE($G$3,AI109-AJ109,AJ109-AI109)</f>
        <v>0</v>
      </c>
      <c r="AO109" s="148" t="n">
        <f aca="false">SUM(AL109:AN109)</f>
        <v>0</v>
      </c>
      <c r="AQ109" s="132" t="n">
        <f aca="false">CHOOSE($G$3,AB109-AC109,AC109-AB109)</f>
        <v>0</v>
      </c>
      <c r="AR109" s="132" t="n">
        <f aca="false">CHOOSE($G$3,AE109-AF109,AF109-AE109)</f>
        <v>0</v>
      </c>
      <c r="AS109" s="132" t="n">
        <f aca="false">CHOOSE($G$3,AH109-AI109,AI109-AH109)</f>
        <v>0</v>
      </c>
      <c r="AT109" s="148" t="n">
        <f aca="false">AQ109+AR109+AS109</f>
        <v>0</v>
      </c>
      <c r="AU109" s="148"/>
      <c r="AV109" s="133" t="n">
        <f aca="false">AT109+AO109</f>
        <v>0</v>
      </c>
      <c r="AX109" s="133" t="n">
        <f aca="false">AJ109+AG109+AD109</f>
        <v>0</v>
      </c>
      <c r="AY109" s="149"/>
      <c r="AZ109" s="76" t="n">
        <f aca="false">R109*E109</f>
        <v>0</v>
      </c>
    </row>
    <row r="110" customFormat="false" ht="12.75" hidden="false" customHeight="false" outlineLevel="0" collapsed="false">
      <c r="A110" s="138" t="n">
        <f aca="false">EDATE(A109,1)</f>
        <v>40026</v>
      </c>
      <c r="B110" s="139" t="n">
        <f aca="false">VLOOKUP($A110,Table2,MATCH(I$3,Curves2,0))</f>
        <v>0</v>
      </c>
      <c r="C110" s="140"/>
      <c r="D110" s="141" t="n">
        <f aca="false">B110+C110</f>
        <v>0</v>
      </c>
      <c r="E110" s="126" t="n">
        <f aca="false">IF(Y110=0,0,IF(AND(Y110=1,$H$3=1),D110*T110,IF($H$3=2,D110,"N/A")))</f>
        <v>0</v>
      </c>
      <c r="F110" s="126" t="n">
        <f aca="false">E110*X110</f>
        <v>0</v>
      </c>
      <c r="G110" s="142" t="n">
        <f aca="false">VLOOKUP($A110,Table,MATCH(G$4,Curves,0))</f>
        <v>3.987</v>
      </c>
      <c r="H110" s="143" t="n">
        <f aca="false">G110</f>
        <v>3.987</v>
      </c>
      <c r="I110" s="142" t="n">
        <f aca="false">VLOOKUP($A110,Table1,MATCH(I$3,Curves1,0))</f>
        <v>0</v>
      </c>
      <c r="J110" s="142" t="n">
        <f aca="false">VLOOKUP($A110,Table,MATCH(J$4,Curves,0))</f>
        <v>-0.0305</v>
      </c>
      <c r="K110" s="143" t="n">
        <f aca="false">J110</f>
        <v>-0.0305</v>
      </c>
      <c r="L110" s="144" t="n">
        <v>0</v>
      </c>
      <c r="M110" s="142" t="n">
        <f aca="false">VLOOKUP($A110,Table,MATCH(M$4,Curves,0))</f>
        <v>0.0087</v>
      </c>
      <c r="N110" s="143" t="n">
        <f aca="false">M110</f>
        <v>0.0087</v>
      </c>
      <c r="O110" s="144" t="n">
        <v>0</v>
      </c>
      <c r="P110" s="145"/>
      <c r="Q110" s="144" t="n">
        <f aca="false">M110+J110+G110</f>
        <v>3.9652</v>
      </c>
      <c r="R110" s="144" t="n">
        <f aca="false">O110+L110+I110</f>
        <v>0</v>
      </c>
      <c r="S110" s="145"/>
      <c r="T110" s="71" t="n">
        <f aca="false">A111-A110</f>
        <v>31</v>
      </c>
      <c r="U110" s="146" t="n">
        <f aca="false">CHOOSE(F$3,A111+24,A110)</f>
        <v>40081</v>
      </c>
      <c r="V110" s="71" t="n">
        <f aca="false">U110-C$3</f>
        <v>3193</v>
      </c>
      <c r="W110" s="142" t="n">
        <f aca="false">VLOOKUP($A110,Table,MATCH(W$4,Curves,0))</f>
        <v>0.058966861357273</v>
      </c>
      <c r="X110" s="147" t="n">
        <f aca="false">1/(1+CHOOSE(F$3,(W111+($K$3/10000))/2,(W110+($K$3/10000))/2))^(2*V110/365.25)</f>
        <v>0.601678040136401</v>
      </c>
      <c r="Y110" s="71" t="n">
        <f aca="false">IF(AND(mthbeg&lt;=A110,mthend&gt;=A110),1,0)</f>
        <v>0</v>
      </c>
      <c r="Z110" s="71" t="n">
        <f aca="false">T110*Y110</f>
        <v>0</v>
      </c>
      <c r="AB110" s="132" t="n">
        <f aca="false">F110*G110</f>
        <v>0</v>
      </c>
      <c r="AC110" s="132" t="n">
        <f aca="false">$F110*H110</f>
        <v>0</v>
      </c>
      <c r="AD110" s="132" t="n">
        <f aca="false">$F110*I110</f>
        <v>0</v>
      </c>
      <c r="AE110" s="132" t="n">
        <f aca="false">$F110*J110</f>
        <v>-0</v>
      </c>
      <c r="AF110" s="132" t="n">
        <f aca="false">$F110*K110</f>
        <v>-0</v>
      </c>
      <c r="AG110" s="132" t="n">
        <f aca="false">$F110*L110</f>
        <v>0</v>
      </c>
      <c r="AH110" s="132" t="n">
        <f aca="false">$F110*M110</f>
        <v>0</v>
      </c>
      <c r="AI110" s="132" t="n">
        <f aca="false">$F110*N110</f>
        <v>0</v>
      </c>
      <c r="AJ110" s="132" t="n">
        <f aca="false">F110*O110</f>
        <v>0</v>
      </c>
      <c r="AK110" s="137"/>
      <c r="AL110" s="132" t="n">
        <f aca="false">CHOOSE($G$3,AC110-AD110,AD110-AC110)</f>
        <v>0</v>
      </c>
      <c r="AM110" s="132" t="n">
        <f aca="false">CHOOSE($G$3,AF110-AG110,AG110-AF110)</f>
        <v>0</v>
      </c>
      <c r="AN110" s="132" t="n">
        <f aca="false">CHOOSE($G$3,AI110-AJ110,AJ110-AI110)</f>
        <v>0</v>
      </c>
      <c r="AO110" s="148" t="n">
        <f aca="false">SUM(AL110:AN110)</f>
        <v>0</v>
      </c>
      <c r="AQ110" s="132" t="n">
        <f aca="false">CHOOSE($G$3,AB110-AC110,AC110-AB110)</f>
        <v>0</v>
      </c>
      <c r="AR110" s="132" t="n">
        <f aca="false">CHOOSE($G$3,AE110-AF110,AF110-AE110)</f>
        <v>0</v>
      </c>
      <c r="AS110" s="132" t="n">
        <f aca="false">CHOOSE($G$3,AH110-AI110,AI110-AH110)</f>
        <v>0</v>
      </c>
      <c r="AT110" s="148" t="n">
        <f aca="false">AQ110+AR110+AS110</f>
        <v>0</v>
      </c>
      <c r="AU110" s="148"/>
      <c r="AV110" s="133" t="n">
        <f aca="false">AT110+AO110</f>
        <v>0</v>
      </c>
      <c r="AX110" s="133" t="n">
        <f aca="false">AJ110+AG110+AD110</f>
        <v>0</v>
      </c>
      <c r="AY110" s="149"/>
      <c r="AZ110" s="76" t="n">
        <f aca="false">R110*E110</f>
        <v>0</v>
      </c>
    </row>
    <row r="111" customFormat="false" ht="12.75" hidden="false" customHeight="false" outlineLevel="0" collapsed="false">
      <c r="A111" s="138" t="n">
        <f aca="false">EDATE(A110,1)</f>
        <v>40057</v>
      </c>
      <c r="B111" s="139" t="n">
        <f aca="false">VLOOKUP($A111,Table2,MATCH(I$3,Curves2,0))</f>
        <v>0</v>
      </c>
      <c r="C111" s="140"/>
      <c r="D111" s="141" t="n">
        <f aca="false">B111+C111</f>
        <v>0</v>
      </c>
      <c r="E111" s="126" t="n">
        <f aca="false">IF(Y111=0,0,IF(AND(Y111=1,$H$3=1),D111*T111,IF($H$3=2,D111,"N/A")))</f>
        <v>0</v>
      </c>
      <c r="F111" s="126" t="n">
        <f aca="false">E111*X111</f>
        <v>0</v>
      </c>
      <c r="G111" s="142" t="n">
        <f aca="false">VLOOKUP($A111,Table,MATCH(G$4,Curves,0))</f>
        <v>3.987</v>
      </c>
      <c r="H111" s="143" t="n">
        <f aca="false">G111</f>
        <v>3.987</v>
      </c>
      <c r="I111" s="142" t="n">
        <f aca="false">VLOOKUP($A111,Table1,MATCH(I$3,Curves1,0))</f>
        <v>0</v>
      </c>
      <c r="J111" s="142" t="n">
        <f aca="false">VLOOKUP($A111,Table,MATCH(J$4,Curves,0))</f>
        <v>-0.0305</v>
      </c>
      <c r="K111" s="143" t="n">
        <f aca="false">J111</f>
        <v>-0.0305</v>
      </c>
      <c r="L111" s="144" t="n">
        <v>0</v>
      </c>
      <c r="M111" s="142" t="n">
        <f aca="false">VLOOKUP($A111,Table,MATCH(M$4,Curves,0))</f>
        <v>0.0087</v>
      </c>
      <c r="N111" s="143" t="n">
        <f aca="false">M111</f>
        <v>0.0087</v>
      </c>
      <c r="O111" s="144" t="n">
        <v>0</v>
      </c>
      <c r="P111" s="145"/>
      <c r="Q111" s="144" t="n">
        <f aca="false">M111+J111+G111</f>
        <v>3.9652</v>
      </c>
      <c r="R111" s="144" t="n">
        <f aca="false">O111+L111+I111</f>
        <v>0</v>
      </c>
      <c r="S111" s="145"/>
      <c r="T111" s="71" t="n">
        <f aca="false">A112-A111</f>
        <v>30</v>
      </c>
      <c r="U111" s="146" t="n">
        <f aca="false">CHOOSE(F$3,A112+24,A111)</f>
        <v>40111</v>
      </c>
      <c r="V111" s="71" t="n">
        <f aca="false">U111-C$3</f>
        <v>3223</v>
      </c>
      <c r="W111" s="142" t="n">
        <f aca="false">VLOOKUP($A111,Table,MATCH(W$4,Curves,0))</f>
        <v>0.058966861357273</v>
      </c>
      <c r="X111" s="147" t="n">
        <f aca="false">1/(1+CHOOSE(F$3,(W112+($K$3/10000))/2,(W111+($K$3/10000))/2))^(2*V111/365.25)</f>
        <v>0.598812924473856</v>
      </c>
      <c r="Y111" s="71" t="n">
        <f aca="false">IF(AND(mthbeg&lt;=A111,mthend&gt;=A111),1,0)</f>
        <v>0</v>
      </c>
      <c r="Z111" s="71" t="n">
        <f aca="false">T111*Y111</f>
        <v>0</v>
      </c>
      <c r="AB111" s="132" t="n">
        <f aca="false">F111*G111</f>
        <v>0</v>
      </c>
      <c r="AC111" s="132" t="n">
        <f aca="false">$F111*H111</f>
        <v>0</v>
      </c>
      <c r="AD111" s="132" t="n">
        <f aca="false">$F111*I111</f>
        <v>0</v>
      </c>
      <c r="AE111" s="132" t="n">
        <f aca="false">$F111*J111</f>
        <v>-0</v>
      </c>
      <c r="AF111" s="132" t="n">
        <f aca="false">$F111*K111</f>
        <v>-0</v>
      </c>
      <c r="AG111" s="132" t="n">
        <f aca="false">$F111*L111</f>
        <v>0</v>
      </c>
      <c r="AH111" s="132" t="n">
        <f aca="false">$F111*M111</f>
        <v>0</v>
      </c>
      <c r="AI111" s="132" t="n">
        <f aca="false">$F111*N111</f>
        <v>0</v>
      </c>
      <c r="AJ111" s="132" t="n">
        <f aca="false">F111*O111</f>
        <v>0</v>
      </c>
      <c r="AK111" s="137"/>
      <c r="AL111" s="132" t="n">
        <f aca="false">CHOOSE($G$3,AC111-AD111,AD111-AC111)</f>
        <v>0</v>
      </c>
      <c r="AM111" s="132" t="n">
        <f aca="false">CHOOSE($G$3,AF111-AG111,AG111-AF111)</f>
        <v>0</v>
      </c>
      <c r="AN111" s="132" t="n">
        <f aca="false">CHOOSE($G$3,AI111-AJ111,AJ111-AI111)</f>
        <v>0</v>
      </c>
      <c r="AO111" s="148" t="n">
        <f aca="false">SUM(AL111:AN111)</f>
        <v>0</v>
      </c>
      <c r="AQ111" s="132" t="n">
        <f aca="false">CHOOSE($G$3,AB111-AC111,AC111-AB111)</f>
        <v>0</v>
      </c>
      <c r="AR111" s="132" t="n">
        <f aca="false">CHOOSE($G$3,AE111-AF111,AF111-AE111)</f>
        <v>0</v>
      </c>
      <c r="AS111" s="132" t="n">
        <f aca="false">CHOOSE($G$3,AH111-AI111,AI111-AH111)</f>
        <v>0</v>
      </c>
      <c r="AT111" s="148" t="n">
        <f aca="false">AQ111+AR111+AS111</f>
        <v>0</v>
      </c>
      <c r="AU111" s="148"/>
      <c r="AV111" s="133" t="n">
        <f aca="false">AT111+AO111</f>
        <v>0</v>
      </c>
      <c r="AX111" s="133" t="n">
        <f aca="false">AJ111+AG111+AD111</f>
        <v>0</v>
      </c>
      <c r="AY111" s="149"/>
      <c r="AZ111" s="76" t="n">
        <f aca="false">R111*E111</f>
        <v>0</v>
      </c>
    </row>
    <row r="112" customFormat="false" ht="12.75" hidden="false" customHeight="false" outlineLevel="0" collapsed="false">
      <c r="A112" s="138" t="n">
        <f aca="false">EDATE(A111,1)</f>
        <v>40087</v>
      </c>
      <c r="B112" s="139" t="n">
        <f aca="false">VLOOKUP($A112,Table2,MATCH(I$3,Curves2,0))</f>
        <v>0</v>
      </c>
      <c r="C112" s="140"/>
      <c r="D112" s="141" t="n">
        <f aca="false">B112+C112</f>
        <v>0</v>
      </c>
      <c r="E112" s="126" t="n">
        <f aca="false">IF(Y112=0,0,IF(AND(Y112=1,$H$3=1),D112*T112,IF($H$3=2,D112,"N/A")))</f>
        <v>0</v>
      </c>
      <c r="F112" s="126" t="n">
        <f aca="false">E112*X112</f>
        <v>0</v>
      </c>
      <c r="G112" s="142" t="n">
        <f aca="false">VLOOKUP($A112,Table,MATCH(G$4,Curves,0))</f>
        <v>3.987</v>
      </c>
      <c r="H112" s="143" t="n">
        <f aca="false">G112</f>
        <v>3.987</v>
      </c>
      <c r="I112" s="142" t="n">
        <f aca="false">VLOOKUP($A112,Table1,MATCH(I$3,Curves1,0))</f>
        <v>0</v>
      </c>
      <c r="J112" s="142" t="n">
        <f aca="false">VLOOKUP($A112,Table,MATCH(J$4,Curves,0))</f>
        <v>-0.0305</v>
      </c>
      <c r="K112" s="143" t="n">
        <f aca="false">J112</f>
        <v>-0.0305</v>
      </c>
      <c r="L112" s="144" t="n">
        <v>0</v>
      </c>
      <c r="M112" s="142" t="n">
        <f aca="false">VLOOKUP($A112,Table,MATCH(M$4,Curves,0))</f>
        <v>0.0087</v>
      </c>
      <c r="N112" s="143" t="n">
        <f aca="false">M112</f>
        <v>0.0087</v>
      </c>
      <c r="O112" s="144" t="n">
        <v>0</v>
      </c>
      <c r="P112" s="145"/>
      <c r="Q112" s="144" t="n">
        <f aca="false">M112+J112+G112</f>
        <v>3.9652</v>
      </c>
      <c r="R112" s="144" t="n">
        <f aca="false">O112+L112+I112</f>
        <v>0</v>
      </c>
      <c r="S112" s="145"/>
      <c r="T112" s="71" t="n">
        <f aca="false">A113-A112</f>
        <v>31</v>
      </c>
      <c r="U112" s="146" t="n">
        <f aca="false">CHOOSE(F$3,A113+24,A112)</f>
        <v>40142</v>
      </c>
      <c r="V112" s="71" t="n">
        <f aca="false">U112-C$3</f>
        <v>3254</v>
      </c>
      <c r="W112" s="142" t="n">
        <f aca="false">VLOOKUP($A112,Table,MATCH(W$4,Curves,0))</f>
        <v>0.058966861357273</v>
      </c>
      <c r="X112" s="147" t="n">
        <f aca="false">1/(1+CHOOSE(F$3,(W113+($K$3/10000))/2,(W112+($K$3/10000))/2))^(2*V112/365.25)</f>
        <v>0.595866637265288</v>
      </c>
      <c r="Y112" s="71" t="n">
        <f aca="false">IF(AND(mthbeg&lt;=A112,mthend&gt;=A112),1,0)</f>
        <v>0</v>
      </c>
      <c r="Z112" s="71" t="n">
        <f aca="false">T112*Y112</f>
        <v>0</v>
      </c>
      <c r="AB112" s="132" t="n">
        <f aca="false">F112*G112</f>
        <v>0</v>
      </c>
      <c r="AC112" s="132" t="n">
        <f aca="false">$F112*H112</f>
        <v>0</v>
      </c>
      <c r="AD112" s="132" t="n">
        <f aca="false">$F112*I112</f>
        <v>0</v>
      </c>
      <c r="AE112" s="132" t="n">
        <f aca="false">$F112*J112</f>
        <v>-0</v>
      </c>
      <c r="AF112" s="132" t="n">
        <f aca="false">$F112*K112</f>
        <v>-0</v>
      </c>
      <c r="AG112" s="132" t="n">
        <f aca="false">$F112*L112</f>
        <v>0</v>
      </c>
      <c r="AH112" s="132" t="n">
        <f aca="false">$F112*M112</f>
        <v>0</v>
      </c>
      <c r="AI112" s="132" t="n">
        <f aca="false">$F112*N112</f>
        <v>0</v>
      </c>
      <c r="AJ112" s="132" t="n">
        <f aca="false">F112*O112</f>
        <v>0</v>
      </c>
      <c r="AK112" s="137"/>
      <c r="AL112" s="132" t="n">
        <f aca="false">CHOOSE($G$3,AC112-AD112,AD112-AC112)</f>
        <v>0</v>
      </c>
      <c r="AM112" s="132" t="n">
        <f aca="false">CHOOSE($G$3,AF112-AG112,AG112-AF112)</f>
        <v>0</v>
      </c>
      <c r="AN112" s="132" t="n">
        <f aca="false">CHOOSE($G$3,AI112-AJ112,AJ112-AI112)</f>
        <v>0</v>
      </c>
      <c r="AO112" s="148" t="n">
        <f aca="false">SUM(AL112:AN112)</f>
        <v>0</v>
      </c>
      <c r="AQ112" s="132" t="n">
        <f aca="false">CHOOSE($G$3,AB112-AC112,AC112-AB112)</f>
        <v>0</v>
      </c>
      <c r="AR112" s="132" t="n">
        <f aca="false">CHOOSE($G$3,AE112-AF112,AF112-AE112)</f>
        <v>0</v>
      </c>
      <c r="AS112" s="132" t="n">
        <f aca="false">CHOOSE($G$3,AH112-AI112,AI112-AH112)</f>
        <v>0</v>
      </c>
      <c r="AT112" s="148" t="n">
        <f aca="false">AQ112+AR112+AS112</f>
        <v>0</v>
      </c>
      <c r="AU112" s="148"/>
      <c r="AV112" s="133" t="n">
        <f aca="false">AT112+AO112</f>
        <v>0</v>
      </c>
      <c r="AX112" s="133" t="n">
        <f aca="false">AJ112+AG112+AD112</f>
        <v>0</v>
      </c>
      <c r="AY112" s="149"/>
      <c r="AZ112" s="76" t="n">
        <f aca="false">R112*E112</f>
        <v>0</v>
      </c>
    </row>
    <row r="113" customFormat="false" ht="12.75" hidden="false" customHeight="false" outlineLevel="0" collapsed="false">
      <c r="A113" s="138" t="n">
        <f aca="false">EDATE(A112,1)</f>
        <v>40118</v>
      </c>
      <c r="B113" s="139" t="n">
        <f aca="false">VLOOKUP($A113,Table2,MATCH(I$3,Curves2,0))</f>
        <v>0</v>
      </c>
      <c r="C113" s="140"/>
      <c r="D113" s="141" t="n">
        <f aca="false">B113+C113</f>
        <v>0</v>
      </c>
      <c r="E113" s="126" t="n">
        <f aca="false">IF(Y113=0,0,IF(AND(Y113=1,$H$3=1),D113*T113,IF($H$3=2,D113,"N/A")))</f>
        <v>0</v>
      </c>
      <c r="F113" s="126" t="n">
        <f aca="false">E113*X113</f>
        <v>0</v>
      </c>
      <c r="G113" s="142" t="n">
        <f aca="false">VLOOKUP($A113,Table,MATCH(G$4,Curves,0))</f>
        <v>3.987</v>
      </c>
      <c r="H113" s="143" t="n">
        <f aca="false">G113</f>
        <v>3.987</v>
      </c>
      <c r="I113" s="142" t="n">
        <f aca="false">VLOOKUP($A113,Table1,MATCH(I$3,Curves1,0))</f>
        <v>0</v>
      </c>
      <c r="J113" s="142" t="n">
        <f aca="false">VLOOKUP($A113,Table,MATCH(J$4,Curves,0))</f>
        <v>-0.0305</v>
      </c>
      <c r="K113" s="143" t="n">
        <f aca="false">J113</f>
        <v>-0.0305</v>
      </c>
      <c r="L113" s="144" t="n">
        <v>0</v>
      </c>
      <c r="M113" s="142" t="n">
        <f aca="false">VLOOKUP($A113,Table,MATCH(M$4,Curves,0))</f>
        <v>0.0087</v>
      </c>
      <c r="N113" s="143" t="n">
        <f aca="false">M113</f>
        <v>0.0087</v>
      </c>
      <c r="O113" s="144" t="n">
        <v>0</v>
      </c>
      <c r="P113" s="145"/>
      <c r="Q113" s="144" t="n">
        <f aca="false">M113+J113+G113</f>
        <v>3.9652</v>
      </c>
      <c r="R113" s="144" t="n">
        <f aca="false">O113+L113+I113</f>
        <v>0</v>
      </c>
      <c r="S113" s="145"/>
      <c r="T113" s="71" t="n">
        <f aca="false">A114-A113</f>
        <v>30</v>
      </c>
      <c r="U113" s="146" t="n">
        <f aca="false">CHOOSE(F$3,A114+24,A113)</f>
        <v>40172</v>
      </c>
      <c r="V113" s="71" t="n">
        <f aca="false">U113-C$3</f>
        <v>3284</v>
      </c>
      <c r="W113" s="142" t="n">
        <f aca="false">VLOOKUP($A113,Table,MATCH(W$4,Curves,0))</f>
        <v>0.058966861357273</v>
      </c>
      <c r="X113" s="147" t="n">
        <f aca="false">1/(1+CHOOSE(F$3,(W114+($K$3/10000))/2,(W113+($K$3/10000))/2))^(2*V113/365.25)</f>
        <v>0.593029194777227</v>
      </c>
      <c r="Y113" s="71" t="n">
        <f aca="false">IF(AND(mthbeg&lt;=A113,mthend&gt;=A113),1,0)</f>
        <v>0</v>
      </c>
      <c r="Z113" s="71" t="n">
        <f aca="false">T113*Y113</f>
        <v>0</v>
      </c>
      <c r="AB113" s="132" t="n">
        <f aca="false">F113*G113</f>
        <v>0</v>
      </c>
      <c r="AC113" s="132" t="n">
        <f aca="false">$F113*H113</f>
        <v>0</v>
      </c>
      <c r="AD113" s="132" t="n">
        <f aca="false">$F113*I113</f>
        <v>0</v>
      </c>
      <c r="AE113" s="132" t="n">
        <f aca="false">$F113*J113</f>
        <v>-0</v>
      </c>
      <c r="AF113" s="132" t="n">
        <f aca="false">$F113*K113</f>
        <v>-0</v>
      </c>
      <c r="AG113" s="132" t="n">
        <f aca="false">$F113*L113</f>
        <v>0</v>
      </c>
      <c r="AH113" s="132" t="n">
        <f aca="false">$F113*M113</f>
        <v>0</v>
      </c>
      <c r="AI113" s="132" t="n">
        <f aca="false">$F113*N113</f>
        <v>0</v>
      </c>
      <c r="AJ113" s="132" t="n">
        <f aca="false">F113*O113</f>
        <v>0</v>
      </c>
      <c r="AK113" s="137"/>
      <c r="AL113" s="132" t="n">
        <f aca="false">CHOOSE($G$3,AC113-AD113,AD113-AC113)</f>
        <v>0</v>
      </c>
      <c r="AM113" s="132" t="n">
        <f aca="false">CHOOSE($G$3,AF113-AG113,AG113-AF113)</f>
        <v>0</v>
      </c>
      <c r="AN113" s="132" t="n">
        <f aca="false">CHOOSE($G$3,AI113-AJ113,AJ113-AI113)</f>
        <v>0</v>
      </c>
      <c r="AO113" s="148" t="n">
        <f aca="false">SUM(AL113:AN113)</f>
        <v>0</v>
      </c>
      <c r="AQ113" s="132" t="n">
        <f aca="false">CHOOSE($G$3,AB113-AC113,AC113-AB113)</f>
        <v>0</v>
      </c>
      <c r="AR113" s="132" t="n">
        <f aca="false">CHOOSE($G$3,AE113-AF113,AF113-AE113)</f>
        <v>0</v>
      </c>
      <c r="AS113" s="132" t="n">
        <f aca="false">CHOOSE($G$3,AH113-AI113,AI113-AH113)</f>
        <v>0</v>
      </c>
      <c r="AT113" s="148" t="n">
        <f aca="false">AQ113+AR113+AS113</f>
        <v>0</v>
      </c>
      <c r="AU113" s="148"/>
      <c r="AV113" s="133" t="n">
        <f aca="false">AT113+AO113</f>
        <v>0</v>
      </c>
      <c r="AX113" s="133" t="n">
        <f aca="false">AJ113+AG113+AD113</f>
        <v>0</v>
      </c>
      <c r="AY113" s="149"/>
      <c r="AZ113" s="76" t="n">
        <f aca="false">R113*E113</f>
        <v>0</v>
      </c>
    </row>
    <row r="114" customFormat="false" ht="12.75" hidden="false" customHeight="false" outlineLevel="0" collapsed="false">
      <c r="A114" s="138" t="n">
        <f aca="false">EDATE(A113,1)</f>
        <v>40148</v>
      </c>
      <c r="B114" s="139" t="n">
        <f aca="false">VLOOKUP($A114,Table2,MATCH(I$3,Curves2,0))</f>
        <v>0</v>
      </c>
      <c r="C114" s="140"/>
      <c r="D114" s="141" t="n">
        <f aca="false">B114+C114</f>
        <v>0</v>
      </c>
      <c r="E114" s="126" t="n">
        <f aca="false">IF(Y114=0,0,IF(AND(Y114=1,$H$3=1),D114*T114,IF($H$3=2,D114,"N/A")))</f>
        <v>0</v>
      </c>
      <c r="F114" s="126" t="n">
        <f aca="false">E114*X114</f>
        <v>0</v>
      </c>
      <c r="G114" s="142" t="n">
        <f aca="false">VLOOKUP($A114,Table,MATCH(G$4,Curves,0))</f>
        <v>3.987</v>
      </c>
      <c r="H114" s="143" t="n">
        <f aca="false">G114</f>
        <v>3.987</v>
      </c>
      <c r="I114" s="142" t="n">
        <f aca="false">VLOOKUP($A114,Table1,MATCH(I$3,Curves1,0))</f>
        <v>0</v>
      </c>
      <c r="J114" s="142" t="n">
        <f aca="false">VLOOKUP($A114,Table,MATCH(J$4,Curves,0))</f>
        <v>-0.0305</v>
      </c>
      <c r="K114" s="143" t="n">
        <f aca="false">J114</f>
        <v>-0.0305</v>
      </c>
      <c r="L114" s="144" t="n">
        <v>0</v>
      </c>
      <c r="M114" s="142" t="n">
        <f aca="false">VLOOKUP($A114,Table,MATCH(M$4,Curves,0))</f>
        <v>0.0087</v>
      </c>
      <c r="N114" s="143" t="n">
        <f aca="false">M114</f>
        <v>0.0087</v>
      </c>
      <c r="O114" s="144" t="n">
        <v>0</v>
      </c>
      <c r="P114" s="145"/>
      <c r="Q114" s="144" t="n">
        <f aca="false">M114+J114+G114</f>
        <v>3.9652</v>
      </c>
      <c r="R114" s="144" t="n">
        <f aca="false">O114+L114+I114</f>
        <v>0</v>
      </c>
      <c r="S114" s="145"/>
      <c r="T114" s="71" t="n">
        <f aca="false">A115-A114</f>
        <v>31</v>
      </c>
      <c r="U114" s="146" t="n">
        <f aca="false">CHOOSE(F$3,A115+24,A114)</f>
        <v>40203</v>
      </c>
      <c r="V114" s="71" t="n">
        <f aca="false">U114-C$3</f>
        <v>3315</v>
      </c>
      <c r="W114" s="142" t="n">
        <f aca="false">VLOOKUP($A114,Table,MATCH(W$4,Curves,0))</f>
        <v>0.058966861357273</v>
      </c>
      <c r="X114" s="147" t="n">
        <f aca="false">1/(1+CHOOSE(F$3,(W115+($K$3/10000))/2,(W114+($K$3/10000))/2))^(2*V114/365.25)</f>
        <v>0.590111364751405</v>
      </c>
      <c r="Y114" s="71" t="n">
        <f aca="false">IF(AND(mthbeg&lt;=A114,mthend&gt;=A114),1,0)</f>
        <v>0</v>
      </c>
      <c r="Z114" s="71" t="n">
        <f aca="false">T114*Y114</f>
        <v>0</v>
      </c>
      <c r="AB114" s="132" t="n">
        <f aca="false">F114*G114</f>
        <v>0</v>
      </c>
      <c r="AC114" s="132" t="n">
        <f aca="false">$F114*H114</f>
        <v>0</v>
      </c>
      <c r="AD114" s="132" t="n">
        <f aca="false">$F114*I114</f>
        <v>0</v>
      </c>
      <c r="AE114" s="132" t="n">
        <f aca="false">$F114*J114</f>
        <v>-0</v>
      </c>
      <c r="AF114" s="132" t="n">
        <f aca="false">$F114*K114</f>
        <v>-0</v>
      </c>
      <c r="AG114" s="132" t="n">
        <f aca="false">$F114*L114</f>
        <v>0</v>
      </c>
      <c r="AH114" s="132" t="n">
        <f aca="false">$F114*M114</f>
        <v>0</v>
      </c>
      <c r="AI114" s="132" t="n">
        <f aca="false">$F114*N114</f>
        <v>0</v>
      </c>
      <c r="AJ114" s="132" t="n">
        <f aca="false">F114*O114</f>
        <v>0</v>
      </c>
      <c r="AK114" s="137"/>
      <c r="AL114" s="132" t="n">
        <f aca="false">CHOOSE($G$3,AC114-AD114,AD114-AC114)</f>
        <v>0</v>
      </c>
      <c r="AM114" s="132" t="n">
        <f aca="false">CHOOSE($G$3,AF114-AG114,AG114-AF114)</f>
        <v>0</v>
      </c>
      <c r="AN114" s="132" t="n">
        <f aca="false">CHOOSE($G$3,AI114-AJ114,AJ114-AI114)</f>
        <v>0</v>
      </c>
      <c r="AO114" s="148" t="n">
        <f aca="false">SUM(AL114:AN114)</f>
        <v>0</v>
      </c>
      <c r="AQ114" s="132" t="n">
        <f aca="false">CHOOSE($G$3,AB114-AC114,AC114-AB114)</f>
        <v>0</v>
      </c>
      <c r="AR114" s="132" t="n">
        <f aca="false">CHOOSE($G$3,AE114-AF114,AF114-AE114)</f>
        <v>0</v>
      </c>
      <c r="AS114" s="132" t="n">
        <f aca="false">CHOOSE($G$3,AH114-AI114,AI114-AH114)</f>
        <v>0</v>
      </c>
      <c r="AT114" s="148" t="n">
        <f aca="false">AQ114+AR114+AS114</f>
        <v>0</v>
      </c>
      <c r="AU114" s="148"/>
      <c r="AV114" s="133" t="n">
        <f aca="false">AT114+AO114</f>
        <v>0</v>
      </c>
      <c r="AX114" s="133" t="n">
        <f aca="false">AJ114+AG114+AD114</f>
        <v>0</v>
      </c>
      <c r="AY114" s="149"/>
      <c r="AZ114" s="76" t="n">
        <f aca="false">R114*E114</f>
        <v>0</v>
      </c>
    </row>
    <row r="115" customFormat="false" ht="12.75" hidden="false" customHeight="false" outlineLevel="0" collapsed="false">
      <c r="A115" s="138" t="n">
        <f aca="false">EDATE(A114,1)</f>
        <v>40179</v>
      </c>
      <c r="B115" s="139" t="n">
        <f aca="false">VLOOKUP($A115,Table2,MATCH(I$3,Curves2,0))</f>
        <v>0</v>
      </c>
      <c r="C115" s="140"/>
      <c r="D115" s="141" t="n">
        <f aca="false">B115+C115</f>
        <v>0</v>
      </c>
      <c r="E115" s="126" t="n">
        <f aca="false">IF(Y115=0,0,IF(AND(Y115=1,$H$3=1),D115*T115,IF($H$3=2,D115,"N/A")))</f>
        <v>0</v>
      </c>
      <c r="F115" s="126" t="n">
        <f aca="false">E115*X115</f>
        <v>0</v>
      </c>
      <c r="G115" s="142" t="n">
        <f aca="false">VLOOKUP($A115,Table,MATCH(G$4,Curves,0))</f>
        <v>3.987</v>
      </c>
      <c r="H115" s="143" t="n">
        <f aca="false">G115</f>
        <v>3.987</v>
      </c>
      <c r="I115" s="142" t="n">
        <f aca="false">VLOOKUP($A115,Table1,MATCH(I$3,Curves1,0))</f>
        <v>0</v>
      </c>
      <c r="J115" s="142" t="n">
        <f aca="false">VLOOKUP($A115,Table,MATCH(J$4,Curves,0))</f>
        <v>-0.0305</v>
      </c>
      <c r="K115" s="143" t="n">
        <f aca="false">J115</f>
        <v>-0.0305</v>
      </c>
      <c r="L115" s="144" t="n">
        <v>0</v>
      </c>
      <c r="M115" s="142" t="n">
        <f aca="false">VLOOKUP($A115,Table,MATCH(M$4,Curves,0))</f>
        <v>0.0087</v>
      </c>
      <c r="N115" s="143" t="n">
        <f aca="false">M115</f>
        <v>0.0087</v>
      </c>
      <c r="O115" s="144" t="n">
        <v>0</v>
      </c>
      <c r="P115" s="145"/>
      <c r="Q115" s="144" t="n">
        <f aca="false">M115+J115+G115</f>
        <v>3.9652</v>
      </c>
      <c r="R115" s="144" t="n">
        <f aca="false">O115+L115+I115</f>
        <v>0</v>
      </c>
      <c r="S115" s="145"/>
      <c r="T115" s="71" t="n">
        <f aca="false">A116-A115</f>
        <v>31</v>
      </c>
      <c r="U115" s="146" t="n">
        <f aca="false">CHOOSE(F$3,A116+24,A115)</f>
        <v>40234</v>
      </c>
      <c r="V115" s="71" t="n">
        <f aca="false">U115-C$3</f>
        <v>3346</v>
      </c>
      <c r="W115" s="142" t="n">
        <f aca="false">VLOOKUP($A115,Table,MATCH(W$4,Curves,0))</f>
        <v>0.058966861357273</v>
      </c>
      <c r="X115" s="147" t="n">
        <f aca="false">1/(1+CHOOSE(F$3,(W116+($K$3/10000))/2,(W115+($K$3/10000))/2))^(2*V115/365.25)</f>
        <v>0.587207891071165</v>
      </c>
      <c r="Y115" s="71" t="n">
        <f aca="false">IF(AND(mthbeg&lt;=A115,mthend&gt;=A115),1,0)</f>
        <v>0</v>
      </c>
      <c r="Z115" s="71" t="n">
        <f aca="false">T115*Y115</f>
        <v>0</v>
      </c>
      <c r="AB115" s="132" t="n">
        <f aca="false">F115*G115</f>
        <v>0</v>
      </c>
      <c r="AC115" s="132" t="n">
        <f aca="false">$F115*H115</f>
        <v>0</v>
      </c>
      <c r="AD115" s="132" t="n">
        <f aca="false">$F115*I115</f>
        <v>0</v>
      </c>
      <c r="AE115" s="132" t="n">
        <f aca="false">$F115*J115</f>
        <v>-0</v>
      </c>
      <c r="AF115" s="132" t="n">
        <f aca="false">$F115*K115</f>
        <v>-0</v>
      </c>
      <c r="AG115" s="132" t="n">
        <f aca="false">$F115*L115</f>
        <v>0</v>
      </c>
      <c r="AH115" s="132" t="n">
        <f aca="false">$F115*M115</f>
        <v>0</v>
      </c>
      <c r="AI115" s="132" t="n">
        <f aca="false">$F115*N115</f>
        <v>0</v>
      </c>
      <c r="AJ115" s="132" t="n">
        <f aca="false">F115*O115</f>
        <v>0</v>
      </c>
      <c r="AK115" s="137"/>
      <c r="AL115" s="132" t="n">
        <f aca="false">CHOOSE($G$3,AC115-AD115,AD115-AC115)</f>
        <v>0</v>
      </c>
      <c r="AM115" s="132" t="n">
        <f aca="false">CHOOSE($G$3,AF115-AG115,AG115-AF115)</f>
        <v>0</v>
      </c>
      <c r="AN115" s="132" t="n">
        <f aca="false">CHOOSE($G$3,AI115-AJ115,AJ115-AI115)</f>
        <v>0</v>
      </c>
      <c r="AO115" s="148" t="n">
        <f aca="false">SUM(AL115:AN115)</f>
        <v>0</v>
      </c>
      <c r="AQ115" s="132" t="n">
        <f aca="false">CHOOSE($G$3,AB115-AC115,AC115-AB115)</f>
        <v>0</v>
      </c>
      <c r="AR115" s="132" t="n">
        <f aca="false">CHOOSE($G$3,AE115-AF115,AF115-AE115)</f>
        <v>0</v>
      </c>
      <c r="AS115" s="132" t="n">
        <f aca="false">CHOOSE($G$3,AH115-AI115,AI115-AH115)</f>
        <v>0</v>
      </c>
      <c r="AT115" s="148" t="n">
        <f aca="false">AQ115+AR115+AS115</f>
        <v>0</v>
      </c>
      <c r="AU115" s="148"/>
      <c r="AV115" s="133" t="n">
        <f aca="false">AT115+AO115</f>
        <v>0</v>
      </c>
      <c r="AX115" s="133" t="n">
        <f aca="false">AJ115+AG115+AD115</f>
        <v>0</v>
      </c>
      <c r="AY115" s="149"/>
      <c r="AZ115" s="76" t="n">
        <f aca="false">R115*E115</f>
        <v>0</v>
      </c>
    </row>
    <row r="116" customFormat="false" ht="12.75" hidden="false" customHeight="false" outlineLevel="0" collapsed="false">
      <c r="A116" s="138" t="n">
        <f aca="false">EDATE(A115,1)</f>
        <v>40210</v>
      </c>
      <c r="B116" s="139" t="n">
        <f aca="false">VLOOKUP($A116,Table2,MATCH(I$3,Curves2,0))</f>
        <v>0</v>
      </c>
      <c r="C116" s="140"/>
      <c r="D116" s="141" t="n">
        <f aca="false">B116+C116</f>
        <v>0</v>
      </c>
      <c r="E116" s="126" t="n">
        <f aca="false">IF(Y116=0,0,IF(AND(Y116=1,$H$3=1),D116*T116,IF($H$3=2,D116,"N/A")))</f>
        <v>0</v>
      </c>
      <c r="F116" s="126" t="n">
        <f aca="false">E116*X116</f>
        <v>0</v>
      </c>
      <c r="G116" s="142" t="n">
        <f aca="false">VLOOKUP($A116,Table,MATCH(G$4,Curves,0))</f>
        <v>3.987</v>
      </c>
      <c r="H116" s="143" t="n">
        <f aca="false">G116</f>
        <v>3.987</v>
      </c>
      <c r="I116" s="142" t="n">
        <f aca="false">VLOOKUP($A116,Table1,MATCH(I$3,Curves1,0))</f>
        <v>0</v>
      </c>
      <c r="J116" s="142" t="n">
        <f aca="false">VLOOKUP($A116,Table,MATCH(J$4,Curves,0))</f>
        <v>-0.0305</v>
      </c>
      <c r="K116" s="143" t="n">
        <f aca="false">J116</f>
        <v>-0.0305</v>
      </c>
      <c r="L116" s="144" t="n">
        <v>0</v>
      </c>
      <c r="M116" s="142" t="n">
        <f aca="false">VLOOKUP($A116,Table,MATCH(M$4,Curves,0))</f>
        <v>0.0087</v>
      </c>
      <c r="N116" s="143" t="n">
        <f aca="false">M116</f>
        <v>0.0087</v>
      </c>
      <c r="O116" s="144" t="n">
        <v>0</v>
      </c>
      <c r="P116" s="145"/>
      <c r="Q116" s="144" t="n">
        <f aca="false">M116+J116+G116</f>
        <v>3.9652</v>
      </c>
      <c r="R116" s="144" t="n">
        <f aca="false">O116+L116+I116</f>
        <v>0</v>
      </c>
      <c r="S116" s="145"/>
      <c r="T116" s="71" t="n">
        <f aca="false">A117-A116</f>
        <v>28</v>
      </c>
      <c r="U116" s="146" t="n">
        <f aca="false">CHOOSE(F$3,A117+24,A116)</f>
        <v>40262</v>
      </c>
      <c r="V116" s="71" t="n">
        <f aca="false">U116-C$3</f>
        <v>3374</v>
      </c>
      <c r="W116" s="142" t="n">
        <f aca="false">VLOOKUP($A116,Table,MATCH(W$4,Curves,0))</f>
        <v>0.058966861357273</v>
      </c>
      <c r="X116" s="147" t="n">
        <f aca="false">1/(1+CHOOSE(F$3,(W117+($K$3/10000))/2,(W116+($K$3/10000))/2))^(2*V116/365.25)</f>
        <v>0.584597679538199</v>
      </c>
      <c r="Y116" s="71" t="n">
        <f aca="false">IF(AND(mthbeg&lt;=A116,mthend&gt;=A116),1,0)</f>
        <v>0</v>
      </c>
      <c r="Z116" s="71" t="n">
        <f aca="false">T116*Y116</f>
        <v>0</v>
      </c>
      <c r="AB116" s="132" t="n">
        <f aca="false">F116*G116</f>
        <v>0</v>
      </c>
      <c r="AC116" s="132" t="n">
        <f aca="false">$F116*H116</f>
        <v>0</v>
      </c>
      <c r="AD116" s="132" t="n">
        <f aca="false">$F116*I116</f>
        <v>0</v>
      </c>
      <c r="AE116" s="132" t="n">
        <f aca="false">$F116*J116</f>
        <v>-0</v>
      </c>
      <c r="AF116" s="132" t="n">
        <f aca="false">$F116*K116</f>
        <v>-0</v>
      </c>
      <c r="AG116" s="132" t="n">
        <f aca="false">$F116*L116</f>
        <v>0</v>
      </c>
      <c r="AH116" s="132" t="n">
        <f aca="false">$F116*M116</f>
        <v>0</v>
      </c>
      <c r="AI116" s="132" t="n">
        <f aca="false">$F116*N116</f>
        <v>0</v>
      </c>
      <c r="AJ116" s="132" t="n">
        <f aca="false">F116*O116</f>
        <v>0</v>
      </c>
      <c r="AK116" s="137"/>
      <c r="AL116" s="132" t="n">
        <f aca="false">CHOOSE($G$3,AC116-AD116,AD116-AC116)</f>
        <v>0</v>
      </c>
      <c r="AM116" s="132" t="n">
        <f aca="false">CHOOSE($G$3,AF116-AG116,AG116-AF116)</f>
        <v>0</v>
      </c>
      <c r="AN116" s="132" t="n">
        <f aca="false">CHOOSE($G$3,AI116-AJ116,AJ116-AI116)</f>
        <v>0</v>
      </c>
      <c r="AO116" s="148" t="n">
        <f aca="false">SUM(AL116:AN116)</f>
        <v>0</v>
      </c>
      <c r="AQ116" s="132" t="n">
        <f aca="false">CHOOSE($G$3,AB116-AC116,AC116-AB116)</f>
        <v>0</v>
      </c>
      <c r="AR116" s="132" t="n">
        <f aca="false">CHOOSE($G$3,AE116-AF116,AF116-AE116)</f>
        <v>0</v>
      </c>
      <c r="AS116" s="132" t="n">
        <f aca="false">CHOOSE($G$3,AH116-AI116,AI116-AH116)</f>
        <v>0</v>
      </c>
      <c r="AT116" s="148" t="n">
        <f aca="false">AQ116+AR116+AS116</f>
        <v>0</v>
      </c>
      <c r="AU116" s="148"/>
      <c r="AV116" s="133" t="n">
        <f aca="false">AT116+AO116</f>
        <v>0</v>
      </c>
      <c r="AX116" s="133" t="n">
        <f aca="false">AJ116+AG116+AD116</f>
        <v>0</v>
      </c>
      <c r="AY116" s="149"/>
      <c r="AZ116" s="76" t="n">
        <f aca="false">R116*E116</f>
        <v>0</v>
      </c>
    </row>
    <row r="117" customFormat="false" ht="12.75" hidden="false" customHeight="false" outlineLevel="0" collapsed="false">
      <c r="A117" s="138" t="n">
        <f aca="false">EDATE(A116,1)</f>
        <v>40238</v>
      </c>
      <c r="B117" s="139" t="n">
        <f aca="false">VLOOKUP($A117,Table2,MATCH(I$3,Curves2,0))</f>
        <v>0</v>
      </c>
      <c r="C117" s="140"/>
      <c r="D117" s="141" t="n">
        <f aca="false">B117+C117</f>
        <v>0</v>
      </c>
      <c r="E117" s="126" t="n">
        <f aca="false">IF(Y117=0,0,IF(AND(Y117=1,$H$3=1),D117*T117,IF($H$3=2,D117,"N/A")))</f>
        <v>0</v>
      </c>
      <c r="F117" s="126" t="n">
        <f aca="false">E117*X117</f>
        <v>0</v>
      </c>
      <c r="G117" s="142" t="n">
        <f aca="false">VLOOKUP($A117,Table,MATCH(G$4,Curves,0))</f>
        <v>3.987</v>
      </c>
      <c r="H117" s="143" t="n">
        <f aca="false">G117</f>
        <v>3.987</v>
      </c>
      <c r="I117" s="142" t="n">
        <f aca="false">VLOOKUP($A117,Table1,MATCH(I$3,Curves1,0))</f>
        <v>0</v>
      </c>
      <c r="J117" s="142" t="n">
        <f aca="false">VLOOKUP($A117,Table,MATCH(J$4,Curves,0))</f>
        <v>-0.0305</v>
      </c>
      <c r="K117" s="143" t="n">
        <f aca="false">J117</f>
        <v>-0.0305</v>
      </c>
      <c r="L117" s="144" t="n">
        <v>0</v>
      </c>
      <c r="M117" s="142" t="n">
        <f aca="false">VLOOKUP($A117,Table,MATCH(M$4,Curves,0))</f>
        <v>0.0087</v>
      </c>
      <c r="N117" s="143" t="n">
        <f aca="false">M117</f>
        <v>0.0087</v>
      </c>
      <c r="O117" s="144" t="n">
        <v>0</v>
      </c>
      <c r="P117" s="145"/>
      <c r="Q117" s="144" t="n">
        <f aca="false">M117+J117+G117</f>
        <v>3.9652</v>
      </c>
      <c r="R117" s="144" t="n">
        <f aca="false">O117+L117+I117</f>
        <v>0</v>
      </c>
      <c r="S117" s="145"/>
      <c r="T117" s="71" t="n">
        <f aca="false">A118-A117</f>
        <v>31</v>
      </c>
      <c r="U117" s="146" t="n">
        <f aca="false">CHOOSE(F$3,A118+24,A117)</f>
        <v>40293</v>
      </c>
      <c r="V117" s="71" t="n">
        <f aca="false">U117-C$3</f>
        <v>3405</v>
      </c>
      <c r="W117" s="142" t="n">
        <f aca="false">VLOOKUP($A117,Table,MATCH(W$4,Curves,0))</f>
        <v>0.058966861357273</v>
      </c>
      <c r="X117" s="147" t="n">
        <f aca="false">1/(1+CHOOSE(F$3,(W118+($K$3/10000))/2,(W117+($K$3/10000))/2))^(2*V117/365.25)</f>
        <v>0.581721334364294</v>
      </c>
      <c r="Y117" s="71" t="n">
        <f aca="false">IF(AND(mthbeg&lt;=A117,mthend&gt;=A117),1,0)</f>
        <v>0</v>
      </c>
      <c r="Z117" s="71" t="n">
        <f aca="false">T117*Y117</f>
        <v>0</v>
      </c>
      <c r="AB117" s="132" t="n">
        <f aca="false">F117*G117</f>
        <v>0</v>
      </c>
      <c r="AC117" s="132" t="n">
        <f aca="false">$F117*H117</f>
        <v>0</v>
      </c>
      <c r="AD117" s="132" t="n">
        <f aca="false">$F117*I117</f>
        <v>0</v>
      </c>
      <c r="AE117" s="132" t="n">
        <f aca="false">$F117*J117</f>
        <v>-0</v>
      </c>
      <c r="AF117" s="132" t="n">
        <f aca="false">$F117*K117</f>
        <v>-0</v>
      </c>
      <c r="AG117" s="132" t="n">
        <f aca="false">$F117*L117</f>
        <v>0</v>
      </c>
      <c r="AH117" s="132" t="n">
        <f aca="false">$F117*M117</f>
        <v>0</v>
      </c>
      <c r="AI117" s="132" t="n">
        <f aca="false">$F117*N117</f>
        <v>0</v>
      </c>
      <c r="AJ117" s="132" t="n">
        <f aca="false">F117*O117</f>
        <v>0</v>
      </c>
      <c r="AK117" s="137"/>
      <c r="AL117" s="132" t="n">
        <f aca="false">CHOOSE($G$3,AC117-AD117,AD117-AC117)</f>
        <v>0</v>
      </c>
      <c r="AM117" s="132" t="n">
        <f aca="false">CHOOSE($G$3,AF117-AG117,AG117-AF117)</f>
        <v>0</v>
      </c>
      <c r="AN117" s="132" t="n">
        <f aca="false">CHOOSE($G$3,AI117-AJ117,AJ117-AI117)</f>
        <v>0</v>
      </c>
      <c r="AO117" s="148" t="n">
        <f aca="false">SUM(AL117:AN117)</f>
        <v>0</v>
      </c>
      <c r="AQ117" s="132" t="n">
        <f aca="false">CHOOSE($G$3,AB117-AC117,AC117-AB117)</f>
        <v>0</v>
      </c>
      <c r="AR117" s="132" t="n">
        <f aca="false">CHOOSE($G$3,AE117-AF117,AF117-AE117)</f>
        <v>0</v>
      </c>
      <c r="AS117" s="132" t="n">
        <f aca="false">CHOOSE($G$3,AH117-AI117,AI117-AH117)</f>
        <v>0</v>
      </c>
      <c r="AT117" s="148" t="n">
        <f aca="false">AQ117+AR117+AS117</f>
        <v>0</v>
      </c>
      <c r="AU117" s="148"/>
      <c r="AV117" s="133" t="n">
        <f aca="false">AT117+AO117</f>
        <v>0</v>
      </c>
      <c r="AX117" s="133" t="n">
        <f aca="false">AJ117+AG117+AD117</f>
        <v>0</v>
      </c>
      <c r="AY117" s="149"/>
      <c r="AZ117" s="76" t="n">
        <f aca="false">R117*E117</f>
        <v>0</v>
      </c>
    </row>
    <row r="118" customFormat="false" ht="12.75" hidden="false" customHeight="false" outlineLevel="0" collapsed="false">
      <c r="A118" s="138" t="n">
        <f aca="false">EDATE(A117,1)</f>
        <v>40269</v>
      </c>
      <c r="B118" s="139" t="n">
        <f aca="false">VLOOKUP($A118,Table2,MATCH(I$3,Curves2,0))</f>
        <v>0</v>
      </c>
      <c r="C118" s="140"/>
      <c r="D118" s="141" t="n">
        <f aca="false">B118+C118</f>
        <v>0</v>
      </c>
      <c r="E118" s="126" t="n">
        <f aca="false">IF(Y118=0,0,IF(AND(Y118=1,$H$3=1),D118*T118,IF($H$3=2,D118,"N/A")))</f>
        <v>0</v>
      </c>
      <c r="F118" s="126" t="n">
        <f aca="false">E118*X118</f>
        <v>0</v>
      </c>
      <c r="G118" s="142" t="n">
        <f aca="false">VLOOKUP($A118,Table,MATCH(G$4,Curves,0))</f>
        <v>3.987</v>
      </c>
      <c r="H118" s="143" t="n">
        <f aca="false">G118</f>
        <v>3.987</v>
      </c>
      <c r="I118" s="142" t="n">
        <f aca="false">VLOOKUP($A118,Table1,MATCH(I$3,Curves1,0))</f>
        <v>0</v>
      </c>
      <c r="J118" s="142" t="n">
        <f aca="false">VLOOKUP($A118,Table,MATCH(J$4,Curves,0))</f>
        <v>-0.0305</v>
      </c>
      <c r="K118" s="143" t="n">
        <f aca="false">J118</f>
        <v>-0.0305</v>
      </c>
      <c r="L118" s="144" t="n">
        <v>0</v>
      </c>
      <c r="M118" s="142" t="n">
        <f aca="false">VLOOKUP($A118,Table,MATCH(M$4,Curves,0))</f>
        <v>0.0087</v>
      </c>
      <c r="N118" s="143" t="n">
        <f aca="false">M118</f>
        <v>0.0087</v>
      </c>
      <c r="O118" s="144" t="n">
        <v>0</v>
      </c>
      <c r="P118" s="145"/>
      <c r="Q118" s="144" t="n">
        <f aca="false">M118+J118+G118</f>
        <v>3.9652</v>
      </c>
      <c r="R118" s="144" t="n">
        <f aca="false">O118+L118+I118</f>
        <v>0</v>
      </c>
      <c r="S118" s="145"/>
      <c r="T118" s="71" t="n">
        <f aca="false">A119-A118</f>
        <v>30</v>
      </c>
      <c r="U118" s="146" t="n">
        <f aca="false">CHOOSE(F$3,A119+24,A118)</f>
        <v>40323</v>
      </c>
      <c r="V118" s="71" t="n">
        <f aca="false">U118-C$3</f>
        <v>3435</v>
      </c>
      <c r="W118" s="142" t="n">
        <f aca="false">VLOOKUP($A118,Table,MATCH(W$4,Curves,0))</f>
        <v>0.058966861357273</v>
      </c>
      <c r="X118" s="147" t="n">
        <f aca="false">1/(1+CHOOSE(F$3,(W119+($K$3/10000))/2,(W118+($K$3/10000))/2))^(2*V118/365.25)</f>
        <v>0.578951250041547</v>
      </c>
      <c r="Y118" s="71" t="n">
        <f aca="false">IF(AND(mthbeg&lt;=A118,mthend&gt;=A118),1,0)</f>
        <v>0</v>
      </c>
      <c r="Z118" s="71" t="n">
        <f aca="false">T118*Y118</f>
        <v>0</v>
      </c>
      <c r="AB118" s="132" t="n">
        <f aca="false">F118*G118</f>
        <v>0</v>
      </c>
      <c r="AC118" s="132" t="n">
        <f aca="false">$F118*H118</f>
        <v>0</v>
      </c>
      <c r="AD118" s="132" t="n">
        <f aca="false">$F118*I118</f>
        <v>0</v>
      </c>
      <c r="AE118" s="132" t="n">
        <f aca="false">$F118*J118</f>
        <v>-0</v>
      </c>
      <c r="AF118" s="132" t="n">
        <f aca="false">$F118*K118</f>
        <v>-0</v>
      </c>
      <c r="AG118" s="132" t="n">
        <f aca="false">$F118*L118</f>
        <v>0</v>
      </c>
      <c r="AH118" s="132" t="n">
        <f aca="false">$F118*M118</f>
        <v>0</v>
      </c>
      <c r="AI118" s="132" t="n">
        <f aca="false">$F118*N118</f>
        <v>0</v>
      </c>
      <c r="AJ118" s="132" t="n">
        <f aca="false">F118*O118</f>
        <v>0</v>
      </c>
      <c r="AK118" s="137"/>
      <c r="AL118" s="132" t="n">
        <f aca="false">CHOOSE($G$3,AC118-AD118,AD118-AC118)</f>
        <v>0</v>
      </c>
      <c r="AM118" s="132" t="n">
        <f aca="false">CHOOSE($G$3,AF118-AG118,AG118-AF118)</f>
        <v>0</v>
      </c>
      <c r="AN118" s="132" t="n">
        <f aca="false">CHOOSE($G$3,AI118-AJ118,AJ118-AI118)</f>
        <v>0</v>
      </c>
      <c r="AO118" s="148" t="n">
        <f aca="false">SUM(AL118:AN118)</f>
        <v>0</v>
      </c>
      <c r="AQ118" s="132" t="n">
        <f aca="false">CHOOSE($G$3,AB118-AC118,AC118-AB118)</f>
        <v>0</v>
      </c>
      <c r="AR118" s="132" t="n">
        <f aca="false">CHOOSE($G$3,AE118-AF118,AF118-AE118)</f>
        <v>0</v>
      </c>
      <c r="AS118" s="132" t="n">
        <f aca="false">CHOOSE($G$3,AH118-AI118,AI118-AH118)</f>
        <v>0</v>
      </c>
      <c r="AT118" s="148" t="n">
        <f aca="false">AQ118+AR118+AS118</f>
        <v>0</v>
      </c>
      <c r="AU118" s="148"/>
      <c r="AV118" s="133" t="n">
        <f aca="false">AT118+AO118</f>
        <v>0</v>
      </c>
      <c r="AX118" s="133" t="n">
        <f aca="false">AJ118+AG118+AD118</f>
        <v>0</v>
      </c>
      <c r="AY118" s="149"/>
      <c r="AZ118" s="76" t="n">
        <f aca="false">R118*E118</f>
        <v>0</v>
      </c>
    </row>
    <row r="119" customFormat="false" ht="12.75" hidden="false" customHeight="false" outlineLevel="0" collapsed="false">
      <c r="A119" s="138" t="n">
        <f aca="false">EDATE(A118,1)</f>
        <v>40299</v>
      </c>
      <c r="B119" s="139" t="n">
        <f aca="false">VLOOKUP($A119,Table2,MATCH(I$3,Curves2,0))</f>
        <v>0</v>
      </c>
      <c r="C119" s="140"/>
      <c r="D119" s="141" t="n">
        <f aca="false">B119+C119</f>
        <v>0</v>
      </c>
      <c r="E119" s="126" t="n">
        <f aca="false">IF(Y119=0,0,IF(AND(Y119=1,$H$3=1),D119*T119,IF($H$3=2,D119,"N/A")))</f>
        <v>0</v>
      </c>
      <c r="F119" s="126" t="n">
        <f aca="false">E119*X119</f>
        <v>0</v>
      </c>
      <c r="G119" s="142" t="n">
        <f aca="false">VLOOKUP($A119,Table,MATCH(G$4,Curves,0))</f>
        <v>3.987</v>
      </c>
      <c r="H119" s="143" t="n">
        <f aca="false">G119</f>
        <v>3.987</v>
      </c>
      <c r="I119" s="142" t="n">
        <f aca="false">VLOOKUP($A119,Table1,MATCH(I$3,Curves1,0))</f>
        <v>0</v>
      </c>
      <c r="J119" s="142" t="n">
        <f aca="false">VLOOKUP($A119,Table,MATCH(J$4,Curves,0))</f>
        <v>-0.0305</v>
      </c>
      <c r="K119" s="143" t="n">
        <f aca="false">J119</f>
        <v>-0.0305</v>
      </c>
      <c r="L119" s="144" t="n">
        <v>0</v>
      </c>
      <c r="M119" s="142" t="n">
        <f aca="false">VLOOKUP($A119,Table,MATCH(M$4,Curves,0))</f>
        <v>0.0087</v>
      </c>
      <c r="N119" s="143" t="n">
        <f aca="false">M119</f>
        <v>0.0087</v>
      </c>
      <c r="O119" s="144" t="n">
        <v>0</v>
      </c>
      <c r="P119" s="145"/>
      <c r="Q119" s="144" t="n">
        <f aca="false">M119+J119+G119</f>
        <v>3.9652</v>
      </c>
      <c r="R119" s="144" t="n">
        <f aca="false">O119+L119+I119</f>
        <v>0</v>
      </c>
      <c r="S119" s="145"/>
      <c r="T119" s="71" t="n">
        <f aca="false">A120-A119</f>
        <v>31</v>
      </c>
      <c r="U119" s="146" t="n">
        <f aca="false">CHOOSE(F$3,A120+24,A119)</f>
        <v>40354</v>
      </c>
      <c r="V119" s="71" t="n">
        <f aca="false">U119-C$3</f>
        <v>3466</v>
      </c>
      <c r="W119" s="142" t="n">
        <f aca="false">VLOOKUP($A119,Table,MATCH(W$4,Curves,0))</f>
        <v>0.058966861357273</v>
      </c>
      <c r="X119" s="147" t="n">
        <f aca="false">1/(1+CHOOSE(F$3,(W120+($K$3/10000))/2,(W119+($K$3/10000))/2))^(2*V119/365.25)</f>
        <v>0.576102686504143</v>
      </c>
      <c r="Y119" s="71" t="n">
        <f aca="false">IF(AND(mthbeg&lt;=A119,mthend&gt;=A119),1,0)</f>
        <v>0</v>
      </c>
      <c r="Z119" s="71" t="n">
        <f aca="false">T119*Y119</f>
        <v>0</v>
      </c>
      <c r="AB119" s="132" t="n">
        <f aca="false">F119*G119</f>
        <v>0</v>
      </c>
      <c r="AC119" s="132" t="n">
        <f aca="false">$F119*H119</f>
        <v>0</v>
      </c>
      <c r="AD119" s="132" t="n">
        <f aca="false">$F119*I119</f>
        <v>0</v>
      </c>
      <c r="AE119" s="132" t="n">
        <f aca="false">$F119*J119</f>
        <v>-0</v>
      </c>
      <c r="AF119" s="132" t="n">
        <f aca="false">$F119*K119</f>
        <v>-0</v>
      </c>
      <c r="AG119" s="132" t="n">
        <f aca="false">$F119*L119</f>
        <v>0</v>
      </c>
      <c r="AH119" s="132" t="n">
        <f aca="false">$F119*M119</f>
        <v>0</v>
      </c>
      <c r="AI119" s="132" t="n">
        <f aca="false">$F119*N119</f>
        <v>0</v>
      </c>
      <c r="AJ119" s="132" t="n">
        <f aca="false">F119*O119</f>
        <v>0</v>
      </c>
      <c r="AK119" s="137"/>
      <c r="AL119" s="132" t="n">
        <f aca="false">CHOOSE($G$3,AC119-AD119,AD119-AC119)</f>
        <v>0</v>
      </c>
      <c r="AM119" s="132" t="n">
        <f aca="false">CHOOSE($G$3,AF119-AG119,AG119-AF119)</f>
        <v>0</v>
      </c>
      <c r="AN119" s="132" t="n">
        <f aca="false">CHOOSE($G$3,AI119-AJ119,AJ119-AI119)</f>
        <v>0</v>
      </c>
      <c r="AO119" s="148" t="n">
        <f aca="false">SUM(AL119:AN119)</f>
        <v>0</v>
      </c>
      <c r="AQ119" s="132" t="n">
        <f aca="false">CHOOSE($G$3,AB119-AC119,AC119-AB119)</f>
        <v>0</v>
      </c>
      <c r="AR119" s="132" t="n">
        <f aca="false">CHOOSE($G$3,AE119-AF119,AF119-AE119)</f>
        <v>0</v>
      </c>
      <c r="AS119" s="132" t="n">
        <f aca="false">CHOOSE($G$3,AH119-AI119,AI119-AH119)</f>
        <v>0</v>
      </c>
      <c r="AT119" s="148" t="n">
        <f aca="false">AQ119+AR119+AS119</f>
        <v>0</v>
      </c>
      <c r="AU119" s="148"/>
      <c r="AV119" s="133" t="n">
        <f aca="false">AT119+AO119</f>
        <v>0</v>
      </c>
      <c r="AX119" s="133" t="n">
        <f aca="false">AJ119+AG119+AD119</f>
        <v>0</v>
      </c>
      <c r="AY119" s="149"/>
      <c r="AZ119" s="76" t="n">
        <f aca="false">R119*E119</f>
        <v>0</v>
      </c>
    </row>
    <row r="120" customFormat="false" ht="12.75" hidden="false" customHeight="false" outlineLevel="0" collapsed="false">
      <c r="A120" s="138" t="n">
        <f aca="false">EDATE(A119,1)</f>
        <v>40330</v>
      </c>
      <c r="B120" s="139" t="n">
        <f aca="false">VLOOKUP($A120,Table2,MATCH(I$3,Curves2,0))</f>
        <v>0</v>
      </c>
      <c r="C120" s="140"/>
      <c r="D120" s="141" t="n">
        <f aca="false">B120+C120</f>
        <v>0</v>
      </c>
      <c r="E120" s="126" t="n">
        <f aca="false">IF(Y120=0,0,IF(AND(Y120=1,$H$3=1),D120*T120,IF($H$3=2,D120,"N/A")))</f>
        <v>0</v>
      </c>
      <c r="F120" s="126" t="n">
        <f aca="false">E120*X120</f>
        <v>0</v>
      </c>
      <c r="G120" s="142" t="n">
        <f aca="false">VLOOKUP($A120,Table,MATCH(G$4,Curves,0))</f>
        <v>3.987</v>
      </c>
      <c r="H120" s="143" t="n">
        <f aca="false">G120</f>
        <v>3.987</v>
      </c>
      <c r="I120" s="142" t="n">
        <f aca="false">VLOOKUP($A120,Table1,MATCH(I$3,Curves1,0))</f>
        <v>0</v>
      </c>
      <c r="J120" s="142" t="n">
        <f aca="false">VLOOKUP($A120,Table,MATCH(J$4,Curves,0))</f>
        <v>-0.0305</v>
      </c>
      <c r="K120" s="143" t="n">
        <f aca="false">J120</f>
        <v>-0.0305</v>
      </c>
      <c r="L120" s="144" t="n">
        <v>0</v>
      </c>
      <c r="M120" s="142" t="n">
        <f aca="false">VLOOKUP($A120,Table,MATCH(M$4,Curves,0))</f>
        <v>0.0087</v>
      </c>
      <c r="N120" s="143" t="n">
        <f aca="false">M120</f>
        <v>0.0087</v>
      </c>
      <c r="O120" s="144" t="n">
        <v>0</v>
      </c>
      <c r="P120" s="145"/>
      <c r="Q120" s="144" t="n">
        <f aca="false">M120+J120+G120</f>
        <v>3.9652</v>
      </c>
      <c r="R120" s="144" t="n">
        <f aca="false">O120+L120+I120</f>
        <v>0</v>
      </c>
      <c r="S120" s="145"/>
      <c r="T120" s="71" t="n">
        <f aca="false">A121-A120</f>
        <v>30</v>
      </c>
      <c r="U120" s="146" t="n">
        <f aca="false">CHOOSE(F$3,A121+24,A120)</f>
        <v>40384</v>
      </c>
      <c r="V120" s="71" t="n">
        <f aca="false">U120-C$3</f>
        <v>3496</v>
      </c>
      <c r="W120" s="142" t="n">
        <f aca="false">VLOOKUP($A120,Table,MATCH(W$4,Curves,0))</f>
        <v>0.058966861357273</v>
      </c>
      <c r="X120" s="147" t="n">
        <f aca="false">1/(1+CHOOSE(F$3,(W121+($K$3/10000))/2,(W120+($K$3/10000))/2))^(2*V120/365.25)</f>
        <v>0.573359357480596</v>
      </c>
      <c r="Y120" s="71" t="n">
        <f aca="false">IF(AND(mthbeg&lt;=A120,mthend&gt;=A120),1,0)</f>
        <v>0</v>
      </c>
      <c r="Z120" s="71" t="n">
        <f aca="false">T120*Y120</f>
        <v>0</v>
      </c>
      <c r="AB120" s="132" t="n">
        <f aca="false">F120*G120</f>
        <v>0</v>
      </c>
      <c r="AC120" s="132" t="n">
        <f aca="false">$F120*H120</f>
        <v>0</v>
      </c>
      <c r="AD120" s="132" t="n">
        <f aca="false">$F120*I120</f>
        <v>0</v>
      </c>
      <c r="AE120" s="132" t="n">
        <f aca="false">$F120*J120</f>
        <v>-0</v>
      </c>
      <c r="AF120" s="132" t="n">
        <f aca="false">$F120*K120</f>
        <v>-0</v>
      </c>
      <c r="AG120" s="132" t="n">
        <f aca="false">$F120*L120</f>
        <v>0</v>
      </c>
      <c r="AH120" s="132" t="n">
        <f aca="false">$F120*M120</f>
        <v>0</v>
      </c>
      <c r="AI120" s="132" t="n">
        <f aca="false">$F120*N120</f>
        <v>0</v>
      </c>
      <c r="AJ120" s="132" t="n">
        <f aca="false">F120*O120</f>
        <v>0</v>
      </c>
      <c r="AK120" s="137"/>
      <c r="AL120" s="132" t="n">
        <f aca="false">CHOOSE($G$3,AC120-AD120,AD120-AC120)</f>
        <v>0</v>
      </c>
      <c r="AM120" s="132" t="n">
        <f aca="false">CHOOSE($G$3,AF120-AG120,AG120-AF120)</f>
        <v>0</v>
      </c>
      <c r="AN120" s="132" t="n">
        <f aca="false">CHOOSE($G$3,AI120-AJ120,AJ120-AI120)</f>
        <v>0</v>
      </c>
      <c r="AO120" s="148" t="n">
        <f aca="false">SUM(AL120:AN120)</f>
        <v>0</v>
      </c>
      <c r="AQ120" s="132" t="n">
        <f aca="false">CHOOSE($G$3,AB120-AC120,AC120-AB120)</f>
        <v>0</v>
      </c>
      <c r="AR120" s="132" t="n">
        <f aca="false">CHOOSE($G$3,AE120-AF120,AF120-AE120)</f>
        <v>0</v>
      </c>
      <c r="AS120" s="132" t="n">
        <f aca="false">CHOOSE($G$3,AH120-AI120,AI120-AH120)</f>
        <v>0</v>
      </c>
      <c r="AT120" s="148" t="n">
        <f aca="false">AQ120+AR120+AS120</f>
        <v>0</v>
      </c>
      <c r="AU120" s="148"/>
      <c r="AV120" s="133" t="n">
        <f aca="false">AT120+AO120</f>
        <v>0</v>
      </c>
      <c r="AX120" s="133" t="n">
        <f aca="false">AJ120+AG120+AD120</f>
        <v>0</v>
      </c>
      <c r="AY120" s="149"/>
      <c r="AZ120" s="76" t="n">
        <f aca="false">R120*E120</f>
        <v>0</v>
      </c>
    </row>
    <row r="121" customFormat="false" ht="12.75" hidden="false" customHeight="false" outlineLevel="0" collapsed="false">
      <c r="A121" s="138" t="n">
        <f aca="false">EDATE(A120,1)</f>
        <v>40360</v>
      </c>
      <c r="B121" s="139" t="n">
        <f aca="false">VLOOKUP($A121,Table2,MATCH(I$3,Curves2,0))</f>
        <v>0</v>
      </c>
      <c r="C121" s="140"/>
      <c r="D121" s="141" t="n">
        <f aca="false">B121+C121</f>
        <v>0</v>
      </c>
      <c r="E121" s="126" t="n">
        <f aca="false">IF(Y121=0,0,IF(AND(Y121=1,$H$3=1),D121*T121,IF($H$3=2,D121,"N/A")))</f>
        <v>0</v>
      </c>
      <c r="F121" s="126" t="n">
        <f aca="false">E121*X121</f>
        <v>0</v>
      </c>
      <c r="G121" s="142" t="n">
        <f aca="false">VLOOKUP($A121,Table,MATCH(G$4,Curves,0))</f>
        <v>3.987</v>
      </c>
      <c r="H121" s="143" t="n">
        <f aca="false">G121</f>
        <v>3.987</v>
      </c>
      <c r="I121" s="142" t="n">
        <f aca="false">VLOOKUP($A121,Table1,MATCH(I$3,Curves1,0))</f>
        <v>0</v>
      </c>
      <c r="J121" s="142" t="n">
        <f aca="false">VLOOKUP($A121,Table,MATCH(J$4,Curves,0))</f>
        <v>-0.0305</v>
      </c>
      <c r="K121" s="143" t="n">
        <f aca="false">J121</f>
        <v>-0.0305</v>
      </c>
      <c r="L121" s="144" t="n">
        <v>0</v>
      </c>
      <c r="M121" s="142" t="n">
        <f aca="false">VLOOKUP($A121,Table,MATCH(M$4,Curves,0))</f>
        <v>0.0087</v>
      </c>
      <c r="N121" s="143" t="n">
        <f aca="false">M121</f>
        <v>0.0087</v>
      </c>
      <c r="O121" s="144" t="n">
        <v>0</v>
      </c>
      <c r="P121" s="145"/>
      <c r="Q121" s="144" t="n">
        <f aca="false">M121+J121+G121</f>
        <v>3.9652</v>
      </c>
      <c r="R121" s="144" t="n">
        <f aca="false">O121+L121+I121</f>
        <v>0</v>
      </c>
      <c r="S121" s="145"/>
      <c r="T121" s="71" t="n">
        <f aca="false">A122-A121</f>
        <v>31</v>
      </c>
      <c r="U121" s="146" t="n">
        <f aca="false">CHOOSE(F$3,A122+24,A121)</f>
        <v>40415</v>
      </c>
      <c r="V121" s="71" t="n">
        <f aca="false">U121-C$3</f>
        <v>3527</v>
      </c>
      <c r="W121" s="142" t="n">
        <f aca="false">VLOOKUP($A121,Table,MATCH(W$4,Curves,0))</f>
        <v>0.058966861357273</v>
      </c>
      <c r="X121" s="147" t="n">
        <f aca="false">1/(1+CHOOSE(F$3,(W122+($K$3/10000))/2,(W121+($K$3/10000))/2))^(2*V121/365.25)</f>
        <v>0.570538307246348</v>
      </c>
      <c r="Y121" s="71" t="n">
        <f aca="false">IF(AND(mthbeg&lt;=A121,mthend&gt;=A121),1,0)</f>
        <v>0</v>
      </c>
      <c r="Z121" s="71" t="n">
        <f aca="false">T121*Y121</f>
        <v>0</v>
      </c>
      <c r="AB121" s="132" t="n">
        <f aca="false">F121*G121</f>
        <v>0</v>
      </c>
      <c r="AC121" s="132" t="n">
        <f aca="false">$F121*H121</f>
        <v>0</v>
      </c>
      <c r="AD121" s="132" t="n">
        <f aca="false">$F121*I121</f>
        <v>0</v>
      </c>
      <c r="AE121" s="132" t="n">
        <f aca="false">$F121*J121</f>
        <v>-0</v>
      </c>
      <c r="AF121" s="132" t="n">
        <f aca="false">$F121*K121</f>
        <v>-0</v>
      </c>
      <c r="AG121" s="132" t="n">
        <f aca="false">$F121*L121</f>
        <v>0</v>
      </c>
      <c r="AH121" s="132" t="n">
        <f aca="false">$F121*M121</f>
        <v>0</v>
      </c>
      <c r="AI121" s="132" t="n">
        <f aca="false">$F121*N121</f>
        <v>0</v>
      </c>
      <c r="AJ121" s="132" t="n">
        <f aca="false">F121*O121</f>
        <v>0</v>
      </c>
      <c r="AK121" s="137"/>
      <c r="AL121" s="132" t="n">
        <f aca="false">CHOOSE($G$3,AC121-AD121,AD121-AC121)</f>
        <v>0</v>
      </c>
      <c r="AM121" s="132" t="n">
        <f aca="false">CHOOSE($G$3,AF121-AG121,AG121-AF121)</f>
        <v>0</v>
      </c>
      <c r="AN121" s="132" t="n">
        <f aca="false">CHOOSE($G$3,AI121-AJ121,AJ121-AI121)</f>
        <v>0</v>
      </c>
      <c r="AO121" s="148" t="n">
        <f aca="false">SUM(AL121:AN121)</f>
        <v>0</v>
      </c>
      <c r="AQ121" s="132" t="n">
        <f aca="false">CHOOSE($G$3,AB121-AC121,AC121-AB121)</f>
        <v>0</v>
      </c>
      <c r="AR121" s="132" t="n">
        <f aca="false">CHOOSE($G$3,AE121-AF121,AF121-AE121)</f>
        <v>0</v>
      </c>
      <c r="AS121" s="132" t="n">
        <f aca="false">CHOOSE($G$3,AH121-AI121,AI121-AH121)</f>
        <v>0</v>
      </c>
      <c r="AT121" s="148" t="n">
        <f aca="false">AQ121+AR121+AS121</f>
        <v>0</v>
      </c>
      <c r="AU121" s="148"/>
      <c r="AV121" s="133" t="n">
        <f aca="false">AT121+AO121</f>
        <v>0</v>
      </c>
      <c r="AX121" s="133" t="n">
        <f aca="false">AJ121+AG121+AD121</f>
        <v>0</v>
      </c>
      <c r="AY121" s="149"/>
      <c r="AZ121" s="76" t="n">
        <f aca="false">R121*E121</f>
        <v>0</v>
      </c>
    </row>
    <row r="122" customFormat="false" ht="12.75" hidden="false" customHeight="false" outlineLevel="0" collapsed="false">
      <c r="A122" s="138" t="n">
        <f aca="false">EDATE(A121,1)</f>
        <v>40391</v>
      </c>
      <c r="B122" s="139" t="n">
        <f aca="false">VLOOKUP($A122,Table2,MATCH(I$3,Curves2,0))</f>
        <v>0</v>
      </c>
      <c r="C122" s="140"/>
      <c r="D122" s="141" t="n">
        <f aca="false">B122+C122</f>
        <v>0</v>
      </c>
      <c r="E122" s="126" t="n">
        <f aca="false">IF(Y122=0,0,IF(AND(Y122=1,$H$3=1),D122*T122,IF($H$3=2,D122,"N/A")))</f>
        <v>0</v>
      </c>
      <c r="F122" s="126" t="n">
        <f aca="false">E122*X122</f>
        <v>0</v>
      </c>
      <c r="G122" s="142" t="n">
        <f aca="false">VLOOKUP($A122,Table,MATCH(G$4,Curves,0))</f>
        <v>3.987</v>
      </c>
      <c r="H122" s="143" t="n">
        <f aca="false">G122</f>
        <v>3.987</v>
      </c>
      <c r="I122" s="142" t="n">
        <f aca="false">VLOOKUP($A122,Table1,MATCH(I$3,Curves1,0))</f>
        <v>0</v>
      </c>
      <c r="J122" s="142" t="n">
        <f aca="false">VLOOKUP($A122,Table,MATCH(J$4,Curves,0))</f>
        <v>-0.0305</v>
      </c>
      <c r="K122" s="143" t="n">
        <f aca="false">J122</f>
        <v>-0.0305</v>
      </c>
      <c r="L122" s="144" t="n">
        <v>0</v>
      </c>
      <c r="M122" s="142" t="n">
        <f aca="false">VLOOKUP($A122,Table,MATCH(M$4,Curves,0))</f>
        <v>0.0087</v>
      </c>
      <c r="N122" s="143" t="n">
        <f aca="false">M122</f>
        <v>0.0087</v>
      </c>
      <c r="O122" s="144" t="n">
        <v>0</v>
      </c>
      <c r="P122" s="145"/>
      <c r="Q122" s="144" t="n">
        <f aca="false">M122+J122+G122</f>
        <v>3.9652</v>
      </c>
      <c r="R122" s="144" t="n">
        <f aca="false">O122+L122+I122</f>
        <v>0</v>
      </c>
      <c r="S122" s="145"/>
      <c r="T122" s="71" t="n">
        <f aca="false">A123-A122</f>
        <v>31</v>
      </c>
      <c r="U122" s="146" t="n">
        <f aca="false">CHOOSE(F$3,A123+24,A122)</f>
        <v>40446</v>
      </c>
      <c r="V122" s="71" t="n">
        <f aca="false">U122-C$3</f>
        <v>3558</v>
      </c>
      <c r="W122" s="142" t="n">
        <f aca="false">VLOOKUP($A122,Table,MATCH(W$4,Curves,0))</f>
        <v>0.058966861357273</v>
      </c>
      <c r="X122" s="147" t="n">
        <f aca="false">1/(1+CHOOSE(F$3,(W123+($K$3/10000))/2,(W122+($K$3/10000))/2))^(2*V122/365.25)</f>
        <v>0.56773113718048</v>
      </c>
      <c r="Y122" s="71" t="n">
        <f aca="false">IF(AND(mthbeg&lt;=A122,mthend&gt;=A122),1,0)</f>
        <v>0</v>
      </c>
      <c r="Z122" s="71" t="n">
        <f aca="false">T122*Y122</f>
        <v>0</v>
      </c>
      <c r="AB122" s="132" t="n">
        <f aca="false">F122*G122</f>
        <v>0</v>
      </c>
      <c r="AC122" s="132" t="n">
        <f aca="false">$F122*H122</f>
        <v>0</v>
      </c>
      <c r="AD122" s="132" t="n">
        <f aca="false">$F122*I122</f>
        <v>0</v>
      </c>
      <c r="AE122" s="132" t="n">
        <f aca="false">$F122*J122</f>
        <v>-0</v>
      </c>
      <c r="AF122" s="132" t="n">
        <f aca="false">$F122*K122</f>
        <v>-0</v>
      </c>
      <c r="AG122" s="132" t="n">
        <f aca="false">$F122*L122</f>
        <v>0</v>
      </c>
      <c r="AH122" s="132" t="n">
        <f aca="false">$F122*M122</f>
        <v>0</v>
      </c>
      <c r="AI122" s="132" t="n">
        <f aca="false">$F122*N122</f>
        <v>0</v>
      </c>
      <c r="AJ122" s="132" t="n">
        <f aca="false">F122*O122</f>
        <v>0</v>
      </c>
      <c r="AK122" s="137"/>
      <c r="AL122" s="132" t="n">
        <f aca="false">CHOOSE($G$3,AC122-AD122,AD122-AC122)</f>
        <v>0</v>
      </c>
      <c r="AM122" s="132" t="n">
        <f aca="false">CHOOSE($G$3,AF122-AG122,AG122-AF122)</f>
        <v>0</v>
      </c>
      <c r="AN122" s="132" t="n">
        <f aca="false">CHOOSE($G$3,AI122-AJ122,AJ122-AI122)</f>
        <v>0</v>
      </c>
      <c r="AO122" s="148" t="n">
        <f aca="false">SUM(AL122:AN122)</f>
        <v>0</v>
      </c>
      <c r="AQ122" s="132" t="n">
        <f aca="false">CHOOSE($G$3,AB122-AC122,AC122-AB122)</f>
        <v>0</v>
      </c>
      <c r="AR122" s="132" t="n">
        <f aca="false">CHOOSE($G$3,AE122-AF122,AF122-AE122)</f>
        <v>0</v>
      </c>
      <c r="AS122" s="132" t="n">
        <f aca="false">CHOOSE($G$3,AH122-AI122,AI122-AH122)</f>
        <v>0</v>
      </c>
      <c r="AT122" s="148" t="n">
        <f aca="false">AQ122+AR122+AS122</f>
        <v>0</v>
      </c>
      <c r="AU122" s="148"/>
      <c r="AV122" s="133" t="n">
        <f aca="false">AT122+AO122</f>
        <v>0</v>
      </c>
      <c r="AX122" s="133" t="n">
        <f aca="false">AJ122+AG122+AD122</f>
        <v>0</v>
      </c>
      <c r="AY122" s="149"/>
      <c r="AZ122" s="76" t="n">
        <f aca="false">R122*E122</f>
        <v>0</v>
      </c>
    </row>
    <row r="123" customFormat="false" ht="12.75" hidden="false" customHeight="false" outlineLevel="0" collapsed="false">
      <c r="A123" s="138" t="n">
        <f aca="false">EDATE(A122,1)</f>
        <v>40422</v>
      </c>
      <c r="B123" s="139" t="n">
        <f aca="false">VLOOKUP($A123,Table2,MATCH(I$3,Curves2,0))</f>
        <v>0</v>
      </c>
      <c r="C123" s="140"/>
      <c r="D123" s="141" t="n">
        <f aca="false">B123+C123</f>
        <v>0</v>
      </c>
      <c r="E123" s="126" t="n">
        <f aca="false">IF(Y123=0,0,IF(AND(Y123=1,$H$3=1),D123*T123,IF($H$3=2,D123,"N/A")))</f>
        <v>0</v>
      </c>
      <c r="F123" s="126" t="n">
        <f aca="false">E123*X123</f>
        <v>0</v>
      </c>
      <c r="G123" s="142" t="n">
        <f aca="false">VLOOKUP($A123,Table,MATCH(G$4,Curves,0))</f>
        <v>3.987</v>
      </c>
      <c r="H123" s="143" t="n">
        <f aca="false">G123</f>
        <v>3.987</v>
      </c>
      <c r="I123" s="142" t="n">
        <f aca="false">VLOOKUP($A123,Table1,MATCH(I$3,Curves1,0))</f>
        <v>0</v>
      </c>
      <c r="J123" s="142" t="n">
        <f aca="false">VLOOKUP($A123,Table,MATCH(J$4,Curves,0))</f>
        <v>-0.0305</v>
      </c>
      <c r="K123" s="143" t="n">
        <f aca="false">J123</f>
        <v>-0.0305</v>
      </c>
      <c r="L123" s="144" t="n">
        <v>0</v>
      </c>
      <c r="M123" s="142" t="n">
        <f aca="false">VLOOKUP($A123,Table,MATCH(M$4,Curves,0))</f>
        <v>0.0087</v>
      </c>
      <c r="N123" s="143" t="n">
        <f aca="false">M123</f>
        <v>0.0087</v>
      </c>
      <c r="O123" s="144" t="n">
        <v>0</v>
      </c>
      <c r="P123" s="145"/>
      <c r="Q123" s="144" t="n">
        <f aca="false">M123+J123+G123</f>
        <v>3.9652</v>
      </c>
      <c r="R123" s="144" t="n">
        <f aca="false">O123+L123+I123</f>
        <v>0</v>
      </c>
      <c r="S123" s="145"/>
      <c r="T123" s="71" t="n">
        <f aca="false">A124-A123</f>
        <v>30</v>
      </c>
      <c r="U123" s="146" t="n">
        <f aca="false">CHOOSE(F$3,A124+24,A123)</f>
        <v>40476</v>
      </c>
      <c r="V123" s="71" t="n">
        <f aca="false">U123-C$3</f>
        <v>3588</v>
      </c>
      <c r="W123" s="142" t="n">
        <f aca="false">VLOOKUP($A123,Table,MATCH(W$4,Curves,0))</f>
        <v>0.058966861357273</v>
      </c>
      <c r="X123" s="147" t="n">
        <f aca="false">1/(1+CHOOSE(F$3,(W124+($K$3/10000))/2,(W123+($K$3/10000))/2))^(2*V123/365.25)</f>
        <v>0.565027672428997</v>
      </c>
      <c r="Y123" s="71" t="n">
        <f aca="false">IF(AND(mthbeg&lt;=A123,mthend&gt;=A123),1,0)</f>
        <v>0</v>
      </c>
      <c r="Z123" s="71" t="n">
        <f aca="false">T123*Y123</f>
        <v>0</v>
      </c>
      <c r="AB123" s="132" t="n">
        <f aca="false">F123*G123</f>
        <v>0</v>
      </c>
      <c r="AC123" s="132" t="n">
        <f aca="false">$F123*H123</f>
        <v>0</v>
      </c>
      <c r="AD123" s="132" t="n">
        <f aca="false">$F123*I123</f>
        <v>0</v>
      </c>
      <c r="AE123" s="132" t="n">
        <f aca="false">$F123*J123</f>
        <v>-0</v>
      </c>
      <c r="AF123" s="132" t="n">
        <f aca="false">$F123*K123</f>
        <v>-0</v>
      </c>
      <c r="AG123" s="132" t="n">
        <f aca="false">$F123*L123</f>
        <v>0</v>
      </c>
      <c r="AH123" s="132" t="n">
        <f aca="false">$F123*M123</f>
        <v>0</v>
      </c>
      <c r="AI123" s="132" t="n">
        <f aca="false">$F123*N123</f>
        <v>0</v>
      </c>
      <c r="AJ123" s="132" t="n">
        <f aca="false">F123*O123</f>
        <v>0</v>
      </c>
      <c r="AK123" s="137"/>
      <c r="AL123" s="132" t="n">
        <f aca="false">CHOOSE($G$3,AC123-AD123,AD123-AC123)</f>
        <v>0</v>
      </c>
      <c r="AM123" s="132" t="n">
        <f aca="false">CHOOSE($G$3,AF123-AG123,AG123-AF123)</f>
        <v>0</v>
      </c>
      <c r="AN123" s="132" t="n">
        <f aca="false">CHOOSE($G$3,AI123-AJ123,AJ123-AI123)</f>
        <v>0</v>
      </c>
      <c r="AO123" s="148" t="n">
        <f aca="false">SUM(AL123:AN123)</f>
        <v>0</v>
      </c>
      <c r="AQ123" s="132" t="n">
        <f aca="false">CHOOSE($G$3,AB123-AC123,AC123-AB123)</f>
        <v>0</v>
      </c>
      <c r="AR123" s="132" t="n">
        <f aca="false">CHOOSE($G$3,AE123-AF123,AF123-AE123)</f>
        <v>0</v>
      </c>
      <c r="AS123" s="132" t="n">
        <f aca="false">CHOOSE($G$3,AH123-AI123,AI123-AH123)</f>
        <v>0</v>
      </c>
      <c r="AT123" s="148" t="n">
        <f aca="false">AQ123+AR123+AS123</f>
        <v>0</v>
      </c>
      <c r="AU123" s="148"/>
      <c r="AV123" s="133" t="n">
        <f aca="false">AT123+AO123</f>
        <v>0</v>
      </c>
      <c r="AX123" s="133" t="n">
        <f aca="false">AJ123+AG123+AD123</f>
        <v>0</v>
      </c>
      <c r="AY123" s="149"/>
      <c r="AZ123" s="76" t="n">
        <f aca="false">R123*E123</f>
        <v>0</v>
      </c>
    </row>
    <row r="124" customFormat="false" ht="12.75" hidden="false" customHeight="false" outlineLevel="0" collapsed="false">
      <c r="A124" s="138" t="n">
        <f aca="false">EDATE(A123,1)</f>
        <v>40452</v>
      </c>
      <c r="B124" s="139" t="n">
        <f aca="false">VLOOKUP($A124,Table2,MATCH(I$3,Curves2,0))</f>
        <v>0</v>
      </c>
      <c r="C124" s="140"/>
      <c r="D124" s="141" t="n">
        <f aca="false">B124+C124</f>
        <v>0</v>
      </c>
      <c r="E124" s="126" t="n">
        <f aca="false">IF(Y124=0,0,IF(AND(Y124=1,$H$3=1),D124*T124,IF($H$3=2,D124,"N/A")))</f>
        <v>0</v>
      </c>
      <c r="F124" s="126" t="n">
        <f aca="false">E124*X124</f>
        <v>0</v>
      </c>
      <c r="G124" s="142" t="n">
        <f aca="false">VLOOKUP($A124,Table,MATCH(G$4,Curves,0))</f>
        <v>3.987</v>
      </c>
      <c r="H124" s="143" t="n">
        <f aca="false">G124</f>
        <v>3.987</v>
      </c>
      <c r="I124" s="142" t="n">
        <f aca="false">VLOOKUP($A124,Table1,MATCH(I$3,Curves1,0))</f>
        <v>0</v>
      </c>
      <c r="J124" s="142" t="n">
        <f aca="false">VLOOKUP($A124,Table,MATCH(J$4,Curves,0))</f>
        <v>-0.0305</v>
      </c>
      <c r="K124" s="143" t="n">
        <f aca="false">J124</f>
        <v>-0.0305</v>
      </c>
      <c r="L124" s="144" t="n">
        <v>0</v>
      </c>
      <c r="M124" s="142" t="n">
        <f aca="false">VLOOKUP($A124,Table,MATCH(M$4,Curves,0))</f>
        <v>0.0087</v>
      </c>
      <c r="N124" s="143" t="n">
        <f aca="false">M124</f>
        <v>0.0087</v>
      </c>
      <c r="O124" s="144" t="n">
        <v>0</v>
      </c>
      <c r="P124" s="145"/>
      <c r="Q124" s="144" t="n">
        <f aca="false">M124+J124+G124</f>
        <v>3.9652</v>
      </c>
      <c r="R124" s="144" t="n">
        <f aca="false">O124+L124+I124</f>
        <v>0</v>
      </c>
      <c r="S124" s="145"/>
      <c r="T124" s="71" t="n">
        <f aca="false">A125-A124</f>
        <v>31</v>
      </c>
      <c r="U124" s="146" t="n">
        <f aca="false">CHOOSE(F$3,A125+24,A124)</f>
        <v>40507</v>
      </c>
      <c r="V124" s="71" t="n">
        <f aca="false">U124-C$3</f>
        <v>3619</v>
      </c>
      <c r="W124" s="142" t="n">
        <f aca="false">VLOOKUP($A124,Table,MATCH(W$4,Curves,0))</f>
        <v>0.058966861357273</v>
      </c>
      <c r="X124" s="147" t="n">
        <f aca="false">1/(1+CHOOSE(F$3,(W125+($K$3/10000))/2,(W124+($K$3/10000))/2))^(2*V124/365.25)</f>
        <v>0.562247615860867</v>
      </c>
      <c r="Y124" s="71" t="n">
        <f aca="false">IF(AND(mthbeg&lt;=A124,mthend&gt;=A124),1,0)</f>
        <v>0</v>
      </c>
      <c r="Z124" s="71" t="n">
        <f aca="false">T124*Y124</f>
        <v>0</v>
      </c>
      <c r="AB124" s="132" t="n">
        <f aca="false">F124*G124</f>
        <v>0</v>
      </c>
      <c r="AC124" s="132" t="n">
        <f aca="false">$F124*H124</f>
        <v>0</v>
      </c>
      <c r="AD124" s="132" t="n">
        <f aca="false">$F124*I124</f>
        <v>0</v>
      </c>
      <c r="AE124" s="132" t="n">
        <f aca="false">$F124*J124</f>
        <v>-0</v>
      </c>
      <c r="AF124" s="132" t="n">
        <f aca="false">$F124*K124</f>
        <v>-0</v>
      </c>
      <c r="AG124" s="132" t="n">
        <f aca="false">$F124*L124</f>
        <v>0</v>
      </c>
      <c r="AH124" s="132" t="n">
        <f aca="false">$F124*M124</f>
        <v>0</v>
      </c>
      <c r="AI124" s="132" t="n">
        <f aca="false">$F124*N124</f>
        <v>0</v>
      </c>
      <c r="AJ124" s="132" t="n">
        <f aca="false">F124*O124</f>
        <v>0</v>
      </c>
      <c r="AK124" s="137"/>
      <c r="AL124" s="132" t="n">
        <f aca="false">CHOOSE($G$3,AC124-AD124,AD124-AC124)</f>
        <v>0</v>
      </c>
      <c r="AM124" s="132" t="n">
        <f aca="false">CHOOSE($G$3,AF124-AG124,AG124-AF124)</f>
        <v>0</v>
      </c>
      <c r="AN124" s="132" t="n">
        <f aca="false">CHOOSE($G$3,AI124-AJ124,AJ124-AI124)</f>
        <v>0</v>
      </c>
      <c r="AO124" s="148" t="n">
        <f aca="false">SUM(AL124:AN124)</f>
        <v>0</v>
      </c>
      <c r="AQ124" s="132" t="n">
        <f aca="false">CHOOSE($G$3,AB124-AC124,AC124-AB124)</f>
        <v>0</v>
      </c>
      <c r="AR124" s="132" t="n">
        <f aca="false">CHOOSE($G$3,AE124-AF124,AF124-AE124)</f>
        <v>0</v>
      </c>
      <c r="AS124" s="132" t="n">
        <f aca="false">CHOOSE($G$3,AH124-AI124,AI124-AH124)</f>
        <v>0</v>
      </c>
      <c r="AT124" s="148" t="n">
        <f aca="false">AQ124+AR124+AS124</f>
        <v>0</v>
      </c>
      <c r="AU124" s="148"/>
      <c r="AV124" s="133" t="n">
        <f aca="false">AT124+AO124</f>
        <v>0</v>
      </c>
      <c r="AX124" s="133" t="n">
        <f aca="false">AJ124+AG124+AD124</f>
        <v>0</v>
      </c>
      <c r="AY124" s="149"/>
      <c r="AZ124" s="76" t="n">
        <f aca="false">R124*E124</f>
        <v>0</v>
      </c>
    </row>
    <row r="125" customFormat="false" ht="12.75" hidden="false" customHeight="false" outlineLevel="0" collapsed="false">
      <c r="A125" s="138" t="n">
        <f aca="false">EDATE(A124,1)</f>
        <v>40483</v>
      </c>
      <c r="B125" s="139" t="n">
        <f aca="false">VLOOKUP($A125,Table2,MATCH(I$3,Curves2,0))</f>
        <v>0</v>
      </c>
      <c r="C125" s="140"/>
      <c r="D125" s="141" t="n">
        <f aca="false">B125+C125</f>
        <v>0</v>
      </c>
      <c r="E125" s="126" t="n">
        <f aca="false">IF(Y125=0,0,IF(AND(Y125=1,$H$3=1),D125*T125,IF($H$3=2,D125,"N/A")))</f>
        <v>0</v>
      </c>
      <c r="F125" s="126" t="n">
        <f aca="false">E125*X125</f>
        <v>0</v>
      </c>
      <c r="G125" s="142" t="n">
        <f aca="false">VLOOKUP($A125,Table,MATCH(G$4,Curves,0))</f>
        <v>3.987</v>
      </c>
      <c r="H125" s="143" t="n">
        <f aca="false">G125</f>
        <v>3.987</v>
      </c>
      <c r="I125" s="142" t="n">
        <f aca="false">VLOOKUP($A125,Table1,MATCH(I$3,Curves1,0))</f>
        <v>0</v>
      </c>
      <c r="J125" s="142" t="n">
        <f aca="false">VLOOKUP($A125,Table,MATCH(J$4,Curves,0))</f>
        <v>-0.0305</v>
      </c>
      <c r="K125" s="143" t="n">
        <f aca="false">J125</f>
        <v>-0.0305</v>
      </c>
      <c r="L125" s="144" t="n">
        <v>0</v>
      </c>
      <c r="M125" s="142" t="n">
        <f aca="false">VLOOKUP($A125,Table,MATCH(M$4,Curves,0))</f>
        <v>0.0087</v>
      </c>
      <c r="N125" s="143" t="n">
        <f aca="false">M125</f>
        <v>0.0087</v>
      </c>
      <c r="O125" s="144" t="n">
        <v>0</v>
      </c>
      <c r="P125" s="145"/>
      <c r="Q125" s="144" t="n">
        <f aca="false">M125+J125+G125</f>
        <v>3.9652</v>
      </c>
      <c r="R125" s="144" t="n">
        <f aca="false">O125+L125+I125</f>
        <v>0</v>
      </c>
      <c r="S125" s="145"/>
      <c r="T125" s="71" t="n">
        <f aca="false">A126-A125</f>
        <v>30</v>
      </c>
      <c r="U125" s="146" t="n">
        <f aca="false">CHOOSE(F$3,A126+24,A125)</f>
        <v>40537</v>
      </c>
      <c r="V125" s="71" t="n">
        <f aca="false">U125-C$3</f>
        <v>3649</v>
      </c>
      <c r="W125" s="142" t="n">
        <f aca="false">VLOOKUP($A125,Table,MATCH(W$4,Curves,0))</f>
        <v>0.058966861357273</v>
      </c>
      <c r="X125" s="147" t="n">
        <f aca="false">1/(1+CHOOSE(F$3,(W126+($K$3/10000))/2,(W125+($K$3/10000))/2))^(2*V125/365.25)</f>
        <v>0.55957026295288</v>
      </c>
      <c r="Y125" s="71" t="n">
        <f aca="false">IF(AND(mthbeg&lt;=A125,mthend&gt;=A125),1,0)</f>
        <v>0</v>
      </c>
      <c r="Z125" s="71" t="n">
        <f aca="false">T125*Y125</f>
        <v>0</v>
      </c>
      <c r="AB125" s="132" t="n">
        <f aca="false">F125*G125</f>
        <v>0</v>
      </c>
      <c r="AC125" s="132" t="n">
        <f aca="false">$F125*H125</f>
        <v>0</v>
      </c>
      <c r="AD125" s="132" t="n">
        <f aca="false">$F125*I125</f>
        <v>0</v>
      </c>
      <c r="AE125" s="132" t="n">
        <f aca="false">$F125*J125</f>
        <v>-0</v>
      </c>
      <c r="AF125" s="132" t="n">
        <f aca="false">$F125*K125</f>
        <v>-0</v>
      </c>
      <c r="AG125" s="132" t="n">
        <f aca="false">$F125*L125</f>
        <v>0</v>
      </c>
      <c r="AH125" s="132" t="n">
        <f aca="false">$F125*M125</f>
        <v>0</v>
      </c>
      <c r="AI125" s="132" t="n">
        <f aca="false">$F125*N125</f>
        <v>0</v>
      </c>
      <c r="AJ125" s="132" t="n">
        <f aca="false">F125*O125</f>
        <v>0</v>
      </c>
      <c r="AK125" s="137"/>
      <c r="AL125" s="132" t="n">
        <f aca="false">CHOOSE($G$3,AC125-AD125,AD125-AC125)</f>
        <v>0</v>
      </c>
      <c r="AM125" s="132" t="n">
        <f aca="false">CHOOSE($G$3,AF125-AG125,AG125-AF125)</f>
        <v>0</v>
      </c>
      <c r="AN125" s="132" t="n">
        <f aca="false">CHOOSE($G$3,AI125-AJ125,AJ125-AI125)</f>
        <v>0</v>
      </c>
      <c r="AO125" s="148" t="n">
        <f aca="false">SUM(AL125:AN125)</f>
        <v>0</v>
      </c>
      <c r="AQ125" s="132" t="n">
        <f aca="false">CHOOSE($G$3,AB125-AC125,AC125-AB125)</f>
        <v>0</v>
      </c>
      <c r="AR125" s="132" t="n">
        <f aca="false">CHOOSE($G$3,AE125-AF125,AF125-AE125)</f>
        <v>0</v>
      </c>
      <c r="AS125" s="132" t="n">
        <f aca="false">CHOOSE($G$3,AH125-AI125,AI125-AH125)</f>
        <v>0</v>
      </c>
      <c r="AT125" s="148" t="n">
        <f aca="false">AQ125+AR125+AS125</f>
        <v>0</v>
      </c>
      <c r="AU125" s="148"/>
      <c r="AV125" s="133" t="n">
        <f aca="false">AT125+AO125</f>
        <v>0</v>
      </c>
      <c r="AX125" s="133" t="n">
        <f aca="false">AJ125+AG125+AD125</f>
        <v>0</v>
      </c>
      <c r="AY125" s="149"/>
      <c r="AZ125" s="76" t="n">
        <f aca="false">R125*E125</f>
        <v>0</v>
      </c>
    </row>
    <row r="126" customFormat="false" ht="12.75" hidden="false" customHeight="false" outlineLevel="0" collapsed="false">
      <c r="A126" s="138" t="n">
        <f aca="false">EDATE(A125,1)</f>
        <v>40513</v>
      </c>
      <c r="B126" s="139" t="n">
        <f aca="false">VLOOKUP($A126,Table2,MATCH(I$3,Curves2,0))</f>
        <v>0</v>
      </c>
      <c r="C126" s="140"/>
      <c r="D126" s="141" t="n">
        <f aca="false">B126+C126</f>
        <v>0</v>
      </c>
      <c r="E126" s="126" t="n">
        <f aca="false">IF(Y126=0,0,IF(AND(Y126=1,$H$3=1),D126*T126,IF($H$3=2,D126,"N/A")))</f>
        <v>0</v>
      </c>
      <c r="F126" s="126" t="n">
        <f aca="false">E126*X126</f>
        <v>0</v>
      </c>
      <c r="G126" s="142" t="n">
        <f aca="false">VLOOKUP($A126,Table,MATCH(G$4,Curves,0))</f>
        <v>3.987</v>
      </c>
      <c r="H126" s="143" t="n">
        <f aca="false">G126</f>
        <v>3.987</v>
      </c>
      <c r="I126" s="142" t="n">
        <f aca="false">VLOOKUP($A126,Table1,MATCH(I$3,Curves1,0))</f>
        <v>0</v>
      </c>
      <c r="J126" s="142" t="n">
        <f aca="false">VLOOKUP($A126,Table,MATCH(J$4,Curves,0))</f>
        <v>-0.0305</v>
      </c>
      <c r="K126" s="143" t="n">
        <f aca="false">J126</f>
        <v>-0.0305</v>
      </c>
      <c r="L126" s="144" t="n">
        <v>0</v>
      </c>
      <c r="M126" s="142" t="n">
        <f aca="false">VLOOKUP($A126,Table,MATCH(M$4,Curves,0))</f>
        <v>0.0087</v>
      </c>
      <c r="N126" s="143" t="n">
        <f aca="false">M126</f>
        <v>0.0087</v>
      </c>
      <c r="O126" s="144" t="n">
        <v>0</v>
      </c>
      <c r="P126" s="145"/>
      <c r="Q126" s="144" t="n">
        <f aca="false">M126+J126+G126</f>
        <v>3.9652</v>
      </c>
      <c r="R126" s="144" t="n">
        <f aca="false">O126+L126+I126</f>
        <v>0</v>
      </c>
      <c r="S126" s="145"/>
      <c r="T126" s="71" t="n">
        <f aca="false">A127-A126</f>
        <v>31</v>
      </c>
      <c r="U126" s="146" t="n">
        <f aca="false">CHOOSE(F$3,A127+24,A126)</f>
        <v>40568</v>
      </c>
      <c r="V126" s="71" t="n">
        <f aca="false">U126-C$3</f>
        <v>3680</v>
      </c>
      <c r="W126" s="142" t="n">
        <f aca="false">VLOOKUP($A126,Table,MATCH(W$4,Curves,0))</f>
        <v>0.058966861357273</v>
      </c>
      <c r="X126" s="147" t="n">
        <f aca="false">1/(1+CHOOSE(F$3,(W127+($K$3/10000))/2,(W126+($K$3/10000))/2))^(2*V126/365.25)</f>
        <v>0.556817058002466</v>
      </c>
      <c r="Y126" s="71" t="n">
        <f aca="false">IF(AND(mthbeg&lt;=A126,mthend&gt;=A126),1,0)</f>
        <v>0</v>
      </c>
      <c r="Z126" s="71" t="n">
        <f aca="false">T126*Y126</f>
        <v>0</v>
      </c>
      <c r="AB126" s="132" t="n">
        <f aca="false">F126*G126</f>
        <v>0</v>
      </c>
      <c r="AC126" s="132" t="n">
        <f aca="false">$F126*H126</f>
        <v>0</v>
      </c>
      <c r="AD126" s="132" t="n">
        <f aca="false">$F126*I126</f>
        <v>0</v>
      </c>
      <c r="AE126" s="132" t="n">
        <f aca="false">$F126*J126</f>
        <v>-0</v>
      </c>
      <c r="AF126" s="132" t="n">
        <f aca="false">$F126*K126</f>
        <v>-0</v>
      </c>
      <c r="AG126" s="132" t="n">
        <f aca="false">$F126*L126</f>
        <v>0</v>
      </c>
      <c r="AH126" s="132" t="n">
        <f aca="false">$F126*M126</f>
        <v>0</v>
      </c>
      <c r="AI126" s="132" t="n">
        <f aca="false">$F126*N126</f>
        <v>0</v>
      </c>
      <c r="AJ126" s="132" t="n">
        <f aca="false">F126*O126</f>
        <v>0</v>
      </c>
      <c r="AK126" s="137"/>
      <c r="AL126" s="132" t="n">
        <f aca="false">CHOOSE($G$3,AC126-AD126,AD126-AC126)</f>
        <v>0</v>
      </c>
      <c r="AM126" s="132" t="n">
        <f aca="false">CHOOSE($G$3,AF126-AG126,AG126-AF126)</f>
        <v>0</v>
      </c>
      <c r="AN126" s="132" t="n">
        <f aca="false">CHOOSE($G$3,AI126-AJ126,AJ126-AI126)</f>
        <v>0</v>
      </c>
      <c r="AO126" s="148" t="n">
        <f aca="false">SUM(AL126:AN126)</f>
        <v>0</v>
      </c>
      <c r="AQ126" s="132" t="n">
        <f aca="false">CHOOSE($G$3,AB126-AC126,AC126-AB126)</f>
        <v>0</v>
      </c>
      <c r="AR126" s="132" t="n">
        <f aca="false">CHOOSE($G$3,AE126-AF126,AF126-AE126)</f>
        <v>0</v>
      </c>
      <c r="AS126" s="132" t="n">
        <f aca="false">CHOOSE($G$3,AH126-AI126,AI126-AH126)</f>
        <v>0</v>
      </c>
      <c r="AT126" s="148" t="n">
        <f aca="false">AQ126+AR126+AS126</f>
        <v>0</v>
      </c>
      <c r="AU126" s="148"/>
      <c r="AV126" s="133" t="n">
        <f aca="false">AT126+AO126</f>
        <v>0</v>
      </c>
      <c r="AX126" s="133" t="n">
        <f aca="false">AJ126+AG126+AD126</f>
        <v>0</v>
      </c>
      <c r="AY126" s="149"/>
      <c r="AZ126" s="76" t="n">
        <f aca="false">R126*E126</f>
        <v>0</v>
      </c>
    </row>
    <row r="127" customFormat="false" ht="12.75" hidden="false" customHeight="false" outlineLevel="0" collapsed="false">
      <c r="A127" s="138" t="n">
        <f aca="false">EDATE(A126,1)</f>
        <v>40544</v>
      </c>
      <c r="B127" s="139" t="n">
        <f aca="false">VLOOKUP($A127,Table2,MATCH(I$3,Curves2,0))</f>
        <v>0</v>
      </c>
      <c r="C127" s="140"/>
      <c r="D127" s="141" t="n">
        <f aca="false">B127+C127</f>
        <v>0</v>
      </c>
      <c r="E127" s="126" t="n">
        <f aca="false">IF(Y127=0,0,IF(AND(Y127=1,$H$3=1),D127*T127,IF($H$3=2,D127,"N/A")))</f>
        <v>0</v>
      </c>
      <c r="F127" s="126" t="n">
        <f aca="false">E127*X127</f>
        <v>0</v>
      </c>
      <c r="G127" s="142" t="n">
        <f aca="false">VLOOKUP($A127,Table,MATCH(G$4,Curves,0))</f>
        <v>3.987</v>
      </c>
      <c r="H127" s="143" t="n">
        <f aca="false">G127</f>
        <v>3.987</v>
      </c>
      <c r="I127" s="142" t="n">
        <f aca="false">VLOOKUP($A127,Table1,MATCH(I$3,Curves1,0))</f>
        <v>0</v>
      </c>
      <c r="J127" s="142" t="n">
        <f aca="false">VLOOKUP($A127,Table,MATCH(J$4,Curves,0))</f>
        <v>-0.0305</v>
      </c>
      <c r="K127" s="143" t="n">
        <f aca="false">J127</f>
        <v>-0.0305</v>
      </c>
      <c r="L127" s="144" t="n">
        <v>0</v>
      </c>
      <c r="M127" s="142" t="n">
        <f aca="false">VLOOKUP($A127,Table,MATCH(M$4,Curves,0))</f>
        <v>0.0087</v>
      </c>
      <c r="N127" s="143" t="n">
        <f aca="false">M127</f>
        <v>0.0087</v>
      </c>
      <c r="O127" s="144" t="n">
        <v>0</v>
      </c>
      <c r="P127" s="145"/>
      <c r="Q127" s="144" t="n">
        <f aca="false">M127+J127+G127</f>
        <v>3.9652</v>
      </c>
      <c r="R127" s="144" t="n">
        <f aca="false">O127+L127+I127</f>
        <v>0</v>
      </c>
      <c r="S127" s="145"/>
      <c r="T127" s="71" t="n">
        <f aca="false">A128-A127</f>
        <v>31</v>
      </c>
      <c r="U127" s="146" t="n">
        <f aca="false">CHOOSE(F$3,A128+24,A127)</f>
        <v>40599</v>
      </c>
      <c r="V127" s="71" t="n">
        <f aca="false">U127-C$3</f>
        <v>3711</v>
      </c>
      <c r="W127" s="142" t="n">
        <f aca="false">VLOOKUP($A127,Table,MATCH(W$4,Curves,0))</f>
        <v>0.058966861357273</v>
      </c>
      <c r="X127" s="147" t="n">
        <f aca="false">1/(1+CHOOSE(F$3,(W128+($K$3/10000))/2,(W127+($K$3/10000))/2))^(2*V127/365.25)</f>
        <v>0.554077399407176</v>
      </c>
      <c r="Y127" s="71" t="n">
        <f aca="false">IF(AND(mthbeg&lt;=A127,mthend&gt;=A127),1,0)</f>
        <v>0</v>
      </c>
      <c r="Z127" s="71" t="n">
        <f aca="false">T127*Y127</f>
        <v>0</v>
      </c>
      <c r="AB127" s="132" t="n">
        <f aca="false">F127*G127</f>
        <v>0</v>
      </c>
      <c r="AC127" s="132" t="n">
        <f aca="false">$F127*H127</f>
        <v>0</v>
      </c>
      <c r="AD127" s="132" t="n">
        <f aca="false">$F127*I127</f>
        <v>0</v>
      </c>
      <c r="AE127" s="132" t="n">
        <f aca="false">$F127*J127</f>
        <v>-0</v>
      </c>
      <c r="AF127" s="132" t="n">
        <f aca="false">$F127*K127</f>
        <v>-0</v>
      </c>
      <c r="AG127" s="132" t="n">
        <f aca="false">$F127*L127</f>
        <v>0</v>
      </c>
      <c r="AH127" s="132" t="n">
        <f aca="false">$F127*M127</f>
        <v>0</v>
      </c>
      <c r="AI127" s="132" t="n">
        <f aca="false">$F127*N127</f>
        <v>0</v>
      </c>
      <c r="AJ127" s="132" t="n">
        <f aca="false">F127*O127</f>
        <v>0</v>
      </c>
      <c r="AK127" s="137"/>
      <c r="AL127" s="132" t="n">
        <f aca="false">CHOOSE($G$3,AC127-AD127,AD127-AC127)</f>
        <v>0</v>
      </c>
      <c r="AM127" s="132" t="n">
        <f aca="false">CHOOSE($G$3,AF127-AG127,AG127-AF127)</f>
        <v>0</v>
      </c>
      <c r="AN127" s="132" t="n">
        <f aca="false">CHOOSE($G$3,AI127-AJ127,AJ127-AI127)</f>
        <v>0</v>
      </c>
      <c r="AO127" s="148" t="n">
        <f aca="false">SUM(AL127:AN127)</f>
        <v>0</v>
      </c>
      <c r="AQ127" s="132" t="n">
        <f aca="false">CHOOSE($G$3,AB127-AC127,AC127-AB127)</f>
        <v>0</v>
      </c>
      <c r="AR127" s="132" t="n">
        <f aca="false">CHOOSE($G$3,AE127-AF127,AF127-AE127)</f>
        <v>0</v>
      </c>
      <c r="AS127" s="132" t="n">
        <f aca="false">CHOOSE($G$3,AH127-AI127,AI127-AH127)</f>
        <v>0</v>
      </c>
      <c r="AT127" s="148" t="n">
        <f aca="false">AQ127+AR127+AS127</f>
        <v>0</v>
      </c>
      <c r="AU127" s="148"/>
      <c r="AV127" s="133" t="n">
        <f aca="false">AT127+AO127</f>
        <v>0</v>
      </c>
      <c r="AX127" s="133" t="n">
        <f aca="false">AJ127+AG127+AD127</f>
        <v>0</v>
      </c>
      <c r="AY127" s="149"/>
      <c r="AZ127" s="76" t="n">
        <f aca="false">R127*E127</f>
        <v>0</v>
      </c>
    </row>
    <row r="128" customFormat="false" ht="12.75" hidden="false" customHeight="false" outlineLevel="0" collapsed="false">
      <c r="A128" s="138" t="n">
        <f aca="false">EDATE(A127,1)</f>
        <v>40575</v>
      </c>
      <c r="B128" s="139" t="n">
        <f aca="false">VLOOKUP($A128,Table2,MATCH(I$3,Curves2,0))</f>
        <v>0</v>
      </c>
      <c r="C128" s="140"/>
      <c r="D128" s="141" t="n">
        <f aca="false">B128+C128</f>
        <v>0</v>
      </c>
      <c r="E128" s="126" t="n">
        <f aca="false">IF(Y128=0,0,IF(AND(Y128=1,$H$3=1),D128*T128,IF($H$3=2,D128,"N/A")))</f>
        <v>0</v>
      </c>
      <c r="F128" s="126" t="n">
        <f aca="false">E128*X128</f>
        <v>0</v>
      </c>
      <c r="G128" s="142" t="n">
        <f aca="false">VLOOKUP($A128,Table,MATCH(G$4,Curves,0))</f>
        <v>3.987</v>
      </c>
      <c r="H128" s="143" t="n">
        <f aca="false">G128</f>
        <v>3.987</v>
      </c>
      <c r="I128" s="142" t="n">
        <f aca="false">VLOOKUP($A128,Table1,MATCH(I$3,Curves1,0))</f>
        <v>0</v>
      </c>
      <c r="J128" s="142" t="n">
        <f aca="false">VLOOKUP($A128,Table,MATCH(J$4,Curves,0))</f>
        <v>-0.0305</v>
      </c>
      <c r="K128" s="143" t="n">
        <f aca="false">J128</f>
        <v>-0.0305</v>
      </c>
      <c r="L128" s="144" t="n">
        <v>0</v>
      </c>
      <c r="M128" s="142" t="n">
        <f aca="false">VLOOKUP($A128,Table,MATCH(M$4,Curves,0))</f>
        <v>0.0087</v>
      </c>
      <c r="N128" s="143" t="n">
        <f aca="false">M128</f>
        <v>0.0087</v>
      </c>
      <c r="O128" s="144" t="n">
        <v>0</v>
      </c>
      <c r="P128" s="145"/>
      <c r="Q128" s="144" t="n">
        <f aca="false">M128+J128+G128</f>
        <v>3.9652</v>
      </c>
      <c r="R128" s="144" t="n">
        <f aca="false">O128+L128+I128</f>
        <v>0</v>
      </c>
      <c r="S128" s="145"/>
      <c r="T128" s="71" t="n">
        <f aca="false">A129-A128</f>
        <v>28</v>
      </c>
      <c r="U128" s="146" t="n">
        <f aca="false">CHOOSE(F$3,A129+24,A128)</f>
        <v>40627</v>
      </c>
      <c r="V128" s="71" t="n">
        <f aca="false">U128-C$3</f>
        <v>3739</v>
      </c>
      <c r="W128" s="142" t="n">
        <f aca="false">VLOOKUP($A128,Table,MATCH(W$4,Curves,0))</f>
        <v>0.058966861357273</v>
      </c>
      <c r="X128" s="147" t="n">
        <f aca="false">1/(1+CHOOSE(F$3,(W129+($K$3/10000))/2,(W128+($K$3/10000))/2))^(2*V128/365.25)</f>
        <v>0.551614456997717</v>
      </c>
      <c r="Y128" s="71" t="n">
        <f aca="false">IF(AND(mthbeg&lt;=A128,mthend&gt;=A128),1,0)</f>
        <v>0</v>
      </c>
      <c r="Z128" s="71" t="n">
        <f aca="false">T128*Y128</f>
        <v>0</v>
      </c>
      <c r="AB128" s="132" t="n">
        <f aca="false">F128*G128</f>
        <v>0</v>
      </c>
      <c r="AC128" s="132" t="n">
        <f aca="false">$F128*H128</f>
        <v>0</v>
      </c>
      <c r="AD128" s="132" t="n">
        <f aca="false">$F128*I128</f>
        <v>0</v>
      </c>
      <c r="AE128" s="132" t="n">
        <f aca="false">$F128*J128</f>
        <v>-0</v>
      </c>
      <c r="AF128" s="132" t="n">
        <f aca="false">$F128*K128</f>
        <v>-0</v>
      </c>
      <c r="AG128" s="132" t="n">
        <f aca="false">$F128*L128</f>
        <v>0</v>
      </c>
      <c r="AH128" s="132" t="n">
        <f aca="false">$F128*M128</f>
        <v>0</v>
      </c>
      <c r="AI128" s="132" t="n">
        <f aca="false">$F128*N128</f>
        <v>0</v>
      </c>
      <c r="AJ128" s="132" t="n">
        <f aca="false">F128*O128</f>
        <v>0</v>
      </c>
      <c r="AK128" s="137"/>
      <c r="AL128" s="132" t="n">
        <f aca="false">CHOOSE($G$3,AC128-AD128,AD128-AC128)</f>
        <v>0</v>
      </c>
      <c r="AM128" s="132" t="n">
        <f aca="false">CHOOSE($G$3,AF128-AG128,AG128-AF128)</f>
        <v>0</v>
      </c>
      <c r="AN128" s="132" t="n">
        <f aca="false">CHOOSE($G$3,AI128-AJ128,AJ128-AI128)</f>
        <v>0</v>
      </c>
      <c r="AO128" s="148" t="n">
        <f aca="false">SUM(AL128:AN128)</f>
        <v>0</v>
      </c>
      <c r="AQ128" s="132" t="n">
        <f aca="false">CHOOSE($G$3,AB128-AC128,AC128-AB128)</f>
        <v>0</v>
      </c>
      <c r="AR128" s="132" t="n">
        <f aca="false">CHOOSE($G$3,AE128-AF128,AF128-AE128)</f>
        <v>0</v>
      </c>
      <c r="AS128" s="132" t="n">
        <f aca="false">CHOOSE($G$3,AH128-AI128,AI128-AH128)</f>
        <v>0</v>
      </c>
      <c r="AT128" s="148" t="n">
        <f aca="false">AQ128+AR128+AS128</f>
        <v>0</v>
      </c>
      <c r="AU128" s="148"/>
      <c r="AV128" s="133" t="n">
        <f aca="false">AT128+AO128</f>
        <v>0</v>
      </c>
      <c r="AX128" s="133" t="n">
        <f aca="false">AJ128+AG128+AD128</f>
        <v>0</v>
      </c>
      <c r="AY128" s="149"/>
      <c r="AZ128" s="76" t="n">
        <f aca="false">R128*E128</f>
        <v>0</v>
      </c>
    </row>
    <row r="129" customFormat="false" ht="12.75" hidden="false" customHeight="false" outlineLevel="0" collapsed="false">
      <c r="A129" s="138" t="n">
        <f aca="false">EDATE(A128,1)</f>
        <v>40603</v>
      </c>
      <c r="B129" s="139" t="n">
        <f aca="false">VLOOKUP($A129,Table2,MATCH(I$3,Curves2,0))</f>
        <v>0</v>
      </c>
      <c r="C129" s="140"/>
      <c r="D129" s="141" t="n">
        <f aca="false">B129+C129</f>
        <v>0</v>
      </c>
      <c r="E129" s="126" t="n">
        <f aca="false">IF(Y129=0,0,IF(AND(Y129=1,$H$3=1),D129*T129,IF($H$3=2,D129,"N/A")))</f>
        <v>0</v>
      </c>
      <c r="F129" s="126" t="n">
        <f aca="false">E129*X129</f>
        <v>0</v>
      </c>
      <c r="G129" s="142" t="n">
        <f aca="false">VLOOKUP($A129,Table,MATCH(G$4,Curves,0))</f>
        <v>3.987</v>
      </c>
      <c r="H129" s="143" t="n">
        <f aca="false">G129</f>
        <v>3.987</v>
      </c>
      <c r="I129" s="142" t="n">
        <f aca="false">VLOOKUP($A129,Table1,MATCH(I$3,Curves1,0))</f>
        <v>0</v>
      </c>
      <c r="J129" s="142" t="n">
        <f aca="false">VLOOKUP($A129,Table,MATCH(J$4,Curves,0))</f>
        <v>-0.0305</v>
      </c>
      <c r="K129" s="143" t="n">
        <f aca="false">J129</f>
        <v>-0.0305</v>
      </c>
      <c r="L129" s="144" t="n">
        <v>0</v>
      </c>
      <c r="M129" s="142" t="n">
        <f aca="false">VLOOKUP($A129,Table,MATCH(M$4,Curves,0))</f>
        <v>0.0087</v>
      </c>
      <c r="N129" s="143" t="n">
        <f aca="false">M129</f>
        <v>0.0087</v>
      </c>
      <c r="O129" s="144" t="n">
        <v>0</v>
      </c>
      <c r="P129" s="145"/>
      <c r="Q129" s="144" t="n">
        <f aca="false">M129+J129+G129</f>
        <v>3.9652</v>
      </c>
      <c r="R129" s="144" t="n">
        <f aca="false">O129+L129+I129</f>
        <v>0</v>
      </c>
      <c r="S129" s="145"/>
      <c r="T129" s="71" t="n">
        <f aca="false">A130-A129</f>
        <v>31</v>
      </c>
      <c r="U129" s="146" t="n">
        <f aca="false">CHOOSE(F$3,A130+24,A129)</f>
        <v>40658</v>
      </c>
      <c r="V129" s="71" t="n">
        <f aca="false">U129-C$3</f>
        <v>3770</v>
      </c>
      <c r="W129" s="142" t="n">
        <f aca="false">VLOOKUP($A129,Table,MATCH(W$4,Curves,0))</f>
        <v>0.058966861357273</v>
      </c>
      <c r="X129" s="147" t="n">
        <f aca="false">1/(1+CHOOSE(F$3,(W130+($K$3/10000))/2,(W129+($K$3/10000))/2))^(2*V129/365.25)</f>
        <v>0.548900396308159</v>
      </c>
      <c r="Y129" s="71" t="n">
        <f aca="false">IF(AND(mthbeg&lt;=A129,mthend&gt;=A129),1,0)</f>
        <v>0</v>
      </c>
      <c r="Z129" s="71" t="n">
        <f aca="false">T129*Y129</f>
        <v>0</v>
      </c>
      <c r="AB129" s="132" t="n">
        <f aca="false">F129*G129</f>
        <v>0</v>
      </c>
      <c r="AC129" s="132" t="n">
        <f aca="false">$F129*H129</f>
        <v>0</v>
      </c>
      <c r="AD129" s="132" t="n">
        <f aca="false">$F129*I129</f>
        <v>0</v>
      </c>
      <c r="AE129" s="132" t="n">
        <f aca="false">$F129*J129</f>
        <v>-0</v>
      </c>
      <c r="AF129" s="132" t="n">
        <f aca="false">$F129*K129</f>
        <v>-0</v>
      </c>
      <c r="AG129" s="132" t="n">
        <f aca="false">$F129*L129</f>
        <v>0</v>
      </c>
      <c r="AH129" s="132" t="n">
        <f aca="false">$F129*M129</f>
        <v>0</v>
      </c>
      <c r="AI129" s="132" t="n">
        <f aca="false">$F129*N129</f>
        <v>0</v>
      </c>
      <c r="AJ129" s="132" t="n">
        <f aca="false">F129*O129</f>
        <v>0</v>
      </c>
      <c r="AK129" s="137"/>
      <c r="AL129" s="132" t="n">
        <f aca="false">CHOOSE($G$3,AC129-AD129,AD129-AC129)</f>
        <v>0</v>
      </c>
      <c r="AM129" s="132" t="n">
        <f aca="false">CHOOSE($G$3,AF129-AG129,AG129-AF129)</f>
        <v>0</v>
      </c>
      <c r="AN129" s="132" t="n">
        <f aca="false">CHOOSE($G$3,AI129-AJ129,AJ129-AI129)</f>
        <v>0</v>
      </c>
      <c r="AO129" s="148" t="n">
        <f aca="false">SUM(AL129:AN129)</f>
        <v>0</v>
      </c>
      <c r="AQ129" s="132" t="n">
        <f aca="false">CHOOSE($G$3,AB129-AC129,AC129-AB129)</f>
        <v>0</v>
      </c>
      <c r="AR129" s="132" t="n">
        <f aca="false">CHOOSE($G$3,AE129-AF129,AF129-AE129)</f>
        <v>0</v>
      </c>
      <c r="AS129" s="132" t="n">
        <f aca="false">CHOOSE($G$3,AH129-AI129,AI129-AH129)</f>
        <v>0</v>
      </c>
      <c r="AT129" s="148" t="n">
        <f aca="false">AQ129+AR129+AS129</f>
        <v>0</v>
      </c>
      <c r="AU129" s="148"/>
      <c r="AV129" s="133" t="n">
        <f aca="false">AT129+AO129</f>
        <v>0</v>
      </c>
      <c r="AX129" s="133" t="n">
        <f aca="false">AJ129+AG129+AD129</f>
        <v>0</v>
      </c>
      <c r="AY129" s="149"/>
      <c r="AZ129" s="76" t="n">
        <f aca="false">R129*E129</f>
        <v>0</v>
      </c>
    </row>
    <row r="130" customFormat="false" ht="12.75" hidden="false" customHeight="false" outlineLevel="0" collapsed="false">
      <c r="A130" s="138" t="n">
        <f aca="false">EDATE(A129,1)</f>
        <v>40634</v>
      </c>
      <c r="B130" s="139" t="n">
        <f aca="false">VLOOKUP($A130,Table2,MATCH(I$3,Curves2,0))</f>
        <v>0</v>
      </c>
      <c r="C130" s="140"/>
      <c r="D130" s="141" t="n">
        <f aca="false">B130+C130</f>
        <v>0</v>
      </c>
      <c r="E130" s="126" t="n">
        <f aca="false">IF(Y130=0,0,IF(AND(Y130=1,$H$3=1),D130*T130,IF($H$3=2,D130,"N/A")))</f>
        <v>0</v>
      </c>
      <c r="F130" s="126" t="n">
        <f aca="false">E130*X130</f>
        <v>0</v>
      </c>
      <c r="G130" s="142" t="n">
        <f aca="false">VLOOKUP($A130,Table,MATCH(G$4,Curves,0))</f>
        <v>3.987</v>
      </c>
      <c r="H130" s="143" t="n">
        <f aca="false">G130</f>
        <v>3.987</v>
      </c>
      <c r="I130" s="142" t="n">
        <f aca="false">VLOOKUP($A130,Table1,MATCH(I$3,Curves1,0))</f>
        <v>0</v>
      </c>
      <c r="J130" s="142" t="n">
        <f aca="false">VLOOKUP($A130,Table,MATCH(J$4,Curves,0))</f>
        <v>-0.0305</v>
      </c>
      <c r="K130" s="143" t="n">
        <f aca="false">J130</f>
        <v>-0.0305</v>
      </c>
      <c r="L130" s="144" t="n">
        <v>0</v>
      </c>
      <c r="M130" s="142" t="n">
        <f aca="false">VLOOKUP($A130,Table,MATCH(M$4,Curves,0))</f>
        <v>0.0087</v>
      </c>
      <c r="N130" s="143" t="n">
        <f aca="false">M130</f>
        <v>0.0087</v>
      </c>
      <c r="O130" s="144" t="n">
        <v>0</v>
      </c>
      <c r="P130" s="145"/>
      <c r="Q130" s="144" t="n">
        <f aca="false">M130+J130+G130</f>
        <v>3.9652</v>
      </c>
      <c r="R130" s="144" t="n">
        <f aca="false">O130+L130+I130</f>
        <v>0</v>
      </c>
      <c r="S130" s="145"/>
      <c r="T130" s="71" t="n">
        <f aca="false">A131-A130</f>
        <v>30</v>
      </c>
      <c r="U130" s="146" t="n">
        <f aca="false">CHOOSE(F$3,A131+24,A130)</f>
        <v>40688</v>
      </c>
      <c r="V130" s="71" t="n">
        <f aca="false">U130-C$3</f>
        <v>3800</v>
      </c>
      <c r="W130" s="142" t="n">
        <f aca="false">VLOOKUP($A130,Table,MATCH(W$4,Curves,0))</f>
        <v>0.058966861357273</v>
      </c>
      <c r="X130" s="147" t="n">
        <f aca="false">1/(1+CHOOSE(F$3,(W131+($K$3/10000))/2,(W130+($K$3/10000))/2))^(2*V130/365.25)</f>
        <v>0.546286601192281</v>
      </c>
      <c r="Y130" s="71" t="n">
        <f aca="false">IF(AND(mthbeg&lt;=A130,mthend&gt;=A130),1,0)</f>
        <v>0</v>
      </c>
      <c r="Z130" s="71" t="n">
        <f aca="false">T130*Y130</f>
        <v>0</v>
      </c>
      <c r="AB130" s="132" t="n">
        <f aca="false">F130*G130</f>
        <v>0</v>
      </c>
      <c r="AC130" s="132" t="n">
        <f aca="false">$F130*H130</f>
        <v>0</v>
      </c>
      <c r="AD130" s="132" t="n">
        <f aca="false">$F130*I130</f>
        <v>0</v>
      </c>
      <c r="AE130" s="132" t="n">
        <f aca="false">$F130*J130</f>
        <v>-0</v>
      </c>
      <c r="AF130" s="132" t="n">
        <f aca="false">$F130*K130</f>
        <v>-0</v>
      </c>
      <c r="AG130" s="132" t="n">
        <f aca="false">$F130*L130</f>
        <v>0</v>
      </c>
      <c r="AH130" s="132" t="n">
        <f aca="false">$F130*M130</f>
        <v>0</v>
      </c>
      <c r="AI130" s="132" t="n">
        <f aca="false">$F130*N130</f>
        <v>0</v>
      </c>
      <c r="AJ130" s="132" t="n">
        <f aca="false">F130*O130</f>
        <v>0</v>
      </c>
      <c r="AK130" s="137"/>
      <c r="AL130" s="132" t="n">
        <f aca="false">CHOOSE($G$3,AC130-AD130,AD130-AC130)</f>
        <v>0</v>
      </c>
      <c r="AM130" s="132" t="n">
        <f aca="false">CHOOSE($G$3,AF130-AG130,AG130-AF130)</f>
        <v>0</v>
      </c>
      <c r="AN130" s="132" t="n">
        <f aca="false">CHOOSE($G$3,AI130-AJ130,AJ130-AI130)</f>
        <v>0</v>
      </c>
      <c r="AO130" s="148" t="n">
        <f aca="false">SUM(AL130:AN130)</f>
        <v>0</v>
      </c>
      <c r="AQ130" s="132" t="n">
        <f aca="false">CHOOSE($G$3,AB130-AC130,AC130-AB130)</f>
        <v>0</v>
      </c>
      <c r="AR130" s="132" t="n">
        <f aca="false">CHOOSE($G$3,AE130-AF130,AF130-AE130)</f>
        <v>0</v>
      </c>
      <c r="AS130" s="132" t="n">
        <f aca="false">CHOOSE($G$3,AH130-AI130,AI130-AH130)</f>
        <v>0</v>
      </c>
      <c r="AT130" s="148" t="n">
        <f aca="false">AQ130+AR130+AS130</f>
        <v>0</v>
      </c>
      <c r="AU130" s="148"/>
      <c r="AV130" s="133" t="n">
        <f aca="false">AT130+AO130</f>
        <v>0</v>
      </c>
      <c r="AX130" s="133" t="n">
        <f aca="false">AJ130+AG130+AD130</f>
        <v>0</v>
      </c>
      <c r="AY130" s="149"/>
      <c r="AZ130" s="76" t="n">
        <f aca="false">R130*E130</f>
        <v>0</v>
      </c>
    </row>
    <row r="131" customFormat="false" ht="12.75" hidden="false" customHeight="false" outlineLevel="0" collapsed="false">
      <c r="A131" s="138" t="n">
        <f aca="false">EDATE(A130,1)</f>
        <v>40664</v>
      </c>
      <c r="B131" s="139" t="n">
        <f aca="false">VLOOKUP($A131,Table2,MATCH(I$3,Curves2,0))</f>
        <v>0</v>
      </c>
      <c r="C131" s="140"/>
      <c r="D131" s="141" t="n">
        <f aca="false">B131+C131</f>
        <v>0</v>
      </c>
      <c r="E131" s="126" t="n">
        <f aca="false">IF(Y131=0,0,IF(AND(Y131=1,$H$3=1),D131*T131,IF($H$3=2,D131,"N/A")))</f>
        <v>0</v>
      </c>
      <c r="F131" s="126" t="n">
        <f aca="false">E131*X131</f>
        <v>0</v>
      </c>
      <c r="G131" s="142" t="n">
        <f aca="false">VLOOKUP($A131,Table,MATCH(G$4,Curves,0))</f>
        <v>3.987</v>
      </c>
      <c r="H131" s="143" t="n">
        <f aca="false">G131</f>
        <v>3.987</v>
      </c>
      <c r="I131" s="142" t="n">
        <f aca="false">VLOOKUP($A131,Table1,MATCH(I$3,Curves1,0))</f>
        <v>0</v>
      </c>
      <c r="J131" s="142" t="n">
        <f aca="false">VLOOKUP($A131,Table,MATCH(J$4,Curves,0))</f>
        <v>-0.0305</v>
      </c>
      <c r="K131" s="143" t="n">
        <f aca="false">J131</f>
        <v>-0.0305</v>
      </c>
      <c r="L131" s="144" t="n">
        <v>0</v>
      </c>
      <c r="M131" s="142" t="n">
        <f aca="false">VLOOKUP($A131,Table,MATCH(M$4,Curves,0))</f>
        <v>0.0087</v>
      </c>
      <c r="N131" s="143" t="n">
        <f aca="false">M131</f>
        <v>0.0087</v>
      </c>
      <c r="O131" s="144" t="n">
        <v>0</v>
      </c>
      <c r="P131" s="145"/>
      <c r="Q131" s="144" t="n">
        <f aca="false">M131+J131+G131</f>
        <v>3.9652</v>
      </c>
      <c r="R131" s="144" t="n">
        <f aca="false">O131+L131+I131</f>
        <v>0</v>
      </c>
      <c r="S131" s="145"/>
      <c r="T131" s="71" t="n">
        <f aca="false">A132-A131</f>
        <v>31</v>
      </c>
      <c r="U131" s="146" t="n">
        <f aca="false">CHOOSE(F$3,A132+24,A131)</f>
        <v>40719</v>
      </c>
      <c r="V131" s="71" t="n">
        <f aca="false">U131-C$3</f>
        <v>3831</v>
      </c>
      <c r="W131" s="142" t="n">
        <f aca="false">VLOOKUP($A131,Table,MATCH(W$4,Curves,0))</f>
        <v>0.058966861357273</v>
      </c>
      <c r="X131" s="147" t="n">
        <f aca="false">1/(1+CHOOSE(F$3,(W132+($K$3/10000))/2,(W131+($K$3/10000))/2))^(2*V131/365.25)</f>
        <v>0.543598754688769</v>
      </c>
      <c r="Y131" s="71" t="n">
        <f aca="false">IF(AND(mthbeg&lt;=A131,mthend&gt;=A131),1,0)</f>
        <v>0</v>
      </c>
      <c r="Z131" s="71" t="n">
        <f aca="false">T131*Y131</f>
        <v>0</v>
      </c>
      <c r="AB131" s="132" t="n">
        <f aca="false">F131*G131</f>
        <v>0</v>
      </c>
      <c r="AC131" s="132" t="n">
        <f aca="false">$F131*H131</f>
        <v>0</v>
      </c>
      <c r="AD131" s="132" t="n">
        <f aca="false">$F131*I131</f>
        <v>0</v>
      </c>
      <c r="AE131" s="132" t="n">
        <f aca="false">$F131*J131</f>
        <v>-0</v>
      </c>
      <c r="AF131" s="132" t="n">
        <f aca="false">$F131*K131</f>
        <v>-0</v>
      </c>
      <c r="AG131" s="132" t="n">
        <f aca="false">$F131*L131</f>
        <v>0</v>
      </c>
      <c r="AH131" s="132" t="n">
        <f aca="false">$F131*M131</f>
        <v>0</v>
      </c>
      <c r="AI131" s="132" t="n">
        <f aca="false">$F131*N131</f>
        <v>0</v>
      </c>
      <c r="AJ131" s="132" t="n">
        <f aca="false">F131*O131</f>
        <v>0</v>
      </c>
      <c r="AK131" s="137"/>
      <c r="AL131" s="132" t="n">
        <f aca="false">CHOOSE($G$3,AC131-AD131,AD131-AC131)</f>
        <v>0</v>
      </c>
      <c r="AM131" s="132" t="n">
        <f aca="false">CHOOSE($G$3,AF131-AG131,AG131-AF131)</f>
        <v>0</v>
      </c>
      <c r="AN131" s="132" t="n">
        <f aca="false">CHOOSE($G$3,AI131-AJ131,AJ131-AI131)</f>
        <v>0</v>
      </c>
      <c r="AO131" s="148" t="n">
        <f aca="false">SUM(AL131:AN131)</f>
        <v>0</v>
      </c>
      <c r="AQ131" s="132" t="n">
        <f aca="false">CHOOSE($G$3,AB131-AC131,AC131-AB131)</f>
        <v>0</v>
      </c>
      <c r="AR131" s="132" t="n">
        <f aca="false">CHOOSE($G$3,AE131-AF131,AF131-AE131)</f>
        <v>0</v>
      </c>
      <c r="AS131" s="132" t="n">
        <f aca="false">CHOOSE($G$3,AH131-AI131,AI131-AH131)</f>
        <v>0</v>
      </c>
      <c r="AT131" s="148" t="n">
        <f aca="false">AQ131+AR131+AS131</f>
        <v>0</v>
      </c>
      <c r="AU131" s="148"/>
      <c r="AV131" s="133" t="n">
        <f aca="false">AT131+AO131</f>
        <v>0</v>
      </c>
      <c r="AX131" s="133" t="n">
        <f aca="false">AJ131+AG131+AD131</f>
        <v>0</v>
      </c>
      <c r="AY131" s="149"/>
      <c r="AZ131" s="76" t="n">
        <f aca="false">R131*E131</f>
        <v>0</v>
      </c>
    </row>
    <row r="132" customFormat="false" ht="12.75" hidden="false" customHeight="false" outlineLevel="0" collapsed="false">
      <c r="A132" s="138" t="n">
        <f aca="false">EDATE(A131,1)</f>
        <v>40695</v>
      </c>
      <c r="B132" s="139" t="n">
        <f aca="false">VLOOKUP($A132,Table2,MATCH(I$3,Curves2,0))</f>
        <v>0</v>
      </c>
      <c r="C132" s="140"/>
      <c r="D132" s="141" t="n">
        <f aca="false">B132+C132</f>
        <v>0</v>
      </c>
      <c r="E132" s="126" t="n">
        <f aca="false">IF(Y132=0,0,IF(AND(Y132=1,$H$3=1),D132*T132,IF($H$3=2,D132,"N/A")))</f>
        <v>0</v>
      </c>
      <c r="F132" s="126" t="n">
        <f aca="false">E132*X132</f>
        <v>0</v>
      </c>
      <c r="G132" s="142" t="n">
        <f aca="false">VLOOKUP($A132,Table,MATCH(G$4,Curves,0))</f>
        <v>3.987</v>
      </c>
      <c r="H132" s="143" t="n">
        <f aca="false">G132</f>
        <v>3.987</v>
      </c>
      <c r="I132" s="142" t="n">
        <f aca="false">VLOOKUP($A132,Table1,MATCH(I$3,Curves1,0))</f>
        <v>0</v>
      </c>
      <c r="J132" s="142" t="n">
        <f aca="false">VLOOKUP($A132,Table,MATCH(J$4,Curves,0))</f>
        <v>-0.0305</v>
      </c>
      <c r="K132" s="143" t="n">
        <f aca="false">J132</f>
        <v>-0.0305</v>
      </c>
      <c r="L132" s="144" t="n">
        <v>0</v>
      </c>
      <c r="M132" s="142" t="n">
        <f aca="false">VLOOKUP($A132,Table,MATCH(M$4,Curves,0))</f>
        <v>0.0087</v>
      </c>
      <c r="N132" s="143" t="n">
        <f aca="false">M132</f>
        <v>0.0087</v>
      </c>
      <c r="O132" s="144" t="n">
        <v>0</v>
      </c>
      <c r="P132" s="145"/>
      <c r="Q132" s="144" t="n">
        <f aca="false">M132+J132+G132</f>
        <v>3.9652</v>
      </c>
      <c r="R132" s="144" t="n">
        <f aca="false">O132+L132+I132</f>
        <v>0</v>
      </c>
      <c r="S132" s="145"/>
      <c r="T132" s="71" t="n">
        <f aca="false">A133-A132</f>
        <v>30</v>
      </c>
      <c r="U132" s="146" t="n">
        <f aca="false">CHOOSE(F$3,A133+24,A132)</f>
        <v>40749</v>
      </c>
      <c r="V132" s="71" t="n">
        <f aca="false">U132-C$3</f>
        <v>3861</v>
      </c>
      <c r="W132" s="142" t="n">
        <f aca="false">VLOOKUP($A132,Table,MATCH(W$4,Curves,0))</f>
        <v>0.058966861357273</v>
      </c>
      <c r="X132" s="147" t="n">
        <f aca="false">1/(1+CHOOSE(F$3,(W133+($K$3/10000))/2,(W132+($K$3/10000))/2))^(2*V132/365.25)</f>
        <v>0.541010205327976</v>
      </c>
      <c r="Y132" s="71" t="n">
        <f aca="false">IF(AND(mthbeg&lt;=A132,mthend&gt;=A132),1,0)</f>
        <v>0</v>
      </c>
      <c r="Z132" s="71" t="n">
        <f aca="false">T132*Y132</f>
        <v>0</v>
      </c>
      <c r="AB132" s="132" t="n">
        <f aca="false">F132*G132</f>
        <v>0</v>
      </c>
      <c r="AC132" s="132" t="n">
        <f aca="false">$F132*H132</f>
        <v>0</v>
      </c>
      <c r="AD132" s="132" t="n">
        <f aca="false">$F132*I132</f>
        <v>0</v>
      </c>
      <c r="AE132" s="132" t="n">
        <f aca="false">$F132*J132</f>
        <v>-0</v>
      </c>
      <c r="AF132" s="132" t="n">
        <f aca="false">$F132*K132</f>
        <v>-0</v>
      </c>
      <c r="AG132" s="132" t="n">
        <f aca="false">$F132*L132</f>
        <v>0</v>
      </c>
      <c r="AH132" s="132" t="n">
        <f aca="false">$F132*M132</f>
        <v>0</v>
      </c>
      <c r="AI132" s="132" t="n">
        <f aca="false">$F132*N132</f>
        <v>0</v>
      </c>
      <c r="AJ132" s="132" t="n">
        <f aca="false">F132*O132</f>
        <v>0</v>
      </c>
      <c r="AK132" s="137"/>
      <c r="AL132" s="132" t="n">
        <f aca="false">CHOOSE($G$3,AC132-AD132,AD132-AC132)</f>
        <v>0</v>
      </c>
      <c r="AM132" s="132" t="n">
        <f aca="false">CHOOSE($G$3,AF132-AG132,AG132-AF132)</f>
        <v>0</v>
      </c>
      <c r="AN132" s="132" t="n">
        <f aca="false">CHOOSE($G$3,AI132-AJ132,AJ132-AI132)</f>
        <v>0</v>
      </c>
      <c r="AO132" s="148" t="n">
        <f aca="false">SUM(AL132:AN132)</f>
        <v>0</v>
      </c>
      <c r="AQ132" s="132" t="n">
        <f aca="false">CHOOSE($G$3,AB132-AC132,AC132-AB132)</f>
        <v>0</v>
      </c>
      <c r="AR132" s="132" t="n">
        <f aca="false">CHOOSE($G$3,AE132-AF132,AF132-AE132)</f>
        <v>0</v>
      </c>
      <c r="AS132" s="132" t="n">
        <f aca="false">CHOOSE($G$3,AH132-AI132,AI132-AH132)</f>
        <v>0</v>
      </c>
      <c r="AT132" s="148" t="n">
        <f aca="false">AQ132+AR132+AS132</f>
        <v>0</v>
      </c>
      <c r="AU132" s="148"/>
      <c r="AV132" s="133" t="n">
        <f aca="false">AT132+AO132</f>
        <v>0</v>
      </c>
      <c r="AX132" s="133" t="n">
        <f aca="false">AJ132+AG132+AD132</f>
        <v>0</v>
      </c>
      <c r="AY132" s="149"/>
      <c r="AZ132" s="76" t="n">
        <f aca="false">R132*E132</f>
        <v>0</v>
      </c>
    </row>
    <row r="133" customFormat="false" ht="12.75" hidden="false" customHeight="false" outlineLevel="0" collapsed="false">
      <c r="A133" s="138" t="n">
        <f aca="false">EDATE(A132,1)</f>
        <v>40725</v>
      </c>
      <c r="B133" s="139" t="n">
        <f aca="false">VLOOKUP($A133,Table2,MATCH(I$3,Curves2,0))</f>
        <v>0</v>
      </c>
      <c r="C133" s="140"/>
      <c r="D133" s="141" t="n">
        <f aca="false">B133+C133</f>
        <v>0</v>
      </c>
      <c r="E133" s="126" t="n">
        <f aca="false">IF(Y133=0,0,IF(AND(Y133=1,$H$3=1),D133*T133,IF($H$3=2,D133,"N/A")))</f>
        <v>0</v>
      </c>
      <c r="F133" s="126" t="n">
        <f aca="false">E133*X133</f>
        <v>0</v>
      </c>
      <c r="G133" s="142" t="n">
        <f aca="false">VLOOKUP($A133,Table,MATCH(G$4,Curves,0))</f>
        <v>3.987</v>
      </c>
      <c r="H133" s="143" t="n">
        <f aca="false">G133</f>
        <v>3.987</v>
      </c>
      <c r="I133" s="142" t="n">
        <f aca="false">VLOOKUP($A133,Table1,MATCH(I$3,Curves1,0))</f>
        <v>0</v>
      </c>
      <c r="J133" s="142" t="n">
        <f aca="false">VLOOKUP($A133,Table,MATCH(J$4,Curves,0))</f>
        <v>-0.0305</v>
      </c>
      <c r="K133" s="143" t="n">
        <f aca="false">J133</f>
        <v>-0.0305</v>
      </c>
      <c r="L133" s="144" t="n">
        <v>0</v>
      </c>
      <c r="M133" s="142" t="n">
        <f aca="false">VLOOKUP($A133,Table,MATCH(M$4,Curves,0))</f>
        <v>0.0087</v>
      </c>
      <c r="N133" s="143" t="n">
        <f aca="false">M133</f>
        <v>0.0087</v>
      </c>
      <c r="O133" s="144" t="n">
        <v>0</v>
      </c>
      <c r="P133" s="145"/>
      <c r="Q133" s="144" t="n">
        <f aca="false">M133+J133+G133</f>
        <v>3.9652</v>
      </c>
      <c r="R133" s="144" t="n">
        <f aca="false">O133+L133+I133</f>
        <v>0</v>
      </c>
      <c r="S133" s="145"/>
      <c r="T133" s="71" t="n">
        <f aca="false">A134-A133</f>
        <v>31</v>
      </c>
      <c r="U133" s="146" t="n">
        <f aca="false">CHOOSE(F$3,A134+24,A133)</f>
        <v>40780</v>
      </c>
      <c r="V133" s="71" t="n">
        <f aca="false">U133-C$3</f>
        <v>3892</v>
      </c>
      <c r="W133" s="142" t="n">
        <f aca="false">VLOOKUP($A133,Table,MATCH(W$4,Curves,0))</f>
        <v>0.058966861357273</v>
      </c>
      <c r="X133" s="147" t="n">
        <f aca="false">1/(1+CHOOSE(F$3,(W134+($K$3/10000))/2,(W133+($K$3/10000))/2))^(2*V133/365.25)</f>
        <v>0.538348319816631</v>
      </c>
      <c r="Y133" s="71" t="n">
        <f aca="false">IF(AND(mthbeg&lt;=A133,mthend&gt;=A133),1,0)</f>
        <v>0</v>
      </c>
      <c r="Z133" s="71" t="n">
        <f aca="false">T133*Y133</f>
        <v>0</v>
      </c>
      <c r="AB133" s="132" t="n">
        <f aca="false">F133*G133</f>
        <v>0</v>
      </c>
      <c r="AC133" s="132" t="n">
        <f aca="false">$F133*H133</f>
        <v>0</v>
      </c>
      <c r="AD133" s="132" t="n">
        <f aca="false">$F133*I133</f>
        <v>0</v>
      </c>
      <c r="AE133" s="132" t="n">
        <f aca="false">$F133*J133</f>
        <v>-0</v>
      </c>
      <c r="AF133" s="132" t="n">
        <f aca="false">$F133*K133</f>
        <v>-0</v>
      </c>
      <c r="AG133" s="132" t="n">
        <f aca="false">$F133*L133</f>
        <v>0</v>
      </c>
      <c r="AH133" s="132" t="n">
        <f aca="false">$F133*M133</f>
        <v>0</v>
      </c>
      <c r="AI133" s="132" t="n">
        <f aca="false">$F133*N133</f>
        <v>0</v>
      </c>
      <c r="AJ133" s="132" t="n">
        <f aca="false">F133*O133</f>
        <v>0</v>
      </c>
      <c r="AK133" s="137"/>
      <c r="AL133" s="132" t="n">
        <f aca="false">CHOOSE($G$3,AC133-AD133,AD133-AC133)</f>
        <v>0</v>
      </c>
      <c r="AM133" s="132" t="n">
        <f aca="false">CHOOSE($G$3,AF133-AG133,AG133-AF133)</f>
        <v>0</v>
      </c>
      <c r="AN133" s="132" t="n">
        <f aca="false">CHOOSE($G$3,AI133-AJ133,AJ133-AI133)</f>
        <v>0</v>
      </c>
      <c r="AO133" s="148" t="n">
        <f aca="false">SUM(AL133:AN133)</f>
        <v>0</v>
      </c>
      <c r="AQ133" s="132" t="n">
        <f aca="false">CHOOSE($G$3,AB133-AC133,AC133-AB133)</f>
        <v>0</v>
      </c>
      <c r="AR133" s="132" t="n">
        <f aca="false">CHOOSE($G$3,AE133-AF133,AF133-AE133)</f>
        <v>0</v>
      </c>
      <c r="AS133" s="132" t="n">
        <f aca="false">CHOOSE($G$3,AH133-AI133,AI133-AH133)</f>
        <v>0</v>
      </c>
      <c r="AT133" s="148" t="n">
        <f aca="false">AQ133+AR133+AS133</f>
        <v>0</v>
      </c>
      <c r="AU133" s="148"/>
      <c r="AV133" s="133" t="n">
        <f aca="false">AT133+AO133</f>
        <v>0</v>
      </c>
      <c r="AX133" s="133" t="n">
        <f aca="false">AJ133+AG133+AD133</f>
        <v>0</v>
      </c>
      <c r="AY133" s="149"/>
      <c r="AZ133" s="76" t="n">
        <f aca="false">R133*E133</f>
        <v>0</v>
      </c>
    </row>
    <row r="134" customFormat="false" ht="12.75" hidden="false" customHeight="false" outlineLevel="0" collapsed="false">
      <c r="A134" s="138" t="n">
        <f aca="false">EDATE(A133,1)</f>
        <v>40756</v>
      </c>
      <c r="B134" s="139" t="n">
        <f aca="false">VLOOKUP($A134,Table2,MATCH(I$3,Curves2,0))</f>
        <v>0</v>
      </c>
      <c r="C134" s="140"/>
      <c r="D134" s="141" t="n">
        <f aca="false">B134+C134</f>
        <v>0</v>
      </c>
      <c r="E134" s="126" t="n">
        <f aca="false">IF(Y134=0,0,IF(AND(Y134=1,$H$3=1),D134*T134,IF($H$3=2,D134,"N/A")))</f>
        <v>0</v>
      </c>
      <c r="F134" s="126" t="n">
        <f aca="false">E134*X134</f>
        <v>0</v>
      </c>
      <c r="G134" s="142" t="n">
        <f aca="false">VLOOKUP($A134,Table,MATCH(G$4,Curves,0))</f>
        <v>3.987</v>
      </c>
      <c r="H134" s="143" t="n">
        <f aca="false">G134</f>
        <v>3.987</v>
      </c>
      <c r="I134" s="142" t="n">
        <f aca="false">VLOOKUP($A134,Table1,MATCH(I$3,Curves1,0))</f>
        <v>0</v>
      </c>
      <c r="J134" s="142" t="n">
        <f aca="false">VLOOKUP($A134,Table,MATCH(J$4,Curves,0))</f>
        <v>-0.0305</v>
      </c>
      <c r="K134" s="143" t="n">
        <f aca="false">J134</f>
        <v>-0.0305</v>
      </c>
      <c r="L134" s="144" t="n">
        <v>0</v>
      </c>
      <c r="M134" s="142" t="n">
        <f aca="false">VLOOKUP($A134,Table,MATCH(M$4,Curves,0))</f>
        <v>0.0087</v>
      </c>
      <c r="N134" s="143" t="n">
        <f aca="false">M134</f>
        <v>0.0087</v>
      </c>
      <c r="O134" s="144" t="n">
        <v>0</v>
      </c>
      <c r="P134" s="145"/>
      <c r="Q134" s="144" t="n">
        <f aca="false">M134+J134+G134</f>
        <v>3.9652</v>
      </c>
      <c r="R134" s="144" t="n">
        <f aca="false">O134+L134+I134</f>
        <v>0</v>
      </c>
      <c r="S134" s="145"/>
      <c r="T134" s="71" t="n">
        <f aca="false">A135-A134</f>
        <v>31</v>
      </c>
      <c r="U134" s="146" t="n">
        <f aca="false">CHOOSE(F$3,A135+24,A134)</f>
        <v>40811</v>
      </c>
      <c r="V134" s="71" t="n">
        <f aca="false">U134-C$3</f>
        <v>3923</v>
      </c>
      <c r="W134" s="142" t="n">
        <f aca="false">VLOOKUP($A134,Table,MATCH(W$4,Curves,0))</f>
        <v>0.058966861357273</v>
      </c>
      <c r="X134" s="147" t="n">
        <f aca="false">1/(1+CHOOSE(F$3,(W135+($K$3/10000))/2,(W134+($K$3/10000))/2))^(2*V134/365.25)</f>
        <v>0.535699531349309</v>
      </c>
      <c r="Y134" s="71" t="n">
        <f aca="false">IF(AND(mthbeg&lt;=A134,mthend&gt;=A134),1,0)</f>
        <v>0</v>
      </c>
      <c r="Z134" s="71" t="n">
        <f aca="false">T134*Y134</f>
        <v>0</v>
      </c>
      <c r="AB134" s="132" t="n">
        <f aca="false">F134*G134</f>
        <v>0</v>
      </c>
      <c r="AC134" s="132" t="n">
        <f aca="false">$F134*H134</f>
        <v>0</v>
      </c>
      <c r="AD134" s="132" t="n">
        <f aca="false">$F134*I134</f>
        <v>0</v>
      </c>
      <c r="AE134" s="132" t="n">
        <f aca="false">$F134*J134</f>
        <v>-0</v>
      </c>
      <c r="AF134" s="132" t="n">
        <f aca="false">$F134*K134</f>
        <v>-0</v>
      </c>
      <c r="AG134" s="132" t="n">
        <f aca="false">$F134*L134</f>
        <v>0</v>
      </c>
      <c r="AH134" s="132" t="n">
        <f aca="false">$F134*M134</f>
        <v>0</v>
      </c>
      <c r="AI134" s="132" t="n">
        <f aca="false">$F134*N134</f>
        <v>0</v>
      </c>
      <c r="AJ134" s="132" t="n">
        <f aca="false">F134*O134</f>
        <v>0</v>
      </c>
      <c r="AK134" s="137"/>
      <c r="AL134" s="132" t="n">
        <f aca="false">CHOOSE($G$3,AC134-AD134,AD134-AC134)</f>
        <v>0</v>
      </c>
      <c r="AM134" s="132" t="n">
        <f aca="false">CHOOSE($G$3,AF134-AG134,AG134-AF134)</f>
        <v>0</v>
      </c>
      <c r="AN134" s="132" t="n">
        <f aca="false">CHOOSE($G$3,AI134-AJ134,AJ134-AI134)</f>
        <v>0</v>
      </c>
      <c r="AO134" s="148" t="n">
        <f aca="false">SUM(AL134:AN134)</f>
        <v>0</v>
      </c>
      <c r="AQ134" s="132" t="n">
        <f aca="false">CHOOSE($G$3,AB134-AC134,AC134-AB134)</f>
        <v>0</v>
      </c>
      <c r="AR134" s="132" t="n">
        <f aca="false">CHOOSE($G$3,AE134-AF134,AF134-AE134)</f>
        <v>0</v>
      </c>
      <c r="AS134" s="132" t="n">
        <f aca="false">CHOOSE($G$3,AH134-AI134,AI134-AH134)</f>
        <v>0</v>
      </c>
      <c r="AT134" s="148" t="n">
        <f aca="false">AQ134+AR134+AS134</f>
        <v>0</v>
      </c>
      <c r="AU134" s="148"/>
      <c r="AV134" s="133" t="n">
        <f aca="false">AT134+AO134</f>
        <v>0</v>
      </c>
      <c r="AX134" s="133" t="n">
        <f aca="false">AJ134+AG134+AD134</f>
        <v>0</v>
      </c>
      <c r="AY134" s="149"/>
      <c r="AZ134" s="76" t="n">
        <f aca="false">R134*E134</f>
        <v>0</v>
      </c>
    </row>
    <row r="135" customFormat="false" ht="12.75" hidden="false" customHeight="false" outlineLevel="0" collapsed="false">
      <c r="A135" s="138" t="n">
        <f aca="false">EDATE(A134,1)</f>
        <v>40787</v>
      </c>
      <c r="B135" s="139" t="n">
        <f aca="false">VLOOKUP($A135,Table2,MATCH(I$3,Curves2,0))</f>
        <v>0</v>
      </c>
      <c r="C135" s="140"/>
      <c r="D135" s="141" t="n">
        <f aca="false">B135+C135</f>
        <v>0</v>
      </c>
      <c r="E135" s="126" t="n">
        <f aca="false">IF(Y135=0,0,IF(AND(Y135=1,$H$3=1),D135*T135,IF($H$3=2,D135,"N/A")))</f>
        <v>0</v>
      </c>
      <c r="F135" s="126" t="n">
        <f aca="false">E135*X135</f>
        <v>0</v>
      </c>
      <c r="G135" s="142" t="n">
        <f aca="false">VLOOKUP($A135,Table,MATCH(G$4,Curves,0))</f>
        <v>3.987</v>
      </c>
      <c r="H135" s="143" t="n">
        <f aca="false">G135</f>
        <v>3.987</v>
      </c>
      <c r="I135" s="142" t="n">
        <f aca="false">VLOOKUP($A135,Table1,MATCH(I$3,Curves1,0))</f>
        <v>0</v>
      </c>
      <c r="J135" s="142" t="n">
        <f aca="false">VLOOKUP($A135,Table,MATCH(J$4,Curves,0))</f>
        <v>-0.0305</v>
      </c>
      <c r="K135" s="143" t="n">
        <f aca="false">J135</f>
        <v>-0.0305</v>
      </c>
      <c r="L135" s="144" t="n">
        <v>0</v>
      </c>
      <c r="M135" s="142" t="n">
        <f aca="false">VLOOKUP($A135,Table,MATCH(M$4,Curves,0))</f>
        <v>0.0087</v>
      </c>
      <c r="N135" s="143" t="n">
        <f aca="false">M135</f>
        <v>0.0087</v>
      </c>
      <c r="O135" s="144" t="n">
        <v>0</v>
      </c>
      <c r="P135" s="145"/>
      <c r="Q135" s="144" t="n">
        <f aca="false">M135+J135+G135</f>
        <v>3.9652</v>
      </c>
      <c r="R135" s="144" t="n">
        <f aca="false">O135+L135+I135</f>
        <v>0</v>
      </c>
      <c r="S135" s="145"/>
      <c r="T135" s="71" t="n">
        <f aca="false">A136-A135</f>
        <v>30</v>
      </c>
      <c r="U135" s="146" t="n">
        <f aca="false">CHOOSE(F$3,A136+24,A135)</f>
        <v>40841</v>
      </c>
      <c r="V135" s="71" t="n">
        <f aca="false">U135-C$3</f>
        <v>3953</v>
      </c>
      <c r="W135" s="142" t="n">
        <f aca="false">VLOOKUP($A135,Table,MATCH(W$4,Curves,0))</f>
        <v>0.058966861357273</v>
      </c>
      <c r="X135" s="147" t="n">
        <f aca="false">1/(1+CHOOSE(F$3,(W136+($K$3/10000))/2,(W135+($K$3/10000))/2))^(2*V135/365.25)</f>
        <v>0.533148597103248</v>
      </c>
      <c r="Y135" s="71" t="n">
        <f aca="false">IF(AND(mthbeg&lt;=A135,mthend&gt;=A135),1,0)</f>
        <v>0</v>
      </c>
      <c r="Z135" s="71" t="n">
        <f aca="false">T135*Y135</f>
        <v>0</v>
      </c>
      <c r="AB135" s="132" t="n">
        <f aca="false">F135*G135</f>
        <v>0</v>
      </c>
      <c r="AC135" s="132" t="n">
        <f aca="false">$F135*H135</f>
        <v>0</v>
      </c>
      <c r="AD135" s="132" t="n">
        <f aca="false">$F135*I135</f>
        <v>0</v>
      </c>
      <c r="AE135" s="132" t="n">
        <f aca="false">$F135*J135</f>
        <v>-0</v>
      </c>
      <c r="AF135" s="132" t="n">
        <f aca="false">$F135*K135</f>
        <v>-0</v>
      </c>
      <c r="AG135" s="132" t="n">
        <f aca="false">$F135*L135</f>
        <v>0</v>
      </c>
      <c r="AH135" s="132" t="n">
        <f aca="false">$F135*M135</f>
        <v>0</v>
      </c>
      <c r="AI135" s="132" t="n">
        <f aca="false">$F135*N135</f>
        <v>0</v>
      </c>
      <c r="AJ135" s="132" t="n">
        <f aca="false">F135*O135</f>
        <v>0</v>
      </c>
      <c r="AK135" s="137"/>
      <c r="AL135" s="132" t="n">
        <f aca="false">CHOOSE($G$3,AC135-AD135,AD135-AC135)</f>
        <v>0</v>
      </c>
      <c r="AM135" s="132" t="n">
        <f aca="false">CHOOSE($G$3,AF135-AG135,AG135-AF135)</f>
        <v>0</v>
      </c>
      <c r="AN135" s="132" t="n">
        <f aca="false">CHOOSE($G$3,AI135-AJ135,AJ135-AI135)</f>
        <v>0</v>
      </c>
      <c r="AO135" s="148" t="n">
        <f aca="false">SUM(AL135:AN135)</f>
        <v>0</v>
      </c>
      <c r="AQ135" s="132" t="n">
        <f aca="false">CHOOSE($G$3,AB135-AC135,AC135-AB135)</f>
        <v>0</v>
      </c>
      <c r="AR135" s="132" t="n">
        <f aca="false">CHOOSE($G$3,AE135-AF135,AF135-AE135)</f>
        <v>0</v>
      </c>
      <c r="AS135" s="132" t="n">
        <f aca="false">CHOOSE($G$3,AH135-AI135,AI135-AH135)</f>
        <v>0</v>
      </c>
      <c r="AT135" s="148" t="n">
        <f aca="false">AQ135+AR135+AS135</f>
        <v>0</v>
      </c>
      <c r="AU135" s="148"/>
      <c r="AV135" s="133" t="n">
        <f aca="false">AT135+AO135</f>
        <v>0</v>
      </c>
      <c r="AX135" s="133" t="n">
        <f aca="false">AJ135+AG135+AD135</f>
        <v>0</v>
      </c>
      <c r="AY135" s="149"/>
      <c r="AZ135" s="76" t="n">
        <f aca="false">R135*E135</f>
        <v>0</v>
      </c>
    </row>
    <row r="136" customFormat="false" ht="12.75" hidden="false" customHeight="false" outlineLevel="0" collapsed="false">
      <c r="A136" s="138" t="n">
        <f aca="false">EDATE(A135,1)</f>
        <v>40817</v>
      </c>
      <c r="B136" s="139" t="n">
        <f aca="false">VLOOKUP($A136,Table2,MATCH(I$3,Curves2,0))</f>
        <v>0</v>
      </c>
      <c r="C136" s="140"/>
      <c r="D136" s="141" t="n">
        <f aca="false">B136+C136</f>
        <v>0</v>
      </c>
      <c r="E136" s="126" t="n">
        <f aca="false">IF(Y136=0,0,IF(AND(Y136=1,$H$3=1),D136*T136,IF($H$3=2,D136,"N/A")))</f>
        <v>0</v>
      </c>
      <c r="F136" s="126" t="n">
        <f aca="false">E136*X136</f>
        <v>0</v>
      </c>
      <c r="G136" s="142" t="n">
        <f aca="false">VLOOKUP($A136,Table,MATCH(G$4,Curves,0))</f>
        <v>3.987</v>
      </c>
      <c r="H136" s="143" t="n">
        <f aca="false">G136</f>
        <v>3.987</v>
      </c>
      <c r="I136" s="142" t="n">
        <f aca="false">VLOOKUP($A136,Table1,MATCH(I$3,Curves1,0))</f>
        <v>0</v>
      </c>
      <c r="J136" s="142" t="n">
        <f aca="false">VLOOKUP($A136,Table,MATCH(J$4,Curves,0))</f>
        <v>-0.0305</v>
      </c>
      <c r="K136" s="143" t="n">
        <f aca="false">J136</f>
        <v>-0.0305</v>
      </c>
      <c r="L136" s="144" t="n">
        <v>0</v>
      </c>
      <c r="M136" s="142" t="n">
        <f aca="false">VLOOKUP($A136,Table,MATCH(M$4,Curves,0))</f>
        <v>0.0087</v>
      </c>
      <c r="N136" s="143" t="n">
        <f aca="false">M136</f>
        <v>0.0087</v>
      </c>
      <c r="O136" s="144" t="n">
        <v>0</v>
      </c>
      <c r="P136" s="145"/>
      <c r="Q136" s="144" t="n">
        <f aca="false">M136+J136+G136</f>
        <v>3.9652</v>
      </c>
      <c r="R136" s="144" t="n">
        <f aca="false">O136+L136+I136</f>
        <v>0</v>
      </c>
      <c r="S136" s="145"/>
      <c r="T136" s="71" t="n">
        <f aca="false">A137-A136</f>
        <v>31</v>
      </c>
      <c r="U136" s="146" t="n">
        <f aca="false">CHOOSE(F$3,A137+24,A136)</f>
        <v>40872</v>
      </c>
      <c r="V136" s="71" t="n">
        <f aca="false">U136-C$3</f>
        <v>3984</v>
      </c>
      <c r="W136" s="142" t="n">
        <f aca="false">VLOOKUP($A136,Table,MATCH(W$4,Curves,0))</f>
        <v>0.058966861357273</v>
      </c>
      <c r="X136" s="147" t="n">
        <f aca="false">1/(1+CHOOSE(F$3,(W137+($K$3/10000))/2,(W136+($K$3/10000))/2))^(2*V136/365.25)</f>
        <v>0.53052539237985</v>
      </c>
      <c r="Y136" s="71" t="n">
        <f aca="false">IF(AND(mthbeg&lt;=A136,mthend&gt;=A136),1,0)</f>
        <v>0</v>
      </c>
      <c r="Z136" s="71" t="n">
        <f aca="false">T136*Y136</f>
        <v>0</v>
      </c>
      <c r="AB136" s="132" t="n">
        <f aca="false">F136*G136</f>
        <v>0</v>
      </c>
      <c r="AC136" s="132" t="n">
        <f aca="false">$F136*H136</f>
        <v>0</v>
      </c>
      <c r="AD136" s="132" t="n">
        <f aca="false">$F136*I136</f>
        <v>0</v>
      </c>
      <c r="AE136" s="132" t="n">
        <f aca="false">$F136*J136</f>
        <v>-0</v>
      </c>
      <c r="AF136" s="132" t="n">
        <f aca="false">$F136*K136</f>
        <v>-0</v>
      </c>
      <c r="AG136" s="132" t="n">
        <f aca="false">$F136*L136</f>
        <v>0</v>
      </c>
      <c r="AH136" s="132" t="n">
        <f aca="false">$F136*M136</f>
        <v>0</v>
      </c>
      <c r="AI136" s="132" t="n">
        <f aca="false">$F136*N136</f>
        <v>0</v>
      </c>
      <c r="AJ136" s="132" t="n">
        <f aca="false">F136*O136</f>
        <v>0</v>
      </c>
      <c r="AK136" s="137"/>
      <c r="AL136" s="132" t="n">
        <f aca="false">CHOOSE($G$3,AC136-AD136,AD136-AC136)</f>
        <v>0</v>
      </c>
      <c r="AM136" s="132" t="n">
        <f aca="false">CHOOSE($G$3,AF136-AG136,AG136-AF136)</f>
        <v>0</v>
      </c>
      <c r="AN136" s="132" t="n">
        <f aca="false">CHOOSE($G$3,AI136-AJ136,AJ136-AI136)</f>
        <v>0</v>
      </c>
      <c r="AO136" s="148" t="n">
        <f aca="false">SUM(AL136:AN136)</f>
        <v>0</v>
      </c>
      <c r="AQ136" s="132" t="n">
        <f aca="false">CHOOSE($G$3,AB136-AC136,AC136-AB136)</f>
        <v>0</v>
      </c>
      <c r="AR136" s="132" t="n">
        <f aca="false">CHOOSE($G$3,AE136-AF136,AF136-AE136)</f>
        <v>0</v>
      </c>
      <c r="AS136" s="132" t="n">
        <f aca="false">CHOOSE($G$3,AH136-AI136,AI136-AH136)</f>
        <v>0</v>
      </c>
      <c r="AT136" s="148" t="n">
        <f aca="false">AQ136+AR136+AS136</f>
        <v>0</v>
      </c>
      <c r="AU136" s="148"/>
      <c r="AV136" s="133" t="n">
        <f aca="false">AT136+AO136</f>
        <v>0</v>
      </c>
      <c r="AX136" s="133" t="n">
        <f aca="false">AJ136+AG136+AD136</f>
        <v>0</v>
      </c>
      <c r="AY136" s="149"/>
      <c r="AZ136" s="76" t="n">
        <f aca="false">R136*E136</f>
        <v>0</v>
      </c>
    </row>
    <row r="137" customFormat="false" ht="12.75" hidden="false" customHeight="false" outlineLevel="0" collapsed="false">
      <c r="A137" s="138" t="n">
        <f aca="false">EDATE(A136,1)</f>
        <v>40848</v>
      </c>
      <c r="B137" s="139" t="n">
        <f aca="false">VLOOKUP($A137,Table2,MATCH(I$3,Curves2,0))</f>
        <v>0</v>
      </c>
      <c r="C137" s="140"/>
      <c r="D137" s="141" t="n">
        <f aca="false">B137+C137</f>
        <v>0</v>
      </c>
      <c r="E137" s="126" t="n">
        <f aca="false">IF(Y137=0,0,IF(AND(Y137=1,$H$3=1),D137*T137,IF($H$3=2,D137,"N/A")))</f>
        <v>0</v>
      </c>
      <c r="F137" s="126" t="n">
        <f aca="false">E137*X137</f>
        <v>0</v>
      </c>
      <c r="G137" s="142" t="n">
        <f aca="false">VLOOKUP($A137,Table,MATCH(G$4,Curves,0))</f>
        <v>3.987</v>
      </c>
      <c r="H137" s="143" t="n">
        <f aca="false">G137</f>
        <v>3.987</v>
      </c>
      <c r="I137" s="142" t="n">
        <f aca="false">VLOOKUP($A137,Table1,MATCH(I$3,Curves1,0))</f>
        <v>0</v>
      </c>
      <c r="J137" s="142" t="n">
        <f aca="false">VLOOKUP($A137,Table,MATCH(J$4,Curves,0))</f>
        <v>-0.0305</v>
      </c>
      <c r="K137" s="143" t="n">
        <f aca="false">J137</f>
        <v>-0.0305</v>
      </c>
      <c r="L137" s="144" t="n">
        <v>0</v>
      </c>
      <c r="M137" s="142" t="n">
        <f aca="false">VLOOKUP($A137,Table,MATCH(M$4,Curves,0))</f>
        <v>0.0087</v>
      </c>
      <c r="N137" s="143" t="n">
        <f aca="false">M137</f>
        <v>0.0087</v>
      </c>
      <c r="O137" s="144" t="n">
        <v>0</v>
      </c>
      <c r="P137" s="145"/>
      <c r="Q137" s="144" t="n">
        <f aca="false">M137+J137+G137</f>
        <v>3.9652</v>
      </c>
      <c r="R137" s="144" t="n">
        <f aca="false">O137+L137+I137</f>
        <v>0</v>
      </c>
      <c r="S137" s="145"/>
      <c r="T137" s="71" t="n">
        <f aca="false">A138-A137</f>
        <v>30</v>
      </c>
      <c r="U137" s="146" t="n">
        <f aca="false">CHOOSE(F$3,A138+24,A137)</f>
        <v>40902</v>
      </c>
      <c r="V137" s="71" t="n">
        <f aca="false">U137-C$3</f>
        <v>4014</v>
      </c>
      <c r="W137" s="142" t="n">
        <f aca="false">VLOOKUP($A137,Table,MATCH(W$4,Curves,0))</f>
        <v>0.058966861357273</v>
      </c>
      <c r="X137" s="147" t="n">
        <f aca="false">1/(1+CHOOSE(F$3,(W138+($K$3/10000))/2,(W137+($K$3/10000))/2))^(2*V137/365.25)</f>
        <v>0.527999096737183</v>
      </c>
      <c r="Y137" s="71" t="n">
        <f aca="false">IF(AND(mthbeg&lt;=A137,mthend&gt;=A137),1,0)</f>
        <v>0</v>
      </c>
      <c r="Z137" s="71" t="n">
        <f aca="false">T137*Y137</f>
        <v>0</v>
      </c>
      <c r="AB137" s="132" t="n">
        <f aca="false">F137*G137</f>
        <v>0</v>
      </c>
      <c r="AC137" s="132" t="n">
        <f aca="false">$F137*H137</f>
        <v>0</v>
      </c>
      <c r="AD137" s="132" t="n">
        <f aca="false">$F137*I137</f>
        <v>0</v>
      </c>
      <c r="AE137" s="132" t="n">
        <f aca="false">$F137*J137</f>
        <v>-0</v>
      </c>
      <c r="AF137" s="132" t="n">
        <f aca="false">$F137*K137</f>
        <v>-0</v>
      </c>
      <c r="AG137" s="132" t="n">
        <f aca="false">$F137*L137</f>
        <v>0</v>
      </c>
      <c r="AH137" s="132" t="n">
        <f aca="false">$F137*M137</f>
        <v>0</v>
      </c>
      <c r="AI137" s="132" t="n">
        <f aca="false">$F137*N137</f>
        <v>0</v>
      </c>
      <c r="AJ137" s="132" t="n">
        <f aca="false">F137*O137</f>
        <v>0</v>
      </c>
      <c r="AK137" s="137"/>
      <c r="AL137" s="132" t="n">
        <f aca="false">CHOOSE($G$3,AC137-AD137,AD137-AC137)</f>
        <v>0</v>
      </c>
      <c r="AM137" s="132" t="n">
        <f aca="false">CHOOSE($G$3,AF137-AG137,AG137-AF137)</f>
        <v>0</v>
      </c>
      <c r="AN137" s="132" t="n">
        <f aca="false">CHOOSE($G$3,AI137-AJ137,AJ137-AI137)</f>
        <v>0</v>
      </c>
      <c r="AO137" s="148" t="n">
        <f aca="false">SUM(AL137:AN137)</f>
        <v>0</v>
      </c>
      <c r="AQ137" s="132" t="n">
        <f aca="false">CHOOSE($G$3,AB137-AC137,AC137-AB137)</f>
        <v>0</v>
      </c>
      <c r="AR137" s="132" t="n">
        <f aca="false">CHOOSE($G$3,AE137-AF137,AF137-AE137)</f>
        <v>0</v>
      </c>
      <c r="AS137" s="132" t="n">
        <f aca="false">CHOOSE($G$3,AH137-AI137,AI137-AH137)</f>
        <v>0</v>
      </c>
      <c r="AT137" s="148" t="n">
        <f aca="false">AQ137+AR137+AS137</f>
        <v>0</v>
      </c>
      <c r="AU137" s="148"/>
      <c r="AV137" s="133" t="n">
        <f aca="false">AT137+AO137</f>
        <v>0</v>
      </c>
      <c r="AX137" s="133" t="n">
        <f aca="false">AJ137+AG137+AD137</f>
        <v>0</v>
      </c>
      <c r="AY137" s="149"/>
      <c r="AZ137" s="76" t="n">
        <f aca="false">R137*E137</f>
        <v>0</v>
      </c>
    </row>
    <row r="138" customFormat="false" ht="12.75" hidden="false" customHeight="false" outlineLevel="0" collapsed="false">
      <c r="A138" s="138" t="n">
        <f aca="false">EDATE(A137,1)</f>
        <v>40878</v>
      </c>
      <c r="B138" s="139" t="n">
        <f aca="false">VLOOKUP($A138,Table2,MATCH(I$3,Curves2,0))</f>
        <v>0</v>
      </c>
      <c r="C138" s="140"/>
      <c r="D138" s="141" t="n">
        <f aca="false">B138+C138</f>
        <v>0</v>
      </c>
      <c r="E138" s="126" t="n">
        <f aca="false">IF(Y138=0,0,IF(AND(Y138=1,$H$3=1),D138*T138,IF($H$3=2,D138,"N/A")))</f>
        <v>0</v>
      </c>
      <c r="F138" s="126" t="n">
        <f aca="false">E138*X138</f>
        <v>0</v>
      </c>
      <c r="G138" s="142" t="n">
        <f aca="false">VLOOKUP($A138,Table,MATCH(G$4,Curves,0))</f>
        <v>3.987</v>
      </c>
      <c r="H138" s="143" t="n">
        <f aca="false">G138</f>
        <v>3.987</v>
      </c>
      <c r="I138" s="142" t="n">
        <f aca="false">VLOOKUP($A138,Table1,MATCH(I$3,Curves1,0))</f>
        <v>0</v>
      </c>
      <c r="J138" s="142" t="n">
        <f aca="false">VLOOKUP($A138,Table,MATCH(J$4,Curves,0))</f>
        <v>-0.0305</v>
      </c>
      <c r="K138" s="143" t="n">
        <f aca="false">J138</f>
        <v>-0.0305</v>
      </c>
      <c r="L138" s="144" t="n">
        <v>0</v>
      </c>
      <c r="M138" s="142" t="n">
        <f aca="false">VLOOKUP($A138,Table,MATCH(M$4,Curves,0))</f>
        <v>0.0087</v>
      </c>
      <c r="N138" s="143" t="n">
        <f aca="false">M138</f>
        <v>0.0087</v>
      </c>
      <c r="O138" s="144" t="n">
        <v>0</v>
      </c>
      <c r="P138" s="145"/>
      <c r="Q138" s="144" t="n">
        <f aca="false">M138+J138+G138</f>
        <v>3.9652</v>
      </c>
      <c r="R138" s="144" t="n">
        <f aca="false">O138+L138+I138</f>
        <v>0</v>
      </c>
      <c r="S138" s="145"/>
      <c r="T138" s="71" t="n">
        <f aca="false">A139-A138</f>
        <v>31</v>
      </c>
      <c r="U138" s="146" t="n">
        <f aca="false">CHOOSE(F$3,A139+24,A138)</f>
        <v>40933</v>
      </c>
      <c r="V138" s="71" t="n">
        <f aca="false">U138-C$3</f>
        <v>4045</v>
      </c>
      <c r="W138" s="142" t="n">
        <f aca="false">VLOOKUP($A138,Table,MATCH(W$4,Curves,0))</f>
        <v>0.058966861357273</v>
      </c>
      <c r="X138" s="147" t="n">
        <f aca="false">1/(1+CHOOSE(F$3,(W139+($K$3/10000))/2,(W138+($K$3/10000))/2))^(2*V138/365.25)</f>
        <v>0.525401228653058</v>
      </c>
      <c r="Y138" s="71" t="n">
        <f aca="false">IF(AND(mthbeg&lt;=A138,mthend&gt;=A138),1,0)</f>
        <v>0</v>
      </c>
      <c r="Z138" s="71" t="n">
        <f aca="false">T138*Y138</f>
        <v>0</v>
      </c>
      <c r="AB138" s="132" t="n">
        <f aca="false">F138*G138</f>
        <v>0</v>
      </c>
      <c r="AC138" s="132" t="n">
        <f aca="false">$F138*H138</f>
        <v>0</v>
      </c>
      <c r="AD138" s="132" t="n">
        <f aca="false">$F138*I138</f>
        <v>0</v>
      </c>
      <c r="AE138" s="132" t="n">
        <f aca="false">$F138*J138</f>
        <v>-0</v>
      </c>
      <c r="AF138" s="132" t="n">
        <f aca="false">$F138*K138</f>
        <v>-0</v>
      </c>
      <c r="AG138" s="132" t="n">
        <f aca="false">$F138*L138</f>
        <v>0</v>
      </c>
      <c r="AH138" s="132" t="n">
        <f aca="false">$F138*M138</f>
        <v>0</v>
      </c>
      <c r="AI138" s="132" t="n">
        <f aca="false">$F138*N138</f>
        <v>0</v>
      </c>
      <c r="AJ138" s="132" t="n">
        <f aca="false">F138*O138</f>
        <v>0</v>
      </c>
      <c r="AK138" s="137"/>
      <c r="AL138" s="132" t="n">
        <f aca="false">CHOOSE($G$3,AC138-AD138,AD138-AC138)</f>
        <v>0</v>
      </c>
      <c r="AM138" s="132" t="n">
        <f aca="false">CHOOSE($G$3,AF138-AG138,AG138-AF138)</f>
        <v>0</v>
      </c>
      <c r="AN138" s="132" t="n">
        <f aca="false">CHOOSE($G$3,AI138-AJ138,AJ138-AI138)</f>
        <v>0</v>
      </c>
      <c r="AO138" s="148" t="n">
        <f aca="false">SUM(AL138:AN138)</f>
        <v>0</v>
      </c>
      <c r="AQ138" s="132" t="n">
        <f aca="false">CHOOSE($G$3,AB138-AC138,AC138-AB138)</f>
        <v>0</v>
      </c>
      <c r="AR138" s="132" t="n">
        <f aca="false">CHOOSE($G$3,AE138-AF138,AF138-AE138)</f>
        <v>0</v>
      </c>
      <c r="AS138" s="132" t="n">
        <f aca="false">CHOOSE($G$3,AH138-AI138,AI138-AH138)</f>
        <v>0</v>
      </c>
      <c r="AT138" s="148" t="n">
        <f aca="false">AQ138+AR138+AS138</f>
        <v>0</v>
      </c>
      <c r="AU138" s="148"/>
      <c r="AV138" s="133" t="n">
        <f aca="false">AT138+AO138</f>
        <v>0</v>
      </c>
      <c r="AX138" s="133" t="n">
        <f aca="false">AJ138+AG138+AD138</f>
        <v>0</v>
      </c>
      <c r="AY138" s="149"/>
      <c r="AZ138" s="76" t="n">
        <f aca="false">R138*E138</f>
        <v>0</v>
      </c>
    </row>
    <row r="139" customFormat="false" ht="12.75" hidden="false" customHeight="false" outlineLevel="0" collapsed="false">
      <c r="A139" s="138" t="n">
        <f aca="false">EDATE(A138,1)</f>
        <v>40909</v>
      </c>
      <c r="B139" s="139" t="n">
        <f aca="false">VLOOKUP($A139,Table2,MATCH(I$3,Curves2,0))</f>
        <v>0</v>
      </c>
      <c r="C139" s="140"/>
      <c r="D139" s="141" t="n">
        <f aca="false">B139+C139</f>
        <v>0</v>
      </c>
      <c r="E139" s="126" t="n">
        <f aca="false">IF(Y139=0,0,IF(AND(Y139=1,$H$3=1),D139*T139,IF($H$3=2,D139,"N/A")))</f>
        <v>0</v>
      </c>
      <c r="F139" s="126" t="n">
        <f aca="false">E139*X139</f>
        <v>0</v>
      </c>
      <c r="G139" s="142" t="n">
        <f aca="false">VLOOKUP($A139,Table,MATCH(G$4,Curves,0))</f>
        <v>3.987</v>
      </c>
      <c r="H139" s="143" t="n">
        <f aca="false">G139</f>
        <v>3.987</v>
      </c>
      <c r="I139" s="142" t="n">
        <f aca="false">VLOOKUP($A139,Table1,MATCH(I$3,Curves1,0))</f>
        <v>0</v>
      </c>
      <c r="J139" s="142" t="n">
        <f aca="false">VLOOKUP($A139,Table,MATCH(J$4,Curves,0))</f>
        <v>-0.0305</v>
      </c>
      <c r="K139" s="143" t="n">
        <f aca="false">J139</f>
        <v>-0.0305</v>
      </c>
      <c r="L139" s="144" t="n">
        <v>0</v>
      </c>
      <c r="M139" s="142" t="n">
        <f aca="false">VLOOKUP($A139,Table,MATCH(M$4,Curves,0))</f>
        <v>0.0087</v>
      </c>
      <c r="N139" s="143" t="n">
        <f aca="false">M139</f>
        <v>0.0087</v>
      </c>
      <c r="O139" s="144" t="n">
        <v>0</v>
      </c>
      <c r="P139" s="145"/>
      <c r="Q139" s="144" t="n">
        <f aca="false">M139+J139+G139</f>
        <v>3.9652</v>
      </c>
      <c r="R139" s="144" t="n">
        <f aca="false">O139+L139+I139</f>
        <v>0</v>
      </c>
      <c r="S139" s="145"/>
      <c r="T139" s="71" t="n">
        <f aca="false">A140-A139</f>
        <v>31</v>
      </c>
      <c r="U139" s="146" t="n">
        <f aca="false">CHOOSE(F$3,A140+24,A139)</f>
        <v>40964</v>
      </c>
      <c r="V139" s="71" t="n">
        <f aca="false">U139-C$3</f>
        <v>4076</v>
      </c>
      <c r="W139" s="142" t="n">
        <f aca="false">VLOOKUP($A139,Table,MATCH(W$4,Curves,0))</f>
        <v>0.058966861357273</v>
      </c>
      <c r="X139" s="147" t="n">
        <f aca="false">1/(1+CHOOSE(F$3,(W140+($K$3/10000))/2,(W139+($K$3/10000))/2))^(2*V139/365.25)</f>
        <v>0.522816142633569</v>
      </c>
      <c r="Y139" s="71" t="n">
        <f aca="false">IF(AND(mthbeg&lt;=A139,mthend&gt;=A139),1,0)</f>
        <v>0</v>
      </c>
      <c r="Z139" s="71" t="n">
        <f aca="false">T139*Y139</f>
        <v>0</v>
      </c>
      <c r="AB139" s="132" t="n">
        <f aca="false">F139*G139</f>
        <v>0</v>
      </c>
      <c r="AC139" s="132" t="n">
        <f aca="false">$F139*H139</f>
        <v>0</v>
      </c>
      <c r="AD139" s="132" t="n">
        <f aca="false">$F139*I139</f>
        <v>0</v>
      </c>
      <c r="AE139" s="132" t="n">
        <f aca="false">$F139*J139</f>
        <v>-0</v>
      </c>
      <c r="AF139" s="132" t="n">
        <f aca="false">$F139*K139</f>
        <v>-0</v>
      </c>
      <c r="AG139" s="132" t="n">
        <f aca="false">$F139*L139</f>
        <v>0</v>
      </c>
      <c r="AH139" s="132" t="n">
        <f aca="false">$F139*M139</f>
        <v>0</v>
      </c>
      <c r="AI139" s="132" t="n">
        <f aca="false">$F139*N139</f>
        <v>0</v>
      </c>
      <c r="AJ139" s="132" t="n">
        <f aca="false">F139*O139</f>
        <v>0</v>
      </c>
      <c r="AK139" s="137"/>
      <c r="AL139" s="132" t="n">
        <f aca="false">CHOOSE($G$3,AC139-AD139,AD139-AC139)</f>
        <v>0</v>
      </c>
      <c r="AM139" s="132" t="n">
        <f aca="false">CHOOSE($G$3,AF139-AG139,AG139-AF139)</f>
        <v>0</v>
      </c>
      <c r="AN139" s="132" t="n">
        <f aca="false">CHOOSE($G$3,AI139-AJ139,AJ139-AI139)</f>
        <v>0</v>
      </c>
      <c r="AO139" s="148" t="n">
        <f aca="false">SUM(AL139:AN139)</f>
        <v>0</v>
      </c>
      <c r="AQ139" s="132" t="n">
        <f aca="false">CHOOSE($G$3,AB139-AC139,AC139-AB139)</f>
        <v>0</v>
      </c>
      <c r="AR139" s="132" t="n">
        <f aca="false">CHOOSE($G$3,AE139-AF139,AF139-AE139)</f>
        <v>0</v>
      </c>
      <c r="AS139" s="132" t="n">
        <f aca="false">CHOOSE($G$3,AH139-AI139,AI139-AH139)</f>
        <v>0</v>
      </c>
      <c r="AT139" s="148" t="n">
        <f aca="false">AQ139+AR139+AS139</f>
        <v>0</v>
      </c>
      <c r="AU139" s="148"/>
      <c r="AV139" s="133" t="n">
        <f aca="false">AT139+AO139</f>
        <v>0</v>
      </c>
      <c r="AX139" s="133" t="n">
        <f aca="false">AJ139+AG139+AD139</f>
        <v>0</v>
      </c>
      <c r="AY139" s="149"/>
      <c r="AZ139" s="76" t="n">
        <f aca="false">R139*E139</f>
        <v>0</v>
      </c>
    </row>
    <row r="140" customFormat="false" ht="12.75" hidden="false" customHeight="false" outlineLevel="0" collapsed="false">
      <c r="A140" s="138" t="n">
        <f aca="false">EDATE(A139,1)</f>
        <v>40940</v>
      </c>
      <c r="B140" s="139" t="n">
        <f aca="false">VLOOKUP($A140,Table2,MATCH(I$3,Curves2,0))</f>
        <v>0</v>
      </c>
      <c r="C140" s="140"/>
      <c r="D140" s="141" t="n">
        <f aca="false">B140+C140</f>
        <v>0</v>
      </c>
      <c r="E140" s="126" t="n">
        <f aca="false">IF(Y140=0,0,IF(AND(Y140=1,$H$3=1),D140*T140,IF($H$3=2,D140,"N/A")))</f>
        <v>0</v>
      </c>
      <c r="F140" s="126" t="n">
        <f aca="false">E140*X140</f>
        <v>0</v>
      </c>
      <c r="G140" s="142" t="n">
        <f aca="false">VLOOKUP($A140,Table,MATCH(G$4,Curves,0))</f>
        <v>3.987</v>
      </c>
      <c r="H140" s="143" t="n">
        <f aca="false">G140</f>
        <v>3.987</v>
      </c>
      <c r="I140" s="142" t="n">
        <f aca="false">VLOOKUP($A140,Table1,MATCH(I$3,Curves1,0))</f>
        <v>0</v>
      </c>
      <c r="J140" s="142" t="n">
        <f aca="false">VLOOKUP($A140,Table,MATCH(J$4,Curves,0))</f>
        <v>-0.0305</v>
      </c>
      <c r="K140" s="143" t="n">
        <f aca="false">J140</f>
        <v>-0.0305</v>
      </c>
      <c r="L140" s="144" t="n">
        <v>0</v>
      </c>
      <c r="M140" s="142" t="n">
        <f aca="false">VLOOKUP($A140,Table,MATCH(M$4,Curves,0))</f>
        <v>0.0087</v>
      </c>
      <c r="N140" s="143" t="n">
        <f aca="false">M140</f>
        <v>0.0087</v>
      </c>
      <c r="O140" s="144" t="n">
        <v>0</v>
      </c>
      <c r="P140" s="145"/>
      <c r="Q140" s="144" t="n">
        <f aca="false">M140+J140+G140</f>
        <v>3.9652</v>
      </c>
      <c r="R140" s="144" t="n">
        <f aca="false">O140+L140+I140</f>
        <v>0</v>
      </c>
      <c r="S140" s="145"/>
      <c r="T140" s="71" t="n">
        <f aca="false">A141-A140</f>
        <v>29</v>
      </c>
      <c r="U140" s="146" t="n">
        <f aca="false">CHOOSE(F$3,A141+24,A140)</f>
        <v>40993</v>
      </c>
      <c r="V140" s="71" t="n">
        <f aca="false">U140-C$3</f>
        <v>4105</v>
      </c>
      <c r="W140" s="142" t="n">
        <f aca="false">VLOOKUP($A140,Table,MATCH(W$4,Curves,0))</f>
        <v>0.058966861357273</v>
      </c>
      <c r="X140" s="147" t="n">
        <f aca="false">1/(1+CHOOSE(F$3,(W141+($K$3/10000))/2,(W140+($K$3/10000))/2))^(2*V140/365.25)</f>
        <v>0.520409352334299</v>
      </c>
      <c r="Y140" s="71" t="n">
        <f aca="false">IF(AND(mthbeg&lt;=A140,mthend&gt;=A140),1,0)</f>
        <v>0</v>
      </c>
      <c r="Z140" s="71" t="n">
        <f aca="false">T140*Y140</f>
        <v>0</v>
      </c>
      <c r="AB140" s="132" t="n">
        <f aca="false">F140*G140</f>
        <v>0</v>
      </c>
      <c r="AC140" s="132" t="n">
        <f aca="false">$F140*H140</f>
        <v>0</v>
      </c>
      <c r="AD140" s="132" t="n">
        <f aca="false">$F140*I140</f>
        <v>0</v>
      </c>
      <c r="AE140" s="132" t="n">
        <f aca="false">$F140*J140</f>
        <v>-0</v>
      </c>
      <c r="AF140" s="132" t="n">
        <f aca="false">$F140*K140</f>
        <v>-0</v>
      </c>
      <c r="AG140" s="132" t="n">
        <f aca="false">$F140*L140</f>
        <v>0</v>
      </c>
      <c r="AH140" s="132" t="n">
        <f aca="false">$F140*M140</f>
        <v>0</v>
      </c>
      <c r="AI140" s="132" t="n">
        <f aca="false">$F140*N140</f>
        <v>0</v>
      </c>
      <c r="AJ140" s="132" t="n">
        <f aca="false">F140*O140</f>
        <v>0</v>
      </c>
      <c r="AK140" s="137"/>
      <c r="AL140" s="132" t="n">
        <f aca="false">CHOOSE($G$3,AC140-AD140,AD140-AC140)</f>
        <v>0</v>
      </c>
      <c r="AM140" s="132" t="n">
        <f aca="false">CHOOSE($G$3,AF140-AG140,AG140-AF140)</f>
        <v>0</v>
      </c>
      <c r="AN140" s="132" t="n">
        <f aca="false">CHOOSE($G$3,AI140-AJ140,AJ140-AI140)</f>
        <v>0</v>
      </c>
      <c r="AO140" s="148" t="n">
        <f aca="false">SUM(AL140:AN140)</f>
        <v>0</v>
      </c>
      <c r="AQ140" s="132" t="n">
        <f aca="false">CHOOSE($G$3,AB140-AC140,AC140-AB140)</f>
        <v>0</v>
      </c>
      <c r="AR140" s="132" t="n">
        <f aca="false">CHOOSE($G$3,AE140-AF140,AF140-AE140)</f>
        <v>0</v>
      </c>
      <c r="AS140" s="132" t="n">
        <f aca="false">CHOOSE($G$3,AH140-AI140,AI140-AH140)</f>
        <v>0</v>
      </c>
      <c r="AT140" s="148" t="n">
        <f aca="false">AQ140+AR140+AS140</f>
        <v>0</v>
      </c>
      <c r="AU140" s="148"/>
      <c r="AV140" s="133" t="n">
        <f aca="false">AT140+AO140</f>
        <v>0</v>
      </c>
      <c r="AX140" s="133" t="n">
        <f aca="false">AJ140+AG140+AD140</f>
        <v>0</v>
      </c>
      <c r="AY140" s="149"/>
      <c r="AZ140" s="76" t="n">
        <f aca="false">R140*E140</f>
        <v>0</v>
      </c>
    </row>
    <row r="141" customFormat="false" ht="12.75" hidden="false" customHeight="false" outlineLevel="0" collapsed="false">
      <c r="A141" s="138" t="n">
        <f aca="false">EDATE(A140,1)</f>
        <v>40969</v>
      </c>
      <c r="B141" s="139" t="n">
        <f aca="false">VLOOKUP($A141,Table2,MATCH(I$3,Curves2,0))</f>
        <v>0</v>
      </c>
      <c r="C141" s="140"/>
      <c r="D141" s="141" t="n">
        <f aca="false">B141+C141</f>
        <v>0</v>
      </c>
      <c r="E141" s="126" t="n">
        <f aca="false">IF(Y141=0,0,IF(AND(Y141=1,$H$3=1),D141*T141,IF($H$3=2,D141,"N/A")))</f>
        <v>0</v>
      </c>
      <c r="F141" s="126" t="n">
        <f aca="false">E141*X141</f>
        <v>0</v>
      </c>
      <c r="G141" s="142" t="n">
        <f aca="false">VLOOKUP($A141,Table,MATCH(G$4,Curves,0))</f>
        <v>3.987</v>
      </c>
      <c r="H141" s="143" t="n">
        <f aca="false">G141</f>
        <v>3.987</v>
      </c>
      <c r="I141" s="142" t="n">
        <f aca="false">VLOOKUP($A141,Table1,MATCH(I$3,Curves1,0))</f>
        <v>0</v>
      </c>
      <c r="J141" s="142" t="n">
        <f aca="false">VLOOKUP($A141,Table,MATCH(J$4,Curves,0))</f>
        <v>-0.0305</v>
      </c>
      <c r="K141" s="143" t="n">
        <f aca="false">J141</f>
        <v>-0.0305</v>
      </c>
      <c r="L141" s="144" t="n">
        <v>0</v>
      </c>
      <c r="M141" s="142" t="n">
        <f aca="false">VLOOKUP($A141,Table,MATCH(M$4,Curves,0))</f>
        <v>0.0087</v>
      </c>
      <c r="N141" s="143" t="n">
        <f aca="false">M141</f>
        <v>0.0087</v>
      </c>
      <c r="O141" s="144" t="n">
        <v>0</v>
      </c>
      <c r="P141" s="145"/>
      <c r="Q141" s="144" t="n">
        <f aca="false">M141+J141+G141</f>
        <v>3.9652</v>
      </c>
      <c r="R141" s="144" t="n">
        <f aca="false">O141+L141+I141</f>
        <v>0</v>
      </c>
      <c r="S141" s="145"/>
      <c r="T141" s="71" t="n">
        <f aca="false">A142-A141</f>
        <v>31</v>
      </c>
      <c r="U141" s="146" t="n">
        <f aca="false">CHOOSE(F$3,A142+24,A141)</f>
        <v>41024</v>
      </c>
      <c r="V141" s="71" t="n">
        <f aca="false">U141-C$3</f>
        <v>4136</v>
      </c>
      <c r="W141" s="142" t="n">
        <f aca="false">VLOOKUP($A141,Table,MATCH(W$4,Curves,0))</f>
        <v>0.058966861357273</v>
      </c>
      <c r="X141" s="147" t="n">
        <f aca="false">1/(1+CHOOSE(F$3,(W142+($K$3/10000))/2,(W141+($K$3/10000))/2))^(2*V141/365.25)</f>
        <v>0.517848827410177</v>
      </c>
      <c r="Y141" s="71" t="n">
        <f aca="false">IF(AND(mthbeg&lt;=A141,mthend&gt;=A141),1,0)</f>
        <v>0</v>
      </c>
      <c r="Z141" s="71" t="n">
        <f aca="false">T141*Y141</f>
        <v>0</v>
      </c>
      <c r="AB141" s="132" t="n">
        <f aca="false">F141*G141</f>
        <v>0</v>
      </c>
      <c r="AC141" s="132" t="n">
        <f aca="false">$F141*H141</f>
        <v>0</v>
      </c>
      <c r="AD141" s="132" t="n">
        <f aca="false">$F141*I141</f>
        <v>0</v>
      </c>
      <c r="AE141" s="132" t="n">
        <f aca="false">$F141*J141</f>
        <v>-0</v>
      </c>
      <c r="AF141" s="132" t="n">
        <f aca="false">$F141*K141</f>
        <v>-0</v>
      </c>
      <c r="AG141" s="132" t="n">
        <f aca="false">$F141*L141</f>
        <v>0</v>
      </c>
      <c r="AH141" s="132" t="n">
        <f aca="false">$F141*M141</f>
        <v>0</v>
      </c>
      <c r="AI141" s="132" t="n">
        <f aca="false">$F141*N141</f>
        <v>0</v>
      </c>
      <c r="AJ141" s="132" t="n">
        <f aca="false">F141*O141</f>
        <v>0</v>
      </c>
      <c r="AK141" s="137"/>
      <c r="AL141" s="132" t="n">
        <f aca="false">CHOOSE($G$3,AC141-AD141,AD141-AC141)</f>
        <v>0</v>
      </c>
      <c r="AM141" s="132" t="n">
        <f aca="false">CHOOSE($G$3,AF141-AG141,AG141-AF141)</f>
        <v>0</v>
      </c>
      <c r="AN141" s="132" t="n">
        <f aca="false">CHOOSE($G$3,AI141-AJ141,AJ141-AI141)</f>
        <v>0</v>
      </c>
      <c r="AO141" s="148" t="n">
        <f aca="false">SUM(AL141:AN141)</f>
        <v>0</v>
      </c>
      <c r="AQ141" s="132" t="n">
        <f aca="false">CHOOSE($G$3,AB141-AC141,AC141-AB141)</f>
        <v>0</v>
      </c>
      <c r="AR141" s="132" t="n">
        <f aca="false">CHOOSE($G$3,AE141-AF141,AF141-AE141)</f>
        <v>0</v>
      </c>
      <c r="AS141" s="132" t="n">
        <f aca="false">CHOOSE($G$3,AH141-AI141,AI141-AH141)</f>
        <v>0</v>
      </c>
      <c r="AT141" s="148" t="n">
        <f aca="false">AQ141+AR141+AS141</f>
        <v>0</v>
      </c>
      <c r="AU141" s="148"/>
      <c r="AV141" s="133" t="n">
        <f aca="false">AT141+AO141</f>
        <v>0</v>
      </c>
      <c r="AX141" s="133" t="n">
        <f aca="false">AJ141+AG141+AD141</f>
        <v>0</v>
      </c>
      <c r="AY141" s="149"/>
      <c r="AZ141" s="76" t="n">
        <f aca="false">R141*E141</f>
        <v>0</v>
      </c>
    </row>
    <row r="142" customFormat="false" ht="12.75" hidden="false" customHeight="false" outlineLevel="0" collapsed="false">
      <c r="A142" s="138" t="n">
        <f aca="false">EDATE(A141,1)</f>
        <v>41000</v>
      </c>
      <c r="B142" s="139" t="n">
        <f aca="false">VLOOKUP($A142,Table2,MATCH(I$3,Curves2,0))</f>
        <v>0</v>
      </c>
      <c r="C142" s="140"/>
      <c r="D142" s="141" t="n">
        <f aca="false">B142+C142</f>
        <v>0</v>
      </c>
      <c r="E142" s="126" t="n">
        <f aca="false">IF(Y142=0,0,IF(AND(Y142=1,$H$3=1),D142*T142,IF($H$3=2,D142,"N/A")))</f>
        <v>0</v>
      </c>
      <c r="F142" s="126" t="n">
        <f aca="false">E142*X142</f>
        <v>0</v>
      </c>
      <c r="G142" s="142" t="n">
        <f aca="false">VLOOKUP($A142,Table,MATCH(G$4,Curves,0))</f>
        <v>3.987</v>
      </c>
      <c r="H142" s="143" t="n">
        <f aca="false">G142</f>
        <v>3.987</v>
      </c>
      <c r="I142" s="142" t="n">
        <f aca="false">VLOOKUP($A142,Table1,MATCH(I$3,Curves1,0))</f>
        <v>0</v>
      </c>
      <c r="J142" s="142" t="n">
        <f aca="false">VLOOKUP($A142,Table,MATCH(J$4,Curves,0))</f>
        <v>-0.0305</v>
      </c>
      <c r="K142" s="143" t="n">
        <f aca="false">J142</f>
        <v>-0.0305</v>
      </c>
      <c r="L142" s="144" t="n">
        <v>0</v>
      </c>
      <c r="M142" s="142" t="n">
        <f aca="false">VLOOKUP($A142,Table,MATCH(M$4,Curves,0))</f>
        <v>0.0087</v>
      </c>
      <c r="N142" s="143" t="n">
        <f aca="false">M142</f>
        <v>0.0087</v>
      </c>
      <c r="O142" s="144" t="n">
        <v>0</v>
      </c>
      <c r="P142" s="145"/>
      <c r="Q142" s="144" t="n">
        <f aca="false">M142+J142+G142</f>
        <v>3.9652</v>
      </c>
      <c r="R142" s="144" t="n">
        <f aca="false">O142+L142+I142</f>
        <v>0</v>
      </c>
      <c r="S142" s="145"/>
      <c r="T142" s="71" t="n">
        <f aca="false">A143-A142</f>
        <v>30</v>
      </c>
      <c r="U142" s="146" t="n">
        <f aca="false">CHOOSE(F$3,A143+24,A142)</f>
        <v>41054</v>
      </c>
      <c r="V142" s="71" t="n">
        <f aca="false">U142-C$3</f>
        <v>4166</v>
      </c>
      <c r="W142" s="142" t="n">
        <f aca="false">VLOOKUP($A142,Table,MATCH(W$4,Curves,0))</f>
        <v>0.058966861357273</v>
      </c>
      <c r="X142" s="147" t="n">
        <f aca="false">1/(1+CHOOSE(F$3,(W143+($K$3/10000))/2,(W142+($K$3/10000))/2))^(2*V142/365.25)</f>
        <v>0.515382895986276</v>
      </c>
      <c r="Y142" s="71" t="n">
        <f aca="false">IF(AND(mthbeg&lt;=A142,mthend&gt;=A142),1,0)</f>
        <v>0</v>
      </c>
      <c r="Z142" s="71" t="n">
        <f aca="false">T142*Y142</f>
        <v>0</v>
      </c>
      <c r="AB142" s="132" t="n">
        <f aca="false">F142*G142</f>
        <v>0</v>
      </c>
      <c r="AC142" s="132" t="n">
        <f aca="false">$F142*H142</f>
        <v>0</v>
      </c>
      <c r="AD142" s="132" t="n">
        <f aca="false">$F142*I142</f>
        <v>0</v>
      </c>
      <c r="AE142" s="132" t="n">
        <f aca="false">$F142*J142</f>
        <v>-0</v>
      </c>
      <c r="AF142" s="132" t="n">
        <f aca="false">$F142*K142</f>
        <v>-0</v>
      </c>
      <c r="AG142" s="132" t="n">
        <f aca="false">$F142*L142</f>
        <v>0</v>
      </c>
      <c r="AH142" s="132" t="n">
        <f aca="false">$F142*M142</f>
        <v>0</v>
      </c>
      <c r="AI142" s="132" t="n">
        <f aca="false">$F142*N142</f>
        <v>0</v>
      </c>
      <c r="AJ142" s="132" t="n">
        <f aca="false">F142*O142</f>
        <v>0</v>
      </c>
      <c r="AK142" s="137"/>
      <c r="AL142" s="132" t="n">
        <f aca="false">CHOOSE($G$3,AC142-AD142,AD142-AC142)</f>
        <v>0</v>
      </c>
      <c r="AM142" s="132" t="n">
        <f aca="false">CHOOSE($G$3,AF142-AG142,AG142-AF142)</f>
        <v>0</v>
      </c>
      <c r="AN142" s="132" t="n">
        <f aca="false">CHOOSE($G$3,AI142-AJ142,AJ142-AI142)</f>
        <v>0</v>
      </c>
      <c r="AO142" s="148" t="n">
        <f aca="false">SUM(AL142:AN142)</f>
        <v>0</v>
      </c>
      <c r="AQ142" s="132" t="n">
        <f aca="false">CHOOSE($G$3,AB142-AC142,AC142-AB142)</f>
        <v>0</v>
      </c>
      <c r="AR142" s="132" t="n">
        <f aca="false">CHOOSE($G$3,AE142-AF142,AF142-AE142)</f>
        <v>0</v>
      </c>
      <c r="AS142" s="132" t="n">
        <f aca="false">CHOOSE($G$3,AH142-AI142,AI142-AH142)</f>
        <v>0</v>
      </c>
      <c r="AT142" s="148" t="n">
        <f aca="false">AQ142+AR142+AS142</f>
        <v>0</v>
      </c>
      <c r="AU142" s="148"/>
      <c r="AV142" s="133" t="n">
        <f aca="false">AT142+AO142</f>
        <v>0</v>
      </c>
      <c r="AX142" s="133" t="n">
        <f aca="false">AJ142+AG142+AD142</f>
        <v>0</v>
      </c>
      <c r="AY142" s="149"/>
      <c r="AZ142" s="76" t="n">
        <f aca="false">R142*E142</f>
        <v>0</v>
      </c>
    </row>
    <row r="143" customFormat="false" ht="12.75" hidden="false" customHeight="false" outlineLevel="0" collapsed="false">
      <c r="A143" s="138" t="n">
        <f aca="false">EDATE(A142,1)</f>
        <v>41030</v>
      </c>
      <c r="B143" s="139" t="n">
        <f aca="false">VLOOKUP($A143,Table2,MATCH(I$3,Curves2,0))</f>
        <v>0</v>
      </c>
      <c r="C143" s="140"/>
      <c r="D143" s="141" t="n">
        <f aca="false">B143+C143</f>
        <v>0</v>
      </c>
      <c r="E143" s="126" t="n">
        <f aca="false">IF(Y143=0,0,IF(AND(Y143=1,$H$3=1),D143*T143,IF($H$3=2,D143,"N/A")))</f>
        <v>0</v>
      </c>
      <c r="F143" s="126" t="n">
        <f aca="false">E143*X143</f>
        <v>0</v>
      </c>
      <c r="G143" s="142" t="n">
        <f aca="false">VLOOKUP($A143,Table,MATCH(G$4,Curves,0))</f>
        <v>3.987</v>
      </c>
      <c r="H143" s="143" t="n">
        <f aca="false">G143</f>
        <v>3.987</v>
      </c>
      <c r="I143" s="142" t="n">
        <f aca="false">VLOOKUP($A143,Table1,MATCH(I$3,Curves1,0))</f>
        <v>0</v>
      </c>
      <c r="J143" s="142" t="n">
        <f aca="false">VLOOKUP($A143,Table,MATCH(J$4,Curves,0))</f>
        <v>-0.0305</v>
      </c>
      <c r="K143" s="143" t="n">
        <f aca="false">J143</f>
        <v>-0.0305</v>
      </c>
      <c r="L143" s="144" t="n">
        <v>0</v>
      </c>
      <c r="M143" s="142" t="n">
        <f aca="false">VLOOKUP($A143,Table,MATCH(M$4,Curves,0))</f>
        <v>0.0087</v>
      </c>
      <c r="N143" s="143" t="n">
        <f aca="false">M143</f>
        <v>0.0087</v>
      </c>
      <c r="O143" s="144" t="n">
        <v>0</v>
      </c>
      <c r="P143" s="145"/>
      <c r="Q143" s="144" t="n">
        <f aca="false">M143+J143+G143</f>
        <v>3.9652</v>
      </c>
      <c r="R143" s="144" t="n">
        <f aca="false">O143+L143+I143</f>
        <v>0</v>
      </c>
      <c r="S143" s="145"/>
      <c r="T143" s="71" t="n">
        <f aca="false">A144-A143</f>
        <v>31</v>
      </c>
      <c r="U143" s="146" t="n">
        <f aca="false">CHOOSE(F$3,A144+24,A143)</f>
        <v>41085</v>
      </c>
      <c r="V143" s="71" t="n">
        <f aca="false">U143-C$3</f>
        <v>4197</v>
      </c>
      <c r="W143" s="142" t="n">
        <f aca="false">VLOOKUP($A143,Table,MATCH(W$4,Curves,0))</f>
        <v>0.058966861357273</v>
      </c>
      <c r="X143" s="147" t="n">
        <f aca="false">1/(1+CHOOSE(F$3,(W144+($K$3/10000))/2,(W143+($K$3/10000))/2))^(2*V143/365.25)</f>
        <v>0.512847102298634</v>
      </c>
      <c r="Y143" s="71" t="n">
        <f aca="false">IF(AND(mthbeg&lt;=A143,mthend&gt;=A143),1,0)</f>
        <v>0</v>
      </c>
      <c r="Z143" s="71" t="n">
        <f aca="false">T143*Y143</f>
        <v>0</v>
      </c>
      <c r="AB143" s="132" t="n">
        <f aca="false">F143*G143</f>
        <v>0</v>
      </c>
      <c r="AC143" s="132" t="n">
        <f aca="false">$F143*H143</f>
        <v>0</v>
      </c>
      <c r="AD143" s="132" t="n">
        <f aca="false">$F143*I143</f>
        <v>0</v>
      </c>
      <c r="AE143" s="132" t="n">
        <f aca="false">$F143*J143</f>
        <v>-0</v>
      </c>
      <c r="AF143" s="132" t="n">
        <f aca="false">$F143*K143</f>
        <v>-0</v>
      </c>
      <c r="AG143" s="132" t="n">
        <f aca="false">$F143*L143</f>
        <v>0</v>
      </c>
      <c r="AH143" s="132" t="n">
        <f aca="false">$F143*M143</f>
        <v>0</v>
      </c>
      <c r="AI143" s="132" t="n">
        <f aca="false">$F143*N143</f>
        <v>0</v>
      </c>
      <c r="AJ143" s="132" t="n">
        <f aca="false">F143*O143</f>
        <v>0</v>
      </c>
      <c r="AK143" s="137"/>
      <c r="AL143" s="132" t="n">
        <f aca="false">CHOOSE($G$3,AC143-AD143,AD143-AC143)</f>
        <v>0</v>
      </c>
      <c r="AM143" s="132" t="n">
        <f aca="false">CHOOSE($G$3,AF143-AG143,AG143-AF143)</f>
        <v>0</v>
      </c>
      <c r="AN143" s="132" t="n">
        <f aca="false">CHOOSE($G$3,AI143-AJ143,AJ143-AI143)</f>
        <v>0</v>
      </c>
      <c r="AO143" s="148" t="n">
        <f aca="false">SUM(AL143:AN143)</f>
        <v>0</v>
      </c>
      <c r="AQ143" s="132" t="n">
        <f aca="false">CHOOSE($G$3,AB143-AC143,AC143-AB143)</f>
        <v>0</v>
      </c>
      <c r="AR143" s="132" t="n">
        <f aca="false">CHOOSE($G$3,AE143-AF143,AF143-AE143)</f>
        <v>0</v>
      </c>
      <c r="AS143" s="132" t="n">
        <f aca="false">CHOOSE($G$3,AH143-AI143,AI143-AH143)</f>
        <v>0</v>
      </c>
      <c r="AT143" s="148" t="n">
        <f aca="false">AQ143+AR143+AS143</f>
        <v>0</v>
      </c>
      <c r="AU143" s="148"/>
      <c r="AV143" s="133" t="n">
        <f aca="false">AT143+AO143</f>
        <v>0</v>
      </c>
      <c r="AX143" s="133" t="n">
        <f aca="false">AJ143+AG143+AD143</f>
        <v>0</v>
      </c>
      <c r="AY143" s="149"/>
      <c r="AZ143" s="76" t="n">
        <f aca="false">R143*E143</f>
        <v>0</v>
      </c>
    </row>
    <row r="144" customFormat="false" ht="12.75" hidden="false" customHeight="false" outlineLevel="0" collapsed="false">
      <c r="A144" s="138" t="n">
        <f aca="false">EDATE(A143,1)</f>
        <v>41061</v>
      </c>
      <c r="B144" s="139" t="n">
        <f aca="false">VLOOKUP($A144,Table2,MATCH(I$3,Curves2,0))</f>
        <v>0</v>
      </c>
      <c r="C144" s="140"/>
      <c r="D144" s="141" t="n">
        <f aca="false">B144+C144</f>
        <v>0</v>
      </c>
      <c r="E144" s="126" t="n">
        <f aca="false">IF(Y144=0,0,IF(AND(Y144=1,$H$3=1),D144*T144,IF($H$3=2,D144,"N/A")))</f>
        <v>0</v>
      </c>
      <c r="F144" s="126" t="n">
        <f aca="false">E144*X144</f>
        <v>0</v>
      </c>
      <c r="G144" s="142" t="n">
        <f aca="false">VLOOKUP($A144,Table,MATCH(G$4,Curves,0))</f>
        <v>3.987</v>
      </c>
      <c r="H144" s="143" t="n">
        <f aca="false">G144</f>
        <v>3.987</v>
      </c>
      <c r="I144" s="142" t="n">
        <f aca="false">VLOOKUP($A144,Table1,MATCH(I$3,Curves1,0))</f>
        <v>0</v>
      </c>
      <c r="J144" s="142" t="n">
        <f aca="false">VLOOKUP($A144,Table,MATCH(J$4,Curves,0))</f>
        <v>-0.0305</v>
      </c>
      <c r="K144" s="143" t="n">
        <f aca="false">J144</f>
        <v>-0.0305</v>
      </c>
      <c r="L144" s="144" t="n">
        <v>0</v>
      </c>
      <c r="M144" s="142" t="n">
        <f aca="false">VLOOKUP($A144,Table,MATCH(M$4,Curves,0))</f>
        <v>0.0087</v>
      </c>
      <c r="N144" s="143" t="n">
        <f aca="false">M144</f>
        <v>0.0087</v>
      </c>
      <c r="O144" s="144" t="n">
        <v>0</v>
      </c>
      <c r="P144" s="145"/>
      <c r="Q144" s="144" t="n">
        <f aca="false">M144+J144+G144</f>
        <v>3.9652</v>
      </c>
      <c r="R144" s="144" t="n">
        <f aca="false">O144+L144+I144</f>
        <v>0</v>
      </c>
      <c r="S144" s="145"/>
      <c r="T144" s="71" t="n">
        <f aca="false">A145-A144</f>
        <v>30</v>
      </c>
      <c r="U144" s="146" t="n">
        <f aca="false">CHOOSE(F$3,A145+24,A144)</f>
        <v>41115</v>
      </c>
      <c r="V144" s="71" t="n">
        <f aca="false">U144-C$3</f>
        <v>4227</v>
      </c>
      <c r="W144" s="142" t="n">
        <f aca="false">VLOOKUP($A144,Table,MATCH(W$4,Curves,0))</f>
        <v>0.058966861357273</v>
      </c>
      <c r="X144" s="147" t="n">
        <f aca="false">1/(1+CHOOSE(F$3,(W145+($K$3/10000))/2,(W144+($K$3/10000))/2))^(2*V144/365.25)</f>
        <v>0.510404988464875</v>
      </c>
      <c r="Y144" s="71" t="n">
        <f aca="false">IF(AND(mthbeg&lt;=A144,mthend&gt;=A144),1,0)</f>
        <v>0</v>
      </c>
      <c r="Z144" s="71" t="n">
        <f aca="false">T144*Y144</f>
        <v>0</v>
      </c>
      <c r="AB144" s="132" t="n">
        <f aca="false">F144*G144</f>
        <v>0</v>
      </c>
      <c r="AC144" s="132" t="n">
        <f aca="false">$F144*H144</f>
        <v>0</v>
      </c>
      <c r="AD144" s="132" t="n">
        <f aca="false">$F144*I144</f>
        <v>0</v>
      </c>
      <c r="AE144" s="132" t="n">
        <f aca="false">$F144*J144</f>
        <v>-0</v>
      </c>
      <c r="AF144" s="132" t="n">
        <f aca="false">$F144*K144</f>
        <v>-0</v>
      </c>
      <c r="AG144" s="132" t="n">
        <f aca="false">$F144*L144</f>
        <v>0</v>
      </c>
      <c r="AH144" s="132" t="n">
        <f aca="false">$F144*M144</f>
        <v>0</v>
      </c>
      <c r="AI144" s="132" t="n">
        <f aca="false">$F144*N144</f>
        <v>0</v>
      </c>
      <c r="AJ144" s="132" t="n">
        <f aca="false">F144*O144</f>
        <v>0</v>
      </c>
      <c r="AK144" s="137"/>
      <c r="AL144" s="132" t="n">
        <f aca="false">CHOOSE($G$3,AC144-AD144,AD144-AC144)</f>
        <v>0</v>
      </c>
      <c r="AM144" s="132" t="n">
        <f aca="false">CHOOSE($G$3,AF144-AG144,AG144-AF144)</f>
        <v>0</v>
      </c>
      <c r="AN144" s="132" t="n">
        <f aca="false">CHOOSE($G$3,AI144-AJ144,AJ144-AI144)</f>
        <v>0</v>
      </c>
      <c r="AO144" s="148" t="n">
        <f aca="false">SUM(AL144:AN144)</f>
        <v>0</v>
      </c>
      <c r="AQ144" s="132" t="n">
        <f aca="false">CHOOSE($G$3,AB144-AC144,AC144-AB144)</f>
        <v>0</v>
      </c>
      <c r="AR144" s="132" t="n">
        <f aca="false">CHOOSE($G$3,AE144-AF144,AF144-AE144)</f>
        <v>0</v>
      </c>
      <c r="AS144" s="132" t="n">
        <f aca="false">CHOOSE($G$3,AH144-AI144,AI144-AH144)</f>
        <v>0</v>
      </c>
      <c r="AT144" s="148" t="n">
        <f aca="false">AQ144+AR144+AS144</f>
        <v>0</v>
      </c>
      <c r="AU144" s="148"/>
      <c r="AV144" s="133" t="n">
        <f aca="false">AT144+AO144</f>
        <v>0</v>
      </c>
      <c r="AX144" s="133" t="n">
        <f aca="false">AJ144+AG144+AD144</f>
        <v>0</v>
      </c>
      <c r="AY144" s="149"/>
      <c r="AZ144" s="76" t="n">
        <f aca="false">R144*E144</f>
        <v>0</v>
      </c>
    </row>
    <row r="145" customFormat="false" ht="12.75" hidden="false" customHeight="false" outlineLevel="0" collapsed="false">
      <c r="A145" s="138" t="n">
        <f aca="false">EDATE(A144,1)</f>
        <v>41091</v>
      </c>
      <c r="B145" s="139" t="n">
        <f aca="false">VLOOKUP($A145,Table2,MATCH(I$3,Curves2,0))</f>
        <v>0</v>
      </c>
      <c r="C145" s="140"/>
      <c r="D145" s="141" t="n">
        <f aca="false">B145+C145</f>
        <v>0</v>
      </c>
      <c r="E145" s="126" t="n">
        <f aca="false">IF(Y145=0,0,IF(AND(Y145=1,$H$3=1),D145*T145,IF($H$3=2,D145,"N/A")))</f>
        <v>0</v>
      </c>
      <c r="F145" s="126" t="n">
        <f aca="false">E145*X145</f>
        <v>0</v>
      </c>
      <c r="G145" s="142" t="n">
        <f aca="false">VLOOKUP($A145,Table,MATCH(G$4,Curves,0))</f>
        <v>3.987</v>
      </c>
      <c r="H145" s="143" t="n">
        <f aca="false">G145</f>
        <v>3.987</v>
      </c>
      <c r="I145" s="142" t="n">
        <f aca="false">VLOOKUP($A145,Table1,MATCH(I$3,Curves1,0))</f>
        <v>0</v>
      </c>
      <c r="J145" s="142" t="n">
        <f aca="false">VLOOKUP($A145,Table,MATCH(J$4,Curves,0))</f>
        <v>-0.0305</v>
      </c>
      <c r="K145" s="143" t="n">
        <f aca="false">J145</f>
        <v>-0.0305</v>
      </c>
      <c r="L145" s="144" t="n">
        <v>0</v>
      </c>
      <c r="M145" s="142" t="n">
        <f aca="false">VLOOKUP($A145,Table,MATCH(M$4,Curves,0))</f>
        <v>0.0087</v>
      </c>
      <c r="N145" s="143" t="n">
        <f aca="false">M145</f>
        <v>0.0087</v>
      </c>
      <c r="O145" s="144" t="n">
        <v>0</v>
      </c>
      <c r="P145" s="145"/>
      <c r="Q145" s="144" t="n">
        <f aca="false">M145+J145+G145</f>
        <v>3.9652</v>
      </c>
      <c r="R145" s="144" t="n">
        <f aca="false">O145+L145+I145</f>
        <v>0</v>
      </c>
      <c r="S145" s="145"/>
      <c r="T145" s="71" t="n">
        <f aca="false">A146-A145</f>
        <v>31</v>
      </c>
      <c r="U145" s="146" t="n">
        <f aca="false">CHOOSE(F$3,A146+24,A145)</f>
        <v>41146</v>
      </c>
      <c r="V145" s="71" t="n">
        <f aca="false">U145-C$3</f>
        <v>4258</v>
      </c>
      <c r="W145" s="142" t="n">
        <f aca="false">VLOOKUP($A145,Table,MATCH(W$4,Curves,0))</f>
        <v>0.058966861357273</v>
      </c>
      <c r="X145" s="147" t="n">
        <f aca="false">1/(1+CHOOSE(F$3,(W146+($K$3/10000))/2,(W145+($K$3/10000))/2))^(2*V145/365.25)</f>
        <v>0.507893687143139</v>
      </c>
      <c r="Y145" s="71" t="n">
        <f aca="false">IF(AND(mthbeg&lt;=A145,mthend&gt;=A145),1,0)</f>
        <v>0</v>
      </c>
      <c r="Z145" s="71" t="n">
        <f aca="false">T145*Y145</f>
        <v>0</v>
      </c>
      <c r="AB145" s="132" t="n">
        <f aca="false">F145*G145</f>
        <v>0</v>
      </c>
      <c r="AC145" s="132" t="n">
        <f aca="false">$F145*H145</f>
        <v>0</v>
      </c>
      <c r="AD145" s="132" t="n">
        <f aca="false">$F145*I145</f>
        <v>0</v>
      </c>
      <c r="AE145" s="132" t="n">
        <f aca="false">$F145*J145</f>
        <v>-0</v>
      </c>
      <c r="AF145" s="132" t="n">
        <f aca="false">$F145*K145</f>
        <v>-0</v>
      </c>
      <c r="AG145" s="132" t="n">
        <f aca="false">$F145*L145</f>
        <v>0</v>
      </c>
      <c r="AH145" s="132" t="n">
        <f aca="false">$F145*M145</f>
        <v>0</v>
      </c>
      <c r="AI145" s="132" t="n">
        <f aca="false">$F145*N145</f>
        <v>0</v>
      </c>
      <c r="AJ145" s="132" t="n">
        <f aca="false">F145*O145</f>
        <v>0</v>
      </c>
      <c r="AK145" s="137"/>
      <c r="AL145" s="132" t="n">
        <f aca="false">CHOOSE($G$3,AC145-AD145,AD145-AC145)</f>
        <v>0</v>
      </c>
      <c r="AM145" s="132" t="n">
        <f aca="false">CHOOSE($G$3,AF145-AG145,AG145-AF145)</f>
        <v>0</v>
      </c>
      <c r="AN145" s="132" t="n">
        <f aca="false">CHOOSE($G$3,AI145-AJ145,AJ145-AI145)</f>
        <v>0</v>
      </c>
      <c r="AO145" s="148" t="n">
        <f aca="false">SUM(AL145:AN145)</f>
        <v>0</v>
      </c>
      <c r="AQ145" s="132" t="n">
        <f aca="false">CHOOSE($G$3,AB145-AC145,AC145-AB145)</f>
        <v>0</v>
      </c>
      <c r="AR145" s="132" t="n">
        <f aca="false">CHOOSE($G$3,AE145-AF145,AF145-AE145)</f>
        <v>0</v>
      </c>
      <c r="AS145" s="132" t="n">
        <f aca="false">CHOOSE($G$3,AH145-AI145,AI145-AH145)</f>
        <v>0</v>
      </c>
      <c r="AT145" s="148" t="n">
        <f aca="false">AQ145+AR145+AS145</f>
        <v>0</v>
      </c>
      <c r="AU145" s="148"/>
      <c r="AV145" s="133" t="n">
        <f aca="false">AT145+AO145</f>
        <v>0</v>
      </c>
      <c r="AX145" s="133" t="n">
        <f aca="false">AJ145+AG145+AD145</f>
        <v>0</v>
      </c>
      <c r="AY145" s="149"/>
      <c r="AZ145" s="76" t="n">
        <f aca="false">R145*E145</f>
        <v>0</v>
      </c>
    </row>
    <row r="146" customFormat="false" ht="12.75" hidden="false" customHeight="false" outlineLevel="0" collapsed="false">
      <c r="A146" s="138" t="n">
        <f aca="false">EDATE(A145,1)</f>
        <v>41122</v>
      </c>
      <c r="B146" s="139" t="n">
        <f aca="false">VLOOKUP($A146,Table2,MATCH(I$3,Curves2,0))</f>
        <v>0</v>
      </c>
      <c r="C146" s="140"/>
      <c r="D146" s="141" t="n">
        <f aca="false">B146+C146</f>
        <v>0</v>
      </c>
      <c r="E146" s="126" t="n">
        <f aca="false">IF(Y146=0,0,IF(AND(Y146=1,$H$3=1),D146*T146,IF($H$3=2,D146,"N/A")))</f>
        <v>0</v>
      </c>
      <c r="F146" s="126" t="n">
        <f aca="false">E146*X146</f>
        <v>0</v>
      </c>
      <c r="G146" s="142" t="n">
        <f aca="false">VLOOKUP($A146,Table,MATCH(G$4,Curves,0))</f>
        <v>3.987</v>
      </c>
      <c r="H146" s="143" t="n">
        <f aca="false">G146</f>
        <v>3.987</v>
      </c>
      <c r="I146" s="142" t="n">
        <f aca="false">VLOOKUP($A146,Table1,MATCH(I$3,Curves1,0))</f>
        <v>0</v>
      </c>
      <c r="J146" s="142" t="n">
        <f aca="false">VLOOKUP($A146,Table,MATCH(J$4,Curves,0))</f>
        <v>-0.0305</v>
      </c>
      <c r="K146" s="143" t="n">
        <f aca="false">J146</f>
        <v>-0.0305</v>
      </c>
      <c r="L146" s="144" t="n">
        <v>0</v>
      </c>
      <c r="M146" s="142" t="n">
        <f aca="false">VLOOKUP($A146,Table,MATCH(M$4,Curves,0))</f>
        <v>0.0087</v>
      </c>
      <c r="N146" s="143" t="n">
        <f aca="false">M146</f>
        <v>0.0087</v>
      </c>
      <c r="O146" s="144" t="n">
        <v>0</v>
      </c>
      <c r="P146" s="145"/>
      <c r="Q146" s="144" t="n">
        <f aca="false">M146+J146+G146</f>
        <v>3.9652</v>
      </c>
      <c r="R146" s="144" t="n">
        <f aca="false">O146+L146+I146</f>
        <v>0</v>
      </c>
      <c r="S146" s="145"/>
      <c r="T146" s="71" t="n">
        <f aca="false">A147-A146</f>
        <v>31</v>
      </c>
      <c r="U146" s="146" t="n">
        <f aca="false">CHOOSE(F$3,A147+24,A146)</f>
        <v>41177</v>
      </c>
      <c r="V146" s="71" t="n">
        <f aca="false">U146-C$3</f>
        <v>4289</v>
      </c>
      <c r="W146" s="142" t="n">
        <f aca="false">VLOOKUP($A146,Table,MATCH(W$4,Curves,0))</f>
        <v>0.058966861357273</v>
      </c>
      <c r="X146" s="147" t="n">
        <f aca="false">1/(1+CHOOSE(F$3,(W147+($K$3/10000))/2,(W146+($K$3/10000))/2))^(2*V146/365.25)</f>
        <v>0.50539474195912</v>
      </c>
      <c r="Y146" s="71" t="n">
        <f aca="false">IF(AND(mthbeg&lt;=A146,mthend&gt;=A146),1,0)</f>
        <v>0</v>
      </c>
      <c r="Z146" s="71" t="n">
        <f aca="false">T146*Y146</f>
        <v>0</v>
      </c>
      <c r="AB146" s="132" t="n">
        <f aca="false">F146*G146</f>
        <v>0</v>
      </c>
      <c r="AC146" s="132" t="n">
        <f aca="false">$F146*H146</f>
        <v>0</v>
      </c>
      <c r="AD146" s="132" t="n">
        <f aca="false">$F146*I146</f>
        <v>0</v>
      </c>
      <c r="AE146" s="132" t="n">
        <f aca="false">$F146*J146</f>
        <v>-0</v>
      </c>
      <c r="AF146" s="132" t="n">
        <f aca="false">$F146*K146</f>
        <v>-0</v>
      </c>
      <c r="AG146" s="132" t="n">
        <f aca="false">$F146*L146</f>
        <v>0</v>
      </c>
      <c r="AH146" s="132" t="n">
        <f aca="false">$F146*M146</f>
        <v>0</v>
      </c>
      <c r="AI146" s="132" t="n">
        <f aca="false">$F146*N146</f>
        <v>0</v>
      </c>
      <c r="AJ146" s="132" t="n">
        <f aca="false">F146*O146</f>
        <v>0</v>
      </c>
      <c r="AK146" s="137"/>
      <c r="AL146" s="132" t="n">
        <f aca="false">CHOOSE($G$3,AC146-AD146,AD146-AC146)</f>
        <v>0</v>
      </c>
      <c r="AM146" s="132" t="n">
        <f aca="false">CHOOSE($G$3,AF146-AG146,AG146-AF146)</f>
        <v>0</v>
      </c>
      <c r="AN146" s="132" t="n">
        <f aca="false">CHOOSE($G$3,AI146-AJ146,AJ146-AI146)</f>
        <v>0</v>
      </c>
      <c r="AO146" s="148" t="n">
        <f aca="false">SUM(AL146:AN146)</f>
        <v>0</v>
      </c>
      <c r="AQ146" s="132" t="n">
        <f aca="false">CHOOSE($G$3,AB146-AC146,AC146-AB146)</f>
        <v>0</v>
      </c>
      <c r="AR146" s="132" t="n">
        <f aca="false">CHOOSE($G$3,AE146-AF146,AF146-AE146)</f>
        <v>0</v>
      </c>
      <c r="AS146" s="132" t="n">
        <f aca="false">CHOOSE($G$3,AH146-AI146,AI146-AH146)</f>
        <v>0</v>
      </c>
      <c r="AT146" s="148" t="n">
        <f aca="false">AQ146+AR146+AS146</f>
        <v>0</v>
      </c>
      <c r="AU146" s="148"/>
      <c r="AV146" s="133" t="n">
        <f aca="false">AT146+AO146</f>
        <v>0</v>
      </c>
      <c r="AX146" s="133" t="n">
        <f aca="false">AJ146+AG146+AD146</f>
        <v>0</v>
      </c>
      <c r="AY146" s="149"/>
      <c r="AZ146" s="76" t="n">
        <f aca="false">R146*E146</f>
        <v>0</v>
      </c>
    </row>
    <row r="147" customFormat="false" ht="12.75" hidden="false" customHeight="false" outlineLevel="0" collapsed="false">
      <c r="A147" s="138" t="n">
        <f aca="false">EDATE(A146,1)</f>
        <v>41153</v>
      </c>
      <c r="B147" s="139" t="n">
        <f aca="false">VLOOKUP($A147,Table2,MATCH(I$3,Curves2,0))</f>
        <v>0</v>
      </c>
      <c r="C147" s="140"/>
      <c r="D147" s="141" t="n">
        <f aca="false">B147+C147</f>
        <v>0</v>
      </c>
      <c r="E147" s="126" t="n">
        <f aca="false">IF(Y147=0,0,IF(AND(Y147=1,$H$3=1),D147*T147,IF($H$3=2,D147,"N/A")))</f>
        <v>0</v>
      </c>
      <c r="F147" s="126" t="n">
        <f aca="false">E147*X147</f>
        <v>0</v>
      </c>
      <c r="G147" s="142" t="n">
        <f aca="false">VLOOKUP($A147,Table,MATCH(G$4,Curves,0))</f>
        <v>3.987</v>
      </c>
      <c r="H147" s="143" t="n">
        <f aca="false">G147</f>
        <v>3.987</v>
      </c>
      <c r="I147" s="142" t="n">
        <f aca="false">VLOOKUP($A147,Table1,MATCH(I$3,Curves1,0))</f>
        <v>0</v>
      </c>
      <c r="J147" s="142" t="n">
        <f aca="false">VLOOKUP($A147,Table,MATCH(J$4,Curves,0))</f>
        <v>-0.0305</v>
      </c>
      <c r="K147" s="143" t="n">
        <f aca="false">J147</f>
        <v>-0.0305</v>
      </c>
      <c r="L147" s="144" t="n">
        <v>0</v>
      </c>
      <c r="M147" s="142" t="n">
        <f aca="false">VLOOKUP($A147,Table,MATCH(M$4,Curves,0))</f>
        <v>0.0087</v>
      </c>
      <c r="N147" s="143" t="n">
        <f aca="false">M147</f>
        <v>0.0087</v>
      </c>
      <c r="O147" s="144" t="n">
        <v>0</v>
      </c>
      <c r="P147" s="145"/>
      <c r="Q147" s="144" t="n">
        <f aca="false">M147+J147+G147</f>
        <v>3.9652</v>
      </c>
      <c r="R147" s="144" t="n">
        <f aca="false">O147+L147+I147</f>
        <v>0</v>
      </c>
      <c r="S147" s="145"/>
      <c r="T147" s="71" t="n">
        <f aca="false">A148-A147</f>
        <v>30</v>
      </c>
      <c r="U147" s="146" t="n">
        <f aca="false">CHOOSE(F$3,A148+24,A147)</f>
        <v>41207</v>
      </c>
      <c r="V147" s="71" t="n">
        <f aca="false">U147-C$3</f>
        <v>4319</v>
      </c>
      <c r="W147" s="142" t="n">
        <f aca="false">VLOOKUP($A147,Table,MATCH(W$4,Curves,0))</f>
        <v>0.058966861357273</v>
      </c>
      <c r="X147" s="147" t="n">
        <f aca="false">1/(1+CHOOSE(F$3,(W148+($K$3/10000))/2,(W147+($K$3/10000))/2))^(2*V147/365.25)</f>
        <v>0.502988115334312</v>
      </c>
      <c r="Y147" s="71" t="n">
        <f aca="false">IF(AND(mthbeg&lt;=A147,mthend&gt;=A147),1,0)</f>
        <v>0</v>
      </c>
      <c r="Z147" s="71" t="n">
        <f aca="false">T147*Y147</f>
        <v>0</v>
      </c>
      <c r="AB147" s="132" t="n">
        <f aca="false">F147*G147</f>
        <v>0</v>
      </c>
      <c r="AC147" s="132" t="n">
        <f aca="false">$F147*H147</f>
        <v>0</v>
      </c>
      <c r="AD147" s="132" t="n">
        <f aca="false">$F147*I147</f>
        <v>0</v>
      </c>
      <c r="AE147" s="132" t="n">
        <f aca="false">$F147*J147</f>
        <v>-0</v>
      </c>
      <c r="AF147" s="132" t="n">
        <f aca="false">$F147*K147</f>
        <v>-0</v>
      </c>
      <c r="AG147" s="132" t="n">
        <f aca="false">$F147*L147</f>
        <v>0</v>
      </c>
      <c r="AH147" s="132" t="n">
        <f aca="false">$F147*M147</f>
        <v>0</v>
      </c>
      <c r="AI147" s="132" t="n">
        <f aca="false">$F147*N147</f>
        <v>0</v>
      </c>
      <c r="AJ147" s="132" t="n">
        <f aca="false">F147*O147</f>
        <v>0</v>
      </c>
      <c r="AK147" s="137"/>
      <c r="AL147" s="132" t="n">
        <f aca="false">CHOOSE($G$3,AC147-AD147,AD147-AC147)</f>
        <v>0</v>
      </c>
      <c r="AM147" s="132" t="n">
        <f aca="false">CHOOSE($G$3,AF147-AG147,AG147-AF147)</f>
        <v>0</v>
      </c>
      <c r="AN147" s="132" t="n">
        <f aca="false">CHOOSE($G$3,AI147-AJ147,AJ147-AI147)</f>
        <v>0</v>
      </c>
      <c r="AO147" s="148" t="n">
        <f aca="false">SUM(AL147:AN147)</f>
        <v>0</v>
      </c>
      <c r="AQ147" s="132" t="n">
        <f aca="false">CHOOSE($G$3,AB147-AC147,AC147-AB147)</f>
        <v>0</v>
      </c>
      <c r="AR147" s="132" t="n">
        <f aca="false">CHOOSE($G$3,AE147-AF147,AF147-AE147)</f>
        <v>0</v>
      </c>
      <c r="AS147" s="132" t="n">
        <f aca="false">CHOOSE($G$3,AH147-AI147,AI147-AH147)</f>
        <v>0</v>
      </c>
      <c r="AT147" s="148" t="n">
        <f aca="false">AQ147+AR147+AS147</f>
        <v>0</v>
      </c>
      <c r="AU147" s="148"/>
      <c r="AV147" s="133" t="n">
        <f aca="false">AT147+AO147</f>
        <v>0</v>
      </c>
      <c r="AX147" s="133" t="n">
        <f aca="false">AJ147+AG147+AD147</f>
        <v>0</v>
      </c>
      <c r="AY147" s="149"/>
      <c r="AZ147" s="76" t="n">
        <f aca="false">R147*E147</f>
        <v>0</v>
      </c>
    </row>
    <row r="148" customFormat="false" ht="12.75" hidden="false" customHeight="false" outlineLevel="0" collapsed="false">
      <c r="A148" s="138" t="n">
        <f aca="false">EDATE(A147,1)</f>
        <v>41183</v>
      </c>
      <c r="B148" s="139" t="n">
        <f aca="false">VLOOKUP($A148,Table2,MATCH(I$3,Curves2,0))</f>
        <v>0</v>
      </c>
      <c r="C148" s="140"/>
      <c r="D148" s="141" t="n">
        <f aca="false">B148+C148</f>
        <v>0</v>
      </c>
      <c r="E148" s="126" t="n">
        <f aca="false">IF(Y148=0,0,IF(AND(Y148=1,$H$3=1),D148*T148,IF($H$3=2,D148,"N/A")))</f>
        <v>0</v>
      </c>
      <c r="F148" s="126" t="n">
        <f aca="false">E148*X148</f>
        <v>0</v>
      </c>
      <c r="G148" s="142" t="n">
        <f aca="false">VLOOKUP($A148,Table,MATCH(G$4,Curves,0))</f>
        <v>3.987</v>
      </c>
      <c r="H148" s="143" t="n">
        <f aca="false">G148</f>
        <v>3.987</v>
      </c>
      <c r="I148" s="142" t="n">
        <f aca="false">VLOOKUP($A148,Table1,MATCH(I$3,Curves1,0))</f>
        <v>0</v>
      </c>
      <c r="J148" s="142" t="n">
        <f aca="false">VLOOKUP($A148,Table,MATCH(J$4,Curves,0))</f>
        <v>-0.0305</v>
      </c>
      <c r="K148" s="143" t="n">
        <f aca="false">J148</f>
        <v>-0.0305</v>
      </c>
      <c r="L148" s="144" t="n">
        <v>0</v>
      </c>
      <c r="M148" s="142" t="n">
        <f aca="false">VLOOKUP($A148,Table,MATCH(M$4,Curves,0))</f>
        <v>0.0087</v>
      </c>
      <c r="N148" s="143" t="n">
        <f aca="false">M148</f>
        <v>0.0087</v>
      </c>
      <c r="O148" s="144" t="n">
        <v>0</v>
      </c>
      <c r="P148" s="145"/>
      <c r="Q148" s="144" t="n">
        <f aca="false">M148+J148+G148</f>
        <v>3.9652</v>
      </c>
      <c r="R148" s="144" t="n">
        <f aca="false">O148+L148+I148</f>
        <v>0</v>
      </c>
      <c r="S148" s="145"/>
      <c r="T148" s="71" t="n">
        <f aca="false">A149-A148</f>
        <v>31</v>
      </c>
      <c r="U148" s="146" t="n">
        <f aca="false">CHOOSE(F$3,A149+24,A148)</f>
        <v>41238</v>
      </c>
      <c r="V148" s="71" t="n">
        <f aca="false">U148-C$3</f>
        <v>4350</v>
      </c>
      <c r="W148" s="142" t="n">
        <f aca="false">VLOOKUP($A148,Table,MATCH(W$4,Curves,0))</f>
        <v>0.058966861357273</v>
      </c>
      <c r="X148" s="147" t="n">
        <f aca="false">1/(1+CHOOSE(F$3,(W149+($K$3/10000))/2,(W148+($K$3/10000))/2))^(2*V148/365.25)</f>
        <v>0.500513306609077</v>
      </c>
      <c r="Y148" s="71" t="n">
        <f aca="false">IF(AND(mthbeg&lt;=A148,mthend&gt;=A148),1,0)</f>
        <v>0</v>
      </c>
      <c r="Z148" s="71" t="n">
        <f aca="false">T148*Y148</f>
        <v>0</v>
      </c>
      <c r="AB148" s="132" t="n">
        <f aca="false">F148*G148</f>
        <v>0</v>
      </c>
      <c r="AC148" s="132" t="n">
        <f aca="false">$F148*H148</f>
        <v>0</v>
      </c>
      <c r="AD148" s="132" t="n">
        <f aca="false">$F148*I148</f>
        <v>0</v>
      </c>
      <c r="AE148" s="132" t="n">
        <f aca="false">$F148*J148</f>
        <v>-0</v>
      </c>
      <c r="AF148" s="132" t="n">
        <f aca="false">$F148*K148</f>
        <v>-0</v>
      </c>
      <c r="AG148" s="132" t="n">
        <f aca="false">$F148*L148</f>
        <v>0</v>
      </c>
      <c r="AH148" s="132" t="n">
        <f aca="false">$F148*M148</f>
        <v>0</v>
      </c>
      <c r="AI148" s="132" t="n">
        <f aca="false">$F148*N148</f>
        <v>0</v>
      </c>
      <c r="AJ148" s="132" t="n">
        <f aca="false">F148*O148</f>
        <v>0</v>
      </c>
      <c r="AK148" s="137"/>
      <c r="AL148" s="132" t="n">
        <f aca="false">CHOOSE($G$3,AC148-AD148,AD148-AC148)</f>
        <v>0</v>
      </c>
      <c r="AM148" s="132" t="n">
        <f aca="false">CHOOSE($G$3,AF148-AG148,AG148-AF148)</f>
        <v>0</v>
      </c>
      <c r="AN148" s="132" t="n">
        <f aca="false">CHOOSE($G$3,AI148-AJ148,AJ148-AI148)</f>
        <v>0</v>
      </c>
      <c r="AO148" s="148" t="n">
        <f aca="false">SUM(AL148:AN148)</f>
        <v>0</v>
      </c>
      <c r="AQ148" s="132" t="n">
        <f aca="false">CHOOSE($G$3,AB148-AC148,AC148-AB148)</f>
        <v>0</v>
      </c>
      <c r="AR148" s="132" t="n">
        <f aca="false">CHOOSE($G$3,AE148-AF148,AF148-AE148)</f>
        <v>0</v>
      </c>
      <c r="AS148" s="132" t="n">
        <f aca="false">CHOOSE($G$3,AH148-AI148,AI148-AH148)</f>
        <v>0</v>
      </c>
      <c r="AT148" s="148" t="n">
        <f aca="false">AQ148+AR148+AS148</f>
        <v>0</v>
      </c>
      <c r="AU148" s="148"/>
      <c r="AV148" s="133" t="n">
        <f aca="false">AT148+AO148</f>
        <v>0</v>
      </c>
      <c r="AX148" s="133" t="n">
        <f aca="false">AJ148+AG148+AD148</f>
        <v>0</v>
      </c>
      <c r="AY148" s="149"/>
      <c r="AZ148" s="76" t="n">
        <f aca="false">R148*E148</f>
        <v>0</v>
      </c>
    </row>
    <row r="149" customFormat="false" ht="12.75" hidden="false" customHeight="false" outlineLevel="0" collapsed="false">
      <c r="A149" s="138" t="n">
        <f aca="false">EDATE(A148,1)</f>
        <v>41214</v>
      </c>
      <c r="B149" s="139" t="n">
        <f aca="false">VLOOKUP($A149,Table2,MATCH(I$3,Curves2,0))</f>
        <v>0</v>
      </c>
      <c r="C149" s="140"/>
      <c r="D149" s="141" t="n">
        <f aca="false">B149+C149</f>
        <v>0</v>
      </c>
      <c r="E149" s="126" t="n">
        <f aca="false">IF(Y149=0,0,IF(AND(Y149=1,$H$3=1),D149*T149,IF($H$3=2,D149,"N/A")))</f>
        <v>0</v>
      </c>
      <c r="F149" s="126" t="n">
        <f aca="false">E149*X149</f>
        <v>0</v>
      </c>
      <c r="G149" s="142" t="n">
        <f aca="false">VLOOKUP($A149,Table,MATCH(G$4,Curves,0))</f>
        <v>3.987</v>
      </c>
      <c r="H149" s="143" t="n">
        <f aca="false">G149</f>
        <v>3.987</v>
      </c>
      <c r="I149" s="142" t="n">
        <f aca="false">VLOOKUP($A149,Table1,MATCH(I$3,Curves1,0))</f>
        <v>0</v>
      </c>
      <c r="J149" s="142" t="n">
        <f aca="false">VLOOKUP($A149,Table,MATCH(J$4,Curves,0))</f>
        <v>-0.0305</v>
      </c>
      <c r="K149" s="143" t="n">
        <f aca="false">J149</f>
        <v>-0.0305</v>
      </c>
      <c r="L149" s="144" t="n">
        <v>0</v>
      </c>
      <c r="M149" s="142" t="n">
        <f aca="false">VLOOKUP($A149,Table,MATCH(M$4,Curves,0))</f>
        <v>0.0087</v>
      </c>
      <c r="N149" s="143" t="n">
        <f aca="false">M149</f>
        <v>0.0087</v>
      </c>
      <c r="O149" s="144" t="n">
        <v>0</v>
      </c>
      <c r="P149" s="145"/>
      <c r="Q149" s="144" t="n">
        <f aca="false">M149+J149+G149</f>
        <v>3.9652</v>
      </c>
      <c r="R149" s="144" t="n">
        <f aca="false">O149+L149+I149</f>
        <v>0</v>
      </c>
      <c r="S149" s="145"/>
      <c r="T149" s="71" t="n">
        <f aca="false">A150-A149</f>
        <v>30</v>
      </c>
      <c r="U149" s="146" t="n">
        <f aca="false">CHOOSE(F$3,A150+24,A149)</f>
        <v>41268</v>
      </c>
      <c r="V149" s="71" t="n">
        <f aca="false">U149-C$3</f>
        <v>4380</v>
      </c>
      <c r="W149" s="142" t="n">
        <f aca="false">VLOOKUP($A149,Table,MATCH(W$4,Curves,0))</f>
        <v>0.058966861357273</v>
      </c>
      <c r="X149" s="147" t="n">
        <f aca="false">1/(1+CHOOSE(F$3,(W150+($K$3/10000))/2,(W149+($K$3/10000))/2))^(2*V149/365.25)</f>
        <v>0.498129924769593</v>
      </c>
      <c r="Y149" s="71" t="n">
        <f aca="false">IF(AND(mthbeg&lt;=A149,mthend&gt;=A149),1,0)</f>
        <v>0</v>
      </c>
      <c r="Z149" s="71" t="n">
        <f aca="false">T149*Y149</f>
        <v>0</v>
      </c>
      <c r="AB149" s="132" t="n">
        <f aca="false">F149*G149</f>
        <v>0</v>
      </c>
      <c r="AC149" s="132" t="n">
        <f aca="false">$F149*H149</f>
        <v>0</v>
      </c>
      <c r="AD149" s="132" t="n">
        <f aca="false">$F149*I149</f>
        <v>0</v>
      </c>
      <c r="AE149" s="132" t="n">
        <f aca="false">$F149*J149</f>
        <v>-0</v>
      </c>
      <c r="AF149" s="132" t="n">
        <f aca="false">$F149*K149</f>
        <v>-0</v>
      </c>
      <c r="AG149" s="132" t="n">
        <f aca="false">$F149*L149</f>
        <v>0</v>
      </c>
      <c r="AH149" s="132" t="n">
        <f aca="false">$F149*M149</f>
        <v>0</v>
      </c>
      <c r="AI149" s="132" t="n">
        <f aca="false">$F149*N149</f>
        <v>0</v>
      </c>
      <c r="AJ149" s="132" t="n">
        <f aca="false">F149*O149</f>
        <v>0</v>
      </c>
      <c r="AK149" s="137"/>
      <c r="AL149" s="132" t="n">
        <f aca="false">CHOOSE($G$3,AC149-AD149,AD149-AC149)</f>
        <v>0</v>
      </c>
      <c r="AM149" s="132" t="n">
        <f aca="false">CHOOSE($G$3,AF149-AG149,AG149-AF149)</f>
        <v>0</v>
      </c>
      <c r="AN149" s="132" t="n">
        <f aca="false">CHOOSE($G$3,AI149-AJ149,AJ149-AI149)</f>
        <v>0</v>
      </c>
      <c r="AO149" s="148" t="n">
        <f aca="false">SUM(AL149:AN149)</f>
        <v>0</v>
      </c>
      <c r="AQ149" s="132" t="n">
        <f aca="false">CHOOSE($G$3,AB149-AC149,AC149-AB149)</f>
        <v>0</v>
      </c>
      <c r="AR149" s="132" t="n">
        <f aca="false">CHOOSE($G$3,AE149-AF149,AF149-AE149)</f>
        <v>0</v>
      </c>
      <c r="AS149" s="132" t="n">
        <f aca="false">CHOOSE($G$3,AH149-AI149,AI149-AH149)</f>
        <v>0</v>
      </c>
      <c r="AT149" s="148" t="n">
        <f aca="false">AQ149+AR149+AS149</f>
        <v>0</v>
      </c>
      <c r="AU149" s="148"/>
      <c r="AV149" s="133" t="n">
        <f aca="false">AT149+AO149</f>
        <v>0</v>
      </c>
      <c r="AX149" s="133" t="n">
        <f aca="false">AJ149+AG149+AD149</f>
        <v>0</v>
      </c>
      <c r="AY149" s="149"/>
      <c r="AZ149" s="76" t="n">
        <f aca="false">R149*E149</f>
        <v>0</v>
      </c>
    </row>
    <row r="150" customFormat="false" ht="12.75" hidden="false" customHeight="false" outlineLevel="0" collapsed="false">
      <c r="A150" s="138" t="n">
        <f aca="false">EDATE(A149,1)</f>
        <v>41244</v>
      </c>
      <c r="B150" s="139" t="n">
        <f aca="false">VLOOKUP($A150,Table2,MATCH(I$3,Curves2,0))</f>
        <v>0</v>
      </c>
      <c r="C150" s="140"/>
      <c r="D150" s="141" t="n">
        <f aca="false">B150+C150</f>
        <v>0</v>
      </c>
      <c r="E150" s="126" t="n">
        <f aca="false">IF(Y150=0,0,IF(AND(Y150=1,$H$3=1),D150*T150,IF($H$3=2,D150,"N/A")))</f>
        <v>0</v>
      </c>
      <c r="F150" s="126" t="n">
        <f aca="false">E150*X150</f>
        <v>0</v>
      </c>
      <c r="G150" s="142" t="n">
        <f aca="false">VLOOKUP($A150,Table,MATCH(G$4,Curves,0))</f>
        <v>3.987</v>
      </c>
      <c r="H150" s="143" t="n">
        <f aca="false">G150</f>
        <v>3.987</v>
      </c>
      <c r="I150" s="142" t="n">
        <f aca="false">VLOOKUP($A150,Table1,MATCH(I$3,Curves1,0))</f>
        <v>0</v>
      </c>
      <c r="J150" s="142" t="n">
        <f aca="false">VLOOKUP($A150,Table,MATCH(J$4,Curves,0))</f>
        <v>-0.0305</v>
      </c>
      <c r="K150" s="143" t="n">
        <f aca="false">J150</f>
        <v>-0.0305</v>
      </c>
      <c r="L150" s="144" t="n">
        <v>0</v>
      </c>
      <c r="M150" s="142" t="n">
        <f aca="false">VLOOKUP($A150,Table,MATCH(M$4,Curves,0))</f>
        <v>0.0087</v>
      </c>
      <c r="N150" s="143" t="n">
        <f aca="false">M150</f>
        <v>0.0087</v>
      </c>
      <c r="O150" s="144" t="n">
        <v>0</v>
      </c>
      <c r="P150" s="145"/>
      <c r="Q150" s="144" t="n">
        <f aca="false">M150+J150+G150</f>
        <v>3.9652</v>
      </c>
      <c r="R150" s="144" t="n">
        <f aca="false">O150+L150+I150</f>
        <v>0</v>
      </c>
      <c r="S150" s="145"/>
      <c r="T150" s="71" t="n">
        <f aca="false">A151-A150</f>
        <v>31</v>
      </c>
      <c r="U150" s="146" t="n">
        <f aca="false">CHOOSE(F$3,A151+24,A150)</f>
        <v>41299</v>
      </c>
      <c r="V150" s="71" t="n">
        <f aca="false">U150-C$3</f>
        <v>4411</v>
      </c>
      <c r="W150" s="142" t="n">
        <f aca="false">VLOOKUP($A150,Table,MATCH(W$4,Curves,0))</f>
        <v>0.058966861357273</v>
      </c>
      <c r="X150" s="147" t="n">
        <f aca="false">1/(1+CHOOSE(F$3,(W151+($K$3/10000))/2,(W150+($K$3/10000))/2))^(2*V150/365.25)</f>
        <v>0.495679019377323</v>
      </c>
      <c r="Y150" s="71" t="n">
        <f aca="false">IF(AND(mthbeg&lt;=A150,mthend&gt;=A150),1,0)</f>
        <v>0</v>
      </c>
      <c r="Z150" s="71" t="n">
        <f aca="false">T150*Y150</f>
        <v>0</v>
      </c>
      <c r="AB150" s="132" t="n">
        <f aca="false">F150*G150</f>
        <v>0</v>
      </c>
      <c r="AC150" s="132" t="n">
        <f aca="false">$F150*H150</f>
        <v>0</v>
      </c>
      <c r="AD150" s="132" t="n">
        <f aca="false">$F150*I150</f>
        <v>0</v>
      </c>
      <c r="AE150" s="132" t="n">
        <f aca="false">$F150*J150</f>
        <v>-0</v>
      </c>
      <c r="AF150" s="132" t="n">
        <f aca="false">$F150*K150</f>
        <v>-0</v>
      </c>
      <c r="AG150" s="132" t="n">
        <f aca="false">$F150*L150</f>
        <v>0</v>
      </c>
      <c r="AH150" s="132" t="n">
        <f aca="false">$F150*M150</f>
        <v>0</v>
      </c>
      <c r="AI150" s="132" t="n">
        <f aca="false">$F150*N150</f>
        <v>0</v>
      </c>
      <c r="AJ150" s="132" t="n">
        <f aca="false">F150*O150</f>
        <v>0</v>
      </c>
      <c r="AK150" s="137"/>
      <c r="AL150" s="132" t="n">
        <f aca="false">CHOOSE($G$3,AC150-AD150,AD150-AC150)</f>
        <v>0</v>
      </c>
      <c r="AM150" s="132" t="n">
        <f aca="false">CHOOSE($G$3,AF150-AG150,AG150-AF150)</f>
        <v>0</v>
      </c>
      <c r="AN150" s="132" t="n">
        <f aca="false">CHOOSE($G$3,AI150-AJ150,AJ150-AI150)</f>
        <v>0</v>
      </c>
      <c r="AO150" s="148" t="n">
        <f aca="false">SUM(AL150:AN150)</f>
        <v>0</v>
      </c>
      <c r="AQ150" s="132" t="n">
        <f aca="false">CHOOSE($G$3,AB150-AC150,AC150-AB150)</f>
        <v>0</v>
      </c>
      <c r="AR150" s="132" t="n">
        <f aca="false">CHOOSE($G$3,AE150-AF150,AF150-AE150)</f>
        <v>0</v>
      </c>
      <c r="AS150" s="132" t="n">
        <f aca="false">CHOOSE($G$3,AH150-AI150,AI150-AH150)</f>
        <v>0</v>
      </c>
      <c r="AT150" s="148" t="n">
        <f aca="false">AQ150+AR150+AS150</f>
        <v>0</v>
      </c>
      <c r="AU150" s="148"/>
      <c r="AV150" s="133" t="n">
        <f aca="false">AT150+AO150</f>
        <v>0</v>
      </c>
      <c r="AX150" s="133" t="n">
        <f aca="false">AJ150+AG150+AD150</f>
        <v>0</v>
      </c>
      <c r="AY150" s="149"/>
      <c r="AZ150" s="76" t="n">
        <f aca="false">R150*E150</f>
        <v>0</v>
      </c>
    </row>
    <row r="151" customFormat="false" ht="12.75" hidden="false" customHeight="false" outlineLevel="0" collapsed="false">
      <c r="A151" s="138" t="n">
        <f aca="false">EDATE(A150,1)</f>
        <v>41275</v>
      </c>
      <c r="B151" s="139" t="n">
        <f aca="false">VLOOKUP($A151,Table2,MATCH(I$3,Curves2,0))</f>
        <v>0</v>
      </c>
      <c r="C151" s="140"/>
      <c r="D151" s="141" t="n">
        <f aca="false">B151+C151</f>
        <v>0</v>
      </c>
      <c r="E151" s="126" t="n">
        <f aca="false">IF(Y151=0,0,IF(AND(Y151=1,$H$3=1),D151*T151,IF($H$3=2,D151,"N/A")))</f>
        <v>0</v>
      </c>
      <c r="F151" s="126" t="n">
        <f aca="false">E151*X151</f>
        <v>0</v>
      </c>
      <c r="G151" s="142" t="n">
        <f aca="false">VLOOKUP($A151,Table,MATCH(G$4,Curves,0))</f>
        <v>3.987</v>
      </c>
      <c r="H151" s="143" t="n">
        <f aca="false">G151</f>
        <v>3.987</v>
      </c>
      <c r="I151" s="142" t="n">
        <f aca="false">VLOOKUP($A151,Table1,MATCH(I$3,Curves1,0))</f>
        <v>0</v>
      </c>
      <c r="J151" s="142" t="n">
        <f aca="false">VLOOKUP($A151,Table,MATCH(J$4,Curves,0))</f>
        <v>-0.0305</v>
      </c>
      <c r="K151" s="143" t="n">
        <f aca="false">J151</f>
        <v>-0.0305</v>
      </c>
      <c r="L151" s="144" t="n">
        <v>0</v>
      </c>
      <c r="M151" s="142" t="n">
        <f aca="false">VLOOKUP($A151,Table,MATCH(M$4,Curves,0))</f>
        <v>0.0087</v>
      </c>
      <c r="N151" s="143" t="n">
        <f aca="false">M151</f>
        <v>0.0087</v>
      </c>
      <c r="O151" s="144" t="n">
        <v>0</v>
      </c>
      <c r="P151" s="145"/>
      <c r="Q151" s="144" t="n">
        <f aca="false">M151+J151+G151</f>
        <v>3.9652</v>
      </c>
      <c r="R151" s="144" t="n">
        <f aca="false">O151+L151+I151</f>
        <v>0</v>
      </c>
      <c r="S151" s="145"/>
      <c r="T151" s="71" t="n">
        <f aca="false">A152-A151</f>
        <v>31</v>
      </c>
      <c r="U151" s="146" t="n">
        <f aca="false">CHOOSE(F$3,A152+24,A151)</f>
        <v>41330</v>
      </c>
      <c r="V151" s="71" t="n">
        <f aca="false">U151-C$3</f>
        <v>4442</v>
      </c>
      <c r="W151" s="142" t="n">
        <f aca="false">VLOOKUP($A151,Table,MATCH(W$4,Curves,0))</f>
        <v>0.058966861357273</v>
      </c>
      <c r="X151" s="147" t="n">
        <f aca="false">1/(1+CHOOSE(F$3,(W152+($K$3/10000))/2,(W151+($K$3/10000))/2))^(2*V151/365.25)</f>
        <v>0.493240172961925</v>
      </c>
      <c r="Y151" s="71" t="n">
        <f aca="false">IF(AND(mthbeg&lt;=A151,mthend&gt;=A151),1,0)</f>
        <v>0</v>
      </c>
      <c r="Z151" s="71" t="n">
        <f aca="false">T151*Y151</f>
        <v>0</v>
      </c>
      <c r="AB151" s="132" t="n">
        <f aca="false">F151*G151</f>
        <v>0</v>
      </c>
      <c r="AC151" s="132" t="n">
        <f aca="false">$F151*H151</f>
        <v>0</v>
      </c>
      <c r="AD151" s="132" t="n">
        <f aca="false">$F151*I151</f>
        <v>0</v>
      </c>
      <c r="AE151" s="132" t="n">
        <f aca="false">$F151*J151</f>
        <v>-0</v>
      </c>
      <c r="AF151" s="132" t="n">
        <f aca="false">$F151*K151</f>
        <v>-0</v>
      </c>
      <c r="AG151" s="132" t="n">
        <f aca="false">$F151*L151</f>
        <v>0</v>
      </c>
      <c r="AH151" s="132" t="n">
        <f aca="false">$F151*M151</f>
        <v>0</v>
      </c>
      <c r="AI151" s="132" t="n">
        <f aca="false">$F151*N151</f>
        <v>0</v>
      </c>
      <c r="AJ151" s="132" t="n">
        <f aca="false">F151*O151</f>
        <v>0</v>
      </c>
      <c r="AK151" s="137"/>
      <c r="AL151" s="132" t="n">
        <f aca="false">CHOOSE($G$3,AC151-AD151,AD151-AC151)</f>
        <v>0</v>
      </c>
      <c r="AM151" s="132" t="n">
        <f aca="false">CHOOSE($G$3,AF151-AG151,AG151-AF151)</f>
        <v>0</v>
      </c>
      <c r="AN151" s="132" t="n">
        <f aca="false">CHOOSE($G$3,AI151-AJ151,AJ151-AI151)</f>
        <v>0</v>
      </c>
      <c r="AO151" s="148" t="n">
        <f aca="false">SUM(AL151:AN151)</f>
        <v>0</v>
      </c>
      <c r="AQ151" s="132" t="n">
        <f aca="false">CHOOSE($G$3,AB151-AC151,AC151-AB151)</f>
        <v>0</v>
      </c>
      <c r="AR151" s="132" t="n">
        <f aca="false">CHOOSE($G$3,AE151-AF151,AF151-AE151)</f>
        <v>0</v>
      </c>
      <c r="AS151" s="132" t="n">
        <f aca="false">CHOOSE($G$3,AH151-AI151,AI151-AH151)</f>
        <v>0</v>
      </c>
      <c r="AT151" s="148" t="n">
        <f aca="false">AQ151+AR151+AS151</f>
        <v>0</v>
      </c>
      <c r="AU151" s="148"/>
      <c r="AV151" s="133" t="n">
        <f aca="false">AT151+AO151</f>
        <v>0</v>
      </c>
      <c r="AX151" s="133" t="n">
        <f aca="false">AJ151+AG151+AD151</f>
        <v>0</v>
      </c>
      <c r="AY151" s="149"/>
      <c r="AZ151" s="76" t="n">
        <f aca="false">R151*E151</f>
        <v>0</v>
      </c>
    </row>
    <row r="152" customFormat="false" ht="12.75" hidden="false" customHeight="false" outlineLevel="0" collapsed="false">
      <c r="A152" s="138" t="n">
        <f aca="false">EDATE(A151,1)</f>
        <v>41306</v>
      </c>
      <c r="B152" s="139" t="n">
        <f aca="false">VLOOKUP($A152,Table2,MATCH(I$3,Curves2,0))</f>
        <v>0</v>
      </c>
      <c r="C152" s="140"/>
      <c r="D152" s="141" t="n">
        <f aca="false">B152+C152</f>
        <v>0</v>
      </c>
      <c r="E152" s="126" t="n">
        <f aca="false">IF(Y152=0,0,IF(AND(Y152=1,$H$3=1),D152*T152,IF($H$3=2,D152,"N/A")))</f>
        <v>0</v>
      </c>
      <c r="F152" s="126" t="n">
        <f aca="false">E152*X152</f>
        <v>0</v>
      </c>
      <c r="G152" s="142" t="n">
        <f aca="false">VLOOKUP($A152,Table,MATCH(G$4,Curves,0))</f>
        <v>3.987</v>
      </c>
      <c r="H152" s="143" t="n">
        <f aca="false">G152</f>
        <v>3.987</v>
      </c>
      <c r="I152" s="142" t="n">
        <f aca="false">VLOOKUP($A152,Table1,MATCH(I$3,Curves1,0))</f>
        <v>0</v>
      </c>
      <c r="J152" s="142" t="n">
        <f aca="false">VLOOKUP($A152,Table,MATCH(J$4,Curves,0))</f>
        <v>-0.0305</v>
      </c>
      <c r="K152" s="143" t="n">
        <f aca="false">J152</f>
        <v>-0.0305</v>
      </c>
      <c r="L152" s="144" t="n">
        <v>0</v>
      </c>
      <c r="M152" s="142" t="n">
        <f aca="false">VLOOKUP($A152,Table,MATCH(M$4,Curves,0))</f>
        <v>0.0087</v>
      </c>
      <c r="N152" s="143" t="n">
        <f aca="false">M152</f>
        <v>0.0087</v>
      </c>
      <c r="O152" s="144" t="n">
        <v>0</v>
      </c>
      <c r="P152" s="145"/>
      <c r="Q152" s="144" t="n">
        <f aca="false">M152+J152+G152</f>
        <v>3.9652</v>
      </c>
      <c r="R152" s="144" t="n">
        <f aca="false">O152+L152+I152</f>
        <v>0</v>
      </c>
      <c r="S152" s="145"/>
      <c r="T152" s="71" t="n">
        <f aca="false">A153-A152</f>
        <v>28</v>
      </c>
      <c r="U152" s="146" t="n">
        <f aca="false">CHOOSE(F$3,A153+24,A152)</f>
        <v>41358</v>
      </c>
      <c r="V152" s="71" t="n">
        <f aca="false">U152-C$3</f>
        <v>4470</v>
      </c>
      <c r="W152" s="142" t="n">
        <f aca="false">VLOOKUP($A152,Table,MATCH(W$4,Curves,0))</f>
        <v>0.058966861357273</v>
      </c>
      <c r="X152" s="147" t="n">
        <f aca="false">1/(1+CHOOSE(F$3,(W153+($K$3/10000))/2,(W152+($K$3/10000))/2))^(2*V152/365.25)</f>
        <v>0.491047659530883</v>
      </c>
      <c r="Y152" s="71" t="n">
        <f aca="false">IF(AND(mthbeg&lt;=A152,mthend&gt;=A152),1,0)</f>
        <v>0</v>
      </c>
      <c r="Z152" s="71" t="n">
        <f aca="false">T152*Y152</f>
        <v>0</v>
      </c>
      <c r="AB152" s="132" t="n">
        <f aca="false">F152*G152</f>
        <v>0</v>
      </c>
      <c r="AC152" s="132" t="n">
        <f aca="false">$F152*H152</f>
        <v>0</v>
      </c>
      <c r="AD152" s="132" t="n">
        <f aca="false">$F152*I152</f>
        <v>0</v>
      </c>
      <c r="AE152" s="132" t="n">
        <f aca="false">$F152*J152</f>
        <v>-0</v>
      </c>
      <c r="AF152" s="132" t="n">
        <f aca="false">$F152*K152</f>
        <v>-0</v>
      </c>
      <c r="AG152" s="132" t="n">
        <f aca="false">$F152*L152</f>
        <v>0</v>
      </c>
      <c r="AH152" s="132" t="n">
        <f aca="false">$F152*M152</f>
        <v>0</v>
      </c>
      <c r="AI152" s="132" t="n">
        <f aca="false">$F152*N152</f>
        <v>0</v>
      </c>
      <c r="AJ152" s="132" t="n">
        <f aca="false">F152*O152</f>
        <v>0</v>
      </c>
      <c r="AK152" s="137"/>
      <c r="AL152" s="132" t="n">
        <f aca="false">CHOOSE($G$3,AC152-AD152,AD152-AC152)</f>
        <v>0</v>
      </c>
      <c r="AM152" s="132" t="n">
        <f aca="false">CHOOSE($G$3,AF152-AG152,AG152-AF152)</f>
        <v>0</v>
      </c>
      <c r="AN152" s="132" t="n">
        <f aca="false">CHOOSE($G$3,AI152-AJ152,AJ152-AI152)</f>
        <v>0</v>
      </c>
      <c r="AO152" s="148" t="n">
        <f aca="false">SUM(AL152:AN152)</f>
        <v>0</v>
      </c>
      <c r="AQ152" s="132" t="n">
        <f aca="false">CHOOSE($G$3,AB152-AC152,AC152-AB152)</f>
        <v>0</v>
      </c>
      <c r="AR152" s="132" t="n">
        <f aca="false">CHOOSE($G$3,AE152-AF152,AF152-AE152)</f>
        <v>0</v>
      </c>
      <c r="AS152" s="132" t="n">
        <f aca="false">CHOOSE($G$3,AH152-AI152,AI152-AH152)</f>
        <v>0</v>
      </c>
      <c r="AT152" s="148" t="n">
        <f aca="false">AQ152+AR152+AS152</f>
        <v>0</v>
      </c>
      <c r="AU152" s="148"/>
      <c r="AV152" s="133" t="n">
        <f aca="false">AT152+AO152</f>
        <v>0</v>
      </c>
      <c r="AX152" s="133" t="n">
        <f aca="false">AJ152+AG152+AD152</f>
        <v>0</v>
      </c>
      <c r="AY152" s="149"/>
      <c r="AZ152" s="76" t="n">
        <f aca="false">R152*E152</f>
        <v>0</v>
      </c>
    </row>
    <row r="153" customFormat="false" ht="12.75" hidden="false" customHeight="false" outlineLevel="0" collapsed="false">
      <c r="A153" s="138" t="n">
        <f aca="false">EDATE(A152,1)</f>
        <v>41334</v>
      </c>
      <c r="B153" s="139" t="n">
        <f aca="false">VLOOKUP($A153,Table2,MATCH(I$3,Curves2,0))</f>
        <v>0</v>
      </c>
      <c r="C153" s="140"/>
      <c r="D153" s="141" t="n">
        <f aca="false">B153+C153</f>
        <v>0</v>
      </c>
      <c r="E153" s="126" t="n">
        <f aca="false">IF(Y153=0,0,IF(AND(Y153=1,$H$3=1),D153*T153,IF($H$3=2,D153,"N/A")))</f>
        <v>0</v>
      </c>
      <c r="F153" s="126" t="n">
        <f aca="false">E153*X153</f>
        <v>0</v>
      </c>
      <c r="G153" s="142" t="n">
        <f aca="false">VLOOKUP($A153,Table,MATCH(G$4,Curves,0))</f>
        <v>3.987</v>
      </c>
      <c r="H153" s="143" t="n">
        <f aca="false">G153</f>
        <v>3.987</v>
      </c>
      <c r="I153" s="142" t="n">
        <f aca="false">VLOOKUP($A153,Table1,MATCH(I$3,Curves1,0))</f>
        <v>0</v>
      </c>
      <c r="J153" s="142" t="n">
        <f aca="false">VLOOKUP($A153,Table,MATCH(J$4,Curves,0))</f>
        <v>-0.0305</v>
      </c>
      <c r="K153" s="143" t="n">
        <f aca="false">J153</f>
        <v>-0.0305</v>
      </c>
      <c r="L153" s="144" t="n">
        <v>0</v>
      </c>
      <c r="M153" s="142" t="n">
        <f aca="false">VLOOKUP($A153,Table,MATCH(M$4,Curves,0))</f>
        <v>0.0087</v>
      </c>
      <c r="N153" s="143" t="n">
        <f aca="false">M153</f>
        <v>0.0087</v>
      </c>
      <c r="O153" s="144" t="n">
        <v>0</v>
      </c>
      <c r="P153" s="145"/>
      <c r="Q153" s="144" t="n">
        <f aca="false">M153+J153+G153</f>
        <v>3.9652</v>
      </c>
      <c r="R153" s="144" t="n">
        <f aca="false">O153+L153+I153</f>
        <v>0</v>
      </c>
      <c r="S153" s="145"/>
      <c r="T153" s="71" t="n">
        <f aca="false">A154-A153</f>
        <v>31</v>
      </c>
      <c r="U153" s="146" t="n">
        <f aca="false">CHOOSE(F$3,A154+24,A153)</f>
        <v>41389</v>
      </c>
      <c r="V153" s="71" t="n">
        <f aca="false">U153-C$3</f>
        <v>4501</v>
      </c>
      <c r="W153" s="142" t="n">
        <f aca="false">VLOOKUP($A153,Table,MATCH(W$4,Curves,0))</f>
        <v>0.058966861357273</v>
      </c>
      <c r="X153" s="147" t="n">
        <f aca="false">1/(1+CHOOSE(F$3,(W154+($K$3/10000))/2,(W153+($K$3/10000))/2))^(2*V153/365.25)</f>
        <v>0.488631600392974</v>
      </c>
      <c r="Y153" s="71" t="n">
        <f aca="false">IF(AND(mthbeg&lt;=A153,mthend&gt;=A153),1,0)</f>
        <v>0</v>
      </c>
      <c r="Z153" s="71" t="n">
        <f aca="false">T153*Y153</f>
        <v>0</v>
      </c>
      <c r="AB153" s="132" t="n">
        <f aca="false">F153*G153</f>
        <v>0</v>
      </c>
      <c r="AC153" s="132" t="n">
        <f aca="false">$F153*H153</f>
        <v>0</v>
      </c>
      <c r="AD153" s="132" t="n">
        <f aca="false">$F153*I153</f>
        <v>0</v>
      </c>
      <c r="AE153" s="132" t="n">
        <f aca="false">$F153*J153</f>
        <v>-0</v>
      </c>
      <c r="AF153" s="132" t="n">
        <f aca="false">$F153*K153</f>
        <v>-0</v>
      </c>
      <c r="AG153" s="132" t="n">
        <f aca="false">$F153*L153</f>
        <v>0</v>
      </c>
      <c r="AH153" s="132" t="n">
        <f aca="false">$F153*M153</f>
        <v>0</v>
      </c>
      <c r="AI153" s="132" t="n">
        <f aca="false">$F153*N153</f>
        <v>0</v>
      </c>
      <c r="AJ153" s="132" t="n">
        <f aca="false">F153*O153</f>
        <v>0</v>
      </c>
      <c r="AK153" s="137"/>
      <c r="AL153" s="132" t="n">
        <f aca="false">CHOOSE($G$3,AC153-AD153,AD153-AC153)</f>
        <v>0</v>
      </c>
      <c r="AM153" s="132" t="n">
        <f aca="false">CHOOSE($G$3,AF153-AG153,AG153-AF153)</f>
        <v>0</v>
      </c>
      <c r="AN153" s="132" t="n">
        <f aca="false">CHOOSE($G$3,AI153-AJ153,AJ153-AI153)</f>
        <v>0</v>
      </c>
      <c r="AO153" s="148" t="n">
        <f aca="false">SUM(AL153:AN153)</f>
        <v>0</v>
      </c>
      <c r="AQ153" s="132" t="n">
        <f aca="false">CHOOSE($G$3,AB153-AC153,AC153-AB153)</f>
        <v>0</v>
      </c>
      <c r="AR153" s="132" t="n">
        <f aca="false">CHOOSE($G$3,AE153-AF153,AF153-AE153)</f>
        <v>0</v>
      </c>
      <c r="AS153" s="132" t="n">
        <f aca="false">CHOOSE($G$3,AH153-AI153,AI153-AH153)</f>
        <v>0</v>
      </c>
      <c r="AT153" s="148" t="n">
        <f aca="false">AQ153+AR153+AS153</f>
        <v>0</v>
      </c>
      <c r="AU153" s="148"/>
      <c r="AV153" s="133" t="n">
        <f aca="false">AT153+AO153</f>
        <v>0</v>
      </c>
      <c r="AX153" s="133" t="n">
        <f aca="false">AJ153+AG153+AD153</f>
        <v>0</v>
      </c>
      <c r="AY153" s="149"/>
      <c r="AZ153" s="76" t="n">
        <f aca="false">R153*E153</f>
        <v>0</v>
      </c>
    </row>
    <row r="154" customFormat="false" ht="12.75" hidden="false" customHeight="false" outlineLevel="0" collapsed="false">
      <c r="A154" s="138" t="n">
        <f aca="false">EDATE(A153,1)</f>
        <v>41365</v>
      </c>
      <c r="B154" s="139" t="n">
        <f aca="false">VLOOKUP($A154,Table2,MATCH(I$3,Curves2,0))</f>
        <v>0</v>
      </c>
      <c r="C154" s="140"/>
      <c r="D154" s="141" t="n">
        <f aca="false">B154+C154</f>
        <v>0</v>
      </c>
      <c r="E154" s="126" t="n">
        <f aca="false">IF(Y154=0,0,IF(AND(Y154=1,$H$3=1),D154*T154,IF($H$3=2,D154,"N/A")))</f>
        <v>0</v>
      </c>
      <c r="F154" s="126" t="n">
        <f aca="false">E154*X154</f>
        <v>0</v>
      </c>
      <c r="G154" s="142" t="n">
        <f aca="false">VLOOKUP($A154,Table,MATCH(G$4,Curves,0))</f>
        <v>3.987</v>
      </c>
      <c r="H154" s="143" t="n">
        <f aca="false">G154</f>
        <v>3.987</v>
      </c>
      <c r="I154" s="142" t="n">
        <f aca="false">VLOOKUP($A154,Table1,MATCH(I$3,Curves1,0))</f>
        <v>0</v>
      </c>
      <c r="J154" s="142" t="n">
        <f aca="false">VLOOKUP($A154,Table,MATCH(J$4,Curves,0))</f>
        <v>-0.0305</v>
      </c>
      <c r="K154" s="143" t="n">
        <f aca="false">J154</f>
        <v>-0.0305</v>
      </c>
      <c r="L154" s="144" t="n">
        <v>0</v>
      </c>
      <c r="M154" s="142" t="n">
        <f aca="false">VLOOKUP($A154,Table,MATCH(M$4,Curves,0))</f>
        <v>0.0087</v>
      </c>
      <c r="N154" s="143" t="n">
        <f aca="false">M154</f>
        <v>0.0087</v>
      </c>
      <c r="O154" s="144" t="n">
        <v>0</v>
      </c>
      <c r="P154" s="145"/>
      <c r="Q154" s="144" t="n">
        <f aca="false">M154+J154+G154</f>
        <v>3.9652</v>
      </c>
      <c r="R154" s="144" t="n">
        <f aca="false">O154+L154+I154</f>
        <v>0</v>
      </c>
      <c r="S154" s="145"/>
      <c r="T154" s="71" t="n">
        <f aca="false">A155-A154</f>
        <v>30</v>
      </c>
      <c r="U154" s="146" t="n">
        <f aca="false">CHOOSE(F$3,A155+24,A154)</f>
        <v>41419</v>
      </c>
      <c r="V154" s="71" t="n">
        <f aca="false">U154-C$3</f>
        <v>4531</v>
      </c>
      <c r="W154" s="142" t="n">
        <f aca="false">VLOOKUP($A154,Table,MATCH(W$4,Curves,0))</f>
        <v>0.058966861357273</v>
      </c>
      <c r="X154" s="147" t="n">
        <f aca="false">1/(1+CHOOSE(F$3,(W155+($K$3/10000))/2,(W154+($K$3/10000))/2))^(2*V154/365.25)</f>
        <v>0.48630479775417</v>
      </c>
      <c r="Y154" s="71" t="n">
        <f aca="false">IF(AND(mthbeg&lt;=A154,mthend&gt;=A154),1,0)</f>
        <v>0</v>
      </c>
      <c r="Z154" s="71" t="n">
        <f aca="false">T154*Y154</f>
        <v>0</v>
      </c>
      <c r="AB154" s="132" t="n">
        <f aca="false">F154*G154</f>
        <v>0</v>
      </c>
      <c r="AC154" s="132" t="n">
        <f aca="false">$F154*H154</f>
        <v>0</v>
      </c>
      <c r="AD154" s="132" t="n">
        <f aca="false">$F154*I154</f>
        <v>0</v>
      </c>
      <c r="AE154" s="132" t="n">
        <f aca="false">$F154*J154</f>
        <v>-0</v>
      </c>
      <c r="AF154" s="132" t="n">
        <f aca="false">$F154*K154</f>
        <v>-0</v>
      </c>
      <c r="AG154" s="132" t="n">
        <f aca="false">$F154*L154</f>
        <v>0</v>
      </c>
      <c r="AH154" s="132" t="n">
        <f aca="false">$F154*M154</f>
        <v>0</v>
      </c>
      <c r="AI154" s="132" t="n">
        <f aca="false">$F154*N154</f>
        <v>0</v>
      </c>
      <c r="AJ154" s="132" t="n">
        <f aca="false">F154*O154</f>
        <v>0</v>
      </c>
      <c r="AK154" s="137"/>
      <c r="AL154" s="132" t="n">
        <f aca="false">CHOOSE($G$3,AC154-AD154,AD154-AC154)</f>
        <v>0</v>
      </c>
      <c r="AM154" s="132" t="n">
        <f aca="false">CHOOSE($G$3,AF154-AG154,AG154-AF154)</f>
        <v>0</v>
      </c>
      <c r="AN154" s="132" t="n">
        <f aca="false">CHOOSE($G$3,AI154-AJ154,AJ154-AI154)</f>
        <v>0</v>
      </c>
      <c r="AO154" s="148" t="n">
        <f aca="false">SUM(AL154:AN154)</f>
        <v>0</v>
      </c>
      <c r="AQ154" s="132" t="n">
        <f aca="false">CHOOSE($G$3,AB154-AC154,AC154-AB154)</f>
        <v>0</v>
      </c>
      <c r="AR154" s="132" t="n">
        <f aca="false">CHOOSE($G$3,AE154-AF154,AF154-AE154)</f>
        <v>0</v>
      </c>
      <c r="AS154" s="132" t="n">
        <f aca="false">CHOOSE($G$3,AH154-AI154,AI154-AH154)</f>
        <v>0</v>
      </c>
      <c r="AT154" s="148" t="n">
        <f aca="false">AQ154+AR154+AS154</f>
        <v>0</v>
      </c>
      <c r="AU154" s="148"/>
      <c r="AV154" s="133" t="n">
        <f aca="false">AT154+AO154</f>
        <v>0</v>
      </c>
      <c r="AX154" s="133" t="n">
        <f aca="false">AJ154+AG154+AD154</f>
        <v>0</v>
      </c>
      <c r="AY154" s="149"/>
      <c r="AZ154" s="76" t="n">
        <f aca="false">R154*E154</f>
        <v>0</v>
      </c>
    </row>
    <row r="155" customFormat="false" ht="12.75" hidden="false" customHeight="false" outlineLevel="0" collapsed="false">
      <c r="A155" s="138" t="n">
        <f aca="false">EDATE(A154,1)</f>
        <v>41395</v>
      </c>
      <c r="B155" s="139" t="n">
        <f aca="false">VLOOKUP($A155,Table2,MATCH(I$3,Curves2,0))</f>
        <v>0</v>
      </c>
      <c r="C155" s="140"/>
      <c r="D155" s="141" t="n">
        <f aca="false">B155+C155</f>
        <v>0</v>
      </c>
      <c r="E155" s="126" t="n">
        <f aca="false">IF(Y155=0,0,IF(AND(Y155=1,$H$3=1),D155*T155,IF($H$3=2,D155,"N/A")))</f>
        <v>0</v>
      </c>
      <c r="F155" s="126" t="n">
        <f aca="false">E155*X155</f>
        <v>0</v>
      </c>
      <c r="G155" s="142" t="n">
        <f aca="false">VLOOKUP($A155,Table,MATCH(G$4,Curves,0))</f>
        <v>3.987</v>
      </c>
      <c r="H155" s="143" t="n">
        <f aca="false">G155</f>
        <v>3.987</v>
      </c>
      <c r="I155" s="142" t="n">
        <f aca="false">VLOOKUP($A155,Table1,MATCH(I$3,Curves1,0))</f>
        <v>0</v>
      </c>
      <c r="J155" s="142" t="n">
        <f aca="false">VLOOKUP($A155,Table,MATCH(J$4,Curves,0))</f>
        <v>-0.0305</v>
      </c>
      <c r="K155" s="143" t="n">
        <f aca="false">J155</f>
        <v>-0.0305</v>
      </c>
      <c r="L155" s="144" t="n">
        <v>0</v>
      </c>
      <c r="M155" s="142" t="n">
        <f aca="false">VLOOKUP($A155,Table,MATCH(M$4,Curves,0))</f>
        <v>0.0087</v>
      </c>
      <c r="N155" s="143" t="n">
        <f aca="false">M155</f>
        <v>0.0087</v>
      </c>
      <c r="O155" s="144" t="n">
        <v>0</v>
      </c>
      <c r="P155" s="145"/>
      <c r="Q155" s="144" t="n">
        <f aca="false">M155+J155+G155</f>
        <v>3.9652</v>
      </c>
      <c r="R155" s="144" t="n">
        <f aca="false">O155+L155+I155</f>
        <v>0</v>
      </c>
      <c r="S155" s="145"/>
      <c r="T155" s="71" t="n">
        <f aca="false">A156-A155</f>
        <v>31</v>
      </c>
      <c r="U155" s="146" t="n">
        <f aca="false">CHOOSE(F$3,A156+24,A155)</f>
        <v>41450</v>
      </c>
      <c r="V155" s="71" t="n">
        <f aca="false">U155-C$3</f>
        <v>4562</v>
      </c>
      <c r="W155" s="142" t="n">
        <f aca="false">VLOOKUP($A155,Table,MATCH(W$4,Curves,0))</f>
        <v>0.058966861357273</v>
      </c>
      <c r="X155" s="147" t="n">
        <f aca="false">1/(1+CHOOSE(F$3,(W156+($K$3/10000))/2,(W155+($K$3/10000))/2))^(2*V155/365.25)</f>
        <v>0.48391207450701</v>
      </c>
      <c r="Y155" s="71" t="n">
        <f aca="false">IF(AND(mthbeg&lt;=A155,mthend&gt;=A155),1,0)</f>
        <v>0</v>
      </c>
      <c r="Z155" s="71" t="n">
        <f aca="false">T155*Y155</f>
        <v>0</v>
      </c>
      <c r="AB155" s="132" t="n">
        <f aca="false">F155*G155</f>
        <v>0</v>
      </c>
      <c r="AC155" s="132" t="n">
        <f aca="false">$F155*H155</f>
        <v>0</v>
      </c>
      <c r="AD155" s="132" t="n">
        <f aca="false">$F155*I155</f>
        <v>0</v>
      </c>
      <c r="AE155" s="132" t="n">
        <f aca="false">$F155*J155</f>
        <v>-0</v>
      </c>
      <c r="AF155" s="132" t="n">
        <f aca="false">$F155*K155</f>
        <v>-0</v>
      </c>
      <c r="AG155" s="132" t="n">
        <f aca="false">$F155*L155</f>
        <v>0</v>
      </c>
      <c r="AH155" s="132" t="n">
        <f aca="false">$F155*M155</f>
        <v>0</v>
      </c>
      <c r="AI155" s="132" t="n">
        <f aca="false">$F155*N155</f>
        <v>0</v>
      </c>
      <c r="AJ155" s="132" t="n">
        <f aca="false">F155*O155</f>
        <v>0</v>
      </c>
      <c r="AK155" s="137"/>
      <c r="AL155" s="132" t="n">
        <f aca="false">CHOOSE($G$3,AC155-AD155,AD155-AC155)</f>
        <v>0</v>
      </c>
      <c r="AM155" s="132" t="n">
        <f aca="false">CHOOSE($G$3,AF155-AG155,AG155-AF155)</f>
        <v>0</v>
      </c>
      <c r="AN155" s="132" t="n">
        <f aca="false">CHOOSE($G$3,AI155-AJ155,AJ155-AI155)</f>
        <v>0</v>
      </c>
      <c r="AO155" s="148" t="n">
        <f aca="false">SUM(AL155:AN155)</f>
        <v>0</v>
      </c>
      <c r="AQ155" s="132" t="n">
        <f aca="false">CHOOSE($G$3,AB155-AC155,AC155-AB155)</f>
        <v>0</v>
      </c>
      <c r="AR155" s="132" t="n">
        <f aca="false">CHOOSE($G$3,AE155-AF155,AF155-AE155)</f>
        <v>0</v>
      </c>
      <c r="AS155" s="132" t="n">
        <f aca="false">CHOOSE($G$3,AH155-AI155,AI155-AH155)</f>
        <v>0</v>
      </c>
      <c r="AT155" s="148" t="n">
        <f aca="false">AQ155+AR155+AS155</f>
        <v>0</v>
      </c>
      <c r="AU155" s="148"/>
      <c r="AV155" s="133" t="n">
        <f aca="false">AT155+AO155</f>
        <v>0</v>
      </c>
      <c r="AX155" s="133" t="n">
        <f aca="false">AJ155+AG155+AD155</f>
        <v>0</v>
      </c>
      <c r="AY155" s="149"/>
      <c r="AZ155" s="76" t="n">
        <f aca="false">R155*E155</f>
        <v>0</v>
      </c>
    </row>
    <row r="156" customFormat="false" ht="12.75" hidden="false" customHeight="false" outlineLevel="0" collapsed="false">
      <c r="A156" s="138" t="n">
        <f aca="false">EDATE(A155,1)</f>
        <v>41426</v>
      </c>
      <c r="B156" s="139" t="n">
        <f aca="false">VLOOKUP($A156,Table2,MATCH(I$3,Curves2,0))</f>
        <v>0</v>
      </c>
      <c r="C156" s="140"/>
      <c r="D156" s="141" t="n">
        <f aca="false">B156+C156</f>
        <v>0</v>
      </c>
      <c r="E156" s="126" t="n">
        <f aca="false">IF(Y156=0,0,IF(AND(Y156=1,$H$3=1),D156*T156,IF($H$3=2,D156,"N/A")))</f>
        <v>0</v>
      </c>
      <c r="F156" s="126" t="n">
        <f aca="false">E156*X156</f>
        <v>0</v>
      </c>
      <c r="G156" s="142" t="n">
        <f aca="false">VLOOKUP($A156,Table,MATCH(G$4,Curves,0))</f>
        <v>3.987</v>
      </c>
      <c r="H156" s="143" t="n">
        <f aca="false">G156</f>
        <v>3.987</v>
      </c>
      <c r="I156" s="142" t="n">
        <f aca="false">VLOOKUP($A156,Table1,MATCH(I$3,Curves1,0))</f>
        <v>0</v>
      </c>
      <c r="J156" s="142" t="n">
        <f aca="false">VLOOKUP($A156,Table,MATCH(J$4,Curves,0))</f>
        <v>-0.0305</v>
      </c>
      <c r="K156" s="143" t="n">
        <f aca="false">J156</f>
        <v>-0.0305</v>
      </c>
      <c r="L156" s="144" t="n">
        <v>0</v>
      </c>
      <c r="M156" s="142" t="n">
        <f aca="false">VLOOKUP($A156,Table,MATCH(M$4,Curves,0))</f>
        <v>0.0087</v>
      </c>
      <c r="N156" s="143" t="n">
        <f aca="false">M156</f>
        <v>0.0087</v>
      </c>
      <c r="O156" s="144" t="n">
        <v>0</v>
      </c>
      <c r="P156" s="145"/>
      <c r="Q156" s="144" t="n">
        <f aca="false">M156+J156+G156</f>
        <v>3.9652</v>
      </c>
      <c r="R156" s="144" t="n">
        <f aca="false">O156+L156+I156</f>
        <v>0</v>
      </c>
      <c r="S156" s="145"/>
      <c r="T156" s="71" t="n">
        <f aca="false">A157-A156</f>
        <v>30</v>
      </c>
      <c r="U156" s="146" t="n">
        <f aca="false">CHOOSE(F$3,A157+24,A156)</f>
        <v>41480</v>
      </c>
      <c r="V156" s="71" t="n">
        <f aca="false">U156-C$3</f>
        <v>4592</v>
      </c>
      <c r="W156" s="142" t="n">
        <f aca="false">VLOOKUP($A156,Table,MATCH(W$4,Curves,0))</f>
        <v>0.058966861357273</v>
      </c>
      <c r="X156" s="147" t="n">
        <f aca="false">1/(1+CHOOSE(F$3,(W157+($K$3/10000))/2,(W156+($K$3/10000))/2))^(2*V156/365.25)</f>
        <v>0.481607745660888</v>
      </c>
      <c r="Y156" s="71" t="n">
        <f aca="false">IF(AND(mthbeg&lt;=A156,mthend&gt;=A156),1,0)</f>
        <v>0</v>
      </c>
      <c r="Z156" s="71" t="n">
        <f aca="false">T156*Y156</f>
        <v>0</v>
      </c>
      <c r="AB156" s="132" t="n">
        <f aca="false">F156*G156</f>
        <v>0</v>
      </c>
      <c r="AC156" s="132" t="n">
        <f aca="false">$F156*H156</f>
        <v>0</v>
      </c>
      <c r="AD156" s="132" t="n">
        <f aca="false">$F156*I156</f>
        <v>0</v>
      </c>
      <c r="AE156" s="132" t="n">
        <f aca="false">$F156*J156</f>
        <v>-0</v>
      </c>
      <c r="AF156" s="132" t="n">
        <f aca="false">$F156*K156</f>
        <v>-0</v>
      </c>
      <c r="AG156" s="132" t="n">
        <f aca="false">$F156*L156</f>
        <v>0</v>
      </c>
      <c r="AH156" s="132" t="n">
        <f aca="false">$F156*M156</f>
        <v>0</v>
      </c>
      <c r="AI156" s="132" t="n">
        <f aca="false">$F156*N156</f>
        <v>0</v>
      </c>
      <c r="AJ156" s="132" t="n">
        <f aca="false">F156*O156</f>
        <v>0</v>
      </c>
      <c r="AK156" s="137"/>
      <c r="AL156" s="132" t="n">
        <f aca="false">CHOOSE($G$3,AC156-AD156,AD156-AC156)</f>
        <v>0</v>
      </c>
      <c r="AM156" s="132" t="n">
        <f aca="false">CHOOSE($G$3,AF156-AG156,AG156-AF156)</f>
        <v>0</v>
      </c>
      <c r="AN156" s="132" t="n">
        <f aca="false">CHOOSE($G$3,AI156-AJ156,AJ156-AI156)</f>
        <v>0</v>
      </c>
      <c r="AO156" s="148" t="n">
        <f aca="false">SUM(AL156:AN156)</f>
        <v>0</v>
      </c>
      <c r="AQ156" s="132" t="n">
        <f aca="false">CHOOSE($G$3,AB156-AC156,AC156-AB156)</f>
        <v>0</v>
      </c>
      <c r="AR156" s="132" t="n">
        <f aca="false">CHOOSE($G$3,AE156-AF156,AF156-AE156)</f>
        <v>0</v>
      </c>
      <c r="AS156" s="132" t="n">
        <f aca="false">CHOOSE($G$3,AH156-AI156,AI156-AH156)</f>
        <v>0</v>
      </c>
      <c r="AT156" s="148" t="n">
        <f aca="false">AQ156+AR156+AS156</f>
        <v>0</v>
      </c>
      <c r="AU156" s="148"/>
      <c r="AV156" s="133" t="n">
        <f aca="false">AT156+AO156</f>
        <v>0</v>
      </c>
      <c r="AX156" s="133" t="n">
        <f aca="false">AJ156+AG156+AD156</f>
        <v>0</v>
      </c>
      <c r="AY156" s="149"/>
      <c r="AZ156" s="76" t="n">
        <f aca="false">R156*E156</f>
        <v>0</v>
      </c>
    </row>
    <row r="157" customFormat="false" ht="12.75" hidden="false" customHeight="false" outlineLevel="0" collapsed="false">
      <c r="A157" s="138" t="n">
        <f aca="false">EDATE(A156,1)</f>
        <v>41456</v>
      </c>
      <c r="B157" s="139" t="n">
        <f aca="false">VLOOKUP($A157,Table2,MATCH(I$3,Curves2,0))</f>
        <v>0</v>
      </c>
      <c r="C157" s="140"/>
      <c r="D157" s="141" t="n">
        <f aca="false">B157+C157</f>
        <v>0</v>
      </c>
      <c r="E157" s="126" t="n">
        <f aca="false">IF(Y157=0,0,IF(AND(Y157=1,$H$3=1),D157*T157,IF($H$3=2,D157,"N/A")))</f>
        <v>0</v>
      </c>
      <c r="F157" s="126" t="n">
        <f aca="false">E157*X157</f>
        <v>0</v>
      </c>
      <c r="G157" s="142" t="n">
        <f aca="false">VLOOKUP($A157,Table,MATCH(G$4,Curves,0))</f>
        <v>3.987</v>
      </c>
      <c r="H157" s="143" t="n">
        <f aca="false">G157</f>
        <v>3.987</v>
      </c>
      <c r="I157" s="142" t="n">
        <f aca="false">VLOOKUP($A157,Table1,MATCH(I$3,Curves1,0))</f>
        <v>0</v>
      </c>
      <c r="J157" s="142" t="n">
        <f aca="false">VLOOKUP($A157,Table,MATCH(J$4,Curves,0))</f>
        <v>-0.0305</v>
      </c>
      <c r="K157" s="143" t="n">
        <f aca="false">J157</f>
        <v>-0.0305</v>
      </c>
      <c r="L157" s="144" t="n">
        <v>0</v>
      </c>
      <c r="M157" s="142" t="n">
        <f aca="false">VLOOKUP($A157,Table,MATCH(M$4,Curves,0))</f>
        <v>0.0087</v>
      </c>
      <c r="N157" s="143" t="n">
        <f aca="false">M157</f>
        <v>0.0087</v>
      </c>
      <c r="O157" s="144" t="n">
        <v>0</v>
      </c>
      <c r="P157" s="145"/>
      <c r="Q157" s="144" t="n">
        <f aca="false">M157+J157+G157</f>
        <v>3.9652</v>
      </c>
      <c r="R157" s="144" t="n">
        <f aca="false">O157+L157+I157</f>
        <v>0</v>
      </c>
      <c r="S157" s="145"/>
      <c r="T157" s="71" t="n">
        <f aca="false">A158-A157</f>
        <v>31</v>
      </c>
      <c r="U157" s="146" t="n">
        <f aca="false">CHOOSE(F$3,A158+24,A157)</f>
        <v>41511</v>
      </c>
      <c r="V157" s="71" t="n">
        <f aca="false">U157-C$3</f>
        <v>4623</v>
      </c>
      <c r="W157" s="142" t="n">
        <f aca="false">VLOOKUP($A157,Table,MATCH(W$4,Curves,0))</f>
        <v>0.058966861357273</v>
      </c>
      <c r="X157" s="147" t="n">
        <f aca="false">1/(1+CHOOSE(F$3,(W158+($K$3/10000))/2,(W157+($K$3/10000))/2))^(2*V157/365.25)</f>
        <v>0.479238132911071</v>
      </c>
      <c r="Y157" s="71" t="n">
        <f aca="false">IF(AND(mthbeg&lt;=A157,mthend&gt;=A157),1,0)</f>
        <v>0</v>
      </c>
      <c r="Z157" s="71" t="n">
        <f aca="false">T157*Y157</f>
        <v>0</v>
      </c>
      <c r="AB157" s="132" t="n">
        <f aca="false">F157*G157</f>
        <v>0</v>
      </c>
      <c r="AC157" s="132" t="n">
        <f aca="false">$F157*H157</f>
        <v>0</v>
      </c>
      <c r="AD157" s="132" t="n">
        <f aca="false">$F157*I157</f>
        <v>0</v>
      </c>
      <c r="AE157" s="132" t="n">
        <f aca="false">$F157*J157</f>
        <v>-0</v>
      </c>
      <c r="AF157" s="132" t="n">
        <f aca="false">$F157*K157</f>
        <v>-0</v>
      </c>
      <c r="AG157" s="132" t="n">
        <f aca="false">$F157*L157</f>
        <v>0</v>
      </c>
      <c r="AH157" s="132" t="n">
        <f aca="false">$F157*M157</f>
        <v>0</v>
      </c>
      <c r="AI157" s="132" t="n">
        <f aca="false">$F157*N157</f>
        <v>0</v>
      </c>
      <c r="AJ157" s="132" t="n">
        <f aca="false">F157*O157</f>
        <v>0</v>
      </c>
      <c r="AK157" s="137"/>
      <c r="AL157" s="132" t="n">
        <f aca="false">CHOOSE($G$3,AC157-AD157,AD157-AC157)</f>
        <v>0</v>
      </c>
      <c r="AM157" s="132" t="n">
        <f aca="false">CHOOSE($G$3,AF157-AG157,AG157-AF157)</f>
        <v>0</v>
      </c>
      <c r="AN157" s="132" t="n">
        <f aca="false">CHOOSE($G$3,AI157-AJ157,AJ157-AI157)</f>
        <v>0</v>
      </c>
      <c r="AO157" s="148" t="n">
        <f aca="false">SUM(AL157:AN157)</f>
        <v>0</v>
      </c>
      <c r="AQ157" s="132" t="n">
        <f aca="false">CHOOSE($G$3,AB157-AC157,AC157-AB157)</f>
        <v>0</v>
      </c>
      <c r="AR157" s="132" t="n">
        <f aca="false">CHOOSE($G$3,AE157-AF157,AF157-AE157)</f>
        <v>0</v>
      </c>
      <c r="AS157" s="132" t="n">
        <f aca="false">CHOOSE($G$3,AH157-AI157,AI157-AH157)</f>
        <v>0</v>
      </c>
      <c r="AT157" s="148" t="n">
        <f aca="false">AQ157+AR157+AS157</f>
        <v>0</v>
      </c>
      <c r="AU157" s="148"/>
      <c r="AV157" s="133" t="n">
        <f aca="false">AT157+AO157</f>
        <v>0</v>
      </c>
      <c r="AX157" s="133" t="n">
        <f aca="false">AJ157+AG157+AD157</f>
        <v>0</v>
      </c>
      <c r="AY157" s="149"/>
      <c r="AZ157" s="76" t="n">
        <f aca="false">R157*E157</f>
        <v>0</v>
      </c>
    </row>
    <row r="158" customFormat="false" ht="12.75" hidden="false" customHeight="false" outlineLevel="0" collapsed="false">
      <c r="A158" s="138" t="n">
        <f aca="false">EDATE(A157,1)</f>
        <v>41487</v>
      </c>
      <c r="B158" s="139" t="n">
        <f aca="false">VLOOKUP($A158,Table2,MATCH(I$3,Curves2,0))</f>
        <v>0</v>
      </c>
      <c r="C158" s="140"/>
      <c r="D158" s="141" t="n">
        <f aca="false">B158+C158</f>
        <v>0</v>
      </c>
      <c r="E158" s="126" t="n">
        <f aca="false">IF(Y158=0,0,IF(AND(Y158=1,$H$3=1),D158*T158,IF($H$3=2,D158,"N/A")))</f>
        <v>0</v>
      </c>
      <c r="F158" s="126" t="n">
        <f aca="false">E158*X158</f>
        <v>0</v>
      </c>
      <c r="G158" s="142" t="n">
        <f aca="false">VLOOKUP($A158,Table,MATCH(G$4,Curves,0))</f>
        <v>3.987</v>
      </c>
      <c r="H158" s="143" t="n">
        <f aca="false">G158</f>
        <v>3.987</v>
      </c>
      <c r="I158" s="142" t="n">
        <f aca="false">VLOOKUP($A158,Table1,MATCH(I$3,Curves1,0))</f>
        <v>0</v>
      </c>
      <c r="J158" s="142" t="n">
        <f aca="false">VLOOKUP($A158,Table,MATCH(J$4,Curves,0))</f>
        <v>-0.0305</v>
      </c>
      <c r="K158" s="143" t="n">
        <f aca="false">J158</f>
        <v>-0.0305</v>
      </c>
      <c r="L158" s="144" t="n">
        <v>0</v>
      </c>
      <c r="M158" s="142" t="n">
        <f aca="false">VLOOKUP($A158,Table,MATCH(M$4,Curves,0))</f>
        <v>0.0087</v>
      </c>
      <c r="N158" s="143" t="n">
        <f aca="false">M158</f>
        <v>0.0087</v>
      </c>
      <c r="O158" s="144" t="n">
        <v>0</v>
      </c>
      <c r="P158" s="145"/>
      <c r="Q158" s="144" t="n">
        <f aca="false">M158+J158+G158</f>
        <v>3.9652</v>
      </c>
      <c r="R158" s="144" t="n">
        <f aca="false">O158+L158+I158</f>
        <v>0</v>
      </c>
      <c r="S158" s="145"/>
      <c r="T158" s="71" t="n">
        <f aca="false">A159-A158</f>
        <v>31</v>
      </c>
      <c r="U158" s="146" t="n">
        <f aca="false">CHOOSE(F$3,A159+24,A158)</f>
        <v>41542</v>
      </c>
      <c r="V158" s="71" t="n">
        <f aca="false">U158-C$3</f>
        <v>4654</v>
      </c>
      <c r="W158" s="142" t="n">
        <f aca="false">VLOOKUP($A158,Table,MATCH(W$4,Curves,0))</f>
        <v>0.058966861357273</v>
      </c>
      <c r="X158" s="147" t="n">
        <f aca="false">1/(1+CHOOSE(F$3,(W159+($K$3/10000))/2,(W158+($K$3/10000))/2))^(2*V158/365.25)</f>
        <v>0.476880179161</v>
      </c>
      <c r="Y158" s="71" t="n">
        <f aca="false">IF(AND(mthbeg&lt;=A158,mthend&gt;=A158),1,0)</f>
        <v>0</v>
      </c>
      <c r="Z158" s="71" t="n">
        <f aca="false">T158*Y158</f>
        <v>0</v>
      </c>
      <c r="AB158" s="132" t="n">
        <f aca="false">F158*G158</f>
        <v>0</v>
      </c>
      <c r="AC158" s="132" t="n">
        <f aca="false">$F158*H158</f>
        <v>0</v>
      </c>
      <c r="AD158" s="132" t="n">
        <f aca="false">$F158*I158</f>
        <v>0</v>
      </c>
      <c r="AE158" s="132" t="n">
        <f aca="false">$F158*J158</f>
        <v>-0</v>
      </c>
      <c r="AF158" s="132" t="n">
        <f aca="false">$F158*K158</f>
        <v>-0</v>
      </c>
      <c r="AG158" s="132" t="n">
        <f aca="false">$F158*L158</f>
        <v>0</v>
      </c>
      <c r="AH158" s="132" t="n">
        <f aca="false">$F158*M158</f>
        <v>0</v>
      </c>
      <c r="AI158" s="132" t="n">
        <f aca="false">$F158*N158</f>
        <v>0</v>
      </c>
      <c r="AJ158" s="132" t="n">
        <f aca="false">F158*O158</f>
        <v>0</v>
      </c>
      <c r="AK158" s="137"/>
      <c r="AL158" s="132" t="n">
        <f aca="false">CHOOSE($G$3,AC158-AD158,AD158-AC158)</f>
        <v>0</v>
      </c>
      <c r="AM158" s="132" t="n">
        <f aca="false">CHOOSE($G$3,AF158-AG158,AG158-AF158)</f>
        <v>0</v>
      </c>
      <c r="AN158" s="132" t="n">
        <f aca="false">CHOOSE($G$3,AI158-AJ158,AJ158-AI158)</f>
        <v>0</v>
      </c>
      <c r="AO158" s="148" t="n">
        <f aca="false">SUM(AL158:AN158)</f>
        <v>0</v>
      </c>
      <c r="AQ158" s="132" t="n">
        <f aca="false">CHOOSE($G$3,AB158-AC158,AC158-AB158)</f>
        <v>0</v>
      </c>
      <c r="AR158" s="132" t="n">
        <f aca="false">CHOOSE($G$3,AE158-AF158,AF158-AE158)</f>
        <v>0</v>
      </c>
      <c r="AS158" s="132" t="n">
        <f aca="false">CHOOSE($G$3,AH158-AI158,AI158-AH158)</f>
        <v>0</v>
      </c>
      <c r="AT158" s="148" t="n">
        <f aca="false">AQ158+AR158+AS158</f>
        <v>0</v>
      </c>
      <c r="AU158" s="148"/>
      <c r="AV158" s="133" t="n">
        <f aca="false">AT158+AO158</f>
        <v>0</v>
      </c>
      <c r="AX158" s="133" t="n">
        <f aca="false">AJ158+AG158+AD158</f>
        <v>0</v>
      </c>
      <c r="AY158" s="149"/>
      <c r="AZ158" s="76" t="n">
        <f aca="false">R158*E158</f>
        <v>0</v>
      </c>
    </row>
    <row r="159" customFormat="false" ht="12.75" hidden="false" customHeight="false" outlineLevel="0" collapsed="false">
      <c r="A159" s="138" t="n">
        <f aca="false">EDATE(A158,1)</f>
        <v>41518</v>
      </c>
      <c r="B159" s="139" t="n">
        <f aca="false">VLOOKUP($A159,Table2,MATCH(I$3,Curves2,0))</f>
        <v>0</v>
      </c>
      <c r="C159" s="140"/>
      <c r="D159" s="141" t="n">
        <f aca="false">B159+C159</f>
        <v>0</v>
      </c>
      <c r="E159" s="126" t="n">
        <f aca="false">IF(Y159=0,0,IF(AND(Y159=1,$H$3=1),D159*T159,IF($H$3=2,D159,"N/A")))</f>
        <v>0</v>
      </c>
      <c r="F159" s="126" t="n">
        <f aca="false">E159*X159</f>
        <v>0</v>
      </c>
      <c r="G159" s="142" t="n">
        <f aca="false">VLOOKUP($A159,Table,MATCH(G$4,Curves,0))</f>
        <v>3.987</v>
      </c>
      <c r="H159" s="143" t="n">
        <f aca="false">G159</f>
        <v>3.987</v>
      </c>
      <c r="I159" s="142" t="n">
        <f aca="false">VLOOKUP($A159,Table1,MATCH(I$3,Curves1,0))</f>
        <v>0</v>
      </c>
      <c r="J159" s="142" t="n">
        <f aca="false">VLOOKUP($A159,Table,MATCH(J$4,Curves,0))</f>
        <v>-0.0305</v>
      </c>
      <c r="K159" s="143" t="n">
        <f aca="false">J159</f>
        <v>-0.0305</v>
      </c>
      <c r="L159" s="144" t="n">
        <v>0</v>
      </c>
      <c r="M159" s="142" t="n">
        <f aca="false">VLOOKUP($A159,Table,MATCH(M$4,Curves,0))</f>
        <v>0.0087</v>
      </c>
      <c r="N159" s="143" t="n">
        <f aca="false">M159</f>
        <v>0.0087</v>
      </c>
      <c r="O159" s="144" t="n">
        <v>0</v>
      </c>
      <c r="P159" s="145"/>
      <c r="Q159" s="144" t="n">
        <f aca="false">M159+J159+G159</f>
        <v>3.9652</v>
      </c>
      <c r="R159" s="144" t="n">
        <f aca="false">O159+L159+I159</f>
        <v>0</v>
      </c>
      <c r="S159" s="145"/>
      <c r="T159" s="71" t="n">
        <f aca="false">A160-A159</f>
        <v>30</v>
      </c>
      <c r="U159" s="146" t="n">
        <f aca="false">CHOOSE(F$3,A160+24,A159)</f>
        <v>41572</v>
      </c>
      <c r="V159" s="71" t="n">
        <f aca="false">U159-C$3</f>
        <v>4684</v>
      </c>
      <c r="W159" s="142" t="n">
        <f aca="false">VLOOKUP($A159,Table,MATCH(W$4,Curves,0))</f>
        <v>0.058966861357273</v>
      </c>
      <c r="X159" s="147" t="n">
        <f aca="false">1/(1+CHOOSE(F$3,(W160+($K$3/10000))/2,(W159+($K$3/10000))/2))^(2*V159/365.25)</f>
        <v>0.474609335322057</v>
      </c>
      <c r="Y159" s="71" t="n">
        <f aca="false">IF(AND(mthbeg&lt;=A159,mthend&gt;=A159),1,0)</f>
        <v>0</v>
      </c>
      <c r="Z159" s="71" t="n">
        <f aca="false">T159*Y159</f>
        <v>0</v>
      </c>
      <c r="AB159" s="132" t="n">
        <f aca="false">F159*G159</f>
        <v>0</v>
      </c>
      <c r="AC159" s="132" t="n">
        <f aca="false">$F159*H159</f>
        <v>0</v>
      </c>
      <c r="AD159" s="132" t="n">
        <f aca="false">$F159*I159</f>
        <v>0</v>
      </c>
      <c r="AE159" s="132" t="n">
        <f aca="false">$F159*J159</f>
        <v>-0</v>
      </c>
      <c r="AF159" s="132" t="n">
        <f aca="false">$F159*K159</f>
        <v>-0</v>
      </c>
      <c r="AG159" s="132" t="n">
        <f aca="false">$F159*L159</f>
        <v>0</v>
      </c>
      <c r="AH159" s="132" t="n">
        <f aca="false">$F159*M159</f>
        <v>0</v>
      </c>
      <c r="AI159" s="132" t="n">
        <f aca="false">$F159*N159</f>
        <v>0</v>
      </c>
      <c r="AJ159" s="132" t="n">
        <f aca="false">F159*O159</f>
        <v>0</v>
      </c>
      <c r="AK159" s="137"/>
      <c r="AL159" s="132" t="n">
        <f aca="false">CHOOSE($G$3,AC159-AD159,AD159-AC159)</f>
        <v>0</v>
      </c>
      <c r="AM159" s="132" t="n">
        <f aca="false">CHOOSE($G$3,AF159-AG159,AG159-AF159)</f>
        <v>0</v>
      </c>
      <c r="AN159" s="132" t="n">
        <f aca="false">CHOOSE($G$3,AI159-AJ159,AJ159-AI159)</f>
        <v>0</v>
      </c>
      <c r="AO159" s="148" t="n">
        <f aca="false">SUM(AL159:AN159)</f>
        <v>0</v>
      </c>
      <c r="AQ159" s="132" t="n">
        <f aca="false">CHOOSE($G$3,AB159-AC159,AC159-AB159)</f>
        <v>0</v>
      </c>
      <c r="AR159" s="132" t="n">
        <f aca="false">CHOOSE($G$3,AE159-AF159,AF159-AE159)</f>
        <v>0</v>
      </c>
      <c r="AS159" s="132" t="n">
        <f aca="false">CHOOSE($G$3,AH159-AI159,AI159-AH159)</f>
        <v>0</v>
      </c>
      <c r="AT159" s="148" t="n">
        <f aca="false">AQ159+AR159+AS159</f>
        <v>0</v>
      </c>
      <c r="AU159" s="148"/>
      <c r="AV159" s="133" t="n">
        <f aca="false">AT159+AO159</f>
        <v>0</v>
      </c>
      <c r="AX159" s="133" t="n">
        <f aca="false">AJ159+AG159+AD159</f>
        <v>0</v>
      </c>
      <c r="AY159" s="149"/>
      <c r="AZ159" s="76" t="n">
        <f aca="false">R159*E159</f>
        <v>0</v>
      </c>
    </row>
    <row r="160" customFormat="false" ht="12.75" hidden="false" customHeight="false" outlineLevel="0" collapsed="false">
      <c r="A160" s="138" t="n">
        <f aca="false">EDATE(A159,1)</f>
        <v>41548</v>
      </c>
      <c r="B160" s="139" t="n">
        <f aca="false">VLOOKUP($A160,Table2,MATCH(I$3,Curves2,0))</f>
        <v>0</v>
      </c>
      <c r="C160" s="140"/>
      <c r="D160" s="141" t="n">
        <f aca="false">B160+C160</f>
        <v>0</v>
      </c>
      <c r="E160" s="126" t="n">
        <f aca="false">IF(Y160=0,0,IF(AND(Y160=1,$H$3=1),D160*T160,IF($H$3=2,D160,"N/A")))</f>
        <v>0</v>
      </c>
      <c r="F160" s="126" t="n">
        <f aca="false">E160*X160</f>
        <v>0</v>
      </c>
      <c r="G160" s="142" t="n">
        <f aca="false">VLOOKUP($A160,Table,MATCH(G$4,Curves,0))</f>
        <v>3.987</v>
      </c>
      <c r="H160" s="143" t="n">
        <f aca="false">G160</f>
        <v>3.987</v>
      </c>
      <c r="I160" s="142" t="n">
        <f aca="false">VLOOKUP($A160,Table1,MATCH(I$3,Curves1,0))</f>
        <v>0</v>
      </c>
      <c r="J160" s="142" t="n">
        <f aca="false">VLOOKUP($A160,Table,MATCH(J$4,Curves,0))</f>
        <v>-0.0305</v>
      </c>
      <c r="K160" s="143" t="n">
        <f aca="false">J160</f>
        <v>-0.0305</v>
      </c>
      <c r="L160" s="144" t="n">
        <v>0</v>
      </c>
      <c r="M160" s="142" t="n">
        <f aca="false">VLOOKUP($A160,Table,MATCH(M$4,Curves,0))</f>
        <v>0.0087</v>
      </c>
      <c r="N160" s="143" t="n">
        <f aca="false">M160</f>
        <v>0.0087</v>
      </c>
      <c r="O160" s="144" t="n">
        <v>0</v>
      </c>
      <c r="P160" s="145"/>
      <c r="Q160" s="144" t="n">
        <f aca="false">M160+J160+G160</f>
        <v>3.9652</v>
      </c>
      <c r="R160" s="144" t="n">
        <f aca="false">O160+L160+I160</f>
        <v>0</v>
      </c>
      <c r="S160" s="145"/>
      <c r="T160" s="71" t="n">
        <f aca="false">A161-A160</f>
        <v>31</v>
      </c>
      <c r="U160" s="146" t="n">
        <f aca="false">CHOOSE(F$3,A161+24,A160)</f>
        <v>41603</v>
      </c>
      <c r="V160" s="71" t="n">
        <f aca="false">U160-C$3</f>
        <v>4715</v>
      </c>
      <c r="W160" s="142" t="n">
        <f aca="false">VLOOKUP($A160,Table,MATCH(W$4,Curves,0))</f>
        <v>0.058966861357273</v>
      </c>
      <c r="X160" s="147" t="n">
        <f aca="false">1/(1+CHOOSE(F$3,(W161+($K$3/10000))/2,(W160+($K$3/10000))/2))^(2*V160/365.25)</f>
        <v>0.472274156242623</v>
      </c>
      <c r="Y160" s="71" t="n">
        <f aca="false">IF(AND(mthbeg&lt;=A160,mthend&gt;=A160),1,0)</f>
        <v>0</v>
      </c>
      <c r="Z160" s="71" t="n">
        <f aca="false">T160*Y160</f>
        <v>0</v>
      </c>
      <c r="AB160" s="132" t="n">
        <f aca="false">F160*G160</f>
        <v>0</v>
      </c>
      <c r="AC160" s="132" t="n">
        <f aca="false">$F160*H160</f>
        <v>0</v>
      </c>
      <c r="AD160" s="132" t="n">
        <f aca="false">$F160*I160</f>
        <v>0</v>
      </c>
      <c r="AE160" s="132" t="n">
        <f aca="false">$F160*J160</f>
        <v>-0</v>
      </c>
      <c r="AF160" s="132" t="n">
        <f aca="false">$F160*K160</f>
        <v>-0</v>
      </c>
      <c r="AG160" s="132" t="n">
        <f aca="false">$F160*L160</f>
        <v>0</v>
      </c>
      <c r="AH160" s="132" t="n">
        <f aca="false">$F160*M160</f>
        <v>0</v>
      </c>
      <c r="AI160" s="132" t="n">
        <f aca="false">$F160*N160</f>
        <v>0</v>
      </c>
      <c r="AJ160" s="132" t="n">
        <f aca="false">F160*O160</f>
        <v>0</v>
      </c>
      <c r="AK160" s="137"/>
      <c r="AL160" s="132" t="n">
        <f aca="false">CHOOSE($G$3,AC160-AD160,AD160-AC160)</f>
        <v>0</v>
      </c>
      <c r="AM160" s="132" t="n">
        <f aca="false">CHOOSE($G$3,AF160-AG160,AG160-AF160)</f>
        <v>0</v>
      </c>
      <c r="AN160" s="132" t="n">
        <f aca="false">CHOOSE($G$3,AI160-AJ160,AJ160-AI160)</f>
        <v>0</v>
      </c>
      <c r="AO160" s="148" t="n">
        <f aca="false">SUM(AL160:AN160)</f>
        <v>0</v>
      </c>
      <c r="AQ160" s="132" t="n">
        <f aca="false">CHOOSE($G$3,AB160-AC160,AC160-AB160)</f>
        <v>0</v>
      </c>
      <c r="AR160" s="132" t="n">
        <f aca="false">CHOOSE($G$3,AE160-AF160,AF160-AE160)</f>
        <v>0</v>
      </c>
      <c r="AS160" s="132" t="n">
        <f aca="false">CHOOSE($G$3,AH160-AI160,AI160-AH160)</f>
        <v>0</v>
      </c>
      <c r="AT160" s="148" t="n">
        <f aca="false">AQ160+AR160+AS160</f>
        <v>0</v>
      </c>
      <c r="AU160" s="148"/>
      <c r="AV160" s="133" t="n">
        <f aca="false">AT160+AO160</f>
        <v>0</v>
      </c>
      <c r="AX160" s="133" t="n">
        <f aca="false">AJ160+AG160+AD160</f>
        <v>0</v>
      </c>
      <c r="AY160" s="149"/>
      <c r="AZ160" s="76" t="n">
        <f aca="false">R160*E160</f>
        <v>0</v>
      </c>
    </row>
    <row r="161" customFormat="false" ht="12.75" hidden="false" customHeight="false" outlineLevel="0" collapsed="false">
      <c r="A161" s="138" t="n">
        <f aca="false">EDATE(A160,1)</f>
        <v>41579</v>
      </c>
      <c r="B161" s="139" t="n">
        <f aca="false">VLOOKUP($A161,Table2,MATCH(I$3,Curves2,0))</f>
        <v>0</v>
      </c>
      <c r="C161" s="140"/>
      <c r="D161" s="141" t="n">
        <f aca="false">B161+C161</f>
        <v>0</v>
      </c>
      <c r="E161" s="126" t="n">
        <f aca="false">IF(Y161=0,0,IF(AND(Y161=1,$H$3=1),D161*T161,IF($H$3=2,D161,"N/A")))</f>
        <v>0</v>
      </c>
      <c r="F161" s="126" t="n">
        <f aca="false">E161*X161</f>
        <v>0</v>
      </c>
      <c r="G161" s="142" t="n">
        <f aca="false">VLOOKUP($A161,Table,MATCH(G$4,Curves,0))</f>
        <v>3.987</v>
      </c>
      <c r="H161" s="143" t="n">
        <f aca="false">G161</f>
        <v>3.987</v>
      </c>
      <c r="I161" s="142" t="n">
        <f aca="false">VLOOKUP($A161,Table1,MATCH(I$3,Curves1,0))</f>
        <v>0</v>
      </c>
      <c r="J161" s="142" t="n">
        <f aca="false">VLOOKUP($A161,Table,MATCH(J$4,Curves,0))</f>
        <v>-0.0305</v>
      </c>
      <c r="K161" s="143" t="n">
        <f aca="false">J161</f>
        <v>-0.0305</v>
      </c>
      <c r="L161" s="144" t="n">
        <v>0</v>
      </c>
      <c r="M161" s="142" t="n">
        <f aca="false">VLOOKUP($A161,Table,MATCH(M$4,Curves,0))</f>
        <v>0.0087</v>
      </c>
      <c r="N161" s="143" t="n">
        <f aca="false">M161</f>
        <v>0.0087</v>
      </c>
      <c r="O161" s="144" t="n">
        <v>0</v>
      </c>
      <c r="P161" s="145"/>
      <c r="Q161" s="144" t="n">
        <f aca="false">M161+J161+G161</f>
        <v>3.9652</v>
      </c>
      <c r="R161" s="144" t="n">
        <f aca="false">O161+L161+I161</f>
        <v>0</v>
      </c>
      <c r="S161" s="145"/>
      <c r="T161" s="71" t="n">
        <f aca="false">A162-A161</f>
        <v>30</v>
      </c>
      <c r="U161" s="146" t="n">
        <f aca="false">CHOOSE(F$3,A162+24,A161)</f>
        <v>41633</v>
      </c>
      <c r="V161" s="71" t="n">
        <f aca="false">U161-C$3</f>
        <v>4745</v>
      </c>
      <c r="W161" s="142" t="n">
        <f aca="false">VLOOKUP($A161,Table,MATCH(W$4,Curves,0))</f>
        <v>0.058966861357273</v>
      </c>
      <c r="X161" s="147" t="n">
        <f aca="false">1/(1+CHOOSE(F$3,(W162+($K$3/10000))/2,(W161+($K$3/10000))/2))^(2*V161/365.25)</f>
        <v>0.470025245709409</v>
      </c>
      <c r="Y161" s="71" t="n">
        <f aca="false">IF(AND(mthbeg&lt;=A161,mthend&gt;=A161),1,0)</f>
        <v>0</v>
      </c>
      <c r="Z161" s="71" t="n">
        <f aca="false">T161*Y161</f>
        <v>0</v>
      </c>
      <c r="AB161" s="132" t="n">
        <f aca="false">F161*G161</f>
        <v>0</v>
      </c>
      <c r="AC161" s="132" t="n">
        <f aca="false">$F161*H161</f>
        <v>0</v>
      </c>
      <c r="AD161" s="132" t="n">
        <f aca="false">$F161*I161</f>
        <v>0</v>
      </c>
      <c r="AE161" s="132" t="n">
        <f aca="false">$F161*J161</f>
        <v>-0</v>
      </c>
      <c r="AF161" s="132" t="n">
        <f aca="false">$F161*K161</f>
        <v>-0</v>
      </c>
      <c r="AG161" s="132" t="n">
        <f aca="false">$F161*L161</f>
        <v>0</v>
      </c>
      <c r="AH161" s="132" t="n">
        <f aca="false">$F161*M161</f>
        <v>0</v>
      </c>
      <c r="AI161" s="132" t="n">
        <f aca="false">$F161*N161</f>
        <v>0</v>
      </c>
      <c r="AJ161" s="132" t="n">
        <f aca="false">F161*O161</f>
        <v>0</v>
      </c>
      <c r="AK161" s="137"/>
      <c r="AL161" s="132" t="n">
        <f aca="false">CHOOSE($G$3,AC161-AD161,AD161-AC161)</f>
        <v>0</v>
      </c>
      <c r="AM161" s="132" t="n">
        <f aca="false">CHOOSE($G$3,AF161-AG161,AG161-AF161)</f>
        <v>0</v>
      </c>
      <c r="AN161" s="132" t="n">
        <f aca="false">CHOOSE($G$3,AI161-AJ161,AJ161-AI161)</f>
        <v>0</v>
      </c>
      <c r="AO161" s="148" t="n">
        <f aca="false">SUM(AL161:AN161)</f>
        <v>0</v>
      </c>
      <c r="AQ161" s="132" t="n">
        <f aca="false">CHOOSE($G$3,AB161-AC161,AC161-AB161)</f>
        <v>0</v>
      </c>
      <c r="AR161" s="132" t="n">
        <f aca="false">CHOOSE($G$3,AE161-AF161,AF161-AE161)</f>
        <v>0</v>
      </c>
      <c r="AS161" s="132" t="n">
        <f aca="false">CHOOSE($G$3,AH161-AI161,AI161-AH161)</f>
        <v>0</v>
      </c>
      <c r="AT161" s="148" t="n">
        <f aca="false">AQ161+AR161+AS161</f>
        <v>0</v>
      </c>
      <c r="AU161" s="148"/>
      <c r="AV161" s="133" t="n">
        <f aca="false">AT161+AO161</f>
        <v>0</v>
      </c>
      <c r="AX161" s="133" t="n">
        <f aca="false">AJ161+AG161+AD161</f>
        <v>0</v>
      </c>
      <c r="AY161" s="149"/>
      <c r="AZ161" s="76" t="n">
        <f aca="false">R161*E161</f>
        <v>0</v>
      </c>
    </row>
    <row r="162" customFormat="false" ht="12.75" hidden="false" customHeight="false" outlineLevel="0" collapsed="false">
      <c r="A162" s="138" t="n">
        <f aca="false">EDATE(A161,1)</f>
        <v>41609</v>
      </c>
      <c r="B162" s="139" t="n">
        <f aca="false">VLOOKUP($A162,Table2,MATCH(I$3,Curves2,0))</f>
        <v>0</v>
      </c>
      <c r="C162" s="140"/>
      <c r="D162" s="141" t="n">
        <f aca="false">B162+C162</f>
        <v>0</v>
      </c>
      <c r="E162" s="126" t="n">
        <f aca="false">IF(Y162=0,0,IF(AND(Y162=1,$H$3=1),D162*T162,IF($H$3=2,D162,"N/A")))</f>
        <v>0</v>
      </c>
      <c r="F162" s="126" t="n">
        <f aca="false">E162*X162</f>
        <v>0</v>
      </c>
      <c r="G162" s="142" t="n">
        <f aca="false">VLOOKUP($A162,Table,MATCH(G$4,Curves,0))</f>
        <v>3.987</v>
      </c>
      <c r="H162" s="143" t="n">
        <f aca="false">G162</f>
        <v>3.987</v>
      </c>
      <c r="I162" s="142" t="n">
        <f aca="false">VLOOKUP($A162,Table1,MATCH(I$3,Curves1,0))</f>
        <v>0</v>
      </c>
      <c r="J162" s="142" t="n">
        <f aca="false">VLOOKUP($A162,Table,MATCH(J$4,Curves,0))</f>
        <v>-0.0305</v>
      </c>
      <c r="K162" s="143" t="n">
        <f aca="false">J162</f>
        <v>-0.0305</v>
      </c>
      <c r="L162" s="144" t="n">
        <v>0</v>
      </c>
      <c r="M162" s="142" t="n">
        <f aca="false">VLOOKUP($A162,Table,MATCH(M$4,Curves,0))</f>
        <v>0.0087</v>
      </c>
      <c r="N162" s="143" t="n">
        <f aca="false">M162</f>
        <v>0.0087</v>
      </c>
      <c r="O162" s="144" t="n">
        <v>0</v>
      </c>
      <c r="P162" s="145"/>
      <c r="Q162" s="144" t="n">
        <f aca="false">M162+J162+G162</f>
        <v>3.9652</v>
      </c>
      <c r="R162" s="144" t="n">
        <f aca="false">O162+L162+I162</f>
        <v>0</v>
      </c>
      <c r="S162" s="145"/>
      <c r="T162" s="71" t="n">
        <f aca="false">A163-A162</f>
        <v>31</v>
      </c>
      <c r="U162" s="146" t="n">
        <f aca="false">CHOOSE(F$3,A163+24,A162)</f>
        <v>41664</v>
      </c>
      <c r="V162" s="71" t="n">
        <f aca="false">U162-C$3</f>
        <v>4776</v>
      </c>
      <c r="W162" s="142" t="n">
        <f aca="false">VLOOKUP($A162,Table,MATCH(W$4,Curves,0))</f>
        <v>0.058966861357273</v>
      </c>
      <c r="X162" s="147" t="n">
        <f aca="false">1/(1+CHOOSE(F$3,(W163+($K$3/10000))/2,(W162+($K$3/10000))/2))^(2*V162/365.25)</f>
        <v>0.467712621327839</v>
      </c>
      <c r="Y162" s="71" t="n">
        <f aca="false">IF(AND(mthbeg&lt;=A162,mthend&gt;=A162),1,0)</f>
        <v>0</v>
      </c>
      <c r="Z162" s="71" t="n">
        <f aca="false">T162*Y162</f>
        <v>0</v>
      </c>
      <c r="AB162" s="132" t="n">
        <f aca="false">F162*G162</f>
        <v>0</v>
      </c>
      <c r="AC162" s="132" t="n">
        <f aca="false">$F162*H162</f>
        <v>0</v>
      </c>
      <c r="AD162" s="132" t="n">
        <f aca="false">$F162*I162</f>
        <v>0</v>
      </c>
      <c r="AE162" s="132" t="n">
        <f aca="false">$F162*J162</f>
        <v>-0</v>
      </c>
      <c r="AF162" s="132" t="n">
        <f aca="false">$F162*K162</f>
        <v>-0</v>
      </c>
      <c r="AG162" s="132" t="n">
        <f aca="false">$F162*L162</f>
        <v>0</v>
      </c>
      <c r="AH162" s="132" t="n">
        <f aca="false">$F162*M162</f>
        <v>0</v>
      </c>
      <c r="AI162" s="132" t="n">
        <f aca="false">$F162*N162</f>
        <v>0</v>
      </c>
      <c r="AJ162" s="132" t="n">
        <f aca="false">F162*O162</f>
        <v>0</v>
      </c>
      <c r="AK162" s="137"/>
      <c r="AL162" s="132" t="n">
        <f aca="false">CHOOSE($G$3,AC162-AD162,AD162-AC162)</f>
        <v>0</v>
      </c>
      <c r="AM162" s="132" t="n">
        <f aca="false">CHOOSE($G$3,AF162-AG162,AG162-AF162)</f>
        <v>0</v>
      </c>
      <c r="AN162" s="132" t="n">
        <f aca="false">CHOOSE($G$3,AI162-AJ162,AJ162-AI162)</f>
        <v>0</v>
      </c>
      <c r="AO162" s="148" t="n">
        <f aca="false">SUM(AL162:AN162)</f>
        <v>0</v>
      </c>
      <c r="AQ162" s="132" t="n">
        <f aca="false">CHOOSE($G$3,AB162-AC162,AC162-AB162)</f>
        <v>0</v>
      </c>
      <c r="AR162" s="132" t="n">
        <f aca="false">CHOOSE($G$3,AE162-AF162,AF162-AE162)</f>
        <v>0</v>
      </c>
      <c r="AS162" s="132" t="n">
        <f aca="false">CHOOSE($G$3,AH162-AI162,AI162-AH162)</f>
        <v>0</v>
      </c>
      <c r="AT162" s="148" t="n">
        <f aca="false">AQ162+AR162+AS162</f>
        <v>0</v>
      </c>
      <c r="AU162" s="148"/>
      <c r="AV162" s="133" t="n">
        <f aca="false">AT162+AO162</f>
        <v>0</v>
      </c>
      <c r="AX162" s="133" t="n">
        <f aca="false">AJ162+AG162+AD162</f>
        <v>0</v>
      </c>
      <c r="AY162" s="149"/>
      <c r="AZ162" s="76" t="n">
        <f aca="false">R162*E162</f>
        <v>0</v>
      </c>
    </row>
    <row r="163" customFormat="false" ht="12.75" hidden="false" customHeight="false" outlineLevel="0" collapsed="false">
      <c r="A163" s="138" t="n">
        <f aca="false">EDATE(A162,1)</f>
        <v>41640</v>
      </c>
      <c r="B163" s="139" t="n">
        <f aca="false">VLOOKUP($A163,Table2,MATCH(I$3,Curves2,0))</f>
        <v>0</v>
      </c>
      <c r="C163" s="140"/>
      <c r="D163" s="141" t="n">
        <f aca="false">B163+C163</f>
        <v>0</v>
      </c>
      <c r="E163" s="126" t="n">
        <f aca="false">IF(Y163=0,0,IF(AND(Y163=1,$H$3=1),D163*T163,IF($H$3=2,D163,"N/A")))</f>
        <v>0</v>
      </c>
      <c r="F163" s="126" t="n">
        <f aca="false">E163*X163</f>
        <v>0</v>
      </c>
      <c r="G163" s="142" t="n">
        <f aca="false">VLOOKUP($A163,Table,MATCH(G$4,Curves,0))</f>
        <v>3.987</v>
      </c>
      <c r="H163" s="143" t="n">
        <f aca="false">G163</f>
        <v>3.987</v>
      </c>
      <c r="I163" s="142" t="n">
        <f aca="false">VLOOKUP($A163,Table1,MATCH(I$3,Curves1,0))</f>
        <v>0</v>
      </c>
      <c r="J163" s="142" t="n">
        <f aca="false">VLOOKUP($A163,Table,MATCH(J$4,Curves,0))</f>
        <v>-0.0305</v>
      </c>
      <c r="K163" s="143" t="n">
        <f aca="false">J163</f>
        <v>-0.0305</v>
      </c>
      <c r="L163" s="144" t="n">
        <v>0</v>
      </c>
      <c r="M163" s="142" t="n">
        <f aca="false">VLOOKUP($A163,Table,MATCH(M$4,Curves,0))</f>
        <v>0.0087</v>
      </c>
      <c r="N163" s="143" t="n">
        <f aca="false">M163</f>
        <v>0.0087</v>
      </c>
      <c r="O163" s="144" t="n">
        <v>0</v>
      </c>
      <c r="P163" s="145"/>
      <c r="Q163" s="144" t="n">
        <f aca="false">M163+J163+G163</f>
        <v>3.9652</v>
      </c>
      <c r="R163" s="144" t="n">
        <f aca="false">O163+L163+I163</f>
        <v>0</v>
      </c>
      <c r="S163" s="145"/>
      <c r="T163" s="71" t="n">
        <f aca="false">A164-A163</f>
        <v>31</v>
      </c>
      <c r="U163" s="146" t="n">
        <f aca="false">CHOOSE(F$3,A164+24,A163)</f>
        <v>41695</v>
      </c>
      <c r="V163" s="71" t="n">
        <f aca="false">U163-C$3</f>
        <v>4807</v>
      </c>
      <c r="W163" s="142" t="n">
        <f aca="false">VLOOKUP($A163,Table,MATCH(W$4,Curves,0))</f>
        <v>0.058966861357273</v>
      </c>
      <c r="X163" s="147" t="n">
        <f aca="false">1/(1+CHOOSE(F$3,(W164+($K$3/10000))/2,(W163+($K$3/10000))/2))^(2*V163/365.25)</f>
        <v>0.465411375551097</v>
      </c>
      <c r="Y163" s="71" t="n">
        <f aca="false">IF(AND(mthbeg&lt;=A163,mthend&gt;=A163),1,0)</f>
        <v>0</v>
      </c>
      <c r="Z163" s="71" t="n">
        <f aca="false">T163*Y163</f>
        <v>0</v>
      </c>
      <c r="AB163" s="132" t="n">
        <f aca="false">F163*G163</f>
        <v>0</v>
      </c>
      <c r="AC163" s="132" t="n">
        <f aca="false">$F163*H163</f>
        <v>0</v>
      </c>
      <c r="AD163" s="132" t="n">
        <f aca="false">$F163*I163</f>
        <v>0</v>
      </c>
      <c r="AE163" s="132" t="n">
        <f aca="false">$F163*J163</f>
        <v>-0</v>
      </c>
      <c r="AF163" s="132" t="n">
        <f aca="false">$F163*K163</f>
        <v>-0</v>
      </c>
      <c r="AG163" s="132" t="n">
        <f aca="false">$F163*L163</f>
        <v>0</v>
      </c>
      <c r="AH163" s="132" t="n">
        <f aca="false">$F163*M163</f>
        <v>0</v>
      </c>
      <c r="AI163" s="132" t="n">
        <f aca="false">$F163*N163</f>
        <v>0</v>
      </c>
      <c r="AJ163" s="132" t="n">
        <f aca="false">F163*O163</f>
        <v>0</v>
      </c>
      <c r="AK163" s="137"/>
      <c r="AL163" s="132" t="n">
        <f aca="false">CHOOSE($G$3,AC163-AD163,AD163-AC163)</f>
        <v>0</v>
      </c>
      <c r="AM163" s="132" t="n">
        <f aca="false">CHOOSE($G$3,AF163-AG163,AG163-AF163)</f>
        <v>0</v>
      </c>
      <c r="AN163" s="132" t="n">
        <f aca="false">CHOOSE($G$3,AI163-AJ163,AJ163-AI163)</f>
        <v>0</v>
      </c>
      <c r="AO163" s="148" t="n">
        <f aca="false">SUM(AL163:AN163)</f>
        <v>0</v>
      </c>
      <c r="AQ163" s="132" t="n">
        <f aca="false">CHOOSE($G$3,AB163-AC163,AC163-AB163)</f>
        <v>0</v>
      </c>
      <c r="AR163" s="132" t="n">
        <f aca="false">CHOOSE($G$3,AE163-AF163,AF163-AE163)</f>
        <v>0</v>
      </c>
      <c r="AS163" s="132" t="n">
        <f aca="false">CHOOSE($G$3,AH163-AI163,AI163-AH163)</f>
        <v>0</v>
      </c>
      <c r="AT163" s="148" t="n">
        <f aca="false">AQ163+AR163+AS163</f>
        <v>0</v>
      </c>
      <c r="AU163" s="148"/>
      <c r="AV163" s="133" t="n">
        <f aca="false">AT163+AO163</f>
        <v>0</v>
      </c>
      <c r="AX163" s="133" t="n">
        <f aca="false">AJ163+AG163+AD163</f>
        <v>0</v>
      </c>
      <c r="AY163" s="149"/>
      <c r="AZ163" s="76" t="n">
        <f aca="false">R163*E163</f>
        <v>0</v>
      </c>
    </row>
    <row r="164" customFormat="false" ht="12.75" hidden="false" customHeight="false" outlineLevel="0" collapsed="false">
      <c r="A164" s="138" t="n">
        <f aca="false">EDATE(A163,1)</f>
        <v>41671</v>
      </c>
      <c r="B164" s="139" t="n">
        <f aca="false">VLOOKUP($A164,Table2,MATCH(I$3,Curves2,0))</f>
        <v>0</v>
      </c>
      <c r="C164" s="140"/>
      <c r="D164" s="141" t="n">
        <f aca="false">B164+C164</f>
        <v>0</v>
      </c>
      <c r="E164" s="126" t="n">
        <f aca="false">IF(Y164=0,0,IF(AND(Y164=1,$H$3=1),D164*T164,IF($H$3=2,D164,"N/A")))</f>
        <v>0</v>
      </c>
      <c r="F164" s="126" t="n">
        <f aca="false">E164*X164</f>
        <v>0</v>
      </c>
      <c r="G164" s="142" t="n">
        <f aca="false">VLOOKUP($A164,Table,MATCH(G$4,Curves,0))</f>
        <v>3.987</v>
      </c>
      <c r="H164" s="143" t="n">
        <f aca="false">G164</f>
        <v>3.987</v>
      </c>
      <c r="I164" s="142" t="n">
        <f aca="false">VLOOKUP($A164,Table1,MATCH(I$3,Curves1,0))</f>
        <v>0</v>
      </c>
      <c r="J164" s="142" t="n">
        <f aca="false">VLOOKUP($A164,Table,MATCH(J$4,Curves,0))</f>
        <v>-0.0305</v>
      </c>
      <c r="K164" s="143" t="n">
        <f aca="false">J164</f>
        <v>-0.0305</v>
      </c>
      <c r="L164" s="144" t="n">
        <v>0</v>
      </c>
      <c r="M164" s="142" t="n">
        <f aca="false">VLOOKUP($A164,Table,MATCH(M$4,Curves,0))</f>
        <v>0.0087</v>
      </c>
      <c r="N164" s="143" t="n">
        <f aca="false">M164</f>
        <v>0.0087</v>
      </c>
      <c r="O164" s="144" t="n">
        <v>0</v>
      </c>
      <c r="P164" s="145"/>
      <c r="Q164" s="144" t="n">
        <f aca="false">M164+J164+G164</f>
        <v>3.9652</v>
      </c>
      <c r="R164" s="144" t="n">
        <f aca="false">O164+L164+I164</f>
        <v>0</v>
      </c>
      <c r="S164" s="145"/>
      <c r="T164" s="71" t="n">
        <f aca="false">A165-A164</f>
        <v>28</v>
      </c>
      <c r="U164" s="146" t="n">
        <f aca="false">CHOOSE(F$3,A165+24,A164)</f>
        <v>41723</v>
      </c>
      <c r="V164" s="71" t="n">
        <f aca="false">U164-C$3</f>
        <v>4835</v>
      </c>
      <c r="W164" s="142" t="n">
        <f aca="false">VLOOKUP($A164,Table,MATCH(W$4,Curves,0))</f>
        <v>0.058966861357273</v>
      </c>
      <c r="X164" s="147" t="n">
        <f aca="false">1/(1+CHOOSE(F$3,(W165+($K$3/10000))/2,(W164+($K$3/10000))/2))^(2*V164/365.25)</f>
        <v>0.463342564558416</v>
      </c>
      <c r="Y164" s="71" t="n">
        <f aca="false">IF(AND(mthbeg&lt;=A164,mthend&gt;=A164),1,0)</f>
        <v>0</v>
      </c>
      <c r="Z164" s="71" t="n">
        <f aca="false">T164*Y164</f>
        <v>0</v>
      </c>
      <c r="AB164" s="132" t="n">
        <f aca="false">F164*G164</f>
        <v>0</v>
      </c>
      <c r="AC164" s="132" t="n">
        <f aca="false">$F164*H164</f>
        <v>0</v>
      </c>
      <c r="AD164" s="132" t="n">
        <f aca="false">$F164*I164</f>
        <v>0</v>
      </c>
      <c r="AE164" s="132" t="n">
        <f aca="false">$F164*J164</f>
        <v>-0</v>
      </c>
      <c r="AF164" s="132" t="n">
        <f aca="false">$F164*K164</f>
        <v>-0</v>
      </c>
      <c r="AG164" s="132" t="n">
        <f aca="false">$F164*L164</f>
        <v>0</v>
      </c>
      <c r="AH164" s="132" t="n">
        <f aca="false">$F164*M164</f>
        <v>0</v>
      </c>
      <c r="AI164" s="132" t="n">
        <f aca="false">$F164*N164</f>
        <v>0</v>
      </c>
      <c r="AJ164" s="132" t="n">
        <f aca="false">F164*O164</f>
        <v>0</v>
      </c>
      <c r="AK164" s="137"/>
      <c r="AL164" s="132" t="n">
        <f aca="false">CHOOSE($G$3,AC164-AD164,AD164-AC164)</f>
        <v>0</v>
      </c>
      <c r="AM164" s="132" t="n">
        <f aca="false">CHOOSE($G$3,AF164-AG164,AG164-AF164)</f>
        <v>0</v>
      </c>
      <c r="AN164" s="132" t="n">
        <f aca="false">CHOOSE($G$3,AI164-AJ164,AJ164-AI164)</f>
        <v>0</v>
      </c>
      <c r="AO164" s="148" t="n">
        <f aca="false">SUM(AL164:AN164)</f>
        <v>0</v>
      </c>
      <c r="AQ164" s="132" t="n">
        <f aca="false">CHOOSE($G$3,AB164-AC164,AC164-AB164)</f>
        <v>0</v>
      </c>
      <c r="AR164" s="132" t="n">
        <f aca="false">CHOOSE($G$3,AE164-AF164,AF164-AE164)</f>
        <v>0</v>
      </c>
      <c r="AS164" s="132" t="n">
        <f aca="false">CHOOSE($G$3,AH164-AI164,AI164-AH164)</f>
        <v>0</v>
      </c>
      <c r="AT164" s="148" t="n">
        <f aca="false">AQ164+AR164+AS164</f>
        <v>0</v>
      </c>
      <c r="AU164" s="148"/>
      <c r="AV164" s="133" t="n">
        <f aca="false">AT164+AO164</f>
        <v>0</v>
      </c>
      <c r="AX164" s="133" t="n">
        <f aca="false">AJ164+AG164+AD164</f>
        <v>0</v>
      </c>
      <c r="AY164" s="149"/>
      <c r="AZ164" s="76" t="n">
        <f aca="false">R164*E164</f>
        <v>0</v>
      </c>
    </row>
    <row r="165" customFormat="false" ht="12.75" hidden="false" customHeight="false" outlineLevel="0" collapsed="false">
      <c r="A165" s="138" t="n">
        <f aca="false">EDATE(A164,1)</f>
        <v>41699</v>
      </c>
      <c r="B165" s="139" t="n">
        <f aca="false">VLOOKUP($A165,Table2,MATCH(I$3,Curves2,0))</f>
        <v>0</v>
      </c>
      <c r="C165" s="140"/>
      <c r="D165" s="141" t="n">
        <f aca="false">B165+C165</f>
        <v>0</v>
      </c>
      <c r="E165" s="126" t="n">
        <f aca="false">IF(Y165=0,0,IF(AND(Y165=1,$H$3=1),D165*T165,IF($H$3=2,D165,"N/A")))</f>
        <v>0</v>
      </c>
      <c r="F165" s="126" t="n">
        <f aca="false">E165*X165</f>
        <v>0</v>
      </c>
      <c r="G165" s="142" t="n">
        <f aca="false">VLOOKUP($A165,Table,MATCH(G$4,Curves,0))</f>
        <v>3.987</v>
      </c>
      <c r="H165" s="143" t="n">
        <f aca="false">G165</f>
        <v>3.987</v>
      </c>
      <c r="I165" s="142" t="n">
        <f aca="false">VLOOKUP($A165,Table1,MATCH(I$3,Curves1,0))</f>
        <v>0</v>
      </c>
      <c r="J165" s="142" t="n">
        <f aca="false">VLOOKUP($A165,Table,MATCH(J$4,Curves,0))</f>
        <v>-0.0305</v>
      </c>
      <c r="K165" s="143" t="n">
        <f aca="false">J165</f>
        <v>-0.0305</v>
      </c>
      <c r="L165" s="144" t="n">
        <v>0</v>
      </c>
      <c r="M165" s="142" t="n">
        <f aca="false">VLOOKUP($A165,Table,MATCH(M$4,Curves,0))</f>
        <v>0.0087</v>
      </c>
      <c r="N165" s="143" t="n">
        <f aca="false">M165</f>
        <v>0.0087</v>
      </c>
      <c r="O165" s="144" t="n">
        <v>0</v>
      </c>
      <c r="P165" s="145"/>
      <c r="Q165" s="144" t="n">
        <f aca="false">M165+J165+G165</f>
        <v>3.9652</v>
      </c>
      <c r="R165" s="144" t="n">
        <f aca="false">O165+L165+I165</f>
        <v>0</v>
      </c>
      <c r="S165" s="145"/>
      <c r="T165" s="71" t="n">
        <f aca="false">A166-A165</f>
        <v>31</v>
      </c>
      <c r="U165" s="146" t="n">
        <f aca="false">CHOOSE(F$3,A166+24,A165)</f>
        <v>41754</v>
      </c>
      <c r="V165" s="71" t="n">
        <f aca="false">U165-C$3</f>
        <v>4866</v>
      </c>
      <c r="W165" s="142" t="n">
        <f aca="false">VLOOKUP($A165,Table,MATCH(W$4,Curves,0))</f>
        <v>0.058966861357273</v>
      </c>
      <c r="X165" s="147" t="n">
        <f aca="false">1/(1+CHOOSE(F$3,(W166+($K$3/10000))/2,(W165+($K$3/10000))/2))^(2*V165/365.25)</f>
        <v>0.461062820392334</v>
      </c>
      <c r="Y165" s="71" t="n">
        <f aca="false">IF(AND(mthbeg&lt;=A165,mthend&gt;=A165),1,0)</f>
        <v>0</v>
      </c>
      <c r="Z165" s="71" t="n">
        <f aca="false">T165*Y165</f>
        <v>0</v>
      </c>
      <c r="AB165" s="132" t="n">
        <f aca="false">F165*G165</f>
        <v>0</v>
      </c>
      <c r="AC165" s="132" t="n">
        <f aca="false">$F165*H165</f>
        <v>0</v>
      </c>
      <c r="AD165" s="132" t="n">
        <f aca="false">$F165*I165</f>
        <v>0</v>
      </c>
      <c r="AE165" s="132" t="n">
        <f aca="false">$F165*J165</f>
        <v>-0</v>
      </c>
      <c r="AF165" s="132" t="n">
        <f aca="false">$F165*K165</f>
        <v>-0</v>
      </c>
      <c r="AG165" s="132" t="n">
        <f aca="false">$F165*L165</f>
        <v>0</v>
      </c>
      <c r="AH165" s="132" t="n">
        <f aca="false">$F165*M165</f>
        <v>0</v>
      </c>
      <c r="AI165" s="132" t="n">
        <f aca="false">$F165*N165</f>
        <v>0</v>
      </c>
      <c r="AJ165" s="132" t="n">
        <f aca="false">F165*O165</f>
        <v>0</v>
      </c>
      <c r="AK165" s="137"/>
      <c r="AL165" s="132" t="n">
        <f aca="false">CHOOSE($G$3,AC165-AD165,AD165-AC165)</f>
        <v>0</v>
      </c>
      <c r="AM165" s="132" t="n">
        <f aca="false">CHOOSE($G$3,AF165-AG165,AG165-AF165)</f>
        <v>0</v>
      </c>
      <c r="AN165" s="132" t="n">
        <f aca="false">CHOOSE($G$3,AI165-AJ165,AJ165-AI165)</f>
        <v>0</v>
      </c>
      <c r="AO165" s="148" t="n">
        <f aca="false">SUM(AL165:AN165)</f>
        <v>0</v>
      </c>
      <c r="AQ165" s="132" t="n">
        <f aca="false">CHOOSE($G$3,AB165-AC165,AC165-AB165)</f>
        <v>0</v>
      </c>
      <c r="AR165" s="132" t="n">
        <f aca="false">CHOOSE($G$3,AE165-AF165,AF165-AE165)</f>
        <v>0</v>
      </c>
      <c r="AS165" s="132" t="n">
        <f aca="false">CHOOSE($G$3,AH165-AI165,AI165-AH165)</f>
        <v>0</v>
      </c>
      <c r="AT165" s="148" t="n">
        <f aca="false">AQ165+AR165+AS165</f>
        <v>0</v>
      </c>
      <c r="AU165" s="148"/>
      <c r="AV165" s="133" t="n">
        <f aca="false">AT165+AO165</f>
        <v>0</v>
      </c>
      <c r="AX165" s="133" t="n">
        <f aca="false">AJ165+AG165+AD165</f>
        <v>0</v>
      </c>
      <c r="AY165" s="149"/>
      <c r="AZ165" s="76" t="n">
        <f aca="false">R165*E165</f>
        <v>0</v>
      </c>
    </row>
    <row r="166" customFormat="false" ht="12.75" hidden="false" customHeight="false" outlineLevel="0" collapsed="false">
      <c r="A166" s="138" t="n">
        <f aca="false">EDATE(A165,1)</f>
        <v>41730</v>
      </c>
      <c r="B166" s="139" t="n">
        <f aca="false">VLOOKUP($A166,Table2,MATCH(I$3,Curves2,0))</f>
        <v>0</v>
      </c>
      <c r="C166" s="140"/>
      <c r="D166" s="141" t="n">
        <f aca="false">B166+C166</f>
        <v>0</v>
      </c>
      <c r="E166" s="126" t="n">
        <f aca="false">IF(Y166=0,0,IF(AND(Y166=1,$H$3=1),D166*T166,IF($H$3=2,D166,"N/A")))</f>
        <v>0</v>
      </c>
      <c r="F166" s="126" t="n">
        <f aca="false">E166*X166</f>
        <v>0</v>
      </c>
      <c r="G166" s="142" t="n">
        <f aca="false">VLOOKUP($A166,Table,MATCH(G$4,Curves,0))</f>
        <v>3.987</v>
      </c>
      <c r="H166" s="143" t="n">
        <f aca="false">G166</f>
        <v>3.987</v>
      </c>
      <c r="I166" s="142" t="n">
        <f aca="false">VLOOKUP($A166,Table1,MATCH(I$3,Curves1,0))</f>
        <v>0</v>
      </c>
      <c r="J166" s="142" t="n">
        <f aca="false">VLOOKUP($A166,Table,MATCH(J$4,Curves,0))</f>
        <v>-0.0305</v>
      </c>
      <c r="K166" s="143" t="n">
        <f aca="false">J166</f>
        <v>-0.0305</v>
      </c>
      <c r="L166" s="144" t="n">
        <v>0</v>
      </c>
      <c r="M166" s="142" t="n">
        <f aca="false">VLOOKUP($A166,Table,MATCH(M$4,Curves,0))</f>
        <v>0.0087</v>
      </c>
      <c r="N166" s="143" t="n">
        <f aca="false">M166</f>
        <v>0.0087</v>
      </c>
      <c r="O166" s="144" t="n">
        <v>0</v>
      </c>
      <c r="P166" s="145"/>
      <c r="Q166" s="144" t="n">
        <f aca="false">M166+J166+G166</f>
        <v>3.9652</v>
      </c>
      <c r="R166" s="144" t="n">
        <f aca="false">O166+L166+I166</f>
        <v>0</v>
      </c>
      <c r="S166" s="145"/>
      <c r="T166" s="71" t="n">
        <f aca="false">A167-A166</f>
        <v>30</v>
      </c>
      <c r="U166" s="146" t="n">
        <f aca="false">CHOOSE(F$3,A167+24,A166)</f>
        <v>41784</v>
      </c>
      <c r="V166" s="71" t="n">
        <f aca="false">U166-C$3</f>
        <v>4896</v>
      </c>
      <c r="W166" s="142" t="n">
        <f aca="false">VLOOKUP($A166,Table,MATCH(W$4,Curves,0))</f>
        <v>0.058966861357273</v>
      </c>
      <c r="X166" s="147" t="n">
        <f aca="false">1/(1+CHOOSE(F$3,(W167+($K$3/10000))/2,(W166+($K$3/10000))/2))^(2*V166/365.25)</f>
        <v>0.458867296839865</v>
      </c>
      <c r="Y166" s="71" t="n">
        <f aca="false">IF(AND(mthbeg&lt;=A166,mthend&gt;=A166),1,0)</f>
        <v>0</v>
      </c>
      <c r="Z166" s="71" t="n">
        <f aca="false">T166*Y166</f>
        <v>0</v>
      </c>
      <c r="AB166" s="132" t="n">
        <f aca="false">F166*G166</f>
        <v>0</v>
      </c>
      <c r="AC166" s="132" t="n">
        <f aca="false">$F166*H166</f>
        <v>0</v>
      </c>
      <c r="AD166" s="132" t="n">
        <f aca="false">$F166*I166</f>
        <v>0</v>
      </c>
      <c r="AE166" s="132" t="n">
        <f aca="false">$F166*J166</f>
        <v>-0</v>
      </c>
      <c r="AF166" s="132" t="n">
        <f aca="false">$F166*K166</f>
        <v>-0</v>
      </c>
      <c r="AG166" s="132" t="n">
        <f aca="false">$F166*L166</f>
        <v>0</v>
      </c>
      <c r="AH166" s="132" t="n">
        <f aca="false">$F166*M166</f>
        <v>0</v>
      </c>
      <c r="AI166" s="132" t="n">
        <f aca="false">$F166*N166</f>
        <v>0</v>
      </c>
      <c r="AJ166" s="132" t="n">
        <f aca="false">F166*O166</f>
        <v>0</v>
      </c>
      <c r="AK166" s="137"/>
      <c r="AL166" s="132" t="n">
        <f aca="false">CHOOSE($G$3,AC166-AD166,AD166-AC166)</f>
        <v>0</v>
      </c>
      <c r="AM166" s="132" t="n">
        <f aca="false">CHOOSE($G$3,AF166-AG166,AG166-AF166)</f>
        <v>0</v>
      </c>
      <c r="AN166" s="132" t="n">
        <f aca="false">CHOOSE($G$3,AI166-AJ166,AJ166-AI166)</f>
        <v>0</v>
      </c>
      <c r="AO166" s="148" t="n">
        <f aca="false">SUM(AL166:AN166)</f>
        <v>0</v>
      </c>
      <c r="AQ166" s="132" t="n">
        <f aca="false">CHOOSE($G$3,AB166-AC166,AC166-AB166)</f>
        <v>0</v>
      </c>
      <c r="AR166" s="132" t="n">
        <f aca="false">CHOOSE($G$3,AE166-AF166,AF166-AE166)</f>
        <v>0</v>
      </c>
      <c r="AS166" s="132" t="n">
        <f aca="false">CHOOSE($G$3,AH166-AI166,AI166-AH166)</f>
        <v>0</v>
      </c>
      <c r="AT166" s="148" t="n">
        <f aca="false">AQ166+AR166+AS166</f>
        <v>0</v>
      </c>
      <c r="AU166" s="148"/>
      <c r="AV166" s="133" t="n">
        <f aca="false">AT166+AO166</f>
        <v>0</v>
      </c>
      <c r="AX166" s="133" t="n">
        <f aca="false">AJ166+AG166+AD166</f>
        <v>0</v>
      </c>
      <c r="AY166" s="149"/>
      <c r="AZ166" s="76" t="n">
        <f aca="false">R166*E166</f>
        <v>0</v>
      </c>
    </row>
    <row r="167" customFormat="false" ht="12.75" hidden="false" customHeight="false" outlineLevel="0" collapsed="false">
      <c r="A167" s="138" t="n">
        <f aca="false">EDATE(A166,1)</f>
        <v>41760</v>
      </c>
      <c r="B167" s="139" t="n">
        <f aca="false">VLOOKUP($A167,Table2,MATCH(I$3,Curves2,0))</f>
        <v>0</v>
      </c>
      <c r="C167" s="140"/>
      <c r="D167" s="141" t="n">
        <f aca="false">B167+C167</f>
        <v>0</v>
      </c>
      <c r="E167" s="126" t="n">
        <f aca="false">IF(Y167=0,0,IF(AND(Y167=1,$H$3=1),D167*T167,IF($H$3=2,D167,"N/A")))</f>
        <v>0</v>
      </c>
      <c r="F167" s="126" t="n">
        <f aca="false">E167*X167</f>
        <v>0</v>
      </c>
      <c r="G167" s="142" t="n">
        <f aca="false">VLOOKUP($A167,Table,MATCH(G$4,Curves,0))</f>
        <v>3.987</v>
      </c>
      <c r="H167" s="143" t="n">
        <f aca="false">G167</f>
        <v>3.987</v>
      </c>
      <c r="I167" s="142" t="n">
        <f aca="false">VLOOKUP($A167,Table1,MATCH(I$3,Curves1,0))</f>
        <v>0</v>
      </c>
      <c r="J167" s="142" t="n">
        <f aca="false">VLOOKUP($A167,Table,MATCH(J$4,Curves,0))</f>
        <v>-0.0305</v>
      </c>
      <c r="K167" s="143" t="n">
        <f aca="false">J167</f>
        <v>-0.0305</v>
      </c>
      <c r="L167" s="144" t="n">
        <v>0</v>
      </c>
      <c r="M167" s="142" t="n">
        <f aca="false">VLOOKUP($A167,Table,MATCH(M$4,Curves,0))</f>
        <v>0.0087</v>
      </c>
      <c r="N167" s="143" t="n">
        <f aca="false">M167</f>
        <v>0.0087</v>
      </c>
      <c r="O167" s="144" t="n">
        <v>0</v>
      </c>
      <c r="P167" s="145"/>
      <c r="Q167" s="144" t="n">
        <f aca="false">M167+J167+G167</f>
        <v>3.9652</v>
      </c>
      <c r="R167" s="144" t="n">
        <f aca="false">O167+L167+I167</f>
        <v>0</v>
      </c>
      <c r="S167" s="145"/>
      <c r="T167" s="71" t="n">
        <f aca="false">A168-A167</f>
        <v>31</v>
      </c>
      <c r="U167" s="146" t="n">
        <f aca="false">CHOOSE(F$3,A168+24,A167)</f>
        <v>41815</v>
      </c>
      <c r="V167" s="71" t="n">
        <f aca="false">U167-C$3</f>
        <v>4927</v>
      </c>
      <c r="W167" s="142" t="n">
        <f aca="false">VLOOKUP($A167,Table,MATCH(W$4,Curves,0))</f>
        <v>0.058966861357273</v>
      </c>
      <c r="X167" s="147" t="n">
        <f aca="false">1/(1+CHOOSE(F$3,(W168+($K$3/10000))/2,(W167+($K$3/10000))/2))^(2*V167/365.25)</f>
        <v>0.456609571944736</v>
      </c>
      <c r="Y167" s="71" t="n">
        <f aca="false">IF(AND(mthbeg&lt;=A167,mthend&gt;=A167),1,0)</f>
        <v>0</v>
      </c>
      <c r="Z167" s="71" t="n">
        <f aca="false">T167*Y167</f>
        <v>0</v>
      </c>
      <c r="AB167" s="132" t="n">
        <f aca="false">F167*G167</f>
        <v>0</v>
      </c>
      <c r="AC167" s="132" t="n">
        <f aca="false">$F167*H167</f>
        <v>0</v>
      </c>
      <c r="AD167" s="132" t="n">
        <f aca="false">$F167*I167</f>
        <v>0</v>
      </c>
      <c r="AE167" s="132" t="n">
        <f aca="false">$F167*J167</f>
        <v>-0</v>
      </c>
      <c r="AF167" s="132" t="n">
        <f aca="false">$F167*K167</f>
        <v>-0</v>
      </c>
      <c r="AG167" s="132" t="n">
        <f aca="false">$F167*L167</f>
        <v>0</v>
      </c>
      <c r="AH167" s="132" t="n">
        <f aca="false">$F167*M167</f>
        <v>0</v>
      </c>
      <c r="AI167" s="132" t="n">
        <f aca="false">$F167*N167</f>
        <v>0</v>
      </c>
      <c r="AJ167" s="132" t="n">
        <f aca="false">F167*O167</f>
        <v>0</v>
      </c>
      <c r="AK167" s="137"/>
      <c r="AL167" s="132" t="n">
        <f aca="false">CHOOSE($G$3,AC167-AD167,AD167-AC167)</f>
        <v>0</v>
      </c>
      <c r="AM167" s="132" t="n">
        <f aca="false">CHOOSE($G$3,AF167-AG167,AG167-AF167)</f>
        <v>0</v>
      </c>
      <c r="AN167" s="132" t="n">
        <f aca="false">CHOOSE($G$3,AI167-AJ167,AJ167-AI167)</f>
        <v>0</v>
      </c>
      <c r="AO167" s="148" t="n">
        <f aca="false">SUM(AL167:AN167)</f>
        <v>0</v>
      </c>
      <c r="AQ167" s="132" t="n">
        <f aca="false">CHOOSE($G$3,AB167-AC167,AC167-AB167)</f>
        <v>0</v>
      </c>
      <c r="AR167" s="132" t="n">
        <f aca="false">CHOOSE($G$3,AE167-AF167,AF167-AE167)</f>
        <v>0</v>
      </c>
      <c r="AS167" s="132" t="n">
        <f aca="false">CHOOSE($G$3,AH167-AI167,AI167-AH167)</f>
        <v>0</v>
      </c>
      <c r="AT167" s="148" t="n">
        <f aca="false">AQ167+AR167+AS167</f>
        <v>0</v>
      </c>
      <c r="AU167" s="148"/>
      <c r="AV167" s="133" t="n">
        <f aca="false">AT167+AO167</f>
        <v>0</v>
      </c>
      <c r="AX167" s="133" t="n">
        <f aca="false">AJ167+AG167+AD167</f>
        <v>0</v>
      </c>
      <c r="AY167" s="149"/>
      <c r="AZ167" s="76" t="n">
        <f aca="false">R167*E167</f>
        <v>0</v>
      </c>
    </row>
    <row r="168" customFormat="false" ht="12.75" hidden="false" customHeight="false" outlineLevel="0" collapsed="false">
      <c r="A168" s="138" t="n">
        <f aca="false">EDATE(A167,1)</f>
        <v>41791</v>
      </c>
      <c r="B168" s="139" t="n">
        <f aca="false">VLOOKUP($A168,Table2,MATCH(I$3,Curves2,0))</f>
        <v>0</v>
      </c>
      <c r="C168" s="140"/>
      <c r="D168" s="141" t="n">
        <f aca="false">B168+C168</f>
        <v>0</v>
      </c>
      <c r="E168" s="126" t="n">
        <f aca="false">IF(Y168=0,0,IF(AND(Y168=1,$H$3=1),D168*T168,IF($H$3=2,D168,"N/A")))</f>
        <v>0</v>
      </c>
      <c r="F168" s="126" t="n">
        <f aca="false">E168*X168</f>
        <v>0</v>
      </c>
      <c r="G168" s="142" t="n">
        <f aca="false">VLOOKUP($A168,Table,MATCH(G$4,Curves,0))</f>
        <v>3.987</v>
      </c>
      <c r="H168" s="143" t="n">
        <f aca="false">G168</f>
        <v>3.987</v>
      </c>
      <c r="I168" s="142" t="n">
        <f aca="false">VLOOKUP($A168,Table1,MATCH(I$3,Curves1,0))</f>
        <v>0</v>
      </c>
      <c r="J168" s="142" t="n">
        <f aca="false">VLOOKUP($A168,Table,MATCH(J$4,Curves,0))</f>
        <v>-0.0305</v>
      </c>
      <c r="K168" s="143" t="n">
        <f aca="false">J168</f>
        <v>-0.0305</v>
      </c>
      <c r="L168" s="144" t="n">
        <v>0</v>
      </c>
      <c r="M168" s="142" t="n">
        <f aca="false">VLOOKUP($A168,Table,MATCH(M$4,Curves,0))</f>
        <v>0.0087</v>
      </c>
      <c r="N168" s="143" t="n">
        <f aca="false">M168</f>
        <v>0.0087</v>
      </c>
      <c r="O168" s="144" t="n">
        <v>0</v>
      </c>
      <c r="P168" s="145"/>
      <c r="Q168" s="144" t="n">
        <f aca="false">M168+J168+G168</f>
        <v>3.9652</v>
      </c>
      <c r="R168" s="144" t="n">
        <f aca="false">O168+L168+I168</f>
        <v>0</v>
      </c>
      <c r="S168" s="145"/>
      <c r="T168" s="71" t="n">
        <f aca="false">A169-A168</f>
        <v>30</v>
      </c>
      <c r="U168" s="146" t="n">
        <f aca="false">CHOOSE(F$3,A169+24,A168)</f>
        <v>41845</v>
      </c>
      <c r="V168" s="71" t="n">
        <f aca="false">U168-C$3</f>
        <v>4957</v>
      </c>
      <c r="W168" s="142" t="n">
        <f aca="false">VLOOKUP($A168,Table,MATCH(W$4,Curves,0))</f>
        <v>0.058966861357273</v>
      </c>
      <c r="X168" s="147" t="n">
        <f aca="false">1/(1+CHOOSE(F$3,(W169+($K$3/10000))/2,(W168+($K$3/10000))/2))^(2*V168/365.25)</f>
        <v>0.454435254205052</v>
      </c>
      <c r="Y168" s="71" t="n">
        <f aca="false">IF(AND(mthbeg&lt;=A168,mthend&gt;=A168),1,0)</f>
        <v>0</v>
      </c>
      <c r="Z168" s="71" t="n">
        <f aca="false">T168*Y168</f>
        <v>0</v>
      </c>
      <c r="AB168" s="132" t="n">
        <f aca="false">F168*G168</f>
        <v>0</v>
      </c>
      <c r="AC168" s="132" t="n">
        <f aca="false">$F168*H168</f>
        <v>0</v>
      </c>
      <c r="AD168" s="132" t="n">
        <f aca="false">$F168*I168</f>
        <v>0</v>
      </c>
      <c r="AE168" s="132" t="n">
        <f aca="false">$F168*J168</f>
        <v>-0</v>
      </c>
      <c r="AF168" s="132" t="n">
        <f aca="false">$F168*K168</f>
        <v>-0</v>
      </c>
      <c r="AG168" s="132" t="n">
        <f aca="false">$F168*L168</f>
        <v>0</v>
      </c>
      <c r="AH168" s="132" t="n">
        <f aca="false">$F168*M168</f>
        <v>0</v>
      </c>
      <c r="AI168" s="132" t="n">
        <f aca="false">$F168*N168</f>
        <v>0</v>
      </c>
      <c r="AJ168" s="132" t="n">
        <f aca="false">F168*O168</f>
        <v>0</v>
      </c>
      <c r="AK168" s="137"/>
      <c r="AL168" s="132" t="n">
        <f aca="false">CHOOSE($G$3,AC168-AD168,AD168-AC168)</f>
        <v>0</v>
      </c>
      <c r="AM168" s="132" t="n">
        <f aca="false">CHOOSE($G$3,AF168-AG168,AG168-AF168)</f>
        <v>0</v>
      </c>
      <c r="AN168" s="132" t="n">
        <f aca="false">CHOOSE($G$3,AI168-AJ168,AJ168-AI168)</f>
        <v>0</v>
      </c>
      <c r="AO168" s="148" t="n">
        <f aca="false">SUM(AL168:AN168)</f>
        <v>0</v>
      </c>
      <c r="AQ168" s="132" t="n">
        <f aca="false">CHOOSE($G$3,AB168-AC168,AC168-AB168)</f>
        <v>0</v>
      </c>
      <c r="AR168" s="132" t="n">
        <f aca="false">CHOOSE($G$3,AE168-AF168,AF168-AE168)</f>
        <v>0</v>
      </c>
      <c r="AS168" s="132" t="n">
        <f aca="false">CHOOSE($G$3,AH168-AI168,AI168-AH168)</f>
        <v>0</v>
      </c>
      <c r="AT168" s="148" t="n">
        <f aca="false">AQ168+AR168+AS168</f>
        <v>0</v>
      </c>
      <c r="AU168" s="148"/>
      <c r="AV168" s="133" t="n">
        <f aca="false">AT168+AO168</f>
        <v>0</v>
      </c>
      <c r="AX168" s="133" t="n">
        <f aca="false">AJ168+AG168+AD168</f>
        <v>0</v>
      </c>
      <c r="AY168" s="149"/>
      <c r="AZ168" s="76" t="n">
        <f aca="false">R168*E168</f>
        <v>0</v>
      </c>
    </row>
    <row r="169" customFormat="false" ht="12.75" hidden="false" customHeight="false" outlineLevel="0" collapsed="false">
      <c r="A169" s="138" t="n">
        <f aca="false">EDATE(A168,1)</f>
        <v>41821</v>
      </c>
      <c r="B169" s="139" t="n">
        <f aca="false">VLOOKUP($A169,Table2,MATCH(I$3,Curves2,0))</f>
        <v>0</v>
      </c>
      <c r="C169" s="140"/>
      <c r="D169" s="141" t="n">
        <f aca="false">B169+C169</f>
        <v>0</v>
      </c>
      <c r="E169" s="126" t="n">
        <f aca="false">IF(Y169=0,0,IF(AND(Y169=1,$H$3=1),D169*T169,IF($H$3=2,D169,"N/A")))</f>
        <v>0</v>
      </c>
      <c r="F169" s="126" t="n">
        <f aca="false">E169*X169</f>
        <v>0</v>
      </c>
      <c r="G169" s="142" t="n">
        <f aca="false">VLOOKUP($A169,Table,MATCH(G$4,Curves,0))</f>
        <v>3.987</v>
      </c>
      <c r="H169" s="143" t="n">
        <f aca="false">G169</f>
        <v>3.987</v>
      </c>
      <c r="I169" s="142" t="n">
        <f aca="false">VLOOKUP($A169,Table1,MATCH(I$3,Curves1,0))</f>
        <v>0</v>
      </c>
      <c r="J169" s="142" t="n">
        <f aca="false">VLOOKUP($A169,Table,MATCH(J$4,Curves,0))</f>
        <v>-0.0305</v>
      </c>
      <c r="K169" s="143" t="n">
        <f aca="false">J169</f>
        <v>-0.0305</v>
      </c>
      <c r="L169" s="144" t="n">
        <v>0</v>
      </c>
      <c r="M169" s="142" t="n">
        <f aca="false">VLOOKUP($A169,Table,MATCH(M$4,Curves,0))</f>
        <v>0.0087</v>
      </c>
      <c r="N169" s="143" t="n">
        <f aca="false">M169</f>
        <v>0.0087</v>
      </c>
      <c r="O169" s="144" t="n">
        <v>0</v>
      </c>
      <c r="P169" s="145"/>
      <c r="Q169" s="144" t="n">
        <f aca="false">M169+J169+G169</f>
        <v>3.9652</v>
      </c>
      <c r="R169" s="144" t="n">
        <f aca="false">O169+L169+I169</f>
        <v>0</v>
      </c>
      <c r="S169" s="145"/>
      <c r="T169" s="71" t="n">
        <f aca="false">A170-A169</f>
        <v>31</v>
      </c>
      <c r="U169" s="146" t="n">
        <f aca="false">CHOOSE(F$3,A170+24,A169)</f>
        <v>41876</v>
      </c>
      <c r="V169" s="71" t="n">
        <f aca="false">U169-C$3</f>
        <v>4988</v>
      </c>
      <c r="W169" s="142" t="n">
        <f aca="false">VLOOKUP($A169,Table,MATCH(W$4,Curves,0))</f>
        <v>0.058966861357273</v>
      </c>
      <c r="X169" s="147" t="n">
        <f aca="false">1/(1+CHOOSE(F$3,(W170+($K$3/10000))/2,(W169+($K$3/10000))/2))^(2*V169/365.25)</f>
        <v>0.452199335904252</v>
      </c>
      <c r="Y169" s="71" t="n">
        <f aca="false">IF(AND(mthbeg&lt;=A169,mthend&gt;=A169),1,0)</f>
        <v>0</v>
      </c>
      <c r="Z169" s="71" t="n">
        <f aca="false">T169*Y169</f>
        <v>0</v>
      </c>
      <c r="AB169" s="132" t="n">
        <f aca="false">F169*G169</f>
        <v>0</v>
      </c>
      <c r="AC169" s="132" t="n">
        <f aca="false">$F169*H169</f>
        <v>0</v>
      </c>
      <c r="AD169" s="132" t="n">
        <f aca="false">$F169*I169</f>
        <v>0</v>
      </c>
      <c r="AE169" s="132" t="n">
        <f aca="false">$F169*J169</f>
        <v>-0</v>
      </c>
      <c r="AF169" s="132" t="n">
        <f aca="false">$F169*K169</f>
        <v>-0</v>
      </c>
      <c r="AG169" s="132" t="n">
        <f aca="false">$F169*L169</f>
        <v>0</v>
      </c>
      <c r="AH169" s="132" t="n">
        <f aca="false">$F169*M169</f>
        <v>0</v>
      </c>
      <c r="AI169" s="132" t="n">
        <f aca="false">$F169*N169</f>
        <v>0</v>
      </c>
      <c r="AJ169" s="132" t="n">
        <f aca="false">F169*O169</f>
        <v>0</v>
      </c>
      <c r="AK169" s="137"/>
      <c r="AL169" s="132" t="n">
        <f aca="false">CHOOSE($G$3,AC169-AD169,AD169-AC169)</f>
        <v>0</v>
      </c>
      <c r="AM169" s="132" t="n">
        <f aca="false">CHOOSE($G$3,AF169-AG169,AG169-AF169)</f>
        <v>0</v>
      </c>
      <c r="AN169" s="132" t="n">
        <f aca="false">CHOOSE($G$3,AI169-AJ169,AJ169-AI169)</f>
        <v>0</v>
      </c>
      <c r="AO169" s="148" t="n">
        <f aca="false">SUM(AL169:AN169)</f>
        <v>0</v>
      </c>
      <c r="AQ169" s="132" t="n">
        <f aca="false">CHOOSE($G$3,AB169-AC169,AC169-AB169)</f>
        <v>0</v>
      </c>
      <c r="AR169" s="132" t="n">
        <f aca="false">CHOOSE($G$3,AE169-AF169,AF169-AE169)</f>
        <v>0</v>
      </c>
      <c r="AS169" s="132" t="n">
        <f aca="false">CHOOSE($G$3,AH169-AI169,AI169-AH169)</f>
        <v>0</v>
      </c>
      <c r="AT169" s="148" t="n">
        <f aca="false">AQ169+AR169+AS169</f>
        <v>0</v>
      </c>
      <c r="AU169" s="148"/>
      <c r="AV169" s="133" t="n">
        <f aca="false">AT169+AO169</f>
        <v>0</v>
      </c>
      <c r="AX169" s="133" t="n">
        <f aca="false">AJ169+AG169+AD169</f>
        <v>0</v>
      </c>
      <c r="AY169" s="149"/>
      <c r="AZ169" s="76" t="n">
        <f aca="false">R169*E169</f>
        <v>0</v>
      </c>
    </row>
    <row r="170" customFormat="false" ht="12" hidden="false" customHeight="true" outlineLevel="0" collapsed="false">
      <c r="A170" s="138" t="n">
        <f aca="false">EDATE(A169,1)</f>
        <v>41852</v>
      </c>
      <c r="B170" s="139" t="n">
        <f aca="false">VLOOKUP($A170,Table2,MATCH(I$3,Curves2,0))</f>
        <v>0</v>
      </c>
      <c r="C170" s="140"/>
      <c r="D170" s="141" t="n">
        <f aca="false">B170+C170</f>
        <v>0</v>
      </c>
      <c r="E170" s="126" t="n">
        <f aca="false">IF(Y170=0,0,IF(AND(Y170=1,$H$3=1),D170*T170,IF($H$3=2,D170,"N/A")))</f>
        <v>0</v>
      </c>
      <c r="F170" s="126" t="n">
        <f aca="false">E170*X170</f>
        <v>0</v>
      </c>
      <c r="G170" s="142" t="n">
        <f aca="false">VLOOKUP($A170,Table,MATCH(G$4,Curves,0))</f>
        <v>3.987</v>
      </c>
      <c r="H170" s="143" t="n">
        <f aca="false">G170</f>
        <v>3.987</v>
      </c>
      <c r="I170" s="142" t="n">
        <f aca="false">VLOOKUP($A170,Table1,MATCH(I$3,Curves1,0))</f>
        <v>0</v>
      </c>
      <c r="J170" s="142" t="n">
        <f aca="false">VLOOKUP($A170,Table,MATCH(J$4,Curves,0))</f>
        <v>-0.0305</v>
      </c>
      <c r="K170" s="143" t="n">
        <f aca="false">J170</f>
        <v>-0.0305</v>
      </c>
      <c r="L170" s="144" t="n">
        <v>0</v>
      </c>
      <c r="M170" s="142" t="n">
        <f aca="false">VLOOKUP($A170,Table,MATCH(M$4,Curves,0))</f>
        <v>0.0087</v>
      </c>
      <c r="N170" s="143" t="n">
        <f aca="false">M170</f>
        <v>0.0087</v>
      </c>
      <c r="O170" s="144" t="n">
        <v>0</v>
      </c>
      <c r="P170" s="145"/>
      <c r="Q170" s="144" t="n">
        <f aca="false">M170+J170+G170</f>
        <v>3.9652</v>
      </c>
      <c r="R170" s="144" t="n">
        <f aca="false">O170+L170+I170</f>
        <v>0</v>
      </c>
      <c r="S170" s="145"/>
      <c r="T170" s="71" t="n">
        <f aca="false">A171-A170</f>
        <v>31</v>
      </c>
      <c r="U170" s="146" t="n">
        <f aca="false">CHOOSE(F$3,A171+24,A170)</f>
        <v>41907</v>
      </c>
      <c r="V170" s="71" t="n">
        <f aca="false">U170-C$3</f>
        <v>5019</v>
      </c>
      <c r="W170" s="142" t="n">
        <f aca="false">VLOOKUP($A170,Table,MATCH(W$4,Curves,0))</f>
        <v>0.058966861357273</v>
      </c>
      <c r="X170" s="147" t="n">
        <f aca="false">1/(1+CHOOSE(F$3,(W171+($K$3/10000))/2,(W170+($K$3/10000))/2))^(2*V170/365.25)</f>
        <v>0.449974418798015</v>
      </c>
      <c r="Y170" s="71" t="n">
        <f aca="false">IF(AND(mthbeg&lt;=A170,mthend&gt;=A170),1,0)</f>
        <v>0</v>
      </c>
      <c r="Z170" s="71" t="n">
        <f aca="false">T170*Y170</f>
        <v>0</v>
      </c>
      <c r="AB170" s="132" t="n">
        <f aca="false">F170*G170</f>
        <v>0</v>
      </c>
      <c r="AC170" s="132" t="n">
        <f aca="false">$F170*H170</f>
        <v>0</v>
      </c>
      <c r="AD170" s="132" t="n">
        <f aca="false">$F170*I170</f>
        <v>0</v>
      </c>
      <c r="AE170" s="132" t="n">
        <f aca="false">$F170*J170</f>
        <v>-0</v>
      </c>
      <c r="AF170" s="132" t="n">
        <f aca="false">$F170*K170</f>
        <v>-0</v>
      </c>
      <c r="AG170" s="132" t="n">
        <f aca="false">$F170*L170</f>
        <v>0</v>
      </c>
      <c r="AH170" s="132" t="n">
        <f aca="false">$F170*M170</f>
        <v>0</v>
      </c>
      <c r="AI170" s="132" t="n">
        <f aca="false">$F170*N170</f>
        <v>0</v>
      </c>
      <c r="AJ170" s="132" t="n">
        <f aca="false">F170*O170</f>
        <v>0</v>
      </c>
      <c r="AK170" s="137"/>
      <c r="AL170" s="132" t="n">
        <f aca="false">CHOOSE($G$3,AC170-AD170,AD170-AC170)</f>
        <v>0</v>
      </c>
      <c r="AM170" s="132" t="n">
        <f aca="false">CHOOSE($G$3,AF170-AG170,AG170-AF170)</f>
        <v>0</v>
      </c>
      <c r="AN170" s="132" t="n">
        <f aca="false">CHOOSE($G$3,AI170-AJ170,AJ170-AI170)</f>
        <v>0</v>
      </c>
      <c r="AO170" s="148" t="n">
        <f aca="false">SUM(AL170:AN170)</f>
        <v>0</v>
      </c>
      <c r="AQ170" s="132" t="n">
        <f aca="false">CHOOSE($G$3,AB170-AC170,AC170-AB170)</f>
        <v>0</v>
      </c>
      <c r="AR170" s="132" t="n">
        <f aca="false">CHOOSE($G$3,AE170-AF170,AF170-AE170)</f>
        <v>0</v>
      </c>
      <c r="AS170" s="132" t="n">
        <f aca="false">CHOOSE($G$3,AH170-AI170,AI170-AH170)</f>
        <v>0</v>
      </c>
      <c r="AT170" s="148" t="n">
        <f aca="false">AQ170+AR170+AS170</f>
        <v>0</v>
      </c>
      <c r="AU170" s="148"/>
      <c r="AV170" s="133" t="n">
        <f aca="false">AT170+AO170</f>
        <v>0</v>
      </c>
      <c r="AX170" s="133" t="n">
        <f aca="false">AJ170+AG170+AD170</f>
        <v>0</v>
      </c>
      <c r="AY170" s="149"/>
      <c r="AZ170" s="76" t="n">
        <f aca="false">R170*E170</f>
        <v>0</v>
      </c>
    </row>
    <row r="171" customFormat="false" ht="12" hidden="false" customHeight="true" outlineLevel="0" collapsed="false">
      <c r="A171" s="138" t="n">
        <f aca="false">EDATE(A170,1)</f>
        <v>41883</v>
      </c>
      <c r="B171" s="139" t="n">
        <f aca="false">VLOOKUP($A171,Table2,MATCH(I$3,Curves2,0))</f>
        <v>0</v>
      </c>
      <c r="C171" s="140"/>
      <c r="D171" s="141" t="n">
        <f aca="false">B171+C171</f>
        <v>0</v>
      </c>
      <c r="E171" s="126" t="n">
        <f aca="false">IF(Y171=0,0,IF(AND(Y171=1,$H$3=1),D171*T171,IF($H$3=2,D171,"N/A")))</f>
        <v>0</v>
      </c>
      <c r="F171" s="126" t="n">
        <f aca="false">E171*X171</f>
        <v>0</v>
      </c>
      <c r="G171" s="142" t="n">
        <f aca="false">VLOOKUP($A171,Table,MATCH(G$4,Curves,0))</f>
        <v>3.987</v>
      </c>
      <c r="H171" s="143" t="n">
        <f aca="false">G171</f>
        <v>3.987</v>
      </c>
      <c r="I171" s="142" t="n">
        <f aca="false">VLOOKUP($A171,Table1,MATCH(I$3,Curves1,0))</f>
        <v>0</v>
      </c>
      <c r="J171" s="142" t="n">
        <f aca="false">VLOOKUP($A171,Table,MATCH(J$4,Curves,0))</f>
        <v>-0.0305</v>
      </c>
      <c r="K171" s="143" t="n">
        <f aca="false">J171</f>
        <v>-0.0305</v>
      </c>
      <c r="L171" s="144" t="n">
        <v>0</v>
      </c>
      <c r="M171" s="142" t="n">
        <f aca="false">VLOOKUP($A171,Table,MATCH(M$4,Curves,0))</f>
        <v>0.0087</v>
      </c>
      <c r="N171" s="143" t="n">
        <f aca="false">M171</f>
        <v>0.0087</v>
      </c>
      <c r="O171" s="144" t="n">
        <v>0</v>
      </c>
      <c r="P171" s="145"/>
      <c r="Q171" s="144" t="n">
        <f aca="false">M171+J171+G171</f>
        <v>3.9652</v>
      </c>
      <c r="R171" s="144" t="n">
        <f aca="false">O171+L171+I171</f>
        <v>0</v>
      </c>
      <c r="S171" s="145"/>
      <c r="T171" s="71" t="n">
        <f aca="false">A172-A171</f>
        <v>30</v>
      </c>
      <c r="U171" s="146" t="n">
        <f aca="false">CHOOSE(F$3,A172+24,A171)</f>
        <v>41937</v>
      </c>
      <c r="V171" s="71" t="n">
        <f aca="false">U171-C$3</f>
        <v>5049</v>
      </c>
      <c r="W171" s="142" t="n">
        <f aca="false">VLOOKUP($A171,Table,MATCH(W$4,Curves,0))</f>
        <v>0.058966861357273</v>
      </c>
      <c r="X171" s="147" t="n">
        <f aca="false">1/(1+CHOOSE(F$3,(W172+($K$3/10000))/2,(W171+($K$3/10000))/2))^(2*V171/365.25)</f>
        <v>0.44783169682872</v>
      </c>
      <c r="Y171" s="71" t="n">
        <f aca="false">IF(AND(mthbeg&lt;=A171,mthend&gt;=A171),1,0)</f>
        <v>0</v>
      </c>
      <c r="Z171" s="71" t="n">
        <f aca="false">T171*Y171</f>
        <v>0</v>
      </c>
      <c r="AB171" s="132" t="n">
        <f aca="false">F171*G171</f>
        <v>0</v>
      </c>
      <c r="AC171" s="132" t="n">
        <f aca="false">$F171*H171</f>
        <v>0</v>
      </c>
      <c r="AD171" s="132" t="n">
        <f aca="false">$F171*I171</f>
        <v>0</v>
      </c>
      <c r="AE171" s="132" t="n">
        <f aca="false">$F171*J171</f>
        <v>-0</v>
      </c>
      <c r="AF171" s="132" t="n">
        <f aca="false">$F171*K171</f>
        <v>-0</v>
      </c>
      <c r="AG171" s="132" t="n">
        <f aca="false">$F171*L171</f>
        <v>0</v>
      </c>
      <c r="AH171" s="132" t="n">
        <f aca="false">$F171*M171</f>
        <v>0</v>
      </c>
      <c r="AI171" s="132" t="n">
        <f aca="false">$F171*N171</f>
        <v>0</v>
      </c>
      <c r="AJ171" s="132" t="n">
        <f aca="false">F171*O171</f>
        <v>0</v>
      </c>
      <c r="AK171" s="137"/>
      <c r="AL171" s="132" t="n">
        <f aca="false">CHOOSE($G$3,AC171-AD171,AD171-AC171)</f>
        <v>0</v>
      </c>
      <c r="AM171" s="132" t="n">
        <f aca="false">CHOOSE($G$3,AF171-AG171,AG171-AF171)</f>
        <v>0</v>
      </c>
      <c r="AN171" s="132" t="n">
        <f aca="false">CHOOSE($G$3,AI171-AJ171,AJ171-AI171)</f>
        <v>0</v>
      </c>
      <c r="AO171" s="148" t="n">
        <f aca="false">SUM(AL171:AN171)</f>
        <v>0</v>
      </c>
      <c r="AQ171" s="132" t="n">
        <f aca="false">CHOOSE($G$3,AB171-AC171,AC171-AB171)</f>
        <v>0</v>
      </c>
      <c r="AR171" s="132" t="n">
        <f aca="false">CHOOSE($G$3,AE171-AF171,AF171-AE171)</f>
        <v>0</v>
      </c>
      <c r="AS171" s="132" t="n">
        <f aca="false">CHOOSE($G$3,AH171-AI171,AI171-AH171)</f>
        <v>0</v>
      </c>
      <c r="AT171" s="148" t="n">
        <f aca="false">AQ171+AR171+AS171</f>
        <v>0</v>
      </c>
      <c r="AU171" s="148"/>
      <c r="AV171" s="133" t="n">
        <f aca="false">AT171+AO171</f>
        <v>0</v>
      </c>
      <c r="AX171" s="133" t="n">
        <f aca="false">AJ171+AG171+AD171</f>
        <v>0</v>
      </c>
      <c r="AY171" s="149"/>
      <c r="AZ171" s="76" t="n">
        <f aca="false">R171*E171</f>
        <v>0</v>
      </c>
    </row>
    <row r="172" customFormat="false" ht="12" hidden="false" customHeight="true" outlineLevel="0" collapsed="false">
      <c r="A172" s="138" t="n">
        <f aca="false">EDATE(A171,1)</f>
        <v>41913</v>
      </c>
      <c r="B172" s="139" t="n">
        <f aca="false">VLOOKUP($A172,Table2,MATCH(I$3,Curves2,0))</f>
        <v>0</v>
      </c>
      <c r="C172" s="140"/>
      <c r="D172" s="141" t="n">
        <f aca="false">B172+C172</f>
        <v>0</v>
      </c>
      <c r="E172" s="126" t="n">
        <f aca="false">IF(Y172=0,0,IF(AND(Y172=1,$H$3=1),D172*T172,IF($H$3=2,D172,"N/A")))</f>
        <v>0</v>
      </c>
      <c r="F172" s="126" t="n">
        <f aca="false">E172*X172</f>
        <v>0</v>
      </c>
      <c r="G172" s="142" t="n">
        <f aca="false">VLOOKUP($A172,Table,MATCH(G$4,Curves,0))</f>
        <v>3.987</v>
      </c>
      <c r="H172" s="143" t="n">
        <f aca="false">G172</f>
        <v>3.987</v>
      </c>
      <c r="I172" s="142" t="n">
        <f aca="false">VLOOKUP($A172,Table1,MATCH(I$3,Curves1,0))</f>
        <v>0</v>
      </c>
      <c r="J172" s="142" t="n">
        <f aca="false">VLOOKUP($A172,Table,MATCH(J$4,Curves,0))</f>
        <v>-0.0305</v>
      </c>
      <c r="K172" s="143" t="n">
        <f aca="false">J172</f>
        <v>-0.0305</v>
      </c>
      <c r="L172" s="144" t="n">
        <v>0</v>
      </c>
      <c r="M172" s="142" t="n">
        <f aca="false">VLOOKUP($A172,Table,MATCH(M$4,Curves,0))</f>
        <v>0.0087</v>
      </c>
      <c r="N172" s="143" t="n">
        <f aca="false">M172</f>
        <v>0.0087</v>
      </c>
      <c r="O172" s="144" t="n">
        <v>0</v>
      </c>
      <c r="P172" s="145"/>
      <c r="Q172" s="144" t="n">
        <f aca="false">M172+J172+G172</f>
        <v>3.9652</v>
      </c>
      <c r="R172" s="144" t="n">
        <f aca="false">O172+L172+I172</f>
        <v>0</v>
      </c>
      <c r="S172" s="145"/>
      <c r="T172" s="71" t="n">
        <f aca="false">A173-A172</f>
        <v>31</v>
      </c>
      <c r="U172" s="146" t="n">
        <f aca="false">CHOOSE(F$3,A173+24,A172)</f>
        <v>41968</v>
      </c>
      <c r="V172" s="71" t="n">
        <f aca="false">U172-C$3</f>
        <v>5080</v>
      </c>
      <c r="W172" s="142" t="n">
        <f aca="false">VLOOKUP($A172,Table,MATCH(W$4,Curves,0))</f>
        <v>0.058966861357273</v>
      </c>
      <c r="X172" s="147" t="n">
        <f aca="false">1/(1+CHOOSE(F$3,(W173+($K$3/10000))/2,(W172+($K$3/10000))/2))^(2*V172/365.25)</f>
        <v>0.445628269437574</v>
      </c>
      <c r="Y172" s="71" t="n">
        <f aca="false">IF(AND(mthbeg&lt;=A172,mthend&gt;=A172),1,0)</f>
        <v>0</v>
      </c>
      <c r="Z172" s="71" t="n">
        <f aca="false">T172*Y172</f>
        <v>0</v>
      </c>
      <c r="AB172" s="132" t="n">
        <f aca="false">F172*G172</f>
        <v>0</v>
      </c>
      <c r="AC172" s="132" t="n">
        <f aca="false">$F172*H172</f>
        <v>0</v>
      </c>
      <c r="AD172" s="132" t="n">
        <f aca="false">$F172*I172</f>
        <v>0</v>
      </c>
      <c r="AE172" s="132" t="n">
        <f aca="false">$F172*J172</f>
        <v>-0</v>
      </c>
      <c r="AF172" s="132" t="n">
        <f aca="false">$F172*K172</f>
        <v>-0</v>
      </c>
      <c r="AG172" s="132" t="n">
        <f aca="false">$F172*L172</f>
        <v>0</v>
      </c>
      <c r="AH172" s="132" t="n">
        <f aca="false">$F172*M172</f>
        <v>0</v>
      </c>
      <c r="AI172" s="132" t="n">
        <f aca="false">$F172*N172</f>
        <v>0</v>
      </c>
      <c r="AJ172" s="132" t="n">
        <f aca="false">F172*O172</f>
        <v>0</v>
      </c>
      <c r="AK172" s="137"/>
      <c r="AL172" s="132" t="n">
        <f aca="false">CHOOSE($G$3,AC172-AD172,AD172-AC172)</f>
        <v>0</v>
      </c>
      <c r="AM172" s="132" t="n">
        <f aca="false">CHOOSE($G$3,AF172-AG172,AG172-AF172)</f>
        <v>0</v>
      </c>
      <c r="AN172" s="132" t="n">
        <f aca="false">CHOOSE($G$3,AI172-AJ172,AJ172-AI172)</f>
        <v>0</v>
      </c>
      <c r="AO172" s="148" t="n">
        <f aca="false">SUM(AL172:AN172)</f>
        <v>0</v>
      </c>
      <c r="AQ172" s="132" t="n">
        <f aca="false">CHOOSE($G$3,AB172-AC172,AC172-AB172)</f>
        <v>0</v>
      </c>
      <c r="AR172" s="132" t="n">
        <f aca="false">CHOOSE($G$3,AE172-AF172,AF172-AE172)</f>
        <v>0</v>
      </c>
      <c r="AS172" s="132" t="n">
        <f aca="false">CHOOSE($G$3,AH172-AI172,AI172-AH172)</f>
        <v>0</v>
      </c>
      <c r="AT172" s="148" t="n">
        <f aca="false">AQ172+AR172+AS172</f>
        <v>0</v>
      </c>
      <c r="AU172" s="148"/>
      <c r="AV172" s="133" t="n">
        <f aca="false">AT172+AO172</f>
        <v>0</v>
      </c>
      <c r="AX172" s="133" t="n">
        <f aca="false">AJ172+AG172+AD172</f>
        <v>0</v>
      </c>
      <c r="AY172" s="149"/>
      <c r="AZ172" s="76" t="n">
        <f aca="false">R172*E172</f>
        <v>0</v>
      </c>
    </row>
    <row r="173" customFormat="false" ht="12" hidden="false" customHeight="true" outlineLevel="0" collapsed="false">
      <c r="A173" s="138" t="n">
        <f aca="false">EDATE(A172,1)</f>
        <v>41944</v>
      </c>
      <c r="B173" s="139" t="n">
        <f aca="false">VLOOKUP($A173,Table2,MATCH(I$3,Curves2,0))</f>
        <v>0</v>
      </c>
      <c r="C173" s="140"/>
      <c r="D173" s="141" t="n">
        <f aca="false">B173+C173</f>
        <v>0</v>
      </c>
      <c r="E173" s="126" t="n">
        <f aca="false">IF(Y173=0,0,IF(AND(Y173=1,$H$3=1),D173*T173,IF($H$3=2,D173,"N/A")))</f>
        <v>0</v>
      </c>
      <c r="F173" s="126" t="n">
        <f aca="false">E173*X173</f>
        <v>0</v>
      </c>
      <c r="G173" s="142" t="n">
        <f aca="false">VLOOKUP($A173,Table,MATCH(G$4,Curves,0))</f>
        <v>3.987</v>
      </c>
      <c r="H173" s="143" t="n">
        <f aca="false">G173</f>
        <v>3.987</v>
      </c>
      <c r="I173" s="142" t="n">
        <f aca="false">VLOOKUP($A173,Table1,MATCH(I$3,Curves1,0))</f>
        <v>0</v>
      </c>
      <c r="J173" s="142" t="n">
        <f aca="false">VLOOKUP($A173,Table,MATCH(J$4,Curves,0))</f>
        <v>-0.0305</v>
      </c>
      <c r="K173" s="143" t="n">
        <f aca="false">J173</f>
        <v>-0.0305</v>
      </c>
      <c r="L173" s="144" t="n">
        <v>0</v>
      </c>
      <c r="M173" s="142" t="n">
        <f aca="false">VLOOKUP($A173,Table,MATCH(M$4,Curves,0))</f>
        <v>0.0087</v>
      </c>
      <c r="N173" s="143" t="n">
        <f aca="false">M173</f>
        <v>0.0087</v>
      </c>
      <c r="O173" s="144" t="n">
        <v>0</v>
      </c>
      <c r="P173" s="145"/>
      <c r="Q173" s="144" t="n">
        <f aca="false">M173+J173+G173</f>
        <v>3.9652</v>
      </c>
      <c r="R173" s="144" t="n">
        <f aca="false">O173+L173+I173</f>
        <v>0</v>
      </c>
      <c r="S173" s="145"/>
      <c r="T173" s="71" t="n">
        <f aca="false">A174-A173</f>
        <v>30</v>
      </c>
      <c r="U173" s="146" t="n">
        <f aca="false">CHOOSE(F$3,A174+24,A173)</f>
        <v>41998</v>
      </c>
      <c r="V173" s="71" t="n">
        <f aca="false">U173-C$3</f>
        <v>5110</v>
      </c>
      <c r="W173" s="142" t="n">
        <f aca="false">VLOOKUP($A173,Table,MATCH(W$4,Curves,0))</f>
        <v>0.058966861357273</v>
      </c>
      <c r="X173" s="147" t="n">
        <f aca="false">1/(1+CHOOSE(F$3,(W174+($K$3/10000))/2,(W173+($K$3/10000))/2))^(2*V173/365.25)</f>
        <v>0.443506243288591</v>
      </c>
      <c r="Y173" s="71" t="n">
        <f aca="false">IF(AND(mthbeg&lt;=A173,mthend&gt;=A173),1,0)</f>
        <v>0</v>
      </c>
      <c r="Z173" s="71" t="n">
        <f aca="false">T173*Y173</f>
        <v>0</v>
      </c>
      <c r="AB173" s="132" t="n">
        <f aca="false">F173*G173</f>
        <v>0</v>
      </c>
      <c r="AC173" s="132" t="n">
        <f aca="false">$F173*H173</f>
        <v>0</v>
      </c>
      <c r="AD173" s="132" t="n">
        <f aca="false">$F173*I173</f>
        <v>0</v>
      </c>
      <c r="AE173" s="132" t="n">
        <f aca="false">$F173*J173</f>
        <v>-0</v>
      </c>
      <c r="AF173" s="132" t="n">
        <f aca="false">$F173*K173</f>
        <v>-0</v>
      </c>
      <c r="AG173" s="132" t="n">
        <f aca="false">$F173*L173</f>
        <v>0</v>
      </c>
      <c r="AH173" s="132" t="n">
        <f aca="false">$F173*M173</f>
        <v>0</v>
      </c>
      <c r="AI173" s="132" t="n">
        <f aca="false">$F173*N173</f>
        <v>0</v>
      </c>
      <c r="AJ173" s="132" t="n">
        <f aca="false">F173*O173</f>
        <v>0</v>
      </c>
      <c r="AK173" s="137"/>
      <c r="AL173" s="132" t="n">
        <f aca="false">CHOOSE($G$3,AC173-AD173,AD173-AC173)</f>
        <v>0</v>
      </c>
      <c r="AM173" s="132" t="n">
        <f aca="false">CHOOSE($G$3,AF173-AG173,AG173-AF173)</f>
        <v>0</v>
      </c>
      <c r="AN173" s="132" t="n">
        <f aca="false">CHOOSE($G$3,AI173-AJ173,AJ173-AI173)</f>
        <v>0</v>
      </c>
      <c r="AO173" s="148" t="n">
        <f aca="false">SUM(AL173:AN173)</f>
        <v>0</v>
      </c>
      <c r="AQ173" s="132" t="n">
        <f aca="false">CHOOSE($G$3,AB173-AC173,AC173-AB173)</f>
        <v>0</v>
      </c>
      <c r="AR173" s="132" t="n">
        <f aca="false">CHOOSE($G$3,AE173-AF173,AF173-AE173)</f>
        <v>0</v>
      </c>
      <c r="AS173" s="132" t="n">
        <f aca="false">CHOOSE($G$3,AH173-AI173,AI173-AH173)</f>
        <v>0</v>
      </c>
      <c r="AT173" s="148" t="n">
        <f aca="false">AQ173+AR173+AS173</f>
        <v>0</v>
      </c>
      <c r="AU173" s="148"/>
      <c r="AV173" s="133" t="n">
        <f aca="false">AT173+AO173</f>
        <v>0</v>
      </c>
      <c r="AX173" s="133" t="n">
        <f aca="false">AJ173+AG173+AD173</f>
        <v>0</v>
      </c>
      <c r="AY173" s="149"/>
      <c r="AZ173" s="76" t="n">
        <f aca="false">R173*E173</f>
        <v>0</v>
      </c>
    </row>
    <row r="174" customFormat="false" ht="12" hidden="false" customHeight="true" outlineLevel="0" collapsed="false">
      <c r="A174" s="138" t="n">
        <f aca="false">EDATE(A173,1)</f>
        <v>41974</v>
      </c>
      <c r="B174" s="139" t="n">
        <f aca="false">VLOOKUP($A174,Table2,MATCH(I$3,Curves2,0))</f>
        <v>0</v>
      </c>
      <c r="C174" s="140"/>
      <c r="D174" s="141" t="n">
        <f aca="false">B174+C174</f>
        <v>0</v>
      </c>
      <c r="E174" s="126" t="n">
        <f aca="false">IF(Y174=0,0,IF(AND(Y174=1,$H$3=1),D174*T174,IF($H$3=2,D174,"N/A")))</f>
        <v>0</v>
      </c>
      <c r="F174" s="126" t="n">
        <f aca="false">E174*X174</f>
        <v>0</v>
      </c>
      <c r="G174" s="142" t="n">
        <f aca="false">VLOOKUP($A174,Table,MATCH(G$4,Curves,0))</f>
        <v>3.987</v>
      </c>
      <c r="H174" s="143" t="n">
        <f aca="false">G174</f>
        <v>3.987</v>
      </c>
      <c r="I174" s="142" t="n">
        <f aca="false">VLOOKUP($A174,Table1,MATCH(I$3,Curves1,0))</f>
        <v>0</v>
      </c>
      <c r="J174" s="142" t="n">
        <f aca="false">VLOOKUP($A174,Table,MATCH(J$4,Curves,0))</f>
        <v>-0.0305</v>
      </c>
      <c r="K174" s="143" t="n">
        <f aca="false">J174</f>
        <v>-0.0305</v>
      </c>
      <c r="L174" s="144" t="n">
        <v>0</v>
      </c>
      <c r="M174" s="142" t="n">
        <f aca="false">VLOOKUP($A174,Table,MATCH(M$4,Curves,0))</f>
        <v>0.0087</v>
      </c>
      <c r="N174" s="143" t="n">
        <f aca="false">M174</f>
        <v>0.0087</v>
      </c>
      <c r="O174" s="144" t="n">
        <v>0</v>
      </c>
      <c r="P174" s="145"/>
      <c r="Q174" s="144" t="n">
        <f aca="false">M174+J174+G174</f>
        <v>3.9652</v>
      </c>
      <c r="R174" s="144" t="n">
        <f aca="false">O174+L174+I174</f>
        <v>0</v>
      </c>
      <c r="S174" s="145"/>
      <c r="T174" s="71" t="n">
        <f aca="false">A175-A174</f>
        <v>31</v>
      </c>
      <c r="U174" s="146" t="n">
        <f aca="false">CHOOSE(F$3,A175+24,A174)</f>
        <v>42029</v>
      </c>
      <c r="V174" s="71" t="n">
        <f aca="false">U174-C$3</f>
        <v>5141</v>
      </c>
      <c r="W174" s="142" t="n">
        <f aca="false">VLOOKUP($A174,Table,MATCH(W$4,Curves,0))</f>
        <v>0.058966861357273</v>
      </c>
      <c r="X174" s="147" t="n">
        <f aca="false">1/(1+CHOOSE(F$3,(W175+($K$3/10000))/2,(W174+($K$3/10000))/2))^(2*V174/365.25)</f>
        <v>0.441324098050712</v>
      </c>
      <c r="Y174" s="71" t="n">
        <f aca="false">IF(AND(mthbeg&lt;=A174,mthend&gt;=A174),1,0)</f>
        <v>0</v>
      </c>
      <c r="Z174" s="71" t="n">
        <f aca="false">T174*Y174</f>
        <v>0</v>
      </c>
      <c r="AB174" s="132" t="n">
        <f aca="false">F174*G174</f>
        <v>0</v>
      </c>
      <c r="AC174" s="132" t="n">
        <f aca="false">$F174*H174</f>
        <v>0</v>
      </c>
      <c r="AD174" s="132" t="n">
        <f aca="false">$F174*I174</f>
        <v>0</v>
      </c>
      <c r="AE174" s="132" t="n">
        <f aca="false">$F174*J174</f>
        <v>-0</v>
      </c>
      <c r="AF174" s="132" t="n">
        <f aca="false">$F174*K174</f>
        <v>-0</v>
      </c>
      <c r="AG174" s="132" t="n">
        <f aca="false">$F174*L174</f>
        <v>0</v>
      </c>
      <c r="AH174" s="132" t="n">
        <f aca="false">$F174*M174</f>
        <v>0</v>
      </c>
      <c r="AI174" s="132" t="n">
        <f aca="false">$F174*N174</f>
        <v>0</v>
      </c>
      <c r="AJ174" s="132" t="n">
        <f aca="false">F174*O174</f>
        <v>0</v>
      </c>
      <c r="AK174" s="137"/>
      <c r="AL174" s="132" t="n">
        <f aca="false">CHOOSE($G$3,AC174-AD174,AD174-AC174)</f>
        <v>0</v>
      </c>
      <c r="AM174" s="132" t="n">
        <f aca="false">CHOOSE($G$3,AF174-AG174,AG174-AF174)</f>
        <v>0</v>
      </c>
      <c r="AN174" s="132" t="n">
        <f aca="false">CHOOSE($G$3,AI174-AJ174,AJ174-AI174)</f>
        <v>0</v>
      </c>
      <c r="AO174" s="148" t="n">
        <f aca="false">SUM(AL174:AN174)</f>
        <v>0</v>
      </c>
      <c r="AQ174" s="132" t="n">
        <f aca="false">CHOOSE($G$3,AB174-AC174,AC174-AB174)</f>
        <v>0</v>
      </c>
      <c r="AR174" s="132" t="n">
        <f aca="false">CHOOSE($G$3,AE174-AF174,AF174-AE174)</f>
        <v>0</v>
      </c>
      <c r="AS174" s="132" t="n">
        <f aca="false">CHOOSE($G$3,AH174-AI174,AI174-AH174)</f>
        <v>0</v>
      </c>
      <c r="AT174" s="148" t="n">
        <f aca="false">AQ174+AR174+AS174</f>
        <v>0</v>
      </c>
      <c r="AU174" s="148"/>
      <c r="AV174" s="133" t="n">
        <f aca="false">AT174+AO174</f>
        <v>0</v>
      </c>
      <c r="AX174" s="133" t="n">
        <f aca="false">AJ174+AG174+AD174</f>
        <v>0</v>
      </c>
      <c r="AY174" s="149"/>
      <c r="AZ174" s="76" t="n">
        <f aca="false">R174*E174</f>
        <v>0</v>
      </c>
    </row>
    <row r="175" customFormat="false" ht="12" hidden="false" customHeight="true" outlineLevel="0" collapsed="false">
      <c r="A175" s="138" t="n">
        <f aca="false">EDATE(A174,1)</f>
        <v>42005</v>
      </c>
      <c r="B175" s="139" t="n">
        <f aca="false">VLOOKUP($A175,Table2,MATCH(I$3,Curves2,0))</f>
        <v>0</v>
      </c>
      <c r="C175" s="140"/>
      <c r="D175" s="141" t="n">
        <f aca="false">B175+C175</f>
        <v>0</v>
      </c>
      <c r="E175" s="126" t="n">
        <f aca="false">IF(Y175=0,0,IF(AND(Y175=1,$H$3=1),D175*T175,IF($H$3=2,D175,"N/A")))</f>
        <v>0</v>
      </c>
      <c r="F175" s="126" t="n">
        <f aca="false">E175*X175</f>
        <v>0</v>
      </c>
      <c r="G175" s="142" t="n">
        <f aca="false">VLOOKUP($A175,Table,MATCH(G$4,Curves,0))</f>
        <v>3.987</v>
      </c>
      <c r="H175" s="143" t="n">
        <f aca="false">G175</f>
        <v>3.987</v>
      </c>
      <c r="I175" s="142" t="n">
        <f aca="false">VLOOKUP($A175,Table1,MATCH(I$3,Curves1,0))</f>
        <v>0</v>
      </c>
      <c r="J175" s="142" t="n">
        <f aca="false">VLOOKUP($A175,Table,MATCH(J$4,Curves,0))</f>
        <v>-0.0305</v>
      </c>
      <c r="K175" s="143" t="n">
        <f aca="false">J175</f>
        <v>-0.0305</v>
      </c>
      <c r="L175" s="144" t="n">
        <v>0</v>
      </c>
      <c r="M175" s="142" t="n">
        <f aca="false">VLOOKUP($A175,Table,MATCH(M$4,Curves,0))</f>
        <v>0.0087</v>
      </c>
      <c r="N175" s="143" t="n">
        <f aca="false">M175</f>
        <v>0.0087</v>
      </c>
      <c r="O175" s="144" t="n">
        <v>0</v>
      </c>
      <c r="P175" s="145"/>
      <c r="Q175" s="144" t="n">
        <f aca="false">M175+J175+G175</f>
        <v>3.9652</v>
      </c>
      <c r="R175" s="144" t="n">
        <f aca="false">O175+L175+I175</f>
        <v>0</v>
      </c>
      <c r="S175" s="145"/>
      <c r="T175" s="71" t="n">
        <f aca="false">A176-A175</f>
        <v>31</v>
      </c>
      <c r="U175" s="146" t="n">
        <f aca="false">CHOOSE(F$3,A176+24,A175)</f>
        <v>42060</v>
      </c>
      <c r="V175" s="71" t="n">
        <f aca="false">U175-C$3</f>
        <v>5172</v>
      </c>
      <c r="W175" s="142" t="n">
        <f aca="false">VLOOKUP($A175,Table,MATCH(W$4,Curves,0))</f>
        <v>0.058966861357273</v>
      </c>
      <c r="X175" s="147" t="n">
        <f aca="false">1/(1+CHOOSE(F$3,(W176+($K$3/10000))/2,(W175+($K$3/10000))/2))^(2*V175/365.25)</f>
        <v>0.439152689432466</v>
      </c>
      <c r="Y175" s="71" t="n">
        <f aca="false">IF(AND(mthbeg&lt;=A175,mthend&gt;=A175),1,0)</f>
        <v>0</v>
      </c>
      <c r="Z175" s="71" t="n">
        <f aca="false">T175*Y175</f>
        <v>0</v>
      </c>
      <c r="AB175" s="132" t="n">
        <f aca="false">F175*G175</f>
        <v>0</v>
      </c>
      <c r="AC175" s="132" t="n">
        <f aca="false">$F175*H175</f>
        <v>0</v>
      </c>
      <c r="AD175" s="132" t="n">
        <f aca="false">$F175*I175</f>
        <v>0</v>
      </c>
      <c r="AE175" s="132" t="n">
        <f aca="false">$F175*J175</f>
        <v>-0</v>
      </c>
      <c r="AF175" s="132" t="n">
        <f aca="false">$F175*K175</f>
        <v>-0</v>
      </c>
      <c r="AG175" s="132" t="n">
        <f aca="false">$F175*L175</f>
        <v>0</v>
      </c>
      <c r="AH175" s="132" t="n">
        <f aca="false">$F175*M175</f>
        <v>0</v>
      </c>
      <c r="AI175" s="132" t="n">
        <f aca="false">$F175*N175</f>
        <v>0</v>
      </c>
      <c r="AJ175" s="132" t="n">
        <f aca="false">F175*O175</f>
        <v>0</v>
      </c>
      <c r="AK175" s="137"/>
      <c r="AL175" s="132" t="n">
        <f aca="false">CHOOSE($G$3,AC175-AD175,AD175-AC175)</f>
        <v>0</v>
      </c>
      <c r="AM175" s="132" t="n">
        <f aca="false">CHOOSE($G$3,AF175-AG175,AG175-AF175)</f>
        <v>0</v>
      </c>
      <c r="AN175" s="132" t="n">
        <f aca="false">CHOOSE($G$3,AI175-AJ175,AJ175-AI175)</f>
        <v>0</v>
      </c>
      <c r="AO175" s="148" t="n">
        <f aca="false">SUM(AL175:AN175)</f>
        <v>0</v>
      </c>
      <c r="AQ175" s="132" t="n">
        <f aca="false">CHOOSE($G$3,AB175-AC175,AC175-AB175)</f>
        <v>0</v>
      </c>
      <c r="AR175" s="132" t="n">
        <f aca="false">CHOOSE($G$3,AE175-AF175,AF175-AE175)</f>
        <v>0</v>
      </c>
      <c r="AS175" s="132" t="n">
        <f aca="false">CHOOSE($G$3,AH175-AI175,AI175-AH175)</f>
        <v>0</v>
      </c>
      <c r="AT175" s="148" t="n">
        <f aca="false">AQ175+AR175+AS175</f>
        <v>0</v>
      </c>
      <c r="AU175" s="148"/>
      <c r="AV175" s="133" t="n">
        <f aca="false">AT175+AO175</f>
        <v>0</v>
      </c>
      <c r="AX175" s="133" t="n">
        <f aca="false">AJ175+AG175+AD175</f>
        <v>0</v>
      </c>
      <c r="AY175" s="149"/>
      <c r="AZ175" s="76" t="n">
        <f aca="false">R175*E175</f>
        <v>0</v>
      </c>
    </row>
    <row r="176" customFormat="false" ht="12" hidden="false" customHeight="true" outlineLevel="0" collapsed="false">
      <c r="A176" s="138" t="n">
        <f aca="false">EDATE(A175,1)</f>
        <v>42036</v>
      </c>
      <c r="B176" s="139" t="n">
        <f aca="false">VLOOKUP($A176,Table2,MATCH(I$3,Curves2,0))</f>
        <v>0</v>
      </c>
      <c r="C176" s="140"/>
      <c r="D176" s="141" t="n">
        <f aca="false">B176+C176</f>
        <v>0</v>
      </c>
      <c r="E176" s="126" t="n">
        <f aca="false">IF(Y176=0,0,IF(AND(Y176=1,$H$3=1),D176*T176,IF($H$3=2,D176,"N/A")))</f>
        <v>0</v>
      </c>
      <c r="F176" s="126" t="n">
        <f aca="false">E176*X176</f>
        <v>0</v>
      </c>
      <c r="G176" s="142" t="n">
        <f aca="false">VLOOKUP($A176,Table,MATCH(G$4,Curves,0))</f>
        <v>3.987</v>
      </c>
      <c r="H176" s="143" t="n">
        <f aca="false">G176</f>
        <v>3.987</v>
      </c>
      <c r="I176" s="142" t="n">
        <f aca="false">VLOOKUP($A176,Table1,MATCH(I$3,Curves1,0))</f>
        <v>0</v>
      </c>
      <c r="J176" s="142" t="n">
        <f aca="false">VLOOKUP($A176,Table,MATCH(J$4,Curves,0))</f>
        <v>-0.0305</v>
      </c>
      <c r="K176" s="143" t="n">
        <f aca="false">J176</f>
        <v>-0.0305</v>
      </c>
      <c r="L176" s="144" t="n">
        <v>0</v>
      </c>
      <c r="M176" s="142" t="n">
        <f aca="false">VLOOKUP($A176,Table,MATCH(M$4,Curves,0))</f>
        <v>0.0087</v>
      </c>
      <c r="N176" s="143" t="n">
        <f aca="false">M176</f>
        <v>0.0087</v>
      </c>
      <c r="O176" s="144" t="n">
        <v>0</v>
      </c>
      <c r="P176" s="145"/>
      <c r="Q176" s="144" t="n">
        <f aca="false">M176+J176+G176</f>
        <v>3.9652</v>
      </c>
      <c r="R176" s="144" t="n">
        <f aca="false">O176+L176+I176</f>
        <v>0</v>
      </c>
      <c r="S176" s="145"/>
      <c r="T176" s="71" t="n">
        <f aca="false">A177-A176</f>
        <v>28</v>
      </c>
      <c r="U176" s="146" t="n">
        <f aca="false">CHOOSE(F$3,A177+24,A176)</f>
        <v>42088</v>
      </c>
      <c r="V176" s="71" t="n">
        <f aca="false">U176-C$3</f>
        <v>5200</v>
      </c>
      <c r="W176" s="142" t="n">
        <f aca="false">VLOOKUP($A176,Table,MATCH(W$4,Curves,0))</f>
        <v>0.058966861357273</v>
      </c>
      <c r="X176" s="147" t="n">
        <f aca="false">1/(1+CHOOSE(F$3,(W177+($K$3/10000))/2,(W176+($K$3/10000))/2))^(2*V176/365.25)</f>
        <v>0.437200601539712</v>
      </c>
      <c r="Y176" s="71" t="n">
        <f aca="false">IF(AND(mthbeg&lt;=A176,mthend&gt;=A176),1,0)</f>
        <v>0</v>
      </c>
      <c r="Z176" s="71" t="n">
        <f aca="false">T176*Y176</f>
        <v>0</v>
      </c>
      <c r="AB176" s="132" t="n">
        <f aca="false">F176*G176</f>
        <v>0</v>
      </c>
      <c r="AC176" s="132" t="n">
        <f aca="false">$F176*H176</f>
        <v>0</v>
      </c>
      <c r="AD176" s="132" t="n">
        <f aca="false">$F176*I176</f>
        <v>0</v>
      </c>
      <c r="AE176" s="132" t="n">
        <f aca="false">$F176*J176</f>
        <v>-0</v>
      </c>
      <c r="AF176" s="132" t="n">
        <f aca="false">$F176*K176</f>
        <v>-0</v>
      </c>
      <c r="AG176" s="132" t="n">
        <f aca="false">$F176*L176</f>
        <v>0</v>
      </c>
      <c r="AH176" s="132" t="n">
        <f aca="false">$F176*M176</f>
        <v>0</v>
      </c>
      <c r="AI176" s="132" t="n">
        <f aca="false">$F176*N176</f>
        <v>0</v>
      </c>
      <c r="AJ176" s="132" t="n">
        <f aca="false">F176*O176</f>
        <v>0</v>
      </c>
      <c r="AK176" s="137"/>
      <c r="AL176" s="132" t="n">
        <f aca="false">CHOOSE($G$3,AC176-AD176,AD176-AC176)</f>
        <v>0</v>
      </c>
      <c r="AM176" s="132" t="n">
        <f aca="false">CHOOSE($G$3,AF176-AG176,AG176-AF176)</f>
        <v>0</v>
      </c>
      <c r="AN176" s="132" t="n">
        <f aca="false">CHOOSE($G$3,AI176-AJ176,AJ176-AI176)</f>
        <v>0</v>
      </c>
      <c r="AO176" s="148" t="n">
        <f aca="false">SUM(AL176:AN176)</f>
        <v>0</v>
      </c>
      <c r="AQ176" s="132" t="n">
        <f aca="false">CHOOSE($G$3,AB176-AC176,AC176-AB176)</f>
        <v>0</v>
      </c>
      <c r="AR176" s="132" t="n">
        <f aca="false">CHOOSE($G$3,AE176-AF176,AF176-AE176)</f>
        <v>0</v>
      </c>
      <c r="AS176" s="132" t="n">
        <f aca="false">CHOOSE($G$3,AH176-AI176,AI176-AH176)</f>
        <v>0</v>
      </c>
      <c r="AT176" s="148" t="n">
        <f aca="false">AQ176+AR176+AS176</f>
        <v>0</v>
      </c>
      <c r="AU176" s="148"/>
      <c r="AV176" s="133" t="n">
        <f aca="false">AT176+AO176</f>
        <v>0</v>
      </c>
      <c r="AX176" s="133" t="n">
        <f aca="false">AJ176+AG176+AD176</f>
        <v>0</v>
      </c>
      <c r="AY176" s="149"/>
      <c r="AZ176" s="76" t="n">
        <f aca="false">R176*E176</f>
        <v>0</v>
      </c>
    </row>
    <row r="177" customFormat="false" ht="12" hidden="false" customHeight="true" outlineLevel="0" collapsed="false">
      <c r="A177" s="138" t="n">
        <f aca="false">EDATE(A176,1)</f>
        <v>42064</v>
      </c>
      <c r="B177" s="139" t="n">
        <f aca="false">VLOOKUP($A177,Table2,MATCH(I$3,Curves2,0))</f>
        <v>0</v>
      </c>
      <c r="C177" s="140"/>
      <c r="D177" s="141" t="n">
        <f aca="false">B177+C177</f>
        <v>0</v>
      </c>
      <c r="E177" s="126" t="n">
        <f aca="false">IF(Y177=0,0,IF(AND(Y177=1,$H$3=1),D177*T177,IF($H$3=2,D177,"N/A")))</f>
        <v>0</v>
      </c>
      <c r="F177" s="126" t="n">
        <f aca="false">E177*X177</f>
        <v>0</v>
      </c>
      <c r="G177" s="142" t="n">
        <f aca="false">VLOOKUP($A177,Table,MATCH(G$4,Curves,0))</f>
        <v>3.987</v>
      </c>
      <c r="H177" s="143" t="n">
        <f aca="false">G177</f>
        <v>3.987</v>
      </c>
      <c r="I177" s="142" t="n">
        <f aca="false">VLOOKUP($A177,Table1,MATCH(I$3,Curves1,0))</f>
        <v>0</v>
      </c>
      <c r="J177" s="142" t="n">
        <f aca="false">VLOOKUP($A177,Table,MATCH(J$4,Curves,0))</f>
        <v>-0.0305</v>
      </c>
      <c r="K177" s="143" t="n">
        <f aca="false">J177</f>
        <v>-0.0305</v>
      </c>
      <c r="L177" s="144" t="n">
        <v>0</v>
      </c>
      <c r="M177" s="142" t="n">
        <f aca="false">VLOOKUP($A177,Table,MATCH(M$4,Curves,0))</f>
        <v>0.0087</v>
      </c>
      <c r="N177" s="143" t="n">
        <f aca="false">M177</f>
        <v>0.0087</v>
      </c>
      <c r="O177" s="144" t="n">
        <v>0</v>
      </c>
      <c r="P177" s="145"/>
      <c r="Q177" s="144" t="n">
        <f aca="false">M177+J177+G177</f>
        <v>3.9652</v>
      </c>
      <c r="R177" s="144" t="n">
        <f aca="false">O177+L177+I177</f>
        <v>0</v>
      </c>
      <c r="S177" s="145"/>
      <c r="T177" s="71" t="n">
        <f aca="false">A178-A177</f>
        <v>31</v>
      </c>
      <c r="U177" s="146" t="n">
        <f aca="false">CHOOSE(F$3,A178+24,A177)</f>
        <v>42119</v>
      </c>
      <c r="V177" s="71" t="n">
        <f aca="false">U177-C$3</f>
        <v>5231</v>
      </c>
      <c r="W177" s="142" t="n">
        <f aca="false">VLOOKUP($A177,Table,MATCH(W$4,Curves,0))</f>
        <v>0.058966861357273</v>
      </c>
      <c r="X177" s="147" t="n">
        <f aca="false">1/(1+CHOOSE(F$3,(W178+($K$3/10000))/2,(W177+($K$3/10000))/2))^(2*V177/365.25)</f>
        <v>0.435049481403107</v>
      </c>
      <c r="Y177" s="71" t="n">
        <f aca="false">IF(AND(mthbeg&lt;=A177,mthend&gt;=A177),1,0)</f>
        <v>0</v>
      </c>
      <c r="Z177" s="71" t="n">
        <f aca="false">T177*Y177</f>
        <v>0</v>
      </c>
      <c r="AB177" s="132" t="n">
        <f aca="false">F177*G177</f>
        <v>0</v>
      </c>
      <c r="AC177" s="132" t="n">
        <f aca="false">$F177*H177</f>
        <v>0</v>
      </c>
      <c r="AD177" s="132" t="n">
        <f aca="false">$F177*I177</f>
        <v>0</v>
      </c>
      <c r="AE177" s="132" t="n">
        <f aca="false">$F177*J177</f>
        <v>-0</v>
      </c>
      <c r="AF177" s="132" t="n">
        <f aca="false">$F177*K177</f>
        <v>-0</v>
      </c>
      <c r="AG177" s="132" t="n">
        <f aca="false">$F177*L177</f>
        <v>0</v>
      </c>
      <c r="AH177" s="132" t="n">
        <f aca="false">$F177*M177</f>
        <v>0</v>
      </c>
      <c r="AI177" s="132" t="n">
        <f aca="false">$F177*N177</f>
        <v>0</v>
      </c>
      <c r="AJ177" s="132" t="n">
        <f aca="false">F177*O177</f>
        <v>0</v>
      </c>
      <c r="AK177" s="137"/>
      <c r="AL177" s="132" t="n">
        <f aca="false">CHOOSE($G$3,AC177-AD177,AD177-AC177)</f>
        <v>0</v>
      </c>
      <c r="AM177" s="132" t="n">
        <f aca="false">CHOOSE($G$3,AF177-AG177,AG177-AF177)</f>
        <v>0</v>
      </c>
      <c r="AN177" s="132" t="n">
        <f aca="false">CHOOSE($G$3,AI177-AJ177,AJ177-AI177)</f>
        <v>0</v>
      </c>
      <c r="AO177" s="148" t="n">
        <f aca="false">SUM(AL177:AN177)</f>
        <v>0</v>
      </c>
      <c r="AQ177" s="132" t="n">
        <f aca="false">CHOOSE($G$3,AB177-AC177,AC177-AB177)</f>
        <v>0</v>
      </c>
      <c r="AR177" s="132" t="n">
        <f aca="false">CHOOSE($G$3,AE177-AF177,AF177-AE177)</f>
        <v>0</v>
      </c>
      <c r="AS177" s="132" t="n">
        <f aca="false">CHOOSE($G$3,AH177-AI177,AI177-AH177)</f>
        <v>0</v>
      </c>
      <c r="AT177" s="148" t="n">
        <f aca="false">AQ177+AR177+AS177</f>
        <v>0</v>
      </c>
      <c r="AU177" s="148"/>
      <c r="AV177" s="133" t="n">
        <f aca="false">AT177+AO177</f>
        <v>0</v>
      </c>
      <c r="AX177" s="133" t="n">
        <f aca="false">AJ177+AG177+AD177</f>
        <v>0</v>
      </c>
      <c r="AY177" s="149"/>
      <c r="AZ177" s="76" t="n">
        <f aca="false">R177*E177</f>
        <v>0</v>
      </c>
    </row>
    <row r="178" customFormat="false" ht="12" hidden="false" customHeight="true" outlineLevel="0" collapsed="false">
      <c r="A178" s="138" t="n">
        <f aca="false">EDATE(A177,1)</f>
        <v>42095</v>
      </c>
      <c r="B178" s="139" t="n">
        <f aca="false">VLOOKUP($A178,Table2,MATCH(I$3,Curves2,0))</f>
        <v>0</v>
      </c>
      <c r="C178" s="140"/>
      <c r="D178" s="141" t="n">
        <f aca="false">B178+C178</f>
        <v>0</v>
      </c>
      <c r="E178" s="126" t="n">
        <f aca="false">IF(Y178=0,0,IF(AND(Y178=1,$H$3=1),D178*T178,IF($H$3=2,D178,"N/A")))</f>
        <v>0</v>
      </c>
      <c r="F178" s="126" t="n">
        <f aca="false">E178*X178</f>
        <v>0</v>
      </c>
      <c r="G178" s="142" t="n">
        <f aca="false">VLOOKUP($A178,Table,MATCH(G$4,Curves,0))</f>
        <v>3.987</v>
      </c>
      <c r="H178" s="143" t="n">
        <f aca="false">G178</f>
        <v>3.987</v>
      </c>
      <c r="I178" s="142" t="n">
        <f aca="false">VLOOKUP($A178,Table1,MATCH(I$3,Curves1,0))</f>
        <v>0</v>
      </c>
      <c r="J178" s="142" t="n">
        <f aca="false">VLOOKUP($A178,Table,MATCH(J$4,Curves,0))</f>
        <v>-0.0305</v>
      </c>
      <c r="K178" s="143" t="n">
        <f aca="false">J178</f>
        <v>-0.0305</v>
      </c>
      <c r="L178" s="144" t="n">
        <v>0</v>
      </c>
      <c r="M178" s="142" t="n">
        <f aca="false">VLOOKUP($A178,Table,MATCH(M$4,Curves,0))</f>
        <v>0.0087</v>
      </c>
      <c r="N178" s="143" t="n">
        <f aca="false">M178</f>
        <v>0.0087</v>
      </c>
      <c r="O178" s="144" t="n">
        <v>0</v>
      </c>
      <c r="P178" s="145"/>
      <c r="Q178" s="144" t="n">
        <f aca="false">M178+J178+G178</f>
        <v>3.9652</v>
      </c>
      <c r="R178" s="144" t="n">
        <f aca="false">O178+L178+I178</f>
        <v>0</v>
      </c>
      <c r="S178" s="145"/>
      <c r="T178" s="71" t="n">
        <f aca="false">A179-A178</f>
        <v>30</v>
      </c>
      <c r="U178" s="146" t="n">
        <f aca="false">CHOOSE(F$3,A179+24,A178)</f>
        <v>42149</v>
      </c>
      <c r="V178" s="71" t="n">
        <f aca="false">U178-C$3</f>
        <v>5261</v>
      </c>
      <c r="W178" s="142" t="n">
        <f aca="false">VLOOKUP($A178,Table,MATCH(W$4,Curves,0))</f>
        <v>0.058966861357273</v>
      </c>
      <c r="X178" s="147" t="n">
        <f aca="false">1/(1+CHOOSE(F$3,(W179+($K$3/10000))/2,(W178+($K$3/10000))/2))^(2*V178/365.25)</f>
        <v>0.43297783012119</v>
      </c>
      <c r="Y178" s="71" t="n">
        <f aca="false">IF(AND(mthbeg&lt;=A178,mthend&gt;=A178),1,0)</f>
        <v>0</v>
      </c>
      <c r="Z178" s="71" t="n">
        <f aca="false">T178*Y178</f>
        <v>0</v>
      </c>
      <c r="AB178" s="132" t="n">
        <f aca="false">F178*G178</f>
        <v>0</v>
      </c>
      <c r="AC178" s="132" t="n">
        <f aca="false">$F178*H178</f>
        <v>0</v>
      </c>
      <c r="AD178" s="132" t="n">
        <f aca="false">$F178*I178</f>
        <v>0</v>
      </c>
      <c r="AE178" s="132" t="n">
        <f aca="false">$F178*J178</f>
        <v>-0</v>
      </c>
      <c r="AF178" s="132" t="n">
        <f aca="false">$F178*K178</f>
        <v>-0</v>
      </c>
      <c r="AG178" s="132" t="n">
        <f aca="false">$F178*L178</f>
        <v>0</v>
      </c>
      <c r="AH178" s="132" t="n">
        <f aca="false">$F178*M178</f>
        <v>0</v>
      </c>
      <c r="AI178" s="132" t="n">
        <f aca="false">$F178*N178</f>
        <v>0</v>
      </c>
      <c r="AJ178" s="132" t="n">
        <f aca="false">F178*O178</f>
        <v>0</v>
      </c>
      <c r="AK178" s="137"/>
      <c r="AL178" s="132" t="n">
        <f aca="false">CHOOSE($G$3,AC178-AD178,AD178-AC178)</f>
        <v>0</v>
      </c>
      <c r="AM178" s="132" t="n">
        <f aca="false">CHOOSE($G$3,AF178-AG178,AG178-AF178)</f>
        <v>0</v>
      </c>
      <c r="AN178" s="132" t="n">
        <f aca="false">CHOOSE($G$3,AI178-AJ178,AJ178-AI178)</f>
        <v>0</v>
      </c>
      <c r="AO178" s="148" t="n">
        <f aca="false">SUM(AL178:AN178)</f>
        <v>0</v>
      </c>
      <c r="AQ178" s="132" t="n">
        <f aca="false">CHOOSE($G$3,AB178-AC178,AC178-AB178)</f>
        <v>0</v>
      </c>
      <c r="AR178" s="132" t="n">
        <f aca="false">CHOOSE($G$3,AE178-AF178,AF178-AE178)</f>
        <v>0</v>
      </c>
      <c r="AS178" s="132" t="n">
        <f aca="false">CHOOSE($G$3,AH178-AI178,AI178-AH178)</f>
        <v>0</v>
      </c>
      <c r="AT178" s="148" t="n">
        <f aca="false">AQ178+AR178+AS178</f>
        <v>0</v>
      </c>
      <c r="AU178" s="148"/>
      <c r="AV178" s="133" t="n">
        <f aca="false">AT178+AO178</f>
        <v>0</v>
      </c>
      <c r="AX178" s="133" t="n">
        <f aca="false">AJ178+AG178+AD178</f>
        <v>0</v>
      </c>
      <c r="AY178" s="149"/>
      <c r="AZ178" s="76" t="n">
        <f aca="false">R178*E178</f>
        <v>0</v>
      </c>
    </row>
    <row r="179" customFormat="false" ht="12" hidden="false" customHeight="true" outlineLevel="0" collapsed="false">
      <c r="A179" s="138" t="n">
        <f aca="false">EDATE(A178,1)</f>
        <v>42125</v>
      </c>
      <c r="B179" s="139" t="n">
        <f aca="false">VLOOKUP($A179,Table2,MATCH(I$3,Curves2,0))</f>
        <v>0</v>
      </c>
      <c r="C179" s="140"/>
      <c r="D179" s="141" t="n">
        <f aca="false">B179+C179</f>
        <v>0</v>
      </c>
      <c r="E179" s="126" t="n">
        <f aca="false">IF(Y179=0,0,IF(AND(Y179=1,$H$3=1),D179*T179,IF($H$3=2,D179,"N/A")))</f>
        <v>0</v>
      </c>
      <c r="F179" s="126" t="n">
        <f aca="false">E179*X179</f>
        <v>0</v>
      </c>
      <c r="G179" s="142" t="n">
        <f aca="false">VLOOKUP($A179,Table,MATCH(G$4,Curves,0))</f>
        <v>3.987</v>
      </c>
      <c r="H179" s="143" t="n">
        <f aca="false">G179</f>
        <v>3.987</v>
      </c>
      <c r="I179" s="142" t="n">
        <f aca="false">VLOOKUP($A179,Table1,MATCH(I$3,Curves1,0))</f>
        <v>0</v>
      </c>
      <c r="J179" s="142" t="n">
        <f aca="false">VLOOKUP($A179,Table,MATCH(J$4,Curves,0))</f>
        <v>-0.0305</v>
      </c>
      <c r="K179" s="143" t="n">
        <f aca="false">J179</f>
        <v>-0.0305</v>
      </c>
      <c r="L179" s="144" t="n">
        <v>0</v>
      </c>
      <c r="M179" s="142" t="n">
        <f aca="false">VLOOKUP($A179,Table,MATCH(M$4,Curves,0))</f>
        <v>0.0087</v>
      </c>
      <c r="N179" s="143" t="n">
        <f aca="false">M179</f>
        <v>0.0087</v>
      </c>
      <c r="O179" s="144" t="n">
        <v>0</v>
      </c>
      <c r="P179" s="145"/>
      <c r="Q179" s="144" t="n">
        <f aca="false">M179+J179+G179</f>
        <v>3.9652</v>
      </c>
      <c r="R179" s="144" t="n">
        <f aca="false">O179+L179+I179</f>
        <v>0</v>
      </c>
      <c r="S179" s="145"/>
      <c r="T179" s="71" t="n">
        <f aca="false">A180-A179</f>
        <v>31</v>
      </c>
      <c r="U179" s="146" t="n">
        <f aca="false">CHOOSE(F$3,A180+24,A179)</f>
        <v>42180</v>
      </c>
      <c r="V179" s="71" t="n">
        <f aca="false">U179-C$3</f>
        <v>5292</v>
      </c>
      <c r="W179" s="142" t="n">
        <f aca="false">VLOOKUP($A179,Table,MATCH(W$4,Curves,0))</f>
        <v>0.058966861357273</v>
      </c>
      <c r="X179" s="147" t="n">
        <f aca="false">1/(1+CHOOSE(F$3,(W180+($K$3/10000))/2,(W179+($K$3/10000))/2))^(2*V179/365.25)</f>
        <v>0.43084748691993</v>
      </c>
      <c r="Y179" s="71" t="n">
        <f aca="false">IF(AND(mthbeg&lt;=A179,mthend&gt;=A179),1,0)</f>
        <v>0</v>
      </c>
      <c r="Z179" s="71" t="n">
        <f aca="false">T179*Y179</f>
        <v>0</v>
      </c>
      <c r="AB179" s="132" t="n">
        <f aca="false">F179*G179</f>
        <v>0</v>
      </c>
      <c r="AC179" s="132" t="n">
        <f aca="false">$F179*H179</f>
        <v>0</v>
      </c>
      <c r="AD179" s="132" t="n">
        <f aca="false">$F179*I179</f>
        <v>0</v>
      </c>
      <c r="AE179" s="132" t="n">
        <f aca="false">$F179*J179</f>
        <v>-0</v>
      </c>
      <c r="AF179" s="132" t="n">
        <f aca="false">$F179*K179</f>
        <v>-0</v>
      </c>
      <c r="AG179" s="132" t="n">
        <f aca="false">$F179*L179</f>
        <v>0</v>
      </c>
      <c r="AH179" s="132" t="n">
        <f aca="false">$F179*M179</f>
        <v>0</v>
      </c>
      <c r="AI179" s="132" t="n">
        <f aca="false">$F179*N179</f>
        <v>0</v>
      </c>
      <c r="AJ179" s="132" t="n">
        <f aca="false">F179*O179</f>
        <v>0</v>
      </c>
      <c r="AK179" s="137"/>
      <c r="AL179" s="132" t="n">
        <f aca="false">CHOOSE($G$3,AC179-AD179,AD179-AC179)</f>
        <v>0</v>
      </c>
      <c r="AM179" s="132" t="n">
        <f aca="false">CHOOSE($G$3,AF179-AG179,AG179-AF179)</f>
        <v>0</v>
      </c>
      <c r="AN179" s="132" t="n">
        <f aca="false">CHOOSE($G$3,AI179-AJ179,AJ179-AI179)</f>
        <v>0</v>
      </c>
      <c r="AO179" s="148" t="n">
        <f aca="false">SUM(AL179:AN179)</f>
        <v>0</v>
      </c>
      <c r="AQ179" s="132" t="n">
        <f aca="false">CHOOSE($G$3,AB179-AC179,AC179-AB179)</f>
        <v>0</v>
      </c>
      <c r="AR179" s="132" t="n">
        <f aca="false">CHOOSE($G$3,AE179-AF179,AF179-AE179)</f>
        <v>0</v>
      </c>
      <c r="AS179" s="132" t="n">
        <f aca="false">CHOOSE($G$3,AH179-AI179,AI179-AH179)</f>
        <v>0</v>
      </c>
      <c r="AT179" s="148" t="n">
        <f aca="false">AQ179+AR179+AS179</f>
        <v>0</v>
      </c>
      <c r="AU179" s="148"/>
      <c r="AV179" s="133" t="n">
        <f aca="false">AT179+AO179</f>
        <v>0</v>
      </c>
      <c r="AX179" s="133" t="n">
        <f aca="false">AJ179+AG179+AD179</f>
        <v>0</v>
      </c>
      <c r="AY179" s="149"/>
      <c r="AZ179" s="76" t="n">
        <f aca="false">R179*E179</f>
        <v>0</v>
      </c>
    </row>
    <row r="180" customFormat="false" ht="12" hidden="false" customHeight="true" outlineLevel="0" collapsed="false">
      <c r="A180" s="138" t="n">
        <f aca="false">EDATE(A179,1)</f>
        <v>42156</v>
      </c>
      <c r="B180" s="139" t="n">
        <f aca="false">VLOOKUP($A180,Table2,MATCH(I$3,Curves2,0))</f>
        <v>0</v>
      </c>
      <c r="C180" s="140"/>
      <c r="D180" s="141" t="n">
        <f aca="false">B180+C180</f>
        <v>0</v>
      </c>
      <c r="E180" s="126" t="n">
        <f aca="false">IF(Y180=0,0,IF(AND(Y180=1,$H$3=1),D180*T180,IF($H$3=2,D180,"N/A")))</f>
        <v>0</v>
      </c>
      <c r="F180" s="126" t="n">
        <f aca="false">E180*X180</f>
        <v>0</v>
      </c>
      <c r="G180" s="142" t="n">
        <f aca="false">VLOOKUP($A180,Table,MATCH(G$4,Curves,0))</f>
        <v>3.987</v>
      </c>
      <c r="H180" s="143" t="n">
        <f aca="false">G180</f>
        <v>3.987</v>
      </c>
      <c r="I180" s="142" t="n">
        <f aca="false">VLOOKUP($A180,Table1,MATCH(I$3,Curves1,0))</f>
        <v>0</v>
      </c>
      <c r="J180" s="142" t="n">
        <f aca="false">VLOOKUP($A180,Table,MATCH(J$4,Curves,0))</f>
        <v>-0.0305</v>
      </c>
      <c r="K180" s="143" t="n">
        <f aca="false">J180</f>
        <v>-0.0305</v>
      </c>
      <c r="L180" s="144" t="n">
        <v>0</v>
      </c>
      <c r="M180" s="142" t="n">
        <f aca="false">VLOOKUP($A180,Table,MATCH(M$4,Curves,0))</f>
        <v>0.0087</v>
      </c>
      <c r="N180" s="143" t="n">
        <f aca="false">M180</f>
        <v>0.0087</v>
      </c>
      <c r="O180" s="144" t="n">
        <v>0</v>
      </c>
      <c r="P180" s="145"/>
      <c r="Q180" s="144" t="n">
        <f aca="false">M180+J180+G180</f>
        <v>3.9652</v>
      </c>
      <c r="R180" s="144" t="n">
        <f aca="false">O180+L180+I180</f>
        <v>0</v>
      </c>
      <c r="S180" s="145"/>
      <c r="T180" s="71" t="n">
        <f aca="false">A181-A180</f>
        <v>30</v>
      </c>
      <c r="U180" s="146" t="n">
        <f aca="false">CHOOSE(F$3,A181+24,A180)</f>
        <v>42210</v>
      </c>
      <c r="V180" s="71" t="n">
        <f aca="false">U180-C$3</f>
        <v>5322</v>
      </c>
      <c r="W180" s="142" t="n">
        <f aca="false">VLOOKUP($A180,Table,MATCH(W$4,Curves,0))</f>
        <v>0.058966861357273</v>
      </c>
      <c r="X180" s="147" t="n">
        <f aca="false">1/(1+CHOOSE(F$3,(W181+($K$3/10000))/2,(W180+($K$3/10000))/2))^(2*V180/365.25)</f>
        <v>0.428795845010808</v>
      </c>
      <c r="Y180" s="71" t="n">
        <f aca="false">IF(AND(mthbeg&lt;=A180,mthend&gt;=A180),1,0)</f>
        <v>0</v>
      </c>
      <c r="Z180" s="71" t="n">
        <f aca="false">T180*Y180</f>
        <v>0</v>
      </c>
      <c r="AB180" s="132" t="n">
        <f aca="false">F180*G180</f>
        <v>0</v>
      </c>
      <c r="AC180" s="132" t="n">
        <f aca="false">$F180*H180</f>
        <v>0</v>
      </c>
      <c r="AD180" s="132" t="n">
        <f aca="false">$F180*I180</f>
        <v>0</v>
      </c>
      <c r="AE180" s="132" t="n">
        <f aca="false">$F180*J180</f>
        <v>-0</v>
      </c>
      <c r="AF180" s="132" t="n">
        <f aca="false">$F180*K180</f>
        <v>-0</v>
      </c>
      <c r="AG180" s="132" t="n">
        <f aca="false">$F180*L180</f>
        <v>0</v>
      </c>
      <c r="AH180" s="132" t="n">
        <f aca="false">$F180*M180</f>
        <v>0</v>
      </c>
      <c r="AI180" s="132" t="n">
        <f aca="false">$F180*N180</f>
        <v>0</v>
      </c>
      <c r="AJ180" s="132" t="n">
        <f aca="false">F180*O180</f>
        <v>0</v>
      </c>
      <c r="AK180" s="137"/>
      <c r="AL180" s="132" t="n">
        <f aca="false">CHOOSE($G$3,AC180-AD180,AD180-AC180)</f>
        <v>0</v>
      </c>
      <c r="AM180" s="132" t="n">
        <f aca="false">CHOOSE($G$3,AF180-AG180,AG180-AF180)</f>
        <v>0</v>
      </c>
      <c r="AN180" s="132" t="n">
        <f aca="false">CHOOSE($G$3,AI180-AJ180,AJ180-AI180)</f>
        <v>0</v>
      </c>
      <c r="AO180" s="148" t="n">
        <f aca="false">SUM(AL180:AN180)</f>
        <v>0</v>
      </c>
      <c r="AQ180" s="132" t="n">
        <f aca="false">CHOOSE($G$3,AB180-AC180,AC180-AB180)</f>
        <v>0</v>
      </c>
      <c r="AR180" s="132" t="n">
        <f aca="false">CHOOSE($G$3,AE180-AF180,AF180-AE180)</f>
        <v>0</v>
      </c>
      <c r="AS180" s="132" t="n">
        <f aca="false">CHOOSE($G$3,AH180-AI180,AI180-AH180)</f>
        <v>0</v>
      </c>
      <c r="AT180" s="148" t="n">
        <f aca="false">AQ180+AR180+AS180</f>
        <v>0</v>
      </c>
      <c r="AU180" s="148"/>
      <c r="AV180" s="133" t="n">
        <f aca="false">AT180+AO180</f>
        <v>0</v>
      </c>
      <c r="AX180" s="133" t="n">
        <f aca="false">AJ180+AG180+AD180</f>
        <v>0</v>
      </c>
      <c r="AY180" s="149"/>
      <c r="AZ180" s="76" t="n">
        <f aca="false">R180*E180</f>
        <v>0</v>
      </c>
    </row>
    <row r="181" customFormat="false" ht="12" hidden="false" customHeight="true" outlineLevel="0" collapsed="false">
      <c r="A181" s="138" t="n">
        <f aca="false">EDATE(A180,1)</f>
        <v>42186</v>
      </c>
      <c r="B181" s="139" t="n">
        <f aca="false">VLOOKUP($A181,Table2,MATCH(I$3,Curves2,0))</f>
        <v>0</v>
      </c>
      <c r="C181" s="140"/>
      <c r="D181" s="141" t="n">
        <f aca="false">B181+C181</f>
        <v>0</v>
      </c>
      <c r="E181" s="126" t="n">
        <f aca="false">IF(Y181=0,0,IF(AND(Y181=1,$H$3=1),D181*T181,IF($H$3=2,D181,"N/A")))</f>
        <v>0</v>
      </c>
      <c r="F181" s="126" t="n">
        <f aca="false">E181*X181</f>
        <v>0</v>
      </c>
      <c r="G181" s="142" t="n">
        <f aca="false">VLOOKUP($A181,Table,MATCH(G$4,Curves,0))</f>
        <v>3.987</v>
      </c>
      <c r="H181" s="143" t="n">
        <f aca="false">G181</f>
        <v>3.987</v>
      </c>
      <c r="I181" s="142" t="n">
        <f aca="false">VLOOKUP($A181,Table1,MATCH(I$3,Curves1,0))</f>
        <v>0</v>
      </c>
      <c r="J181" s="142" t="n">
        <f aca="false">VLOOKUP($A181,Table,MATCH(J$4,Curves,0))</f>
        <v>-0.0305</v>
      </c>
      <c r="K181" s="143" t="n">
        <f aca="false">J181</f>
        <v>-0.0305</v>
      </c>
      <c r="L181" s="144" t="n">
        <v>0</v>
      </c>
      <c r="M181" s="142" t="n">
        <f aca="false">VLOOKUP($A181,Table,MATCH(M$4,Curves,0))</f>
        <v>0.0087</v>
      </c>
      <c r="N181" s="143" t="n">
        <f aca="false">M181</f>
        <v>0.0087</v>
      </c>
      <c r="O181" s="144" t="n">
        <v>0</v>
      </c>
      <c r="P181" s="145"/>
      <c r="Q181" s="144" t="n">
        <f aca="false">M181+J181+G181</f>
        <v>3.9652</v>
      </c>
      <c r="R181" s="144" t="n">
        <f aca="false">O181+L181+I181</f>
        <v>0</v>
      </c>
      <c r="S181" s="145"/>
      <c r="T181" s="71" t="n">
        <f aca="false">A182-A181</f>
        <v>31</v>
      </c>
      <c r="U181" s="146" t="n">
        <f aca="false">CHOOSE(F$3,A182+24,A181)</f>
        <v>42241</v>
      </c>
      <c r="V181" s="71" t="n">
        <f aca="false">U181-C$3</f>
        <v>5353</v>
      </c>
      <c r="W181" s="142" t="n">
        <f aca="false">VLOOKUP($A181,Table,MATCH(W$4,Curves,0))</f>
        <v>0.058966861357273</v>
      </c>
      <c r="X181" s="147" t="n">
        <f aca="false">1/(1+CHOOSE(F$3,(W182+($K$3/10000))/2,(W181+($K$3/10000))/2))^(2*V181/365.25)</f>
        <v>0.426686078067563</v>
      </c>
      <c r="Y181" s="71" t="n">
        <f aca="false">IF(AND(mthbeg&lt;=A181,mthend&gt;=A181),1,0)</f>
        <v>0</v>
      </c>
      <c r="Z181" s="71" t="n">
        <f aca="false">T181*Y181</f>
        <v>0</v>
      </c>
      <c r="AB181" s="132" t="n">
        <f aca="false">F181*G181</f>
        <v>0</v>
      </c>
      <c r="AC181" s="132" t="n">
        <f aca="false">$F181*H181</f>
        <v>0</v>
      </c>
      <c r="AD181" s="132" t="n">
        <f aca="false">$F181*I181</f>
        <v>0</v>
      </c>
      <c r="AE181" s="132" t="n">
        <f aca="false">$F181*J181</f>
        <v>-0</v>
      </c>
      <c r="AF181" s="132" t="n">
        <f aca="false">$F181*K181</f>
        <v>-0</v>
      </c>
      <c r="AG181" s="132" t="n">
        <f aca="false">$F181*L181</f>
        <v>0</v>
      </c>
      <c r="AH181" s="132" t="n">
        <f aca="false">$F181*M181</f>
        <v>0</v>
      </c>
      <c r="AI181" s="132" t="n">
        <f aca="false">$F181*N181</f>
        <v>0</v>
      </c>
      <c r="AJ181" s="132" t="n">
        <f aca="false">F181*O181</f>
        <v>0</v>
      </c>
      <c r="AK181" s="137"/>
      <c r="AL181" s="132" t="n">
        <f aca="false">CHOOSE($G$3,AC181-AD181,AD181-AC181)</f>
        <v>0</v>
      </c>
      <c r="AM181" s="132" t="n">
        <f aca="false">CHOOSE($G$3,AF181-AG181,AG181-AF181)</f>
        <v>0</v>
      </c>
      <c r="AN181" s="132" t="n">
        <f aca="false">CHOOSE($G$3,AI181-AJ181,AJ181-AI181)</f>
        <v>0</v>
      </c>
      <c r="AO181" s="148" t="n">
        <f aca="false">SUM(AL181:AN181)</f>
        <v>0</v>
      </c>
      <c r="AQ181" s="132" t="n">
        <f aca="false">CHOOSE($G$3,AB181-AC181,AC181-AB181)</f>
        <v>0</v>
      </c>
      <c r="AR181" s="132" t="n">
        <f aca="false">CHOOSE($G$3,AE181-AF181,AF181-AE181)</f>
        <v>0</v>
      </c>
      <c r="AS181" s="132" t="n">
        <f aca="false">CHOOSE($G$3,AH181-AI181,AI181-AH181)</f>
        <v>0</v>
      </c>
      <c r="AT181" s="148" t="n">
        <f aca="false">AQ181+AR181+AS181</f>
        <v>0</v>
      </c>
      <c r="AU181" s="148"/>
      <c r="AV181" s="133" t="n">
        <f aca="false">AT181+AO181</f>
        <v>0</v>
      </c>
      <c r="AX181" s="133" t="n">
        <f aca="false">AJ181+AG181+AD181</f>
        <v>0</v>
      </c>
      <c r="AY181" s="149"/>
      <c r="AZ181" s="76" t="n">
        <f aca="false">R181*E181</f>
        <v>0</v>
      </c>
    </row>
    <row r="182" customFormat="false" ht="12" hidden="false" customHeight="true" outlineLevel="0" collapsed="false">
      <c r="A182" s="138" t="n">
        <f aca="false">EDATE(A181,1)</f>
        <v>42217</v>
      </c>
      <c r="B182" s="139" t="n">
        <f aca="false">VLOOKUP($A182,Table2,MATCH(I$3,Curves2,0))</f>
        <v>0</v>
      </c>
      <c r="C182" s="140"/>
      <c r="D182" s="141" t="n">
        <f aca="false">B182+C182</f>
        <v>0</v>
      </c>
      <c r="E182" s="126" t="n">
        <f aca="false">IF(Y182=0,0,IF(AND(Y182=1,$H$3=1),D182*T182,IF($H$3=2,D182,"N/A")))</f>
        <v>0</v>
      </c>
      <c r="F182" s="126" t="n">
        <f aca="false">E182*X182</f>
        <v>0</v>
      </c>
      <c r="G182" s="142" t="n">
        <f aca="false">VLOOKUP($A182,Table,MATCH(G$4,Curves,0))</f>
        <v>3.987</v>
      </c>
      <c r="H182" s="143" t="n">
        <f aca="false">G182</f>
        <v>3.987</v>
      </c>
      <c r="I182" s="142" t="n">
        <f aca="false">VLOOKUP($A182,Table1,MATCH(I$3,Curves1,0))</f>
        <v>0</v>
      </c>
      <c r="J182" s="142" t="n">
        <f aca="false">VLOOKUP($A182,Table,MATCH(J$4,Curves,0))</f>
        <v>-0.0305</v>
      </c>
      <c r="K182" s="143" t="n">
        <f aca="false">J182</f>
        <v>-0.0305</v>
      </c>
      <c r="L182" s="144" t="n">
        <v>0</v>
      </c>
      <c r="M182" s="142" t="n">
        <f aca="false">VLOOKUP($A182,Table,MATCH(M$4,Curves,0))</f>
        <v>0.0087</v>
      </c>
      <c r="N182" s="143" t="n">
        <f aca="false">M182</f>
        <v>0.0087</v>
      </c>
      <c r="O182" s="144" t="n">
        <v>0</v>
      </c>
      <c r="P182" s="145"/>
      <c r="Q182" s="144" t="n">
        <f aca="false">M182+J182+G182</f>
        <v>3.9652</v>
      </c>
      <c r="R182" s="144" t="n">
        <f aca="false">O182+L182+I182</f>
        <v>0</v>
      </c>
      <c r="S182" s="145"/>
      <c r="T182" s="71" t="n">
        <f aca="false">A183-A182</f>
        <v>31</v>
      </c>
      <c r="U182" s="146" t="n">
        <f aca="false">CHOOSE(F$3,A183+24,A182)</f>
        <v>42272</v>
      </c>
      <c r="V182" s="71" t="n">
        <f aca="false">U182-C$3</f>
        <v>5384</v>
      </c>
      <c r="W182" s="142" t="n">
        <f aca="false">VLOOKUP($A182,Table,MATCH(W$4,Curves,0))</f>
        <v>0.058966861357273</v>
      </c>
      <c r="X182" s="147" t="n">
        <f aca="false">1/(1+CHOOSE(F$3,(W183+($K$3/10000))/2,(W182+($K$3/10000))/2))^(2*V182/365.25)</f>
        <v>0.424586691627317</v>
      </c>
      <c r="Y182" s="71" t="n">
        <f aca="false">IF(AND(mthbeg&lt;=A182,mthend&gt;=A182),1,0)</f>
        <v>0</v>
      </c>
      <c r="Z182" s="71" t="n">
        <f aca="false">T182*Y182</f>
        <v>0</v>
      </c>
      <c r="AB182" s="132" t="n">
        <f aca="false">F182*G182</f>
        <v>0</v>
      </c>
      <c r="AC182" s="132" t="n">
        <f aca="false">$F182*H182</f>
        <v>0</v>
      </c>
      <c r="AD182" s="132" t="n">
        <f aca="false">$F182*I182</f>
        <v>0</v>
      </c>
      <c r="AE182" s="132" t="n">
        <f aca="false">$F182*J182</f>
        <v>-0</v>
      </c>
      <c r="AF182" s="132" t="n">
        <f aca="false">$F182*K182</f>
        <v>-0</v>
      </c>
      <c r="AG182" s="132" t="n">
        <f aca="false">$F182*L182</f>
        <v>0</v>
      </c>
      <c r="AH182" s="132" t="n">
        <f aca="false">$F182*M182</f>
        <v>0</v>
      </c>
      <c r="AI182" s="132" t="n">
        <f aca="false">$F182*N182</f>
        <v>0</v>
      </c>
      <c r="AJ182" s="132" t="n">
        <f aca="false">F182*O182</f>
        <v>0</v>
      </c>
      <c r="AK182" s="137"/>
      <c r="AL182" s="132" t="n">
        <f aca="false">CHOOSE($G$3,AC182-AD182,AD182-AC182)</f>
        <v>0</v>
      </c>
      <c r="AM182" s="132" t="n">
        <f aca="false">CHOOSE($G$3,AF182-AG182,AG182-AF182)</f>
        <v>0</v>
      </c>
      <c r="AN182" s="132" t="n">
        <f aca="false">CHOOSE($G$3,AI182-AJ182,AJ182-AI182)</f>
        <v>0</v>
      </c>
      <c r="AO182" s="148" t="n">
        <f aca="false">SUM(AL182:AN182)</f>
        <v>0</v>
      </c>
      <c r="AQ182" s="132" t="n">
        <f aca="false">CHOOSE($G$3,AB182-AC182,AC182-AB182)</f>
        <v>0</v>
      </c>
      <c r="AR182" s="132" t="n">
        <f aca="false">CHOOSE($G$3,AE182-AF182,AF182-AE182)</f>
        <v>0</v>
      </c>
      <c r="AS182" s="132" t="n">
        <f aca="false">CHOOSE($G$3,AH182-AI182,AI182-AH182)</f>
        <v>0</v>
      </c>
      <c r="AT182" s="148" t="n">
        <f aca="false">AQ182+AR182+AS182</f>
        <v>0</v>
      </c>
      <c r="AU182" s="148"/>
      <c r="AV182" s="133" t="n">
        <f aca="false">AT182+AO182</f>
        <v>0</v>
      </c>
      <c r="AX182" s="133" t="n">
        <f aca="false">AJ182+AG182+AD182</f>
        <v>0</v>
      </c>
      <c r="AY182" s="149"/>
      <c r="AZ182" s="76" t="n">
        <f aca="false">R182*E182</f>
        <v>0</v>
      </c>
    </row>
    <row r="183" customFormat="false" ht="12" hidden="false" customHeight="true" outlineLevel="0" collapsed="false">
      <c r="A183" s="138" t="n">
        <f aca="false">EDATE(A182,1)</f>
        <v>42248</v>
      </c>
      <c r="B183" s="139" t="n">
        <f aca="false">VLOOKUP($A183,Table2,MATCH(I$3,Curves2,0))</f>
        <v>0</v>
      </c>
      <c r="C183" s="140"/>
      <c r="D183" s="141" t="n">
        <f aca="false">B183+C183</f>
        <v>0</v>
      </c>
      <c r="E183" s="126" t="n">
        <f aca="false">IF(Y183=0,0,IF(AND(Y183=1,$H$3=1),D183*T183,IF($H$3=2,D183,"N/A")))</f>
        <v>0</v>
      </c>
      <c r="F183" s="126" t="n">
        <f aca="false">E183*X183</f>
        <v>0</v>
      </c>
      <c r="G183" s="142" t="n">
        <f aca="false">VLOOKUP($A183,Table,MATCH(G$4,Curves,0))</f>
        <v>3.987</v>
      </c>
      <c r="H183" s="143" t="n">
        <f aca="false">G183</f>
        <v>3.987</v>
      </c>
      <c r="I183" s="142" t="n">
        <f aca="false">VLOOKUP($A183,Table1,MATCH(I$3,Curves1,0))</f>
        <v>0</v>
      </c>
      <c r="J183" s="142" t="n">
        <f aca="false">VLOOKUP($A183,Table,MATCH(J$4,Curves,0))</f>
        <v>-0.0305</v>
      </c>
      <c r="K183" s="143" t="n">
        <f aca="false">J183</f>
        <v>-0.0305</v>
      </c>
      <c r="L183" s="144" t="n">
        <v>0</v>
      </c>
      <c r="M183" s="142" t="n">
        <f aca="false">VLOOKUP($A183,Table,MATCH(M$4,Curves,0))</f>
        <v>0.0087</v>
      </c>
      <c r="N183" s="143" t="n">
        <f aca="false">M183</f>
        <v>0.0087</v>
      </c>
      <c r="O183" s="144" t="n">
        <v>0</v>
      </c>
      <c r="P183" s="145"/>
      <c r="Q183" s="144" t="n">
        <f aca="false">M183+J183+G183</f>
        <v>3.9652</v>
      </c>
      <c r="R183" s="144" t="n">
        <f aca="false">O183+L183+I183</f>
        <v>0</v>
      </c>
      <c r="S183" s="145"/>
      <c r="T183" s="71" t="n">
        <f aca="false">A184-A183</f>
        <v>30</v>
      </c>
      <c r="U183" s="146" t="n">
        <f aca="false">CHOOSE(F$3,A184+24,A183)</f>
        <v>42302</v>
      </c>
      <c r="V183" s="71" t="n">
        <f aca="false">U183-C$3</f>
        <v>5414</v>
      </c>
      <c r="W183" s="142" t="n">
        <f aca="false">VLOOKUP($A183,Table,MATCH(W$4,Curves,0))</f>
        <v>0.058966861357273</v>
      </c>
      <c r="X183" s="147" t="n">
        <f aca="false">1/(1+CHOOSE(F$3,(W184+($K$3/10000))/2,(W183+($K$3/10000))/2))^(2*V183/365.25)</f>
        <v>0.422564862843249</v>
      </c>
      <c r="Y183" s="71" t="n">
        <f aca="false">IF(AND(mthbeg&lt;=A183,mthend&gt;=A183),1,0)</f>
        <v>0</v>
      </c>
      <c r="Z183" s="71" t="n">
        <f aca="false">T183*Y183</f>
        <v>0</v>
      </c>
      <c r="AB183" s="132" t="n">
        <f aca="false">F183*G183</f>
        <v>0</v>
      </c>
      <c r="AC183" s="132" t="n">
        <f aca="false">$F183*H183</f>
        <v>0</v>
      </c>
      <c r="AD183" s="132" t="n">
        <f aca="false">$F183*I183</f>
        <v>0</v>
      </c>
      <c r="AE183" s="132" t="n">
        <f aca="false">$F183*J183</f>
        <v>-0</v>
      </c>
      <c r="AF183" s="132" t="n">
        <f aca="false">$F183*K183</f>
        <v>-0</v>
      </c>
      <c r="AG183" s="132" t="n">
        <f aca="false">$F183*L183</f>
        <v>0</v>
      </c>
      <c r="AH183" s="132" t="n">
        <f aca="false">$F183*M183</f>
        <v>0</v>
      </c>
      <c r="AI183" s="132" t="n">
        <f aca="false">$F183*N183</f>
        <v>0</v>
      </c>
      <c r="AJ183" s="132" t="n">
        <f aca="false">F183*O183</f>
        <v>0</v>
      </c>
      <c r="AK183" s="137"/>
      <c r="AL183" s="132" t="n">
        <f aca="false">CHOOSE($G$3,AC183-AD183,AD183-AC183)</f>
        <v>0</v>
      </c>
      <c r="AM183" s="132" t="n">
        <f aca="false">CHOOSE($G$3,AF183-AG183,AG183-AF183)</f>
        <v>0</v>
      </c>
      <c r="AN183" s="132" t="n">
        <f aca="false">CHOOSE($G$3,AI183-AJ183,AJ183-AI183)</f>
        <v>0</v>
      </c>
      <c r="AO183" s="148" t="n">
        <f aca="false">SUM(AL183:AN183)</f>
        <v>0</v>
      </c>
      <c r="AQ183" s="132" t="n">
        <f aca="false">CHOOSE($G$3,AB183-AC183,AC183-AB183)</f>
        <v>0</v>
      </c>
      <c r="AR183" s="132" t="n">
        <f aca="false">CHOOSE($G$3,AE183-AF183,AF183-AE183)</f>
        <v>0</v>
      </c>
      <c r="AS183" s="132" t="n">
        <f aca="false">CHOOSE($G$3,AH183-AI183,AI183-AH183)</f>
        <v>0</v>
      </c>
      <c r="AT183" s="148" t="n">
        <f aca="false">AQ183+AR183+AS183</f>
        <v>0</v>
      </c>
      <c r="AU183" s="148"/>
      <c r="AV183" s="133" t="n">
        <f aca="false">AT183+AO183</f>
        <v>0</v>
      </c>
      <c r="AX183" s="133" t="n">
        <f aca="false">AJ183+AG183+AD183</f>
        <v>0</v>
      </c>
      <c r="AY183" s="149"/>
      <c r="AZ183" s="76" t="n">
        <f aca="false">R183*E183</f>
        <v>0</v>
      </c>
    </row>
    <row r="184" customFormat="false" ht="12" hidden="false" customHeight="true" outlineLevel="0" collapsed="false">
      <c r="A184" s="138" t="n">
        <f aca="false">EDATE(A183,1)</f>
        <v>42278</v>
      </c>
      <c r="B184" s="139" t="n">
        <f aca="false">VLOOKUP($A184,Table2,MATCH(I$3,Curves2,0))</f>
        <v>0</v>
      </c>
      <c r="C184" s="140"/>
      <c r="D184" s="141" t="n">
        <f aca="false">B184+C184</f>
        <v>0</v>
      </c>
      <c r="E184" s="126" t="n">
        <f aca="false">IF(Y184=0,0,IF(AND(Y184=1,$H$3=1),D184*T184,IF($H$3=2,D184,"N/A")))</f>
        <v>0</v>
      </c>
      <c r="F184" s="126" t="n">
        <f aca="false">E184*X184</f>
        <v>0</v>
      </c>
      <c r="G184" s="142" t="n">
        <f aca="false">VLOOKUP($A184,Table,MATCH(G$4,Curves,0))</f>
        <v>3.987</v>
      </c>
      <c r="H184" s="143" t="n">
        <f aca="false">G184</f>
        <v>3.987</v>
      </c>
      <c r="I184" s="142" t="n">
        <f aca="false">VLOOKUP($A184,Table1,MATCH(I$3,Curves1,0))</f>
        <v>0</v>
      </c>
      <c r="J184" s="142" t="n">
        <f aca="false">VLOOKUP($A184,Table,MATCH(J$4,Curves,0))</f>
        <v>-0.0305</v>
      </c>
      <c r="K184" s="143" t="n">
        <f aca="false">J184</f>
        <v>-0.0305</v>
      </c>
      <c r="L184" s="144" t="n">
        <v>0</v>
      </c>
      <c r="M184" s="142" t="n">
        <f aca="false">VLOOKUP($A184,Table,MATCH(M$4,Curves,0))</f>
        <v>0.0087</v>
      </c>
      <c r="N184" s="143" t="n">
        <f aca="false">M184</f>
        <v>0.0087</v>
      </c>
      <c r="O184" s="144" t="n">
        <v>0</v>
      </c>
      <c r="P184" s="145"/>
      <c r="Q184" s="144" t="n">
        <f aca="false">M184+J184+G184</f>
        <v>3.9652</v>
      </c>
      <c r="R184" s="144" t="n">
        <f aca="false">O184+L184+I184</f>
        <v>0</v>
      </c>
      <c r="S184" s="145"/>
      <c r="T184" s="71" t="n">
        <f aca="false">A185-A184</f>
        <v>31</v>
      </c>
      <c r="U184" s="146" t="n">
        <f aca="false">CHOOSE(F$3,A185+24,A184)</f>
        <v>42333</v>
      </c>
      <c r="V184" s="71" t="n">
        <f aca="false">U184-C$3</f>
        <v>5445</v>
      </c>
      <c r="W184" s="142" t="n">
        <f aca="false">VLOOKUP($A184,Table,MATCH(W$4,Curves,0))</f>
        <v>0.058966861357273</v>
      </c>
      <c r="X184" s="147" t="n">
        <f aca="false">1/(1+CHOOSE(F$3,(W185+($K$3/10000))/2,(W184+($K$3/10000))/2))^(2*V184/365.25)</f>
        <v>0.420485753660228</v>
      </c>
      <c r="Y184" s="71" t="n">
        <f aca="false">IF(AND(mthbeg&lt;=A184,mthend&gt;=A184),1,0)</f>
        <v>0</v>
      </c>
      <c r="Z184" s="71" t="n">
        <f aca="false">T184*Y184</f>
        <v>0</v>
      </c>
      <c r="AB184" s="132" t="n">
        <f aca="false">F184*G184</f>
        <v>0</v>
      </c>
      <c r="AC184" s="132" t="n">
        <f aca="false">$F184*H184</f>
        <v>0</v>
      </c>
      <c r="AD184" s="132" t="n">
        <f aca="false">$F184*I184</f>
        <v>0</v>
      </c>
      <c r="AE184" s="132" t="n">
        <f aca="false">$F184*J184</f>
        <v>-0</v>
      </c>
      <c r="AF184" s="132" t="n">
        <f aca="false">$F184*K184</f>
        <v>-0</v>
      </c>
      <c r="AG184" s="132" t="n">
        <f aca="false">$F184*L184</f>
        <v>0</v>
      </c>
      <c r="AH184" s="132" t="n">
        <f aca="false">$F184*M184</f>
        <v>0</v>
      </c>
      <c r="AI184" s="132" t="n">
        <f aca="false">$F184*N184</f>
        <v>0</v>
      </c>
      <c r="AJ184" s="132" t="n">
        <f aca="false">F184*O184</f>
        <v>0</v>
      </c>
      <c r="AK184" s="137"/>
      <c r="AL184" s="132" t="n">
        <f aca="false">CHOOSE($G$3,AC184-AD184,AD184-AC184)</f>
        <v>0</v>
      </c>
      <c r="AM184" s="132" t="n">
        <f aca="false">CHOOSE($G$3,AF184-AG184,AG184-AF184)</f>
        <v>0</v>
      </c>
      <c r="AN184" s="132" t="n">
        <f aca="false">CHOOSE($G$3,AI184-AJ184,AJ184-AI184)</f>
        <v>0</v>
      </c>
      <c r="AO184" s="148" t="n">
        <f aca="false">SUM(AL184:AN184)</f>
        <v>0</v>
      </c>
      <c r="AQ184" s="132" t="n">
        <f aca="false">CHOOSE($G$3,AB184-AC184,AC184-AB184)</f>
        <v>0</v>
      </c>
      <c r="AR184" s="132" t="n">
        <f aca="false">CHOOSE($G$3,AE184-AF184,AF184-AE184)</f>
        <v>0</v>
      </c>
      <c r="AS184" s="132" t="n">
        <f aca="false">CHOOSE($G$3,AH184-AI184,AI184-AH184)</f>
        <v>0</v>
      </c>
      <c r="AT184" s="148" t="n">
        <f aca="false">AQ184+AR184+AS184</f>
        <v>0</v>
      </c>
      <c r="AU184" s="148"/>
      <c r="AV184" s="133" t="n">
        <f aca="false">AT184+AO184</f>
        <v>0</v>
      </c>
      <c r="AX184" s="133" t="n">
        <f aca="false">AJ184+AG184+AD184</f>
        <v>0</v>
      </c>
      <c r="AY184" s="149"/>
      <c r="AZ184" s="76" t="n">
        <f aca="false">R184*E184</f>
        <v>0</v>
      </c>
    </row>
    <row r="185" customFormat="false" ht="12" hidden="false" customHeight="true" outlineLevel="0" collapsed="false">
      <c r="A185" s="138" t="n">
        <f aca="false">EDATE(A184,1)</f>
        <v>42309</v>
      </c>
      <c r="B185" s="139" t="n">
        <f aca="false">VLOOKUP($A185,Table2,MATCH(I$3,Curves2,0))</f>
        <v>0</v>
      </c>
      <c r="C185" s="140"/>
      <c r="D185" s="141" t="n">
        <f aca="false">B185+C185</f>
        <v>0</v>
      </c>
      <c r="E185" s="126" t="n">
        <f aca="false">IF(Y185=0,0,IF(AND(Y185=1,$H$3=1),D185*T185,IF($H$3=2,D185,"N/A")))</f>
        <v>0</v>
      </c>
      <c r="F185" s="126" t="n">
        <f aca="false">E185*X185</f>
        <v>0</v>
      </c>
      <c r="G185" s="142" t="n">
        <f aca="false">VLOOKUP($A185,Table,MATCH(G$4,Curves,0))</f>
        <v>3.987</v>
      </c>
      <c r="H185" s="143" t="n">
        <f aca="false">G185</f>
        <v>3.987</v>
      </c>
      <c r="I185" s="142" t="n">
        <f aca="false">VLOOKUP($A185,Table1,MATCH(I$3,Curves1,0))</f>
        <v>0</v>
      </c>
      <c r="J185" s="142" t="n">
        <f aca="false">VLOOKUP($A185,Table,MATCH(J$4,Curves,0))</f>
        <v>-0.0305</v>
      </c>
      <c r="K185" s="143" t="n">
        <f aca="false">J185</f>
        <v>-0.0305</v>
      </c>
      <c r="L185" s="144" t="n">
        <v>0</v>
      </c>
      <c r="M185" s="142" t="n">
        <f aca="false">VLOOKUP($A185,Table,MATCH(M$4,Curves,0))</f>
        <v>0.0087</v>
      </c>
      <c r="N185" s="143" t="n">
        <f aca="false">M185</f>
        <v>0.0087</v>
      </c>
      <c r="O185" s="144" t="n">
        <v>0</v>
      </c>
      <c r="P185" s="145"/>
      <c r="Q185" s="144" t="n">
        <f aca="false">M185+J185+G185</f>
        <v>3.9652</v>
      </c>
      <c r="R185" s="144" t="n">
        <f aca="false">O185+L185+I185</f>
        <v>0</v>
      </c>
      <c r="S185" s="145"/>
      <c r="T185" s="71" t="n">
        <f aca="false">A186-A185</f>
        <v>30</v>
      </c>
      <c r="U185" s="146" t="n">
        <f aca="false">CHOOSE(F$3,A186+24,A185)</f>
        <v>42363</v>
      </c>
      <c r="V185" s="71" t="n">
        <f aca="false">U185-C$3</f>
        <v>5475</v>
      </c>
      <c r="W185" s="142" t="n">
        <f aca="false">VLOOKUP($A185,Table,MATCH(W$4,Curves,0))</f>
        <v>0.058966861357273</v>
      </c>
      <c r="X185" s="147" t="n">
        <f aca="false">1/(1+CHOOSE(F$3,(W186+($K$3/10000))/2,(W185+($K$3/10000))/2))^(2*V185/365.25)</f>
        <v>0.41848345303045</v>
      </c>
      <c r="Y185" s="71" t="n">
        <f aca="false">IF(AND(mthbeg&lt;=A185,mthend&gt;=A185),1,0)</f>
        <v>0</v>
      </c>
      <c r="Z185" s="71" t="n">
        <f aca="false">T185*Y185</f>
        <v>0</v>
      </c>
      <c r="AB185" s="132" t="n">
        <f aca="false">F185*G185</f>
        <v>0</v>
      </c>
      <c r="AC185" s="132" t="n">
        <f aca="false">$F185*H185</f>
        <v>0</v>
      </c>
      <c r="AD185" s="132" t="n">
        <f aca="false">$F185*I185</f>
        <v>0</v>
      </c>
      <c r="AE185" s="132" t="n">
        <f aca="false">$F185*J185</f>
        <v>-0</v>
      </c>
      <c r="AF185" s="132" t="n">
        <f aca="false">$F185*K185</f>
        <v>-0</v>
      </c>
      <c r="AG185" s="132" t="n">
        <f aca="false">$F185*L185</f>
        <v>0</v>
      </c>
      <c r="AH185" s="132" t="n">
        <f aca="false">$F185*M185</f>
        <v>0</v>
      </c>
      <c r="AI185" s="132" t="n">
        <f aca="false">$F185*N185</f>
        <v>0</v>
      </c>
      <c r="AJ185" s="132" t="n">
        <f aca="false">F185*O185</f>
        <v>0</v>
      </c>
      <c r="AK185" s="137"/>
      <c r="AL185" s="132" t="n">
        <f aca="false">CHOOSE($G$3,AC185-AD185,AD185-AC185)</f>
        <v>0</v>
      </c>
      <c r="AM185" s="132" t="n">
        <f aca="false">CHOOSE($G$3,AF185-AG185,AG185-AF185)</f>
        <v>0</v>
      </c>
      <c r="AN185" s="132" t="n">
        <f aca="false">CHOOSE($G$3,AI185-AJ185,AJ185-AI185)</f>
        <v>0</v>
      </c>
      <c r="AO185" s="148" t="n">
        <f aca="false">SUM(AL185:AN185)</f>
        <v>0</v>
      </c>
      <c r="AQ185" s="132" t="n">
        <f aca="false">CHOOSE($G$3,AB185-AC185,AC185-AB185)</f>
        <v>0</v>
      </c>
      <c r="AR185" s="132" t="n">
        <f aca="false">CHOOSE($G$3,AE185-AF185,AF185-AE185)</f>
        <v>0</v>
      </c>
      <c r="AS185" s="132" t="n">
        <f aca="false">CHOOSE($G$3,AH185-AI185,AI185-AH185)</f>
        <v>0</v>
      </c>
      <c r="AT185" s="148" t="n">
        <f aca="false">AQ185+AR185+AS185</f>
        <v>0</v>
      </c>
      <c r="AU185" s="148"/>
      <c r="AV185" s="133" t="n">
        <f aca="false">AT185+AO185</f>
        <v>0</v>
      </c>
      <c r="AX185" s="133" t="n">
        <f aca="false">AJ185+AG185+AD185</f>
        <v>0</v>
      </c>
      <c r="AY185" s="149"/>
      <c r="AZ185" s="76" t="n">
        <f aca="false">R185*E185</f>
        <v>0</v>
      </c>
    </row>
    <row r="186" customFormat="false" ht="12" hidden="false" customHeight="true" outlineLevel="0" collapsed="false">
      <c r="A186" s="138" t="n">
        <f aca="false">EDATE(A185,1)</f>
        <v>42339</v>
      </c>
      <c r="B186" s="139" t="n">
        <f aca="false">VLOOKUP($A186,Table2,MATCH(I$3,Curves2,0))</f>
        <v>0</v>
      </c>
      <c r="C186" s="140"/>
      <c r="D186" s="141" t="n">
        <f aca="false">B186+C186</f>
        <v>0</v>
      </c>
      <c r="E186" s="126" t="n">
        <f aca="false">IF(Y186=0,0,IF(AND(Y186=1,$H$3=1),D186*T186,IF($H$3=2,D186,"N/A")))</f>
        <v>0</v>
      </c>
      <c r="F186" s="126" t="n">
        <f aca="false">E186*X186</f>
        <v>0</v>
      </c>
      <c r="G186" s="142" t="n">
        <f aca="false">VLOOKUP($A186,Table,MATCH(G$4,Curves,0))</f>
        <v>3.987</v>
      </c>
      <c r="H186" s="143" t="n">
        <f aca="false">G186</f>
        <v>3.987</v>
      </c>
      <c r="I186" s="142" t="n">
        <f aca="false">VLOOKUP($A186,Table1,MATCH(I$3,Curves1,0))</f>
        <v>0</v>
      </c>
      <c r="J186" s="142" t="n">
        <f aca="false">VLOOKUP($A186,Table,MATCH(J$4,Curves,0))</f>
        <v>-0.0305</v>
      </c>
      <c r="K186" s="143" t="n">
        <f aca="false">J186</f>
        <v>-0.0305</v>
      </c>
      <c r="L186" s="144" t="n">
        <v>0</v>
      </c>
      <c r="M186" s="142" t="n">
        <f aca="false">VLOOKUP($A186,Table,MATCH(M$4,Curves,0))</f>
        <v>0.0087</v>
      </c>
      <c r="N186" s="143" t="n">
        <f aca="false">M186</f>
        <v>0.0087</v>
      </c>
      <c r="O186" s="144" t="n">
        <v>0</v>
      </c>
      <c r="P186" s="145"/>
      <c r="Q186" s="144" t="n">
        <f aca="false">M186+J186+G186</f>
        <v>3.9652</v>
      </c>
      <c r="R186" s="144" t="n">
        <f aca="false">O186+L186+I186</f>
        <v>0</v>
      </c>
      <c r="S186" s="145"/>
      <c r="T186" s="71" t="n">
        <f aca="false">A187-A186</f>
        <v>31</v>
      </c>
      <c r="U186" s="146" t="n">
        <f aca="false">CHOOSE(F$3,A187+24,A186)</f>
        <v>42394</v>
      </c>
      <c r="V186" s="71" t="n">
        <f aca="false">U186-C$3</f>
        <v>5506</v>
      </c>
      <c r="W186" s="142" t="n">
        <f aca="false">VLOOKUP($A186,Table,MATCH(W$4,Curves,0))</f>
        <v>0.058966861357273</v>
      </c>
      <c r="X186" s="147" t="n">
        <f aca="false">1/(1+CHOOSE(F$3,(W187+($K$3/10000))/2,(W186+($K$3/10000))/2))^(2*V186/365.25)</f>
        <v>0.416424425253545</v>
      </c>
      <c r="Y186" s="71" t="n">
        <f aca="false">IF(AND(mthbeg&lt;=A186,mthend&gt;=A186),1,0)</f>
        <v>0</v>
      </c>
      <c r="Z186" s="71" t="n">
        <f aca="false">T186*Y186</f>
        <v>0</v>
      </c>
      <c r="AB186" s="132" t="n">
        <f aca="false">F186*G186</f>
        <v>0</v>
      </c>
      <c r="AC186" s="132" t="n">
        <f aca="false">$F186*H186</f>
        <v>0</v>
      </c>
      <c r="AD186" s="132" t="n">
        <f aca="false">$F186*I186</f>
        <v>0</v>
      </c>
      <c r="AE186" s="132" t="n">
        <f aca="false">$F186*J186</f>
        <v>-0</v>
      </c>
      <c r="AF186" s="132" t="n">
        <f aca="false">$F186*K186</f>
        <v>-0</v>
      </c>
      <c r="AG186" s="132" t="n">
        <f aca="false">$F186*L186</f>
        <v>0</v>
      </c>
      <c r="AH186" s="132" t="n">
        <f aca="false">$F186*M186</f>
        <v>0</v>
      </c>
      <c r="AI186" s="132" t="n">
        <f aca="false">$F186*N186</f>
        <v>0</v>
      </c>
      <c r="AJ186" s="132" t="n">
        <f aca="false">F186*O186</f>
        <v>0</v>
      </c>
      <c r="AK186" s="137"/>
      <c r="AL186" s="132" t="n">
        <f aca="false">CHOOSE($G$3,AC186-AD186,AD186-AC186)</f>
        <v>0</v>
      </c>
      <c r="AM186" s="132" t="n">
        <f aca="false">CHOOSE($G$3,AF186-AG186,AG186-AF186)</f>
        <v>0</v>
      </c>
      <c r="AN186" s="132" t="n">
        <f aca="false">CHOOSE($G$3,AI186-AJ186,AJ186-AI186)</f>
        <v>0</v>
      </c>
      <c r="AO186" s="148" t="n">
        <f aca="false">SUM(AL186:AN186)</f>
        <v>0</v>
      </c>
      <c r="AQ186" s="132" t="n">
        <f aca="false">CHOOSE($G$3,AB186-AC186,AC186-AB186)</f>
        <v>0</v>
      </c>
      <c r="AR186" s="132" t="n">
        <f aca="false">CHOOSE($G$3,AE186-AF186,AF186-AE186)</f>
        <v>0</v>
      </c>
      <c r="AS186" s="132" t="n">
        <f aca="false">CHOOSE($G$3,AH186-AI186,AI186-AH186)</f>
        <v>0</v>
      </c>
      <c r="AT186" s="148" t="n">
        <f aca="false">AQ186+AR186+AS186</f>
        <v>0</v>
      </c>
      <c r="AU186" s="148"/>
      <c r="AV186" s="133" t="n">
        <f aca="false">AT186+AO186</f>
        <v>0</v>
      </c>
      <c r="AX186" s="133" t="n">
        <f aca="false">AJ186+AG186+AD186</f>
        <v>0</v>
      </c>
      <c r="AY186" s="149"/>
      <c r="AZ186" s="76" t="n">
        <f aca="false">R186*E186</f>
        <v>0</v>
      </c>
    </row>
    <row r="187" customFormat="false" ht="12" hidden="false" customHeight="true" outlineLevel="0" collapsed="false">
      <c r="A187" s="138" t="n">
        <f aca="false">EDATE(A186,1)</f>
        <v>42370</v>
      </c>
      <c r="B187" s="139" t="n">
        <f aca="false">VLOOKUP($A187,Table2,MATCH(I$3,Curves2,0))</f>
        <v>0</v>
      </c>
      <c r="C187" s="140"/>
      <c r="D187" s="141" t="n">
        <f aca="false">B187+C187</f>
        <v>0</v>
      </c>
      <c r="E187" s="126" t="n">
        <f aca="false">IF(Y187=0,0,IF(AND(Y187=1,$H$3=1),D187*T187,IF($H$3=2,D187,"N/A")))</f>
        <v>0</v>
      </c>
      <c r="F187" s="126" t="n">
        <f aca="false">E187*X187</f>
        <v>0</v>
      </c>
      <c r="G187" s="142" t="n">
        <f aca="false">VLOOKUP($A187,Table,MATCH(G$4,Curves,0))</f>
        <v>3.987</v>
      </c>
      <c r="H187" s="143" t="n">
        <f aca="false">G187</f>
        <v>3.987</v>
      </c>
      <c r="I187" s="142" t="n">
        <f aca="false">VLOOKUP($A187,Table1,MATCH(I$3,Curves1,0))</f>
        <v>0</v>
      </c>
      <c r="J187" s="142" t="n">
        <f aca="false">VLOOKUP($A187,Table,MATCH(J$4,Curves,0))</f>
        <v>-0.0305</v>
      </c>
      <c r="K187" s="143" t="n">
        <f aca="false">J187</f>
        <v>-0.0305</v>
      </c>
      <c r="L187" s="144" t="n">
        <v>0</v>
      </c>
      <c r="M187" s="142" t="n">
        <f aca="false">VLOOKUP($A187,Table,MATCH(M$4,Curves,0))</f>
        <v>0.0087</v>
      </c>
      <c r="N187" s="143" t="n">
        <f aca="false">M187</f>
        <v>0.0087</v>
      </c>
      <c r="O187" s="144" t="n">
        <v>0</v>
      </c>
      <c r="P187" s="145"/>
      <c r="Q187" s="144" t="n">
        <f aca="false">M187+J187+G187</f>
        <v>3.9652</v>
      </c>
      <c r="R187" s="144" t="n">
        <f aca="false">O187+L187+I187</f>
        <v>0</v>
      </c>
      <c r="S187" s="145"/>
      <c r="T187" s="71" t="n">
        <f aca="false">A188-A187</f>
        <v>31</v>
      </c>
      <c r="U187" s="146" t="n">
        <f aca="false">CHOOSE(F$3,A188+24,A187)</f>
        <v>42425</v>
      </c>
      <c r="V187" s="71" t="n">
        <f aca="false">U187-C$3</f>
        <v>5537</v>
      </c>
      <c r="W187" s="142" t="n">
        <f aca="false">VLOOKUP($A187,Table,MATCH(W$4,Curves,0))</f>
        <v>0.058966861357273</v>
      </c>
      <c r="X187" s="147" t="n">
        <f aca="false">1/(1+CHOOSE(F$3,(W188+($K$3/10000))/2,(W187+($K$3/10000))/2))^(2*V187/365.25)</f>
        <v>0.414375528332127</v>
      </c>
      <c r="Y187" s="71" t="n">
        <f aca="false">IF(AND(mthbeg&lt;=A187,mthend&gt;=A187),1,0)</f>
        <v>0</v>
      </c>
      <c r="Z187" s="71" t="n">
        <f aca="false">T187*Y187</f>
        <v>0</v>
      </c>
      <c r="AB187" s="132" t="n">
        <f aca="false">F187*G187</f>
        <v>0</v>
      </c>
      <c r="AC187" s="132" t="n">
        <f aca="false">$F187*H187</f>
        <v>0</v>
      </c>
      <c r="AD187" s="132" t="n">
        <f aca="false">$F187*I187</f>
        <v>0</v>
      </c>
      <c r="AE187" s="132" t="n">
        <f aca="false">$F187*J187</f>
        <v>-0</v>
      </c>
      <c r="AF187" s="132" t="n">
        <f aca="false">$F187*K187</f>
        <v>-0</v>
      </c>
      <c r="AG187" s="132" t="n">
        <f aca="false">$F187*L187</f>
        <v>0</v>
      </c>
      <c r="AH187" s="132" t="n">
        <f aca="false">$F187*M187</f>
        <v>0</v>
      </c>
      <c r="AI187" s="132" t="n">
        <f aca="false">$F187*N187</f>
        <v>0</v>
      </c>
      <c r="AJ187" s="132" t="n">
        <f aca="false">F187*O187</f>
        <v>0</v>
      </c>
      <c r="AK187" s="137"/>
      <c r="AL187" s="132" t="n">
        <f aca="false">CHOOSE($G$3,AC187-AD187,AD187-AC187)</f>
        <v>0</v>
      </c>
      <c r="AM187" s="132" t="n">
        <f aca="false">CHOOSE($G$3,AF187-AG187,AG187-AF187)</f>
        <v>0</v>
      </c>
      <c r="AN187" s="132" t="n">
        <f aca="false">CHOOSE($G$3,AI187-AJ187,AJ187-AI187)</f>
        <v>0</v>
      </c>
      <c r="AO187" s="148" t="n">
        <f aca="false">SUM(AL187:AN187)</f>
        <v>0</v>
      </c>
      <c r="AQ187" s="132" t="n">
        <f aca="false">CHOOSE($G$3,AB187-AC187,AC187-AB187)</f>
        <v>0</v>
      </c>
      <c r="AR187" s="132" t="n">
        <f aca="false">CHOOSE($G$3,AE187-AF187,AF187-AE187)</f>
        <v>0</v>
      </c>
      <c r="AS187" s="132" t="n">
        <f aca="false">CHOOSE($G$3,AH187-AI187,AI187-AH187)</f>
        <v>0</v>
      </c>
      <c r="AT187" s="148" t="n">
        <f aca="false">AQ187+AR187+AS187</f>
        <v>0</v>
      </c>
      <c r="AU187" s="148"/>
      <c r="AV187" s="133" t="n">
        <f aca="false">AT187+AO187</f>
        <v>0</v>
      </c>
      <c r="AX187" s="133" t="n">
        <f aca="false">AJ187+AG187+AD187</f>
        <v>0</v>
      </c>
      <c r="AY187" s="149"/>
      <c r="AZ187" s="76" t="n">
        <f aca="false">R187*E187</f>
        <v>0</v>
      </c>
    </row>
    <row r="188" customFormat="false" ht="12" hidden="false" customHeight="true" outlineLevel="0" collapsed="false">
      <c r="A188" s="138" t="n">
        <f aca="false">EDATE(A187,1)</f>
        <v>42401</v>
      </c>
      <c r="B188" s="139" t="n">
        <f aca="false">VLOOKUP($A188,Table2,MATCH(I$3,Curves2,0))</f>
        <v>0</v>
      </c>
      <c r="C188" s="140"/>
      <c r="D188" s="141" t="n">
        <f aca="false">B188+C188</f>
        <v>0</v>
      </c>
      <c r="E188" s="126" t="n">
        <f aca="false">IF(Y188=0,0,IF(AND(Y188=1,$H$3=1),D188*T188,IF($H$3=2,D188,"N/A")))</f>
        <v>0</v>
      </c>
      <c r="F188" s="126" t="n">
        <f aca="false">E188*X188</f>
        <v>0</v>
      </c>
      <c r="G188" s="142" t="n">
        <f aca="false">VLOOKUP($A188,Table,MATCH(G$4,Curves,0))</f>
        <v>3.987</v>
      </c>
      <c r="H188" s="143" t="n">
        <f aca="false">G188</f>
        <v>3.987</v>
      </c>
      <c r="I188" s="142" t="n">
        <f aca="false">VLOOKUP($A188,Table1,MATCH(I$3,Curves1,0))</f>
        <v>0</v>
      </c>
      <c r="J188" s="142" t="n">
        <f aca="false">VLOOKUP($A188,Table,MATCH(J$4,Curves,0))</f>
        <v>-0.0305</v>
      </c>
      <c r="K188" s="143" t="n">
        <f aca="false">J188</f>
        <v>-0.0305</v>
      </c>
      <c r="L188" s="144" t="n">
        <v>0</v>
      </c>
      <c r="M188" s="142" t="n">
        <f aca="false">VLOOKUP($A188,Table,MATCH(M$4,Curves,0))</f>
        <v>0.0087</v>
      </c>
      <c r="N188" s="143" t="n">
        <f aca="false">M188</f>
        <v>0.0087</v>
      </c>
      <c r="O188" s="144" t="n">
        <v>0</v>
      </c>
      <c r="P188" s="145"/>
      <c r="Q188" s="144" t="n">
        <f aca="false">M188+J188+G188</f>
        <v>3.9652</v>
      </c>
      <c r="R188" s="144" t="n">
        <f aca="false">O188+L188+I188</f>
        <v>0</v>
      </c>
      <c r="S188" s="145"/>
      <c r="T188" s="71" t="n">
        <f aca="false">A189-A188</f>
        <v>29</v>
      </c>
      <c r="U188" s="146" t="n">
        <f aca="false">CHOOSE(F$3,A189+24,A188)</f>
        <v>42454</v>
      </c>
      <c r="V188" s="71" t="n">
        <f aca="false">U188-C$3</f>
        <v>5566</v>
      </c>
      <c r="W188" s="142" t="n">
        <f aca="false">VLOOKUP($A188,Table,MATCH(W$4,Curves,0))</f>
        <v>0.058966861357273</v>
      </c>
      <c r="X188" s="147" t="n">
        <f aca="false">1/(1+CHOOSE(F$3,(W189+($K$3/10000))/2,(W188+($K$3/10000))/2))^(2*V188/365.25)</f>
        <v>0.412467945684007</v>
      </c>
      <c r="Y188" s="71" t="n">
        <f aca="false">IF(AND(mthbeg&lt;=A188,mthend&gt;=A188),1,0)</f>
        <v>0</v>
      </c>
      <c r="Z188" s="71" t="n">
        <f aca="false">T188*Y188</f>
        <v>0</v>
      </c>
      <c r="AB188" s="132" t="n">
        <f aca="false">F188*G188</f>
        <v>0</v>
      </c>
      <c r="AC188" s="132" t="n">
        <f aca="false">$F188*H188</f>
        <v>0</v>
      </c>
      <c r="AD188" s="132" t="n">
        <f aca="false">$F188*I188</f>
        <v>0</v>
      </c>
      <c r="AE188" s="132" t="n">
        <f aca="false">$F188*J188</f>
        <v>-0</v>
      </c>
      <c r="AF188" s="132" t="n">
        <f aca="false">$F188*K188</f>
        <v>-0</v>
      </c>
      <c r="AG188" s="132" t="n">
        <f aca="false">$F188*L188</f>
        <v>0</v>
      </c>
      <c r="AH188" s="132" t="n">
        <f aca="false">$F188*M188</f>
        <v>0</v>
      </c>
      <c r="AI188" s="132" t="n">
        <f aca="false">$F188*N188</f>
        <v>0</v>
      </c>
      <c r="AJ188" s="132" t="n">
        <f aca="false">F188*O188</f>
        <v>0</v>
      </c>
      <c r="AK188" s="137"/>
      <c r="AL188" s="132" t="n">
        <f aca="false">CHOOSE($G$3,AC188-AD188,AD188-AC188)</f>
        <v>0</v>
      </c>
      <c r="AM188" s="132" t="n">
        <f aca="false">CHOOSE($G$3,AF188-AG188,AG188-AF188)</f>
        <v>0</v>
      </c>
      <c r="AN188" s="132" t="n">
        <f aca="false">CHOOSE($G$3,AI188-AJ188,AJ188-AI188)</f>
        <v>0</v>
      </c>
      <c r="AO188" s="148" t="n">
        <f aca="false">SUM(AL188:AN188)</f>
        <v>0</v>
      </c>
      <c r="AQ188" s="132" t="n">
        <f aca="false">CHOOSE($G$3,AB188-AC188,AC188-AB188)</f>
        <v>0</v>
      </c>
      <c r="AR188" s="132" t="n">
        <f aca="false">CHOOSE($G$3,AE188-AF188,AF188-AE188)</f>
        <v>0</v>
      </c>
      <c r="AS188" s="132" t="n">
        <f aca="false">CHOOSE($G$3,AH188-AI188,AI188-AH188)</f>
        <v>0</v>
      </c>
      <c r="AT188" s="148" t="n">
        <f aca="false">AQ188+AR188+AS188</f>
        <v>0</v>
      </c>
      <c r="AU188" s="148"/>
      <c r="AV188" s="133" t="n">
        <f aca="false">AT188+AO188</f>
        <v>0</v>
      </c>
      <c r="AX188" s="133" t="n">
        <f aca="false">AJ188+AG188+AD188</f>
        <v>0</v>
      </c>
      <c r="AY188" s="149"/>
      <c r="AZ188" s="76" t="n">
        <f aca="false">R188*E188</f>
        <v>0</v>
      </c>
    </row>
    <row r="189" customFormat="false" ht="12" hidden="false" customHeight="true" outlineLevel="0" collapsed="false">
      <c r="A189" s="138" t="n">
        <f aca="false">EDATE(A188,1)</f>
        <v>42430</v>
      </c>
      <c r="B189" s="139" t="n">
        <f aca="false">VLOOKUP($A189,Table2,MATCH(I$3,Curves2,0))</f>
        <v>0</v>
      </c>
      <c r="C189" s="140"/>
      <c r="D189" s="141" t="n">
        <f aca="false">B189+C189</f>
        <v>0</v>
      </c>
      <c r="E189" s="126" t="n">
        <f aca="false">IF(Y189=0,0,IF(AND(Y189=1,$H$3=1),D189*T189,IF($H$3=2,D189,"N/A")))</f>
        <v>0</v>
      </c>
      <c r="F189" s="126" t="n">
        <f aca="false">E189*X189</f>
        <v>0</v>
      </c>
      <c r="G189" s="142" t="n">
        <f aca="false">VLOOKUP($A189,Table,MATCH(G$4,Curves,0))</f>
        <v>3.987</v>
      </c>
      <c r="H189" s="143" t="n">
        <f aca="false">G189</f>
        <v>3.987</v>
      </c>
      <c r="I189" s="142" t="n">
        <f aca="false">VLOOKUP($A189,Table1,MATCH(I$3,Curves1,0))</f>
        <v>0</v>
      </c>
      <c r="J189" s="142" t="n">
        <f aca="false">VLOOKUP($A189,Table,MATCH(J$4,Curves,0))</f>
        <v>-0.0305</v>
      </c>
      <c r="K189" s="143" t="n">
        <f aca="false">J189</f>
        <v>-0.0305</v>
      </c>
      <c r="L189" s="144" t="n">
        <v>0</v>
      </c>
      <c r="M189" s="142" t="n">
        <f aca="false">VLOOKUP($A189,Table,MATCH(M$4,Curves,0))</f>
        <v>0.0087</v>
      </c>
      <c r="N189" s="143" t="n">
        <f aca="false">M189</f>
        <v>0.0087</v>
      </c>
      <c r="O189" s="144" t="n">
        <v>0</v>
      </c>
      <c r="P189" s="145"/>
      <c r="Q189" s="144" t="n">
        <f aca="false">M189+J189+G189</f>
        <v>3.9652</v>
      </c>
      <c r="R189" s="144" t="n">
        <f aca="false">O189+L189+I189</f>
        <v>0</v>
      </c>
      <c r="S189" s="145"/>
      <c r="T189" s="71" t="n">
        <f aca="false">A190-A189</f>
        <v>31</v>
      </c>
      <c r="U189" s="146" t="n">
        <f aca="false">CHOOSE(F$3,A190+24,A189)</f>
        <v>42485</v>
      </c>
      <c r="V189" s="71" t="n">
        <f aca="false">U189-C$3</f>
        <v>5597</v>
      </c>
      <c r="W189" s="142" t="n">
        <f aca="false">VLOOKUP($A189,Table,MATCH(W$4,Curves,0))</f>
        <v>0.058966861357273</v>
      </c>
      <c r="X189" s="147" t="n">
        <f aca="false">1/(1+CHOOSE(F$3,(W190+($K$3/10000))/2,(W189+($K$3/10000))/2))^(2*V189/365.25)</f>
        <v>0.410438515485284</v>
      </c>
      <c r="Y189" s="71" t="n">
        <f aca="false">IF(AND(mthbeg&lt;=A189,mthend&gt;=A189),1,0)</f>
        <v>0</v>
      </c>
      <c r="Z189" s="71" t="n">
        <f aca="false">T189*Y189</f>
        <v>0</v>
      </c>
      <c r="AB189" s="132" t="n">
        <f aca="false">F189*G189</f>
        <v>0</v>
      </c>
      <c r="AC189" s="132" t="n">
        <f aca="false">$F189*H189</f>
        <v>0</v>
      </c>
      <c r="AD189" s="132" t="n">
        <f aca="false">$F189*I189</f>
        <v>0</v>
      </c>
      <c r="AE189" s="132" t="n">
        <f aca="false">$F189*J189</f>
        <v>-0</v>
      </c>
      <c r="AF189" s="132" t="n">
        <f aca="false">$F189*K189</f>
        <v>-0</v>
      </c>
      <c r="AG189" s="132" t="n">
        <f aca="false">$F189*L189</f>
        <v>0</v>
      </c>
      <c r="AH189" s="132" t="n">
        <f aca="false">$F189*M189</f>
        <v>0</v>
      </c>
      <c r="AI189" s="132" t="n">
        <f aca="false">$F189*N189</f>
        <v>0</v>
      </c>
      <c r="AJ189" s="132" t="n">
        <f aca="false">F189*O189</f>
        <v>0</v>
      </c>
      <c r="AK189" s="137"/>
      <c r="AL189" s="132" t="n">
        <f aca="false">CHOOSE($G$3,AC189-AD189,AD189-AC189)</f>
        <v>0</v>
      </c>
      <c r="AM189" s="132" t="n">
        <f aca="false">CHOOSE($G$3,AF189-AG189,AG189-AF189)</f>
        <v>0</v>
      </c>
      <c r="AN189" s="132" t="n">
        <f aca="false">CHOOSE($G$3,AI189-AJ189,AJ189-AI189)</f>
        <v>0</v>
      </c>
      <c r="AO189" s="148" t="n">
        <f aca="false">SUM(AL189:AN189)</f>
        <v>0</v>
      </c>
      <c r="AQ189" s="132" t="n">
        <f aca="false">CHOOSE($G$3,AB189-AC189,AC189-AB189)</f>
        <v>0</v>
      </c>
      <c r="AR189" s="132" t="n">
        <f aca="false">CHOOSE($G$3,AE189-AF189,AF189-AE189)</f>
        <v>0</v>
      </c>
      <c r="AS189" s="132" t="n">
        <f aca="false">CHOOSE($G$3,AH189-AI189,AI189-AH189)</f>
        <v>0</v>
      </c>
      <c r="AT189" s="148" t="n">
        <f aca="false">AQ189+AR189+AS189</f>
        <v>0</v>
      </c>
      <c r="AU189" s="148"/>
      <c r="AV189" s="133" t="n">
        <f aca="false">AT189+AO189</f>
        <v>0</v>
      </c>
      <c r="AX189" s="133" t="n">
        <f aca="false">AJ189+AG189+AD189</f>
        <v>0</v>
      </c>
      <c r="AY189" s="149"/>
      <c r="AZ189" s="76" t="n">
        <f aca="false">R189*E189</f>
        <v>0</v>
      </c>
    </row>
    <row r="190" customFormat="false" ht="12" hidden="false" customHeight="true" outlineLevel="0" collapsed="false">
      <c r="A190" s="138" t="n">
        <f aca="false">EDATE(A189,1)</f>
        <v>42461</v>
      </c>
      <c r="B190" s="139" t="n">
        <f aca="false">VLOOKUP($A190,Table2,MATCH(I$3,Curves2,0))</f>
        <v>0</v>
      </c>
      <c r="C190" s="140"/>
      <c r="D190" s="141" t="n">
        <f aca="false">B190+C190</f>
        <v>0</v>
      </c>
      <c r="E190" s="126" t="n">
        <f aca="false">IF(Y190=0,0,IF(AND(Y190=1,$H$3=1),D190*T190,IF($H$3=2,D190,"N/A")))</f>
        <v>0</v>
      </c>
      <c r="F190" s="126" t="n">
        <f aca="false">E190*X190</f>
        <v>0</v>
      </c>
      <c r="G190" s="142" t="n">
        <f aca="false">VLOOKUP($A190,Table,MATCH(G$4,Curves,0))</f>
        <v>3.987</v>
      </c>
      <c r="H190" s="143" t="n">
        <f aca="false">G190</f>
        <v>3.987</v>
      </c>
      <c r="I190" s="142" t="n">
        <f aca="false">VLOOKUP($A190,Table1,MATCH(I$3,Curves1,0))</f>
        <v>0</v>
      </c>
      <c r="J190" s="142" t="n">
        <f aca="false">VLOOKUP($A190,Table,MATCH(J$4,Curves,0))</f>
        <v>-0.0305</v>
      </c>
      <c r="K190" s="143" t="n">
        <f aca="false">J190</f>
        <v>-0.0305</v>
      </c>
      <c r="L190" s="144" t="n">
        <v>0</v>
      </c>
      <c r="M190" s="142" t="n">
        <f aca="false">VLOOKUP($A190,Table,MATCH(M$4,Curves,0))</f>
        <v>0.0087</v>
      </c>
      <c r="N190" s="143" t="n">
        <f aca="false">M190</f>
        <v>0.0087</v>
      </c>
      <c r="O190" s="144" t="n">
        <v>0</v>
      </c>
      <c r="P190" s="145"/>
      <c r="Q190" s="144" t="n">
        <f aca="false">M190+J190+G190</f>
        <v>3.9652</v>
      </c>
      <c r="R190" s="144" t="n">
        <f aca="false">O190+L190+I190</f>
        <v>0</v>
      </c>
      <c r="S190" s="145"/>
      <c r="T190" s="71" t="n">
        <f aca="false">A191-A190</f>
        <v>30</v>
      </c>
      <c r="U190" s="146" t="n">
        <f aca="false">CHOOSE(F$3,A191+24,A190)</f>
        <v>42515</v>
      </c>
      <c r="V190" s="71" t="n">
        <f aca="false">U190-C$3</f>
        <v>5627</v>
      </c>
      <c r="W190" s="142" t="n">
        <f aca="false">VLOOKUP($A190,Table,MATCH(W$4,Curves,0))</f>
        <v>0.058966861357273</v>
      </c>
      <c r="X190" s="147" t="n">
        <f aca="false">1/(1+CHOOSE(F$3,(W191+($K$3/10000))/2,(W190+($K$3/10000))/2))^(2*V190/365.25)</f>
        <v>0.408484058548544</v>
      </c>
      <c r="Y190" s="71" t="n">
        <f aca="false">IF(AND(mthbeg&lt;=A190,mthend&gt;=A190),1,0)</f>
        <v>0</v>
      </c>
      <c r="Z190" s="71" t="n">
        <f aca="false">T190*Y190</f>
        <v>0</v>
      </c>
      <c r="AB190" s="132" t="n">
        <f aca="false">F190*G190</f>
        <v>0</v>
      </c>
      <c r="AC190" s="132" t="n">
        <f aca="false">$F190*H190</f>
        <v>0</v>
      </c>
      <c r="AD190" s="132" t="n">
        <f aca="false">$F190*I190</f>
        <v>0</v>
      </c>
      <c r="AE190" s="132" t="n">
        <f aca="false">$F190*J190</f>
        <v>-0</v>
      </c>
      <c r="AF190" s="132" t="n">
        <f aca="false">$F190*K190</f>
        <v>-0</v>
      </c>
      <c r="AG190" s="132" t="n">
        <f aca="false">$F190*L190</f>
        <v>0</v>
      </c>
      <c r="AH190" s="132" t="n">
        <f aca="false">$F190*M190</f>
        <v>0</v>
      </c>
      <c r="AI190" s="132" t="n">
        <f aca="false">$F190*N190</f>
        <v>0</v>
      </c>
      <c r="AJ190" s="132" t="n">
        <f aca="false">F190*O190</f>
        <v>0</v>
      </c>
      <c r="AK190" s="137"/>
      <c r="AL190" s="132" t="n">
        <f aca="false">CHOOSE($G$3,AC190-AD190,AD190-AC190)</f>
        <v>0</v>
      </c>
      <c r="AM190" s="132" t="n">
        <f aca="false">CHOOSE($G$3,AF190-AG190,AG190-AF190)</f>
        <v>0</v>
      </c>
      <c r="AN190" s="132" t="n">
        <f aca="false">CHOOSE($G$3,AI190-AJ190,AJ190-AI190)</f>
        <v>0</v>
      </c>
      <c r="AO190" s="148" t="n">
        <f aca="false">SUM(AL190:AN190)</f>
        <v>0</v>
      </c>
      <c r="AQ190" s="132" t="n">
        <f aca="false">CHOOSE($G$3,AB190-AC190,AC190-AB190)</f>
        <v>0</v>
      </c>
      <c r="AR190" s="132" t="n">
        <f aca="false">CHOOSE($G$3,AE190-AF190,AF190-AE190)</f>
        <v>0</v>
      </c>
      <c r="AS190" s="132" t="n">
        <f aca="false">CHOOSE($G$3,AH190-AI190,AI190-AH190)</f>
        <v>0</v>
      </c>
      <c r="AT190" s="148" t="n">
        <f aca="false">AQ190+AR190+AS190</f>
        <v>0</v>
      </c>
      <c r="AU190" s="148"/>
      <c r="AV190" s="133" t="n">
        <f aca="false">AT190+AO190</f>
        <v>0</v>
      </c>
      <c r="AX190" s="133" t="n">
        <f aca="false">AJ190+AG190+AD190</f>
        <v>0</v>
      </c>
      <c r="AY190" s="149"/>
      <c r="AZ190" s="76" t="n">
        <f aca="false">R190*E190</f>
        <v>0</v>
      </c>
    </row>
    <row r="191" customFormat="false" ht="12" hidden="false" customHeight="true" outlineLevel="0" collapsed="false">
      <c r="A191" s="138" t="n">
        <f aca="false">EDATE(A190,1)</f>
        <v>42491</v>
      </c>
      <c r="B191" s="139" t="n">
        <f aca="false">VLOOKUP($A191,Table2,MATCH(I$3,Curves2,0))</f>
        <v>0</v>
      </c>
      <c r="C191" s="140"/>
      <c r="D191" s="141" t="n">
        <f aca="false">B191+C191</f>
        <v>0</v>
      </c>
      <c r="E191" s="126" t="n">
        <f aca="false">IF(Y191=0,0,IF(AND(Y191=1,$H$3=1),D191*T191,IF($H$3=2,D191,"N/A")))</f>
        <v>0</v>
      </c>
      <c r="F191" s="126" t="n">
        <f aca="false">E191*X191</f>
        <v>0</v>
      </c>
      <c r="G191" s="142" t="n">
        <f aca="false">VLOOKUP($A191,Table,MATCH(G$4,Curves,0))</f>
        <v>3.987</v>
      </c>
      <c r="H191" s="143" t="n">
        <f aca="false">G191</f>
        <v>3.987</v>
      </c>
      <c r="I191" s="142" t="n">
        <f aca="false">VLOOKUP($A191,Table1,MATCH(I$3,Curves1,0))</f>
        <v>0</v>
      </c>
      <c r="J191" s="142" t="n">
        <f aca="false">VLOOKUP($A191,Table,MATCH(J$4,Curves,0))</f>
        <v>-0.0305</v>
      </c>
      <c r="K191" s="143" t="n">
        <f aca="false">J191</f>
        <v>-0.0305</v>
      </c>
      <c r="L191" s="144" t="n">
        <v>0</v>
      </c>
      <c r="M191" s="142" t="n">
        <f aca="false">VLOOKUP($A191,Table,MATCH(M$4,Curves,0))</f>
        <v>0.0087</v>
      </c>
      <c r="N191" s="143" t="n">
        <f aca="false">M191</f>
        <v>0.0087</v>
      </c>
      <c r="O191" s="144" t="n">
        <v>0</v>
      </c>
      <c r="P191" s="145"/>
      <c r="Q191" s="144" t="n">
        <f aca="false">M191+J191+G191</f>
        <v>3.9652</v>
      </c>
      <c r="R191" s="144" t="n">
        <f aca="false">O191+L191+I191</f>
        <v>0</v>
      </c>
      <c r="S191" s="145"/>
      <c r="T191" s="71" t="n">
        <f aca="false">A192-A191</f>
        <v>31</v>
      </c>
      <c r="U191" s="146" t="n">
        <f aca="false">CHOOSE(F$3,A192+24,A191)</f>
        <v>42546</v>
      </c>
      <c r="V191" s="71" t="n">
        <f aca="false">U191-C$3</f>
        <v>5658</v>
      </c>
      <c r="W191" s="142" t="n">
        <f aca="false">VLOOKUP($A191,Table,MATCH(W$4,Curves,0))</f>
        <v>0.058966861357273</v>
      </c>
      <c r="X191" s="147" t="n">
        <f aca="false">1/(1+CHOOSE(F$3,(W192+($K$3/10000))/2,(W191+($K$3/10000))/2))^(2*V191/365.25)</f>
        <v>0.406474229923581</v>
      </c>
      <c r="Y191" s="71" t="n">
        <f aca="false">IF(AND(mthbeg&lt;=A191,mthend&gt;=A191),1,0)</f>
        <v>0</v>
      </c>
      <c r="Z191" s="71" t="n">
        <f aca="false">T191*Y191</f>
        <v>0</v>
      </c>
      <c r="AB191" s="132" t="n">
        <f aca="false">F191*G191</f>
        <v>0</v>
      </c>
      <c r="AC191" s="132" t="n">
        <f aca="false">$F191*H191</f>
        <v>0</v>
      </c>
      <c r="AD191" s="132" t="n">
        <f aca="false">$F191*I191</f>
        <v>0</v>
      </c>
      <c r="AE191" s="132" t="n">
        <f aca="false">$F191*J191</f>
        <v>-0</v>
      </c>
      <c r="AF191" s="132" t="n">
        <f aca="false">$F191*K191</f>
        <v>-0</v>
      </c>
      <c r="AG191" s="132" t="n">
        <f aca="false">$F191*L191</f>
        <v>0</v>
      </c>
      <c r="AH191" s="132" t="n">
        <f aca="false">$F191*M191</f>
        <v>0</v>
      </c>
      <c r="AI191" s="132" t="n">
        <f aca="false">$F191*N191</f>
        <v>0</v>
      </c>
      <c r="AJ191" s="132" t="n">
        <f aca="false">F191*O191</f>
        <v>0</v>
      </c>
      <c r="AK191" s="137"/>
      <c r="AL191" s="132" t="n">
        <f aca="false">CHOOSE($G$3,AC191-AD191,AD191-AC191)</f>
        <v>0</v>
      </c>
      <c r="AM191" s="132" t="n">
        <f aca="false">CHOOSE($G$3,AF191-AG191,AG191-AF191)</f>
        <v>0</v>
      </c>
      <c r="AN191" s="132" t="n">
        <f aca="false">CHOOSE($G$3,AI191-AJ191,AJ191-AI191)</f>
        <v>0</v>
      </c>
      <c r="AO191" s="148" t="n">
        <f aca="false">SUM(AL191:AN191)</f>
        <v>0</v>
      </c>
      <c r="AQ191" s="132" t="n">
        <f aca="false">CHOOSE($G$3,AB191-AC191,AC191-AB191)</f>
        <v>0</v>
      </c>
      <c r="AR191" s="132" t="n">
        <f aca="false">CHOOSE($G$3,AE191-AF191,AF191-AE191)</f>
        <v>0</v>
      </c>
      <c r="AS191" s="132" t="n">
        <f aca="false">CHOOSE($G$3,AH191-AI191,AI191-AH191)</f>
        <v>0</v>
      </c>
      <c r="AT191" s="148" t="n">
        <f aca="false">AQ191+AR191+AS191</f>
        <v>0</v>
      </c>
      <c r="AU191" s="148"/>
      <c r="AV191" s="133" t="n">
        <f aca="false">AT191+AO191</f>
        <v>0</v>
      </c>
      <c r="AX191" s="133" t="n">
        <f aca="false">AJ191+AG191+AD191</f>
        <v>0</v>
      </c>
      <c r="AY191" s="149"/>
      <c r="AZ191" s="76" t="n">
        <f aca="false">R191*E191</f>
        <v>0</v>
      </c>
    </row>
    <row r="192" customFormat="false" ht="12" hidden="false" customHeight="true" outlineLevel="0" collapsed="false">
      <c r="A192" s="138" t="n">
        <f aca="false">EDATE(A191,1)</f>
        <v>42522</v>
      </c>
      <c r="B192" s="139" t="n">
        <f aca="false">VLOOKUP($A192,Table2,MATCH(I$3,Curves2,0))</f>
        <v>0</v>
      </c>
      <c r="C192" s="140"/>
      <c r="D192" s="141" t="n">
        <f aca="false">B192+C192</f>
        <v>0</v>
      </c>
      <c r="E192" s="126" t="n">
        <f aca="false">IF(Y192=0,0,IF(AND(Y192=1,$H$3=1),D192*T192,IF($H$3=2,D192,"N/A")))</f>
        <v>0</v>
      </c>
      <c r="F192" s="126" t="n">
        <f aca="false">E192*X192</f>
        <v>0</v>
      </c>
      <c r="G192" s="142" t="n">
        <f aca="false">VLOOKUP($A192,Table,MATCH(G$4,Curves,0))</f>
        <v>3.987</v>
      </c>
      <c r="H192" s="143" t="n">
        <f aca="false">G192</f>
        <v>3.987</v>
      </c>
      <c r="I192" s="142" t="n">
        <f aca="false">VLOOKUP($A192,Table1,MATCH(I$3,Curves1,0))</f>
        <v>0</v>
      </c>
      <c r="J192" s="142" t="n">
        <f aca="false">VLOOKUP($A192,Table,MATCH(J$4,Curves,0))</f>
        <v>-0.0305</v>
      </c>
      <c r="K192" s="143" t="n">
        <f aca="false">J192</f>
        <v>-0.0305</v>
      </c>
      <c r="L192" s="144" t="n">
        <v>0</v>
      </c>
      <c r="M192" s="142" t="n">
        <f aca="false">VLOOKUP($A192,Table,MATCH(M$4,Curves,0))</f>
        <v>0.0087</v>
      </c>
      <c r="N192" s="143" t="n">
        <f aca="false">M192</f>
        <v>0.0087</v>
      </c>
      <c r="O192" s="144" t="n">
        <v>0</v>
      </c>
      <c r="P192" s="145"/>
      <c r="Q192" s="144" t="n">
        <f aca="false">M192+J192+G192</f>
        <v>3.9652</v>
      </c>
      <c r="R192" s="144" t="n">
        <f aca="false">O192+L192+I192</f>
        <v>0</v>
      </c>
      <c r="S192" s="145"/>
      <c r="T192" s="71" t="n">
        <f aca="false">A193-A192</f>
        <v>30</v>
      </c>
      <c r="U192" s="146" t="n">
        <f aca="false">CHOOSE(F$3,A193+24,A192)</f>
        <v>42576</v>
      </c>
      <c r="V192" s="71" t="n">
        <f aca="false">U192-C$3</f>
        <v>5688</v>
      </c>
      <c r="W192" s="142" t="n">
        <f aca="false">VLOOKUP($A192,Table,MATCH(W$4,Curves,0))</f>
        <v>0.058966861357273</v>
      </c>
      <c r="X192" s="147" t="n">
        <f aca="false">1/(1+CHOOSE(F$3,(W193+($K$3/10000))/2,(W192+($K$3/10000))/2))^(2*V192/365.25)</f>
        <v>0.404538650419448</v>
      </c>
      <c r="Y192" s="71" t="n">
        <f aca="false">IF(AND(mthbeg&lt;=A192,mthend&gt;=A192),1,0)</f>
        <v>0</v>
      </c>
      <c r="Z192" s="71" t="n">
        <f aca="false">T192*Y192</f>
        <v>0</v>
      </c>
      <c r="AB192" s="132" t="n">
        <f aca="false">F192*G192</f>
        <v>0</v>
      </c>
      <c r="AC192" s="132" t="n">
        <f aca="false">$F192*H192</f>
        <v>0</v>
      </c>
      <c r="AD192" s="132" t="n">
        <f aca="false">$F192*I192</f>
        <v>0</v>
      </c>
      <c r="AE192" s="132" t="n">
        <f aca="false">$F192*J192</f>
        <v>-0</v>
      </c>
      <c r="AF192" s="132" t="n">
        <f aca="false">$F192*K192</f>
        <v>-0</v>
      </c>
      <c r="AG192" s="132" t="n">
        <f aca="false">$F192*L192</f>
        <v>0</v>
      </c>
      <c r="AH192" s="132" t="n">
        <f aca="false">$F192*M192</f>
        <v>0</v>
      </c>
      <c r="AI192" s="132" t="n">
        <f aca="false">$F192*N192</f>
        <v>0</v>
      </c>
      <c r="AJ192" s="132" t="n">
        <f aca="false">F192*O192</f>
        <v>0</v>
      </c>
      <c r="AK192" s="137"/>
      <c r="AL192" s="132" t="n">
        <f aca="false">CHOOSE($G$3,AC192-AD192,AD192-AC192)</f>
        <v>0</v>
      </c>
      <c r="AM192" s="132" t="n">
        <f aca="false">CHOOSE($G$3,AF192-AG192,AG192-AF192)</f>
        <v>0</v>
      </c>
      <c r="AN192" s="132" t="n">
        <f aca="false">CHOOSE($G$3,AI192-AJ192,AJ192-AI192)</f>
        <v>0</v>
      </c>
      <c r="AO192" s="148" t="n">
        <f aca="false">SUM(AL192:AN192)</f>
        <v>0</v>
      </c>
      <c r="AQ192" s="132" t="n">
        <f aca="false">CHOOSE($G$3,AB192-AC192,AC192-AB192)</f>
        <v>0</v>
      </c>
      <c r="AR192" s="132" t="n">
        <f aca="false">CHOOSE($G$3,AE192-AF192,AF192-AE192)</f>
        <v>0</v>
      </c>
      <c r="AS192" s="132" t="n">
        <f aca="false">CHOOSE($G$3,AH192-AI192,AI192-AH192)</f>
        <v>0</v>
      </c>
      <c r="AT192" s="148" t="n">
        <f aca="false">AQ192+AR192+AS192</f>
        <v>0</v>
      </c>
      <c r="AU192" s="148"/>
      <c r="AV192" s="133" t="n">
        <f aca="false">AT192+AO192</f>
        <v>0</v>
      </c>
      <c r="AX192" s="133" t="n">
        <f aca="false">AJ192+AG192+AD192</f>
        <v>0</v>
      </c>
      <c r="AY192" s="149"/>
      <c r="AZ192" s="76" t="n">
        <f aca="false">R192*E192</f>
        <v>0</v>
      </c>
    </row>
    <row r="193" customFormat="false" ht="12" hidden="false" customHeight="true" outlineLevel="0" collapsed="false">
      <c r="A193" s="138" t="n">
        <f aca="false">EDATE(A192,1)</f>
        <v>42552</v>
      </c>
      <c r="B193" s="139" t="n">
        <f aca="false">VLOOKUP($A193,Table2,MATCH(I$3,Curves2,0))</f>
        <v>0</v>
      </c>
      <c r="C193" s="140"/>
      <c r="D193" s="141" t="n">
        <f aca="false">B193+C193</f>
        <v>0</v>
      </c>
      <c r="E193" s="126" t="n">
        <f aca="false">IF(Y193=0,0,IF(AND(Y193=1,$H$3=1),D193*T193,IF($H$3=2,D193,"N/A")))</f>
        <v>0</v>
      </c>
      <c r="F193" s="126" t="n">
        <f aca="false">E193*X193</f>
        <v>0</v>
      </c>
      <c r="G193" s="142" t="n">
        <f aca="false">VLOOKUP($A193,Table,MATCH(G$4,Curves,0))</f>
        <v>3.987</v>
      </c>
      <c r="H193" s="143" t="n">
        <f aca="false">G193</f>
        <v>3.987</v>
      </c>
      <c r="I193" s="142" t="n">
        <f aca="false">VLOOKUP($A193,Table1,MATCH(I$3,Curves1,0))</f>
        <v>0</v>
      </c>
      <c r="J193" s="142" t="n">
        <f aca="false">VLOOKUP($A193,Table,MATCH(J$4,Curves,0))</f>
        <v>-0.0305</v>
      </c>
      <c r="K193" s="143" t="n">
        <f aca="false">J193</f>
        <v>-0.0305</v>
      </c>
      <c r="L193" s="144" t="n">
        <v>0</v>
      </c>
      <c r="M193" s="142" t="n">
        <f aca="false">VLOOKUP($A193,Table,MATCH(M$4,Curves,0))</f>
        <v>0.0087</v>
      </c>
      <c r="N193" s="143" t="n">
        <f aca="false">M193</f>
        <v>0.0087</v>
      </c>
      <c r="O193" s="144" t="n">
        <v>0</v>
      </c>
      <c r="P193" s="145"/>
      <c r="Q193" s="144" t="n">
        <f aca="false">M193+J193+G193</f>
        <v>3.9652</v>
      </c>
      <c r="R193" s="144" t="n">
        <f aca="false">O193+L193+I193</f>
        <v>0</v>
      </c>
      <c r="S193" s="145"/>
      <c r="T193" s="71" t="n">
        <f aca="false">A194-A193</f>
        <v>31</v>
      </c>
      <c r="U193" s="146" t="n">
        <f aca="false">CHOOSE(F$3,A194+24,A193)</f>
        <v>42607</v>
      </c>
      <c r="V193" s="71" t="n">
        <f aca="false">U193-C$3</f>
        <v>5719</v>
      </c>
      <c r="W193" s="142" t="n">
        <f aca="false">VLOOKUP($A193,Table,MATCH(W$4,Curves,0))</f>
        <v>0.058966861357273</v>
      </c>
      <c r="X193" s="147" t="n">
        <f aca="false">1/(1+CHOOSE(F$3,(W194+($K$3/10000))/2,(W193+($K$3/10000))/2))^(2*V193/365.25)</f>
        <v>0.402548234043333</v>
      </c>
      <c r="Y193" s="71" t="n">
        <f aca="false">IF(AND(mthbeg&lt;=A193,mthend&gt;=A193),1,0)</f>
        <v>0</v>
      </c>
      <c r="Z193" s="71" t="n">
        <f aca="false">T193*Y193</f>
        <v>0</v>
      </c>
      <c r="AB193" s="132" t="n">
        <f aca="false">F193*G193</f>
        <v>0</v>
      </c>
      <c r="AC193" s="132" t="n">
        <f aca="false">$F193*H193</f>
        <v>0</v>
      </c>
      <c r="AD193" s="132" t="n">
        <f aca="false">$F193*I193</f>
        <v>0</v>
      </c>
      <c r="AE193" s="132" t="n">
        <f aca="false">$F193*J193</f>
        <v>-0</v>
      </c>
      <c r="AF193" s="132" t="n">
        <f aca="false">$F193*K193</f>
        <v>-0</v>
      </c>
      <c r="AG193" s="132" t="n">
        <f aca="false">$F193*L193</f>
        <v>0</v>
      </c>
      <c r="AH193" s="132" t="n">
        <f aca="false">$F193*M193</f>
        <v>0</v>
      </c>
      <c r="AI193" s="132" t="n">
        <f aca="false">$F193*N193</f>
        <v>0</v>
      </c>
      <c r="AJ193" s="132" t="n">
        <f aca="false">F193*O193</f>
        <v>0</v>
      </c>
      <c r="AK193" s="137"/>
      <c r="AL193" s="132" t="n">
        <f aca="false">CHOOSE($G$3,AC193-AD193,AD193-AC193)</f>
        <v>0</v>
      </c>
      <c r="AM193" s="132" t="n">
        <f aca="false">CHOOSE($G$3,AF193-AG193,AG193-AF193)</f>
        <v>0</v>
      </c>
      <c r="AN193" s="132" t="n">
        <f aca="false">CHOOSE($G$3,AI193-AJ193,AJ193-AI193)</f>
        <v>0</v>
      </c>
      <c r="AO193" s="148" t="n">
        <f aca="false">SUM(AL193:AN193)</f>
        <v>0</v>
      </c>
      <c r="AQ193" s="132" t="n">
        <f aca="false">CHOOSE($G$3,AB193-AC193,AC193-AB193)</f>
        <v>0</v>
      </c>
      <c r="AR193" s="132" t="n">
        <f aca="false">CHOOSE($G$3,AE193-AF193,AF193-AE193)</f>
        <v>0</v>
      </c>
      <c r="AS193" s="132" t="n">
        <f aca="false">CHOOSE($G$3,AH193-AI193,AI193-AH193)</f>
        <v>0</v>
      </c>
      <c r="AT193" s="148" t="n">
        <f aca="false">AQ193+AR193+AS193</f>
        <v>0</v>
      </c>
      <c r="AU193" s="148"/>
      <c r="AV193" s="133" t="n">
        <f aca="false">AT193+AO193</f>
        <v>0</v>
      </c>
      <c r="AX193" s="133" t="n">
        <f aca="false">AJ193+AG193+AD193</f>
        <v>0</v>
      </c>
      <c r="AY193" s="149"/>
      <c r="AZ193" s="76" t="n">
        <f aca="false">R193*E193</f>
        <v>0</v>
      </c>
    </row>
    <row r="194" customFormat="false" ht="12" hidden="false" customHeight="true" outlineLevel="0" collapsed="false">
      <c r="A194" s="138" t="n">
        <f aca="false">EDATE(A193,1)</f>
        <v>42583</v>
      </c>
      <c r="B194" s="139" t="n">
        <f aca="false">VLOOKUP($A194,Table2,MATCH(I$3,Curves2,0))</f>
        <v>0</v>
      </c>
      <c r="C194" s="140"/>
      <c r="D194" s="141" t="n">
        <f aca="false">B194+C194</f>
        <v>0</v>
      </c>
      <c r="E194" s="126" t="n">
        <f aca="false">IF(Y194=0,0,IF(AND(Y194=1,$H$3=1),D194*T194,IF($H$3=2,D194,"N/A")))</f>
        <v>0</v>
      </c>
      <c r="F194" s="126" t="n">
        <f aca="false">E194*X194</f>
        <v>0</v>
      </c>
      <c r="G194" s="142" t="n">
        <f aca="false">VLOOKUP($A194,Table,MATCH(G$4,Curves,0))</f>
        <v>3.987</v>
      </c>
      <c r="H194" s="143" t="n">
        <f aca="false">G194</f>
        <v>3.987</v>
      </c>
      <c r="I194" s="142" t="n">
        <f aca="false">VLOOKUP($A194,Table1,MATCH(I$3,Curves1,0))</f>
        <v>0</v>
      </c>
      <c r="J194" s="142" t="n">
        <f aca="false">VLOOKUP($A194,Table,MATCH(J$4,Curves,0))</f>
        <v>-0.0305</v>
      </c>
      <c r="K194" s="143" t="n">
        <f aca="false">J194</f>
        <v>-0.0305</v>
      </c>
      <c r="L194" s="144" t="n">
        <v>0</v>
      </c>
      <c r="M194" s="142" t="n">
        <f aca="false">VLOOKUP($A194,Table,MATCH(M$4,Curves,0))</f>
        <v>0.0087</v>
      </c>
      <c r="N194" s="143" t="n">
        <f aca="false">M194</f>
        <v>0.0087</v>
      </c>
      <c r="O194" s="144" t="n">
        <v>0</v>
      </c>
      <c r="P194" s="145"/>
      <c r="Q194" s="144" t="n">
        <f aca="false">M194+J194+G194</f>
        <v>3.9652</v>
      </c>
      <c r="R194" s="144" t="n">
        <f aca="false">O194+L194+I194</f>
        <v>0</v>
      </c>
      <c r="S194" s="145"/>
      <c r="T194" s="71" t="n">
        <f aca="false">A195-A194</f>
        <v>31</v>
      </c>
      <c r="U194" s="146" t="n">
        <f aca="false">CHOOSE(F$3,A195+24,A194)</f>
        <v>42638</v>
      </c>
      <c r="V194" s="71" t="n">
        <f aca="false">U194-C$3</f>
        <v>5750</v>
      </c>
      <c r="W194" s="142" t="n">
        <f aca="false">VLOOKUP($A194,Table,MATCH(W$4,Curves,0))</f>
        <v>0.058966861357273</v>
      </c>
      <c r="X194" s="147" t="n">
        <f aca="false">1/(1+CHOOSE(F$3,(W195+($K$3/10000))/2,(W194+($K$3/10000))/2))^(2*V194/365.25)</f>
        <v>0.400567610939989</v>
      </c>
      <c r="Y194" s="71" t="n">
        <f aca="false">IF(AND(mthbeg&lt;=A194,mthend&gt;=A194),1,0)</f>
        <v>0</v>
      </c>
      <c r="Z194" s="71" t="n">
        <f aca="false">T194*Y194</f>
        <v>0</v>
      </c>
      <c r="AB194" s="132" t="n">
        <f aca="false">F194*G194</f>
        <v>0</v>
      </c>
      <c r="AC194" s="132" t="n">
        <f aca="false">$F194*H194</f>
        <v>0</v>
      </c>
      <c r="AD194" s="132" t="n">
        <f aca="false">$F194*I194</f>
        <v>0</v>
      </c>
      <c r="AE194" s="132" t="n">
        <f aca="false">$F194*J194</f>
        <v>-0</v>
      </c>
      <c r="AF194" s="132" t="n">
        <f aca="false">$F194*K194</f>
        <v>-0</v>
      </c>
      <c r="AG194" s="132" t="n">
        <f aca="false">$F194*L194</f>
        <v>0</v>
      </c>
      <c r="AH194" s="132" t="n">
        <f aca="false">$F194*M194</f>
        <v>0</v>
      </c>
      <c r="AI194" s="132" t="n">
        <f aca="false">$F194*N194</f>
        <v>0</v>
      </c>
      <c r="AJ194" s="132" t="n">
        <f aca="false">F194*O194</f>
        <v>0</v>
      </c>
      <c r="AK194" s="137"/>
      <c r="AL194" s="132" t="n">
        <f aca="false">CHOOSE($G$3,AC194-AD194,AD194-AC194)</f>
        <v>0</v>
      </c>
      <c r="AM194" s="132" t="n">
        <f aca="false">CHOOSE($G$3,AF194-AG194,AG194-AF194)</f>
        <v>0</v>
      </c>
      <c r="AN194" s="132" t="n">
        <f aca="false">CHOOSE($G$3,AI194-AJ194,AJ194-AI194)</f>
        <v>0</v>
      </c>
      <c r="AO194" s="148" t="n">
        <f aca="false">SUM(AL194:AN194)</f>
        <v>0</v>
      </c>
      <c r="AQ194" s="132" t="n">
        <f aca="false">CHOOSE($G$3,AB194-AC194,AC194-AB194)</f>
        <v>0</v>
      </c>
      <c r="AR194" s="132" t="n">
        <f aca="false">CHOOSE($G$3,AE194-AF194,AF194-AE194)</f>
        <v>0</v>
      </c>
      <c r="AS194" s="132" t="n">
        <f aca="false">CHOOSE($G$3,AH194-AI194,AI194-AH194)</f>
        <v>0</v>
      </c>
      <c r="AT194" s="148" t="n">
        <f aca="false">AQ194+AR194+AS194</f>
        <v>0</v>
      </c>
      <c r="AU194" s="148"/>
      <c r="AV194" s="133" t="n">
        <f aca="false">AT194+AO194</f>
        <v>0</v>
      </c>
      <c r="AX194" s="133" t="n">
        <f aca="false">AJ194+AG194+AD194</f>
        <v>0</v>
      </c>
      <c r="AY194" s="149"/>
      <c r="AZ194" s="76" t="n">
        <f aca="false">R194*E194</f>
        <v>0</v>
      </c>
    </row>
    <row r="195" customFormat="false" ht="12" hidden="false" customHeight="true" outlineLevel="0" collapsed="false">
      <c r="A195" s="138" t="n">
        <f aca="false">EDATE(A194,1)</f>
        <v>42614</v>
      </c>
      <c r="B195" s="139" t="n">
        <f aca="false">VLOOKUP($A195,Table2,MATCH(I$3,Curves2,0))</f>
        <v>0</v>
      </c>
      <c r="C195" s="140"/>
      <c r="D195" s="141" t="n">
        <f aca="false">B195+C195</f>
        <v>0</v>
      </c>
      <c r="E195" s="126" t="n">
        <f aca="false">IF(Y195=0,0,IF(AND(Y195=1,$H$3=1),D195*T195,IF($H$3=2,D195,"N/A")))</f>
        <v>0</v>
      </c>
      <c r="F195" s="126" t="n">
        <f aca="false">E195*X195</f>
        <v>0</v>
      </c>
      <c r="G195" s="142" t="n">
        <f aca="false">VLOOKUP($A195,Table,MATCH(G$4,Curves,0))</f>
        <v>3.987</v>
      </c>
      <c r="H195" s="143" t="n">
        <f aca="false">G195</f>
        <v>3.987</v>
      </c>
      <c r="I195" s="142" t="n">
        <f aca="false">VLOOKUP($A195,Table1,MATCH(I$3,Curves1,0))</f>
        <v>0</v>
      </c>
      <c r="J195" s="142" t="n">
        <f aca="false">VLOOKUP($A195,Table,MATCH(J$4,Curves,0))</f>
        <v>-0.0305</v>
      </c>
      <c r="K195" s="143" t="n">
        <f aca="false">J195</f>
        <v>-0.0305</v>
      </c>
      <c r="L195" s="144" t="n">
        <v>0</v>
      </c>
      <c r="M195" s="142" t="n">
        <f aca="false">VLOOKUP($A195,Table,MATCH(M$4,Curves,0))</f>
        <v>0.0087</v>
      </c>
      <c r="N195" s="143" t="n">
        <f aca="false">M195</f>
        <v>0.0087</v>
      </c>
      <c r="O195" s="144" t="n">
        <v>0</v>
      </c>
      <c r="P195" s="145"/>
      <c r="Q195" s="144" t="n">
        <f aca="false">M195+J195+G195</f>
        <v>3.9652</v>
      </c>
      <c r="R195" s="144" t="n">
        <f aca="false">O195+L195+I195</f>
        <v>0</v>
      </c>
      <c r="S195" s="145"/>
      <c r="T195" s="71" t="n">
        <f aca="false">A196-A195</f>
        <v>30</v>
      </c>
      <c r="U195" s="146" t="n">
        <f aca="false">CHOOSE(F$3,A196+24,A195)</f>
        <v>42668</v>
      </c>
      <c r="V195" s="71" t="n">
        <f aca="false">U195-C$3</f>
        <v>5780</v>
      </c>
      <c r="W195" s="142" t="n">
        <f aca="false">VLOOKUP($A195,Table,MATCH(W$4,Curves,0))</f>
        <v>0.058966861357273</v>
      </c>
      <c r="X195" s="147" t="n">
        <f aca="false">1/(1+CHOOSE(F$3,(W196+($K$3/10000))/2,(W195+($K$3/10000))/2))^(2*V195/365.25)</f>
        <v>0.398660158017572</v>
      </c>
      <c r="Y195" s="71" t="n">
        <f aca="false">IF(AND(mthbeg&lt;=A195,mthend&gt;=A195),1,0)</f>
        <v>0</v>
      </c>
      <c r="Z195" s="71" t="n">
        <f aca="false">T195*Y195</f>
        <v>0</v>
      </c>
      <c r="AB195" s="132" t="n">
        <f aca="false">F195*G195</f>
        <v>0</v>
      </c>
      <c r="AC195" s="132" t="n">
        <f aca="false">$F195*H195</f>
        <v>0</v>
      </c>
      <c r="AD195" s="132" t="n">
        <f aca="false">$F195*I195</f>
        <v>0</v>
      </c>
      <c r="AE195" s="132" t="n">
        <f aca="false">$F195*J195</f>
        <v>-0</v>
      </c>
      <c r="AF195" s="132" t="n">
        <f aca="false">$F195*K195</f>
        <v>-0</v>
      </c>
      <c r="AG195" s="132" t="n">
        <f aca="false">$F195*L195</f>
        <v>0</v>
      </c>
      <c r="AH195" s="132" t="n">
        <f aca="false">$F195*M195</f>
        <v>0</v>
      </c>
      <c r="AI195" s="132" t="n">
        <f aca="false">$F195*N195</f>
        <v>0</v>
      </c>
      <c r="AJ195" s="132" t="n">
        <f aca="false">F195*O195</f>
        <v>0</v>
      </c>
      <c r="AK195" s="137"/>
      <c r="AL195" s="132" t="n">
        <f aca="false">CHOOSE($G$3,AC195-AD195,AD195-AC195)</f>
        <v>0</v>
      </c>
      <c r="AM195" s="132" t="n">
        <f aca="false">CHOOSE($G$3,AF195-AG195,AG195-AF195)</f>
        <v>0</v>
      </c>
      <c r="AN195" s="132" t="n">
        <f aca="false">CHOOSE($G$3,AI195-AJ195,AJ195-AI195)</f>
        <v>0</v>
      </c>
      <c r="AO195" s="148" t="n">
        <f aca="false">SUM(AL195:AN195)</f>
        <v>0</v>
      </c>
      <c r="AQ195" s="132" t="n">
        <f aca="false">CHOOSE($G$3,AB195-AC195,AC195-AB195)</f>
        <v>0</v>
      </c>
      <c r="AR195" s="132" t="n">
        <f aca="false">CHOOSE($G$3,AE195-AF195,AF195-AE195)</f>
        <v>0</v>
      </c>
      <c r="AS195" s="132" t="n">
        <f aca="false">CHOOSE($G$3,AH195-AI195,AI195-AH195)</f>
        <v>0</v>
      </c>
      <c r="AT195" s="148" t="n">
        <f aca="false">AQ195+AR195+AS195</f>
        <v>0</v>
      </c>
      <c r="AU195" s="148"/>
      <c r="AV195" s="133" t="n">
        <f aca="false">AT195+AO195</f>
        <v>0</v>
      </c>
      <c r="AX195" s="133" t="n">
        <f aca="false">AJ195+AG195+AD195</f>
        <v>0</v>
      </c>
      <c r="AY195" s="149"/>
      <c r="AZ195" s="76" t="n">
        <f aca="false">R195*E195</f>
        <v>0</v>
      </c>
    </row>
    <row r="196" customFormat="false" ht="12" hidden="false" customHeight="true" outlineLevel="0" collapsed="false">
      <c r="A196" s="138" t="n">
        <f aca="false">EDATE(A195,1)</f>
        <v>42644</v>
      </c>
      <c r="B196" s="139" t="n">
        <f aca="false">VLOOKUP($A196,Table2,MATCH(I$3,Curves2,0))</f>
        <v>0</v>
      </c>
      <c r="C196" s="140"/>
      <c r="D196" s="141" t="n">
        <f aca="false">B196+C196</f>
        <v>0</v>
      </c>
      <c r="E196" s="126" t="n">
        <f aca="false">IF(Y196=0,0,IF(AND(Y196=1,$H$3=1),D196*T196,IF($H$3=2,D196,"N/A")))</f>
        <v>0</v>
      </c>
      <c r="F196" s="126" t="n">
        <f aca="false">E196*X196</f>
        <v>0</v>
      </c>
      <c r="G196" s="142" t="n">
        <f aca="false">VLOOKUP($A196,Table,MATCH(G$4,Curves,0))</f>
        <v>3.987</v>
      </c>
      <c r="H196" s="143" t="n">
        <f aca="false">G196</f>
        <v>3.987</v>
      </c>
      <c r="I196" s="142" t="n">
        <f aca="false">VLOOKUP($A196,Table1,MATCH(I$3,Curves1,0))</f>
        <v>0</v>
      </c>
      <c r="J196" s="142" t="n">
        <f aca="false">VLOOKUP($A196,Table,MATCH(J$4,Curves,0))</f>
        <v>-0.0305</v>
      </c>
      <c r="K196" s="143" t="n">
        <f aca="false">J196</f>
        <v>-0.0305</v>
      </c>
      <c r="L196" s="144" t="n">
        <v>0</v>
      </c>
      <c r="M196" s="142" t="n">
        <f aca="false">VLOOKUP($A196,Table,MATCH(M$4,Curves,0))</f>
        <v>0.0087</v>
      </c>
      <c r="N196" s="143" t="n">
        <f aca="false">M196</f>
        <v>0.0087</v>
      </c>
      <c r="O196" s="144" t="n">
        <v>0</v>
      </c>
      <c r="P196" s="145"/>
      <c r="Q196" s="144" t="n">
        <f aca="false">M196+J196+G196</f>
        <v>3.9652</v>
      </c>
      <c r="R196" s="144" t="n">
        <f aca="false">O196+L196+I196</f>
        <v>0</v>
      </c>
      <c r="S196" s="145"/>
      <c r="T196" s="71" t="n">
        <f aca="false">A197-A196</f>
        <v>31</v>
      </c>
      <c r="U196" s="146" t="n">
        <f aca="false">CHOOSE(F$3,A197+24,A196)</f>
        <v>42699</v>
      </c>
      <c r="V196" s="71" t="n">
        <f aca="false">U196-C$3</f>
        <v>5811</v>
      </c>
      <c r="W196" s="142" t="n">
        <f aca="false">VLOOKUP($A196,Table,MATCH(W$4,Curves,0))</f>
        <v>0.058966861357273</v>
      </c>
      <c r="X196" s="147" t="n">
        <f aca="false">1/(1+CHOOSE(F$3,(W197+($K$3/10000))/2,(W196+($K$3/10000))/2))^(2*V196/365.25)</f>
        <v>0.39669866507691</v>
      </c>
      <c r="Y196" s="71" t="n">
        <f aca="false">IF(AND(mthbeg&lt;=A196,mthend&gt;=A196),1,0)</f>
        <v>0</v>
      </c>
      <c r="Z196" s="71" t="n">
        <f aca="false">T196*Y196</f>
        <v>0</v>
      </c>
      <c r="AB196" s="132" t="n">
        <f aca="false">F196*G196</f>
        <v>0</v>
      </c>
      <c r="AC196" s="132" t="n">
        <f aca="false">$F196*H196</f>
        <v>0</v>
      </c>
      <c r="AD196" s="132" t="n">
        <f aca="false">$F196*I196</f>
        <v>0</v>
      </c>
      <c r="AE196" s="132" t="n">
        <f aca="false">$F196*J196</f>
        <v>-0</v>
      </c>
      <c r="AF196" s="132" t="n">
        <f aca="false">$F196*K196</f>
        <v>-0</v>
      </c>
      <c r="AG196" s="132" t="n">
        <f aca="false">$F196*L196</f>
        <v>0</v>
      </c>
      <c r="AH196" s="132" t="n">
        <f aca="false">$F196*M196</f>
        <v>0</v>
      </c>
      <c r="AI196" s="132" t="n">
        <f aca="false">$F196*N196</f>
        <v>0</v>
      </c>
      <c r="AJ196" s="132" t="n">
        <f aca="false">F196*O196</f>
        <v>0</v>
      </c>
      <c r="AK196" s="137"/>
      <c r="AL196" s="132" t="n">
        <f aca="false">CHOOSE($G$3,AC196-AD196,AD196-AC196)</f>
        <v>0</v>
      </c>
      <c r="AM196" s="132" t="n">
        <f aca="false">CHOOSE($G$3,AF196-AG196,AG196-AF196)</f>
        <v>0</v>
      </c>
      <c r="AN196" s="132" t="n">
        <f aca="false">CHOOSE($G$3,AI196-AJ196,AJ196-AI196)</f>
        <v>0</v>
      </c>
      <c r="AO196" s="148" t="n">
        <f aca="false">SUM(AL196:AN196)</f>
        <v>0</v>
      </c>
      <c r="AQ196" s="132" t="n">
        <f aca="false">CHOOSE($G$3,AB196-AC196,AC196-AB196)</f>
        <v>0</v>
      </c>
      <c r="AR196" s="132" t="n">
        <f aca="false">CHOOSE($G$3,AE196-AF196,AF196-AE196)</f>
        <v>0</v>
      </c>
      <c r="AS196" s="132" t="n">
        <f aca="false">CHOOSE($G$3,AH196-AI196,AI196-AH196)</f>
        <v>0</v>
      </c>
      <c r="AT196" s="148" t="n">
        <f aca="false">AQ196+AR196+AS196</f>
        <v>0</v>
      </c>
      <c r="AU196" s="148"/>
      <c r="AV196" s="133" t="n">
        <f aca="false">AT196+AO196</f>
        <v>0</v>
      </c>
      <c r="AX196" s="133" t="n">
        <f aca="false">AJ196+AG196+AD196</f>
        <v>0</v>
      </c>
      <c r="AY196" s="149"/>
      <c r="AZ196" s="76" t="n">
        <f aca="false">R196*E196</f>
        <v>0</v>
      </c>
    </row>
    <row r="197" customFormat="false" ht="12" hidden="false" customHeight="true" outlineLevel="0" collapsed="false">
      <c r="A197" s="138" t="n">
        <f aca="false">EDATE(A196,1)</f>
        <v>42675</v>
      </c>
      <c r="B197" s="139" t="n">
        <f aca="false">VLOOKUP($A197,Table2,MATCH(I$3,Curves2,0))</f>
        <v>0</v>
      </c>
      <c r="C197" s="140"/>
      <c r="D197" s="141" t="n">
        <f aca="false">B197+C197</f>
        <v>0</v>
      </c>
      <c r="E197" s="126" t="n">
        <f aca="false">IF(Y197=0,0,IF(AND(Y197=1,$H$3=1),D197*T197,IF($H$3=2,D197,"N/A")))</f>
        <v>0</v>
      </c>
      <c r="F197" s="126" t="n">
        <f aca="false">E197*X197</f>
        <v>0</v>
      </c>
      <c r="G197" s="142" t="n">
        <f aca="false">VLOOKUP($A197,Table,MATCH(G$4,Curves,0))</f>
        <v>3.987</v>
      </c>
      <c r="H197" s="143" t="n">
        <f aca="false">G197</f>
        <v>3.987</v>
      </c>
      <c r="I197" s="142" t="n">
        <f aca="false">VLOOKUP($A197,Table1,MATCH(I$3,Curves1,0))</f>
        <v>0</v>
      </c>
      <c r="J197" s="142" t="n">
        <f aca="false">VLOOKUP($A197,Table,MATCH(J$4,Curves,0))</f>
        <v>-0.0305</v>
      </c>
      <c r="K197" s="143" t="n">
        <f aca="false">J197</f>
        <v>-0.0305</v>
      </c>
      <c r="L197" s="144" t="n">
        <v>0</v>
      </c>
      <c r="M197" s="142" t="n">
        <f aca="false">VLOOKUP($A197,Table,MATCH(M$4,Curves,0))</f>
        <v>0.0087</v>
      </c>
      <c r="N197" s="143" t="n">
        <f aca="false">M197</f>
        <v>0.0087</v>
      </c>
      <c r="O197" s="144" t="n">
        <v>0</v>
      </c>
      <c r="P197" s="145"/>
      <c r="Q197" s="144" t="n">
        <f aca="false">M197+J197+G197</f>
        <v>3.9652</v>
      </c>
      <c r="R197" s="144" t="n">
        <f aca="false">O197+L197+I197</f>
        <v>0</v>
      </c>
      <c r="S197" s="145"/>
      <c r="T197" s="71" t="n">
        <f aca="false">A198-A197</f>
        <v>30</v>
      </c>
      <c r="U197" s="146" t="n">
        <f aca="false">CHOOSE(F$3,A198+24,A197)</f>
        <v>42729</v>
      </c>
      <c r="V197" s="71" t="n">
        <f aca="false">U197-C$3</f>
        <v>5841</v>
      </c>
      <c r="W197" s="142" t="n">
        <f aca="false">VLOOKUP($A197,Table,MATCH(W$4,Curves,0))</f>
        <v>0.058966861357273</v>
      </c>
      <c r="X197" s="147" t="n">
        <f aca="false">1/(1+CHOOSE(F$3,(W198+($K$3/10000))/2,(W197+($K$3/10000))/2))^(2*V197/365.25)</f>
        <v>0.394809635591365</v>
      </c>
      <c r="Y197" s="71" t="n">
        <f aca="false">IF(AND(mthbeg&lt;=A197,mthend&gt;=A197),1,0)</f>
        <v>0</v>
      </c>
      <c r="Z197" s="71" t="n">
        <f aca="false">T197*Y197</f>
        <v>0</v>
      </c>
      <c r="AB197" s="132" t="n">
        <f aca="false">F197*G197</f>
        <v>0</v>
      </c>
      <c r="AC197" s="132" t="n">
        <f aca="false">$F197*H197</f>
        <v>0</v>
      </c>
      <c r="AD197" s="132" t="n">
        <f aca="false">$F197*I197</f>
        <v>0</v>
      </c>
      <c r="AE197" s="132" t="n">
        <f aca="false">$F197*J197</f>
        <v>-0</v>
      </c>
      <c r="AF197" s="132" t="n">
        <f aca="false">$F197*K197</f>
        <v>-0</v>
      </c>
      <c r="AG197" s="132" t="n">
        <f aca="false">$F197*L197</f>
        <v>0</v>
      </c>
      <c r="AH197" s="132" t="n">
        <f aca="false">$F197*M197</f>
        <v>0</v>
      </c>
      <c r="AI197" s="132" t="n">
        <f aca="false">$F197*N197</f>
        <v>0</v>
      </c>
      <c r="AJ197" s="132" t="n">
        <f aca="false">F197*O197</f>
        <v>0</v>
      </c>
      <c r="AK197" s="137"/>
      <c r="AL197" s="132" t="n">
        <f aca="false">CHOOSE($G$3,AC197-AD197,AD197-AC197)</f>
        <v>0</v>
      </c>
      <c r="AM197" s="132" t="n">
        <f aca="false">CHOOSE($G$3,AF197-AG197,AG197-AF197)</f>
        <v>0</v>
      </c>
      <c r="AN197" s="132" t="n">
        <f aca="false">CHOOSE($G$3,AI197-AJ197,AJ197-AI197)</f>
        <v>0</v>
      </c>
      <c r="AO197" s="148" t="n">
        <f aca="false">SUM(AL197:AN197)</f>
        <v>0</v>
      </c>
      <c r="AQ197" s="132" t="n">
        <f aca="false">CHOOSE($G$3,AB197-AC197,AC197-AB197)</f>
        <v>0</v>
      </c>
      <c r="AR197" s="132" t="n">
        <f aca="false">CHOOSE($G$3,AE197-AF197,AF197-AE197)</f>
        <v>0</v>
      </c>
      <c r="AS197" s="132" t="n">
        <f aca="false">CHOOSE($G$3,AH197-AI197,AI197-AH197)</f>
        <v>0</v>
      </c>
      <c r="AT197" s="148" t="n">
        <f aca="false">AQ197+AR197+AS197</f>
        <v>0</v>
      </c>
      <c r="AU197" s="148"/>
      <c r="AV197" s="133" t="n">
        <f aca="false">AT197+AO197</f>
        <v>0</v>
      </c>
      <c r="AX197" s="133" t="n">
        <f aca="false">AJ197+AG197+AD197</f>
        <v>0</v>
      </c>
      <c r="AY197" s="149"/>
      <c r="AZ197" s="76" t="n">
        <f aca="false">R197*E197</f>
        <v>0</v>
      </c>
    </row>
    <row r="198" customFormat="false" ht="12" hidden="false" customHeight="true" outlineLevel="0" collapsed="false">
      <c r="A198" s="138" t="n">
        <f aca="false">EDATE(A197,1)</f>
        <v>42705</v>
      </c>
      <c r="B198" s="139" t="n">
        <f aca="false">VLOOKUP($A198,Table2,MATCH(I$3,Curves2,0))</f>
        <v>0</v>
      </c>
      <c r="C198" s="140"/>
      <c r="D198" s="141" t="n">
        <f aca="false">B198+C198</f>
        <v>0</v>
      </c>
      <c r="E198" s="126" t="n">
        <f aca="false">IF(Y198=0,0,IF(AND(Y198=1,$H$3=1),D198*T198,IF($H$3=2,D198,"N/A")))</f>
        <v>0</v>
      </c>
      <c r="F198" s="126" t="n">
        <f aca="false">E198*X198</f>
        <v>0</v>
      </c>
      <c r="G198" s="142" t="n">
        <f aca="false">VLOOKUP($A198,Table,MATCH(G$4,Curves,0))</f>
        <v>3.987</v>
      </c>
      <c r="H198" s="143" t="n">
        <f aca="false">G198</f>
        <v>3.987</v>
      </c>
      <c r="I198" s="142" t="n">
        <f aca="false">VLOOKUP($A198,Table1,MATCH(I$3,Curves1,0))</f>
        <v>0</v>
      </c>
      <c r="J198" s="142" t="n">
        <f aca="false">VLOOKUP($A198,Table,MATCH(J$4,Curves,0))</f>
        <v>-0.0305</v>
      </c>
      <c r="K198" s="143" t="n">
        <f aca="false">J198</f>
        <v>-0.0305</v>
      </c>
      <c r="L198" s="144" t="n">
        <v>0</v>
      </c>
      <c r="M198" s="142" t="n">
        <f aca="false">VLOOKUP($A198,Table,MATCH(M$4,Curves,0))</f>
        <v>0.0087</v>
      </c>
      <c r="N198" s="143" t="n">
        <f aca="false">M198</f>
        <v>0.0087</v>
      </c>
      <c r="O198" s="144" t="n">
        <v>0</v>
      </c>
      <c r="P198" s="145"/>
      <c r="Q198" s="144" t="n">
        <f aca="false">M198+J198+G198</f>
        <v>3.9652</v>
      </c>
      <c r="R198" s="144" t="n">
        <f aca="false">O198+L198+I198</f>
        <v>0</v>
      </c>
      <c r="S198" s="145"/>
      <c r="T198" s="71" t="n">
        <f aca="false">A199-A198</f>
        <v>31</v>
      </c>
      <c r="U198" s="146" t="n">
        <f aca="false">CHOOSE(F$3,A199+24,A198)</f>
        <v>42760</v>
      </c>
      <c r="V198" s="71" t="n">
        <f aca="false">U198-C$3</f>
        <v>5872</v>
      </c>
      <c r="W198" s="142" t="n">
        <f aca="false">VLOOKUP($A198,Table,MATCH(W$4,Curves,0))</f>
        <v>0.058966861357273</v>
      </c>
      <c r="X198" s="147" t="n">
        <f aca="false">1/(1+CHOOSE(F$3,(W199+($K$3/10000))/2,(W198+($K$3/10000))/2))^(2*V198/365.25)</f>
        <v>0.39286708804167</v>
      </c>
      <c r="Y198" s="71" t="n">
        <f aca="false">IF(AND(mthbeg&lt;=A198,mthend&gt;=A198),1,0)</f>
        <v>0</v>
      </c>
      <c r="Z198" s="71" t="n">
        <f aca="false">T198*Y198</f>
        <v>0</v>
      </c>
      <c r="AB198" s="132" t="n">
        <f aca="false">F198*G198</f>
        <v>0</v>
      </c>
      <c r="AC198" s="132" t="n">
        <f aca="false">$F198*H198</f>
        <v>0</v>
      </c>
      <c r="AD198" s="132" t="n">
        <f aca="false">$F198*I198</f>
        <v>0</v>
      </c>
      <c r="AE198" s="132" t="n">
        <f aca="false">$F198*J198</f>
        <v>-0</v>
      </c>
      <c r="AF198" s="132" t="n">
        <f aca="false">$F198*K198</f>
        <v>-0</v>
      </c>
      <c r="AG198" s="132" t="n">
        <f aca="false">$F198*L198</f>
        <v>0</v>
      </c>
      <c r="AH198" s="132" t="n">
        <f aca="false">$F198*M198</f>
        <v>0</v>
      </c>
      <c r="AI198" s="132" t="n">
        <f aca="false">$F198*N198</f>
        <v>0</v>
      </c>
      <c r="AJ198" s="132" t="n">
        <f aca="false">F198*O198</f>
        <v>0</v>
      </c>
      <c r="AK198" s="137"/>
      <c r="AL198" s="132" t="n">
        <f aca="false">CHOOSE($G$3,AC198-AD198,AD198-AC198)</f>
        <v>0</v>
      </c>
      <c r="AM198" s="132" t="n">
        <f aca="false">CHOOSE($G$3,AF198-AG198,AG198-AF198)</f>
        <v>0</v>
      </c>
      <c r="AN198" s="132" t="n">
        <f aca="false">CHOOSE($G$3,AI198-AJ198,AJ198-AI198)</f>
        <v>0</v>
      </c>
      <c r="AO198" s="148" t="n">
        <f aca="false">SUM(AL198:AN198)</f>
        <v>0</v>
      </c>
      <c r="AQ198" s="132" t="n">
        <f aca="false">CHOOSE($G$3,AB198-AC198,AC198-AB198)</f>
        <v>0</v>
      </c>
      <c r="AR198" s="132" t="n">
        <f aca="false">CHOOSE($G$3,AE198-AF198,AF198-AE198)</f>
        <v>0</v>
      </c>
      <c r="AS198" s="132" t="n">
        <f aca="false">CHOOSE($G$3,AH198-AI198,AI198-AH198)</f>
        <v>0</v>
      </c>
      <c r="AT198" s="148" t="n">
        <f aca="false">AQ198+AR198+AS198</f>
        <v>0</v>
      </c>
      <c r="AU198" s="148"/>
      <c r="AV198" s="133" t="n">
        <f aca="false">AT198+AO198</f>
        <v>0</v>
      </c>
      <c r="AX198" s="133" t="n">
        <f aca="false">AJ198+AG198+AD198</f>
        <v>0</v>
      </c>
      <c r="AY198" s="149"/>
      <c r="AZ198" s="76" t="n">
        <f aca="false">R198*E198</f>
        <v>0</v>
      </c>
    </row>
    <row r="199" customFormat="false" ht="12" hidden="false" customHeight="true" outlineLevel="0" collapsed="false">
      <c r="A199" s="138" t="n">
        <f aca="false">EDATE(A198,1)</f>
        <v>42736</v>
      </c>
      <c r="B199" s="139" t="n">
        <f aca="false">VLOOKUP($A199,Table2,MATCH(I$3,Curves2,0))</f>
        <v>0</v>
      </c>
      <c r="C199" s="140"/>
      <c r="D199" s="141" t="n">
        <f aca="false">B199+C199</f>
        <v>0</v>
      </c>
      <c r="E199" s="126" t="n">
        <f aca="false">IF(Y199=0,0,IF(AND(Y199=1,$H$3=1),D199*T199,IF($H$3=2,D199,"N/A")))</f>
        <v>0</v>
      </c>
      <c r="F199" s="126" t="n">
        <f aca="false">E199*X199</f>
        <v>0</v>
      </c>
      <c r="G199" s="142" t="n">
        <f aca="false">VLOOKUP($A199,Table,MATCH(G$4,Curves,0))</f>
        <v>3.987</v>
      </c>
      <c r="H199" s="143" t="n">
        <f aca="false">G199</f>
        <v>3.987</v>
      </c>
      <c r="I199" s="142" t="n">
        <f aca="false">VLOOKUP($A199,Table1,MATCH(I$3,Curves1,0))</f>
        <v>0</v>
      </c>
      <c r="J199" s="142" t="n">
        <f aca="false">VLOOKUP($A199,Table,MATCH(J$4,Curves,0))</f>
        <v>-0.0305</v>
      </c>
      <c r="K199" s="143" t="n">
        <f aca="false">J199</f>
        <v>-0.0305</v>
      </c>
      <c r="L199" s="144" t="n">
        <v>0</v>
      </c>
      <c r="M199" s="142" t="n">
        <f aca="false">VLOOKUP($A199,Table,MATCH(M$4,Curves,0))</f>
        <v>0.0087</v>
      </c>
      <c r="N199" s="143" t="n">
        <f aca="false">M199</f>
        <v>0.0087</v>
      </c>
      <c r="O199" s="144" t="n">
        <v>0</v>
      </c>
      <c r="P199" s="145"/>
      <c r="Q199" s="144" t="n">
        <f aca="false">M199+J199+G199</f>
        <v>3.9652</v>
      </c>
      <c r="R199" s="144" t="n">
        <f aca="false">O199+L199+I199</f>
        <v>0</v>
      </c>
      <c r="S199" s="145"/>
      <c r="T199" s="71" t="n">
        <f aca="false">A200-A199</f>
        <v>31</v>
      </c>
      <c r="U199" s="146" t="n">
        <f aca="false">CHOOSE(F$3,A200+24,A199)</f>
        <v>42791</v>
      </c>
      <c r="V199" s="71" t="n">
        <f aca="false">U199-C$3</f>
        <v>5903</v>
      </c>
      <c r="W199" s="142" t="n">
        <f aca="false">VLOOKUP($A199,Table,MATCH(W$4,Curves,0))</f>
        <v>0.058966861357273</v>
      </c>
      <c r="X199" s="147" t="n">
        <f aca="false">1/(1+CHOOSE(F$3,(W200+($K$3/10000))/2,(W199+($K$3/10000))/2))^(2*V199/365.25)</f>
        <v>0.390934098239919</v>
      </c>
      <c r="Y199" s="71" t="n">
        <f aca="false">IF(AND(mthbeg&lt;=A199,mthend&gt;=A199),1,0)</f>
        <v>0</v>
      </c>
      <c r="Z199" s="71" t="n">
        <f aca="false">T199*Y199</f>
        <v>0</v>
      </c>
      <c r="AB199" s="132" t="n">
        <f aca="false">F199*G199</f>
        <v>0</v>
      </c>
      <c r="AC199" s="132" t="n">
        <f aca="false">$F199*H199</f>
        <v>0</v>
      </c>
      <c r="AD199" s="132" t="n">
        <f aca="false">$F199*I199</f>
        <v>0</v>
      </c>
      <c r="AE199" s="132" t="n">
        <f aca="false">$F199*J199</f>
        <v>-0</v>
      </c>
      <c r="AF199" s="132" t="n">
        <f aca="false">$F199*K199</f>
        <v>-0</v>
      </c>
      <c r="AG199" s="132" t="n">
        <f aca="false">$F199*L199</f>
        <v>0</v>
      </c>
      <c r="AH199" s="132" t="n">
        <f aca="false">$F199*M199</f>
        <v>0</v>
      </c>
      <c r="AI199" s="132" t="n">
        <f aca="false">$F199*N199</f>
        <v>0</v>
      </c>
      <c r="AJ199" s="132" t="n">
        <f aca="false">F199*O199</f>
        <v>0</v>
      </c>
      <c r="AK199" s="137"/>
      <c r="AL199" s="132" t="n">
        <f aca="false">CHOOSE($G$3,AC199-AD199,AD199-AC199)</f>
        <v>0</v>
      </c>
      <c r="AM199" s="132" t="n">
        <f aca="false">CHOOSE($G$3,AF199-AG199,AG199-AF199)</f>
        <v>0</v>
      </c>
      <c r="AN199" s="132" t="n">
        <f aca="false">CHOOSE($G$3,AI199-AJ199,AJ199-AI199)</f>
        <v>0</v>
      </c>
      <c r="AO199" s="148" t="n">
        <f aca="false">SUM(AL199:AN199)</f>
        <v>0</v>
      </c>
      <c r="AQ199" s="132" t="n">
        <f aca="false">CHOOSE($G$3,AB199-AC199,AC199-AB199)</f>
        <v>0</v>
      </c>
      <c r="AR199" s="132" t="n">
        <f aca="false">CHOOSE($G$3,AE199-AF199,AF199-AE199)</f>
        <v>0</v>
      </c>
      <c r="AS199" s="132" t="n">
        <f aca="false">CHOOSE($G$3,AH199-AI199,AI199-AH199)</f>
        <v>0</v>
      </c>
      <c r="AT199" s="148" t="n">
        <f aca="false">AQ199+AR199+AS199</f>
        <v>0</v>
      </c>
      <c r="AU199" s="148"/>
      <c r="AV199" s="133" t="n">
        <f aca="false">AT199+AO199</f>
        <v>0</v>
      </c>
      <c r="AX199" s="133" t="n">
        <f aca="false">AJ199+AG199+AD199</f>
        <v>0</v>
      </c>
      <c r="AY199" s="149"/>
      <c r="AZ199" s="76" t="n">
        <f aca="false">R199*E199</f>
        <v>0</v>
      </c>
    </row>
    <row r="200" customFormat="false" ht="12" hidden="false" customHeight="true" outlineLevel="0" collapsed="false">
      <c r="A200" s="138" t="n">
        <f aca="false">EDATE(A199,1)</f>
        <v>42767</v>
      </c>
      <c r="B200" s="139" t="n">
        <f aca="false">VLOOKUP($A200,Table2,MATCH(I$3,Curves2,0))</f>
        <v>0</v>
      </c>
      <c r="C200" s="140"/>
      <c r="D200" s="141" t="n">
        <f aca="false">B200+C200</f>
        <v>0</v>
      </c>
      <c r="E200" s="126" t="n">
        <f aca="false">IF(Y200=0,0,IF(AND(Y200=1,$H$3=1),D200*T200,IF($H$3=2,D200,"N/A")))</f>
        <v>0</v>
      </c>
      <c r="F200" s="126" t="n">
        <f aca="false">E200*X200</f>
        <v>0</v>
      </c>
      <c r="G200" s="142" t="n">
        <f aca="false">VLOOKUP($A200,Table,MATCH(G$4,Curves,0))</f>
        <v>3.987</v>
      </c>
      <c r="H200" s="143" t="n">
        <f aca="false">G200</f>
        <v>3.987</v>
      </c>
      <c r="I200" s="142" t="n">
        <f aca="false">VLOOKUP($A200,Table1,MATCH(I$3,Curves1,0))</f>
        <v>0</v>
      </c>
      <c r="J200" s="142" t="n">
        <f aca="false">VLOOKUP($A200,Table,MATCH(J$4,Curves,0))</f>
        <v>-0.0305</v>
      </c>
      <c r="K200" s="143" t="n">
        <f aca="false">J200</f>
        <v>-0.0305</v>
      </c>
      <c r="L200" s="144" t="n">
        <v>0</v>
      </c>
      <c r="M200" s="142" t="n">
        <f aca="false">VLOOKUP($A200,Table,MATCH(M$4,Curves,0))</f>
        <v>0.0087</v>
      </c>
      <c r="N200" s="143" t="n">
        <f aca="false">M200</f>
        <v>0.0087</v>
      </c>
      <c r="O200" s="144" t="n">
        <v>0</v>
      </c>
      <c r="P200" s="145"/>
      <c r="Q200" s="144" t="n">
        <f aca="false">M200+J200+G200</f>
        <v>3.9652</v>
      </c>
      <c r="R200" s="144" t="n">
        <f aca="false">O200+L200+I200</f>
        <v>0</v>
      </c>
      <c r="S200" s="145"/>
      <c r="T200" s="71" t="n">
        <f aca="false">A201-A200</f>
        <v>28</v>
      </c>
      <c r="U200" s="146" t="n">
        <f aca="false">CHOOSE(F$3,A201+24,A200)</f>
        <v>42819</v>
      </c>
      <c r="V200" s="71" t="n">
        <f aca="false">U200-C$3</f>
        <v>5931</v>
      </c>
      <c r="W200" s="142" t="n">
        <f aca="false">VLOOKUP($A200,Table,MATCH(W$4,Curves,0))</f>
        <v>0.058966861357273</v>
      </c>
      <c r="X200" s="147" t="n">
        <f aca="false">1/(1+CHOOSE(F$3,(W201+($K$3/10000))/2,(W200+($K$3/10000))/2))^(2*V200/365.25)</f>
        <v>0.389196347934837</v>
      </c>
      <c r="Y200" s="71" t="n">
        <f aca="false">IF(AND(mthbeg&lt;=A200,mthend&gt;=A200),1,0)</f>
        <v>0</v>
      </c>
      <c r="Z200" s="71" t="n">
        <f aca="false">T200*Y200</f>
        <v>0</v>
      </c>
      <c r="AB200" s="132" t="n">
        <f aca="false">F200*G200</f>
        <v>0</v>
      </c>
      <c r="AC200" s="132" t="n">
        <f aca="false">$F200*H200</f>
        <v>0</v>
      </c>
      <c r="AD200" s="132" t="n">
        <f aca="false">$F200*I200</f>
        <v>0</v>
      </c>
      <c r="AE200" s="132" t="n">
        <f aca="false">$F200*J200</f>
        <v>-0</v>
      </c>
      <c r="AF200" s="132" t="n">
        <f aca="false">$F200*K200</f>
        <v>-0</v>
      </c>
      <c r="AG200" s="132" t="n">
        <f aca="false">$F200*L200</f>
        <v>0</v>
      </c>
      <c r="AH200" s="132" t="n">
        <f aca="false">$F200*M200</f>
        <v>0</v>
      </c>
      <c r="AI200" s="132" t="n">
        <f aca="false">$F200*N200</f>
        <v>0</v>
      </c>
      <c r="AJ200" s="132" t="n">
        <f aca="false">F200*O200</f>
        <v>0</v>
      </c>
      <c r="AK200" s="137"/>
      <c r="AL200" s="132" t="n">
        <f aca="false">CHOOSE($G$3,AC200-AD200,AD200-AC200)</f>
        <v>0</v>
      </c>
      <c r="AM200" s="132" t="n">
        <f aca="false">CHOOSE($G$3,AF200-AG200,AG200-AF200)</f>
        <v>0</v>
      </c>
      <c r="AN200" s="132" t="n">
        <f aca="false">CHOOSE($G$3,AI200-AJ200,AJ200-AI200)</f>
        <v>0</v>
      </c>
      <c r="AO200" s="148" t="n">
        <f aca="false">SUM(AL200:AN200)</f>
        <v>0</v>
      </c>
      <c r="AQ200" s="132" t="n">
        <f aca="false">CHOOSE($G$3,AB200-AC200,AC200-AB200)</f>
        <v>0</v>
      </c>
      <c r="AR200" s="132" t="n">
        <f aca="false">CHOOSE($G$3,AE200-AF200,AF200-AE200)</f>
        <v>0</v>
      </c>
      <c r="AS200" s="132" t="n">
        <f aca="false">CHOOSE($G$3,AH200-AI200,AI200-AH200)</f>
        <v>0</v>
      </c>
      <c r="AT200" s="148" t="n">
        <f aca="false">AQ200+AR200+AS200</f>
        <v>0</v>
      </c>
      <c r="AU200" s="148"/>
      <c r="AV200" s="133" t="n">
        <f aca="false">AT200+AO200</f>
        <v>0</v>
      </c>
      <c r="AX200" s="133" t="n">
        <f aca="false">AJ200+AG200+AD200</f>
        <v>0</v>
      </c>
      <c r="AY200" s="149"/>
      <c r="AZ200" s="76" t="n">
        <f aca="false">R200*E200</f>
        <v>0</v>
      </c>
    </row>
    <row r="201" customFormat="false" ht="12" hidden="false" customHeight="true" outlineLevel="0" collapsed="false">
      <c r="A201" s="138" t="n">
        <f aca="false">EDATE(A200,1)</f>
        <v>42795</v>
      </c>
      <c r="B201" s="139" t="n">
        <f aca="false">VLOOKUP($A201,Table2,MATCH(I$3,Curves2,0))</f>
        <v>0</v>
      </c>
      <c r="C201" s="140"/>
      <c r="D201" s="141" t="n">
        <f aca="false">B201+C201</f>
        <v>0</v>
      </c>
      <c r="E201" s="126" t="n">
        <f aca="false">IF(Y201=0,0,IF(AND(Y201=1,$H$3=1),D201*T201,IF($H$3=2,D201,"N/A")))</f>
        <v>0</v>
      </c>
      <c r="F201" s="126" t="n">
        <f aca="false">E201*X201</f>
        <v>0</v>
      </c>
      <c r="G201" s="142" t="n">
        <f aca="false">VLOOKUP($A201,Table,MATCH(G$4,Curves,0))</f>
        <v>3.987</v>
      </c>
      <c r="H201" s="143" t="n">
        <f aca="false">G201</f>
        <v>3.987</v>
      </c>
      <c r="I201" s="142" t="n">
        <f aca="false">VLOOKUP($A201,Table1,MATCH(I$3,Curves1,0))</f>
        <v>0</v>
      </c>
      <c r="J201" s="142" t="n">
        <f aca="false">VLOOKUP($A201,Table,MATCH(J$4,Curves,0))</f>
        <v>-0.0305</v>
      </c>
      <c r="K201" s="143" t="n">
        <f aca="false">J201</f>
        <v>-0.0305</v>
      </c>
      <c r="L201" s="144" t="n">
        <v>0</v>
      </c>
      <c r="M201" s="142" t="n">
        <f aca="false">VLOOKUP($A201,Table,MATCH(M$4,Curves,0))</f>
        <v>0.0087</v>
      </c>
      <c r="N201" s="143" t="n">
        <f aca="false">M201</f>
        <v>0.0087</v>
      </c>
      <c r="O201" s="144" t="n">
        <v>0</v>
      </c>
      <c r="P201" s="145"/>
      <c r="Q201" s="144" t="n">
        <f aca="false">M201+J201+G201</f>
        <v>3.9652</v>
      </c>
      <c r="R201" s="144" t="n">
        <f aca="false">O201+L201+I201</f>
        <v>0</v>
      </c>
      <c r="S201" s="145"/>
      <c r="T201" s="71" t="n">
        <f aca="false">A202-A201</f>
        <v>31</v>
      </c>
      <c r="U201" s="146" t="n">
        <f aca="false">CHOOSE(F$3,A202+24,A201)</f>
        <v>42850</v>
      </c>
      <c r="V201" s="71" t="n">
        <f aca="false">U201-C$3</f>
        <v>5962</v>
      </c>
      <c r="W201" s="142" t="n">
        <f aca="false">VLOOKUP($A201,Table,MATCH(W$4,Curves,0))</f>
        <v>0.058966861357273</v>
      </c>
      <c r="X201" s="147" t="n">
        <f aca="false">1/(1+CHOOSE(F$3,(W202+($K$3/10000))/2,(W201+($K$3/10000))/2))^(2*V201/365.25)</f>
        <v>0.387281418956727</v>
      </c>
      <c r="Y201" s="71" t="n">
        <f aca="false">IF(AND(mthbeg&lt;=A201,mthend&gt;=A201),1,0)</f>
        <v>0</v>
      </c>
      <c r="Z201" s="71" t="n">
        <f aca="false">T201*Y201</f>
        <v>0</v>
      </c>
      <c r="AB201" s="132" t="n">
        <f aca="false">F201*G201</f>
        <v>0</v>
      </c>
      <c r="AC201" s="132" t="n">
        <f aca="false">$F201*H201</f>
        <v>0</v>
      </c>
      <c r="AD201" s="132" t="n">
        <f aca="false">$F201*I201</f>
        <v>0</v>
      </c>
      <c r="AE201" s="132" t="n">
        <f aca="false">$F201*J201</f>
        <v>-0</v>
      </c>
      <c r="AF201" s="132" t="n">
        <f aca="false">$F201*K201</f>
        <v>-0</v>
      </c>
      <c r="AG201" s="132" t="n">
        <f aca="false">$F201*L201</f>
        <v>0</v>
      </c>
      <c r="AH201" s="132" t="n">
        <f aca="false">$F201*M201</f>
        <v>0</v>
      </c>
      <c r="AI201" s="132" t="n">
        <f aca="false">$F201*N201</f>
        <v>0</v>
      </c>
      <c r="AJ201" s="132" t="n">
        <f aca="false">F201*O201</f>
        <v>0</v>
      </c>
      <c r="AK201" s="137"/>
      <c r="AL201" s="132" t="n">
        <f aca="false">CHOOSE($G$3,AC201-AD201,AD201-AC201)</f>
        <v>0</v>
      </c>
      <c r="AM201" s="132" t="n">
        <f aca="false">CHOOSE($G$3,AF201-AG201,AG201-AF201)</f>
        <v>0</v>
      </c>
      <c r="AN201" s="132" t="n">
        <f aca="false">CHOOSE($G$3,AI201-AJ201,AJ201-AI201)</f>
        <v>0</v>
      </c>
      <c r="AO201" s="148" t="n">
        <f aca="false">SUM(AL201:AN201)</f>
        <v>0</v>
      </c>
      <c r="AQ201" s="132" t="n">
        <f aca="false">CHOOSE($G$3,AB201-AC201,AC201-AB201)</f>
        <v>0</v>
      </c>
      <c r="AR201" s="132" t="n">
        <f aca="false">CHOOSE($G$3,AE201-AF201,AF201-AE201)</f>
        <v>0</v>
      </c>
      <c r="AS201" s="132" t="n">
        <f aca="false">CHOOSE($G$3,AH201-AI201,AI201-AH201)</f>
        <v>0</v>
      </c>
      <c r="AT201" s="148" t="n">
        <f aca="false">AQ201+AR201+AS201</f>
        <v>0</v>
      </c>
      <c r="AU201" s="148"/>
      <c r="AV201" s="133" t="n">
        <f aca="false">AT201+AO201</f>
        <v>0</v>
      </c>
      <c r="AX201" s="133" t="n">
        <f aca="false">AJ201+AG201+AD201</f>
        <v>0</v>
      </c>
      <c r="AY201" s="149"/>
      <c r="AZ201" s="76" t="n">
        <f aca="false">R201*E201</f>
        <v>0</v>
      </c>
    </row>
    <row r="202" customFormat="false" ht="12" hidden="false" customHeight="true" outlineLevel="0" collapsed="false">
      <c r="A202" s="138" t="n">
        <f aca="false">EDATE(A201,1)</f>
        <v>42826</v>
      </c>
      <c r="B202" s="139" t="n">
        <f aca="false">VLOOKUP($A202,Table2,MATCH(I$3,Curves2,0))</f>
        <v>0</v>
      </c>
      <c r="C202" s="140"/>
      <c r="D202" s="141" t="n">
        <f aca="false">B202+C202</f>
        <v>0</v>
      </c>
      <c r="E202" s="126" t="n">
        <f aca="false">IF(Y202=0,0,IF(AND(Y202=1,$H$3=1),D202*T202,IF($H$3=2,D202,"N/A")))</f>
        <v>0</v>
      </c>
      <c r="F202" s="126" t="n">
        <f aca="false">E202*X202</f>
        <v>0</v>
      </c>
      <c r="G202" s="142" t="n">
        <f aca="false">VLOOKUP($A202,Table,MATCH(G$4,Curves,0))</f>
        <v>3.987</v>
      </c>
      <c r="H202" s="143" t="n">
        <f aca="false">G202</f>
        <v>3.987</v>
      </c>
      <c r="I202" s="142" t="n">
        <f aca="false">VLOOKUP($A202,Table1,MATCH(I$3,Curves1,0))</f>
        <v>0</v>
      </c>
      <c r="J202" s="142" t="n">
        <f aca="false">VLOOKUP($A202,Table,MATCH(J$4,Curves,0))</f>
        <v>-0.0305</v>
      </c>
      <c r="K202" s="143" t="n">
        <f aca="false">J202</f>
        <v>-0.0305</v>
      </c>
      <c r="L202" s="144" t="n">
        <v>0</v>
      </c>
      <c r="M202" s="142" t="n">
        <f aca="false">VLOOKUP($A202,Table,MATCH(M$4,Curves,0))</f>
        <v>0.0087</v>
      </c>
      <c r="N202" s="143" t="n">
        <f aca="false">M202</f>
        <v>0.0087</v>
      </c>
      <c r="O202" s="144" t="n">
        <v>0</v>
      </c>
      <c r="P202" s="145"/>
      <c r="Q202" s="144" t="n">
        <f aca="false">M202+J202+G202</f>
        <v>3.9652</v>
      </c>
      <c r="R202" s="144" t="n">
        <f aca="false">O202+L202+I202</f>
        <v>0</v>
      </c>
      <c r="S202" s="145"/>
      <c r="T202" s="71" t="n">
        <f aca="false">A203-A202</f>
        <v>30</v>
      </c>
      <c r="U202" s="146" t="n">
        <f aca="false">CHOOSE(F$3,A203+24,A202)</f>
        <v>42880</v>
      </c>
      <c r="V202" s="71" t="n">
        <f aca="false">U202-C$3</f>
        <v>5992</v>
      </c>
      <c r="W202" s="142" t="n">
        <f aca="false">VLOOKUP($A202,Table,MATCH(W$4,Curves,0))</f>
        <v>0.058966861357273</v>
      </c>
      <c r="X202" s="147" t="n">
        <f aca="false">1/(1+CHOOSE(F$3,(W203+($K$3/10000))/2,(W202+($K$3/10000))/2))^(2*V202/365.25)</f>
        <v>0.385437233220758</v>
      </c>
      <c r="Y202" s="71" t="n">
        <f aca="false">IF(AND(mthbeg&lt;=A202,mthend&gt;=A202),1,0)</f>
        <v>0</v>
      </c>
      <c r="Z202" s="71" t="n">
        <f aca="false">T202*Y202</f>
        <v>0</v>
      </c>
      <c r="AB202" s="132" t="n">
        <f aca="false">F202*G202</f>
        <v>0</v>
      </c>
      <c r="AC202" s="132" t="n">
        <f aca="false">$F202*H202</f>
        <v>0</v>
      </c>
      <c r="AD202" s="132" t="n">
        <f aca="false">$F202*I202</f>
        <v>0</v>
      </c>
      <c r="AE202" s="132" t="n">
        <f aca="false">$F202*J202</f>
        <v>-0</v>
      </c>
      <c r="AF202" s="132" t="n">
        <f aca="false">$F202*K202</f>
        <v>-0</v>
      </c>
      <c r="AG202" s="132" t="n">
        <f aca="false">$F202*L202</f>
        <v>0</v>
      </c>
      <c r="AH202" s="132" t="n">
        <f aca="false">$F202*M202</f>
        <v>0</v>
      </c>
      <c r="AI202" s="132" t="n">
        <f aca="false">$F202*N202</f>
        <v>0</v>
      </c>
      <c r="AJ202" s="132" t="n">
        <f aca="false">F202*O202</f>
        <v>0</v>
      </c>
      <c r="AK202" s="137"/>
      <c r="AL202" s="132" t="n">
        <f aca="false">CHOOSE($G$3,AC202-AD202,AD202-AC202)</f>
        <v>0</v>
      </c>
      <c r="AM202" s="132" t="n">
        <f aca="false">CHOOSE($G$3,AF202-AG202,AG202-AF202)</f>
        <v>0</v>
      </c>
      <c r="AN202" s="132" t="n">
        <f aca="false">CHOOSE($G$3,AI202-AJ202,AJ202-AI202)</f>
        <v>0</v>
      </c>
      <c r="AO202" s="148" t="n">
        <f aca="false">SUM(AL202:AN202)</f>
        <v>0</v>
      </c>
      <c r="AQ202" s="132" t="n">
        <f aca="false">CHOOSE($G$3,AB202-AC202,AC202-AB202)</f>
        <v>0</v>
      </c>
      <c r="AR202" s="132" t="n">
        <f aca="false">CHOOSE($G$3,AE202-AF202,AF202-AE202)</f>
        <v>0</v>
      </c>
      <c r="AS202" s="132" t="n">
        <f aca="false">CHOOSE($G$3,AH202-AI202,AI202-AH202)</f>
        <v>0</v>
      </c>
      <c r="AT202" s="148" t="n">
        <f aca="false">AQ202+AR202+AS202</f>
        <v>0</v>
      </c>
      <c r="AU202" s="148"/>
      <c r="AV202" s="133" t="n">
        <f aca="false">AT202+AO202</f>
        <v>0</v>
      </c>
      <c r="AX202" s="133" t="n">
        <f aca="false">AJ202+AG202+AD202</f>
        <v>0</v>
      </c>
      <c r="AY202" s="149"/>
      <c r="AZ202" s="76" t="n">
        <f aca="false">R202*E202</f>
        <v>0</v>
      </c>
    </row>
    <row r="203" customFormat="false" ht="12" hidden="false" customHeight="true" outlineLevel="0" collapsed="false">
      <c r="A203" s="138" t="n">
        <f aca="false">EDATE(A202,1)</f>
        <v>42856</v>
      </c>
      <c r="B203" s="139" t="n">
        <f aca="false">VLOOKUP($A203,Table2,MATCH(I$3,Curves2,0))</f>
        <v>0</v>
      </c>
      <c r="C203" s="140"/>
      <c r="D203" s="141" t="n">
        <f aca="false">B203+C203</f>
        <v>0</v>
      </c>
      <c r="E203" s="126" t="n">
        <f aca="false">IF(Y203=0,0,IF(AND(Y203=1,$H$3=1),D203*T203,IF($H$3=2,D203,"N/A")))</f>
        <v>0</v>
      </c>
      <c r="F203" s="126" t="n">
        <f aca="false">E203*X203</f>
        <v>0</v>
      </c>
      <c r="G203" s="142" t="n">
        <f aca="false">VLOOKUP($A203,Table,MATCH(G$4,Curves,0))</f>
        <v>3.987</v>
      </c>
      <c r="H203" s="143" t="n">
        <f aca="false">G203</f>
        <v>3.987</v>
      </c>
      <c r="I203" s="142" t="n">
        <f aca="false">VLOOKUP($A203,Table1,MATCH(I$3,Curves1,0))</f>
        <v>0</v>
      </c>
      <c r="J203" s="142" t="n">
        <f aca="false">VLOOKUP($A203,Table,MATCH(J$4,Curves,0))</f>
        <v>-0.0305</v>
      </c>
      <c r="K203" s="143" t="n">
        <f aca="false">J203</f>
        <v>-0.0305</v>
      </c>
      <c r="L203" s="144" t="n">
        <v>0</v>
      </c>
      <c r="M203" s="142" t="n">
        <f aca="false">VLOOKUP($A203,Table,MATCH(M$4,Curves,0))</f>
        <v>0.0087</v>
      </c>
      <c r="N203" s="143" t="n">
        <f aca="false">M203</f>
        <v>0.0087</v>
      </c>
      <c r="O203" s="144" t="n">
        <v>0</v>
      </c>
      <c r="P203" s="145"/>
      <c r="Q203" s="144" t="n">
        <f aca="false">M203+J203+G203</f>
        <v>3.9652</v>
      </c>
      <c r="R203" s="144" t="n">
        <f aca="false">O203+L203+I203</f>
        <v>0</v>
      </c>
      <c r="S203" s="145"/>
      <c r="T203" s="71" t="n">
        <f aca="false">A204-A203</f>
        <v>31</v>
      </c>
      <c r="U203" s="146" t="n">
        <f aca="false">CHOOSE(F$3,A204+24,A203)</f>
        <v>42911</v>
      </c>
      <c r="V203" s="71" t="n">
        <f aca="false">U203-C$3</f>
        <v>6023</v>
      </c>
      <c r="W203" s="142" t="n">
        <f aca="false">VLOOKUP($A203,Table,MATCH(W$4,Curves,0))</f>
        <v>0.058966861357273</v>
      </c>
      <c r="X203" s="147" t="n">
        <f aca="false">1/(1+CHOOSE(F$3,(W204+($K$3/10000))/2,(W203+($K$3/10000))/2))^(2*V203/365.25)</f>
        <v>0.383540799888191</v>
      </c>
      <c r="Y203" s="71" t="n">
        <f aca="false">IF(AND(mthbeg&lt;=A203,mthend&gt;=A203),1,0)</f>
        <v>0</v>
      </c>
      <c r="Z203" s="71" t="n">
        <f aca="false">T203*Y203</f>
        <v>0</v>
      </c>
      <c r="AB203" s="132" t="n">
        <f aca="false">F203*G203</f>
        <v>0</v>
      </c>
      <c r="AC203" s="132" t="n">
        <f aca="false">$F203*H203</f>
        <v>0</v>
      </c>
      <c r="AD203" s="132" t="n">
        <f aca="false">$F203*I203</f>
        <v>0</v>
      </c>
      <c r="AE203" s="132" t="n">
        <f aca="false">$F203*J203</f>
        <v>-0</v>
      </c>
      <c r="AF203" s="132" t="n">
        <f aca="false">$F203*K203</f>
        <v>-0</v>
      </c>
      <c r="AG203" s="132" t="n">
        <f aca="false">$F203*L203</f>
        <v>0</v>
      </c>
      <c r="AH203" s="132" t="n">
        <f aca="false">$F203*M203</f>
        <v>0</v>
      </c>
      <c r="AI203" s="132" t="n">
        <f aca="false">$F203*N203</f>
        <v>0</v>
      </c>
      <c r="AJ203" s="132" t="n">
        <f aca="false">F203*O203</f>
        <v>0</v>
      </c>
      <c r="AK203" s="137"/>
      <c r="AL203" s="132" t="n">
        <f aca="false">CHOOSE($G$3,AC203-AD203,AD203-AC203)</f>
        <v>0</v>
      </c>
      <c r="AM203" s="132" t="n">
        <f aca="false">CHOOSE($G$3,AF203-AG203,AG203-AF203)</f>
        <v>0</v>
      </c>
      <c r="AN203" s="132" t="n">
        <f aca="false">CHOOSE($G$3,AI203-AJ203,AJ203-AI203)</f>
        <v>0</v>
      </c>
      <c r="AO203" s="148" t="n">
        <f aca="false">SUM(AL203:AN203)</f>
        <v>0</v>
      </c>
      <c r="AQ203" s="132" t="n">
        <f aca="false">CHOOSE($G$3,AB203-AC203,AC203-AB203)</f>
        <v>0</v>
      </c>
      <c r="AR203" s="132" t="n">
        <f aca="false">CHOOSE($G$3,AE203-AF203,AF203-AE203)</f>
        <v>0</v>
      </c>
      <c r="AS203" s="132" t="n">
        <f aca="false">CHOOSE($G$3,AH203-AI203,AI203-AH203)</f>
        <v>0</v>
      </c>
      <c r="AT203" s="148" t="n">
        <f aca="false">AQ203+AR203+AS203</f>
        <v>0</v>
      </c>
      <c r="AU203" s="148"/>
      <c r="AV203" s="133" t="n">
        <f aca="false">AT203+AO203</f>
        <v>0</v>
      </c>
      <c r="AX203" s="133" t="n">
        <f aca="false">AJ203+AG203+AD203</f>
        <v>0</v>
      </c>
      <c r="AY203" s="149"/>
      <c r="AZ203" s="76" t="n">
        <f aca="false">R203*E203</f>
        <v>0</v>
      </c>
    </row>
    <row r="204" customFormat="false" ht="12" hidden="false" customHeight="true" outlineLevel="0" collapsed="false">
      <c r="A204" s="138" t="n">
        <f aca="false">EDATE(A203,1)</f>
        <v>42887</v>
      </c>
      <c r="B204" s="139" t="n">
        <f aca="false">VLOOKUP($A204,Table2,MATCH(I$3,Curves2,0))</f>
        <v>0</v>
      </c>
      <c r="C204" s="140"/>
      <c r="D204" s="141" t="n">
        <f aca="false">B204+C204</f>
        <v>0</v>
      </c>
      <c r="E204" s="126" t="n">
        <f aca="false">IF(Y204=0,0,IF(AND(Y204=1,$H$3=1),D204*T204,IF($H$3=2,D204,"N/A")))</f>
        <v>0</v>
      </c>
      <c r="F204" s="126" t="n">
        <f aca="false">E204*X204</f>
        <v>0</v>
      </c>
      <c r="G204" s="142" t="n">
        <f aca="false">VLOOKUP($A204,Table,MATCH(G$4,Curves,0))</f>
        <v>3.987</v>
      </c>
      <c r="H204" s="143" t="n">
        <f aca="false">G204</f>
        <v>3.987</v>
      </c>
      <c r="I204" s="142" t="n">
        <f aca="false">VLOOKUP($A204,Table1,MATCH(I$3,Curves1,0))</f>
        <v>0</v>
      </c>
      <c r="J204" s="142" t="n">
        <f aca="false">VLOOKUP($A204,Table,MATCH(J$4,Curves,0))</f>
        <v>-0.0305</v>
      </c>
      <c r="K204" s="143" t="n">
        <f aca="false">J204</f>
        <v>-0.0305</v>
      </c>
      <c r="L204" s="144" t="n">
        <v>0</v>
      </c>
      <c r="M204" s="142" t="n">
        <f aca="false">VLOOKUP($A204,Table,MATCH(M$4,Curves,0))</f>
        <v>0.0087</v>
      </c>
      <c r="N204" s="143" t="n">
        <f aca="false">M204</f>
        <v>0.0087</v>
      </c>
      <c r="O204" s="144" t="n">
        <v>0</v>
      </c>
      <c r="P204" s="145"/>
      <c r="Q204" s="144" t="n">
        <f aca="false">M204+J204+G204</f>
        <v>3.9652</v>
      </c>
      <c r="R204" s="144" t="n">
        <f aca="false">O204+L204+I204</f>
        <v>0</v>
      </c>
      <c r="S204" s="145"/>
      <c r="T204" s="71" t="n">
        <f aca="false">A205-A204</f>
        <v>30</v>
      </c>
      <c r="U204" s="146" t="n">
        <f aca="false">CHOOSE(F$3,A205+24,A204)</f>
        <v>42941</v>
      </c>
      <c r="V204" s="71" t="n">
        <f aca="false">U204-C$3</f>
        <v>6053</v>
      </c>
      <c r="W204" s="142" t="n">
        <f aca="false">VLOOKUP($A204,Table,MATCH(W$4,Curves,0))</f>
        <v>0.058966861357273</v>
      </c>
      <c r="X204" s="147" t="n">
        <f aca="false">1/(1+CHOOSE(F$3,(W205+($K$3/10000))/2,(W204+($K$3/10000))/2))^(2*V204/365.25)</f>
        <v>0.38171442651293</v>
      </c>
      <c r="Y204" s="71" t="n">
        <f aca="false">IF(AND(mthbeg&lt;=A204,mthend&gt;=A204),1,0)</f>
        <v>0</v>
      </c>
      <c r="Z204" s="71" t="n">
        <f aca="false">T204*Y204</f>
        <v>0</v>
      </c>
      <c r="AB204" s="132" t="n">
        <f aca="false">F204*G204</f>
        <v>0</v>
      </c>
      <c r="AC204" s="132" t="n">
        <f aca="false">$F204*H204</f>
        <v>0</v>
      </c>
      <c r="AD204" s="132" t="n">
        <f aca="false">$F204*I204</f>
        <v>0</v>
      </c>
      <c r="AE204" s="132" t="n">
        <f aca="false">$F204*J204</f>
        <v>-0</v>
      </c>
      <c r="AF204" s="132" t="n">
        <f aca="false">$F204*K204</f>
        <v>-0</v>
      </c>
      <c r="AG204" s="132" t="n">
        <f aca="false">$F204*L204</f>
        <v>0</v>
      </c>
      <c r="AH204" s="132" t="n">
        <f aca="false">$F204*M204</f>
        <v>0</v>
      </c>
      <c r="AI204" s="132" t="n">
        <f aca="false">$F204*N204</f>
        <v>0</v>
      </c>
      <c r="AJ204" s="132" t="n">
        <f aca="false">F204*O204</f>
        <v>0</v>
      </c>
      <c r="AK204" s="137"/>
      <c r="AL204" s="132" t="n">
        <f aca="false">CHOOSE($G$3,AC204-AD204,AD204-AC204)</f>
        <v>0</v>
      </c>
      <c r="AM204" s="132" t="n">
        <f aca="false">CHOOSE($G$3,AF204-AG204,AG204-AF204)</f>
        <v>0</v>
      </c>
      <c r="AN204" s="132" t="n">
        <f aca="false">CHOOSE($G$3,AI204-AJ204,AJ204-AI204)</f>
        <v>0</v>
      </c>
      <c r="AO204" s="148" t="n">
        <f aca="false">SUM(AL204:AN204)</f>
        <v>0</v>
      </c>
      <c r="AQ204" s="132" t="n">
        <f aca="false">CHOOSE($G$3,AB204-AC204,AC204-AB204)</f>
        <v>0</v>
      </c>
      <c r="AR204" s="132" t="n">
        <f aca="false">CHOOSE($G$3,AE204-AF204,AF204-AE204)</f>
        <v>0</v>
      </c>
      <c r="AS204" s="132" t="n">
        <f aca="false">CHOOSE($G$3,AH204-AI204,AI204-AH204)</f>
        <v>0</v>
      </c>
      <c r="AT204" s="148" t="n">
        <f aca="false">AQ204+AR204+AS204</f>
        <v>0</v>
      </c>
      <c r="AU204" s="148"/>
      <c r="AV204" s="133" t="n">
        <f aca="false">AT204+AO204</f>
        <v>0</v>
      </c>
      <c r="AX204" s="133" t="n">
        <f aca="false">AJ204+AG204+AD204</f>
        <v>0</v>
      </c>
      <c r="AY204" s="149"/>
      <c r="AZ204" s="76" t="n">
        <f aca="false">R204*E204</f>
        <v>0</v>
      </c>
    </row>
    <row r="205" customFormat="false" ht="12" hidden="false" customHeight="true" outlineLevel="0" collapsed="false">
      <c r="A205" s="138" t="n">
        <f aca="false">EDATE(A204,1)</f>
        <v>42917</v>
      </c>
      <c r="B205" s="139" t="n">
        <f aca="false">VLOOKUP($A205,Table2,MATCH(I$3,Curves2,0))</f>
        <v>0</v>
      </c>
      <c r="C205" s="140"/>
      <c r="D205" s="141" t="n">
        <f aca="false">B205+C205</f>
        <v>0</v>
      </c>
      <c r="E205" s="126" t="n">
        <f aca="false">IF(Y205=0,0,IF(AND(Y205=1,$H$3=1),D205*T205,IF($H$3=2,D205,"N/A")))</f>
        <v>0</v>
      </c>
      <c r="F205" s="126" t="n">
        <f aca="false">E205*X205</f>
        <v>0</v>
      </c>
      <c r="G205" s="142" t="n">
        <f aca="false">VLOOKUP($A205,Table,MATCH(G$4,Curves,0))</f>
        <v>3.987</v>
      </c>
      <c r="H205" s="143" t="n">
        <f aca="false">G205</f>
        <v>3.987</v>
      </c>
      <c r="I205" s="142" t="n">
        <f aca="false">VLOOKUP($A205,Table1,MATCH(I$3,Curves1,0))</f>
        <v>0</v>
      </c>
      <c r="J205" s="142" t="n">
        <f aca="false">VLOOKUP($A205,Table,MATCH(J$4,Curves,0))</f>
        <v>-0.0305</v>
      </c>
      <c r="K205" s="143" t="n">
        <f aca="false">J205</f>
        <v>-0.0305</v>
      </c>
      <c r="L205" s="144" t="n">
        <v>0</v>
      </c>
      <c r="M205" s="142" t="n">
        <f aca="false">VLOOKUP($A205,Table,MATCH(M$4,Curves,0))</f>
        <v>0.0087</v>
      </c>
      <c r="N205" s="143" t="n">
        <f aca="false">M205</f>
        <v>0.0087</v>
      </c>
      <c r="O205" s="144" t="n">
        <v>0</v>
      </c>
      <c r="P205" s="145"/>
      <c r="Q205" s="144" t="n">
        <f aca="false">M205+J205+G205</f>
        <v>3.9652</v>
      </c>
      <c r="R205" s="144" t="n">
        <f aca="false">O205+L205+I205</f>
        <v>0</v>
      </c>
      <c r="S205" s="145"/>
      <c r="T205" s="71" t="n">
        <f aca="false">A206-A205</f>
        <v>31</v>
      </c>
      <c r="U205" s="146" t="n">
        <f aca="false">CHOOSE(F$3,A206+24,A205)</f>
        <v>42972</v>
      </c>
      <c r="V205" s="71" t="n">
        <f aca="false">U205-C$3</f>
        <v>6084</v>
      </c>
      <c r="W205" s="142" t="n">
        <f aca="false">VLOOKUP($A205,Table,MATCH(W$4,Curves,0))</f>
        <v>0.058966861357273</v>
      </c>
      <c r="X205" s="147" t="n">
        <f aca="false">1/(1+CHOOSE(F$3,(W206+($K$3/10000))/2,(W205+($K$3/10000))/2))^(2*V205/365.25)</f>
        <v>0.379836310182777</v>
      </c>
      <c r="Y205" s="71" t="n">
        <f aca="false">IF(AND(mthbeg&lt;=A205,mthend&gt;=A205),1,0)</f>
        <v>0</v>
      </c>
      <c r="Z205" s="71" t="n">
        <f aca="false">T205*Y205</f>
        <v>0</v>
      </c>
      <c r="AB205" s="132" t="n">
        <f aca="false">F205*G205</f>
        <v>0</v>
      </c>
      <c r="AC205" s="132" t="n">
        <f aca="false">$F205*H205</f>
        <v>0</v>
      </c>
      <c r="AD205" s="132" t="n">
        <f aca="false">$F205*I205</f>
        <v>0</v>
      </c>
      <c r="AE205" s="132" t="n">
        <f aca="false">$F205*J205</f>
        <v>-0</v>
      </c>
      <c r="AF205" s="132" t="n">
        <f aca="false">$F205*K205</f>
        <v>-0</v>
      </c>
      <c r="AG205" s="132" t="n">
        <f aca="false">$F205*L205</f>
        <v>0</v>
      </c>
      <c r="AH205" s="132" t="n">
        <f aca="false">$F205*M205</f>
        <v>0</v>
      </c>
      <c r="AI205" s="132" t="n">
        <f aca="false">$F205*N205</f>
        <v>0</v>
      </c>
      <c r="AJ205" s="132" t="n">
        <f aca="false">F205*O205</f>
        <v>0</v>
      </c>
      <c r="AK205" s="137"/>
      <c r="AL205" s="132" t="n">
        <f aca="false">CHOOSE($G$3,AC205-AD205,AD205-AC205)</f>
        <v>0</v>
      </c>
      <c r="AM205" s="132" t="n">
        <f aca="false">CHOOSE($G$3,AF205-AG205,AG205-AF205)</f>
        <v>0</v>
      </c>
      <c r="AN205" s="132" t="n">
        <f aca="false">CHOOSE($G$3,AI205-AJ205,AJ205-AI205)</f>
        <v>0</v>
      </c>
      <c r="AO205" s="148" t="n">
        <f aca="false">SUM(AL205:AN205)</f>
        <v>0</v>
      </c>
      <c r="AQ205" s="132" t="n">
        <f aca="false">CHOOSE($G$3,AB205-AC205,AC205-AB205)</f>
        <v>0</v>
      </c>
      <c r="AR205" s="132" t="n">
        <f aca="false">CHOOSE($G$3,AE205-AF205,AF205-AE205)</f>
        <v>0</v>
      </c>
      <c r="AS205" s="132" t="n">
        <f aca="false">CHOOSE($G$3,AH205-AI205,AI205-AH205)</f>
        <v>0</v>
      </c>
      <c r="AT205" s="148" t="n">
        <f aca="false">AQ205+AR205+AS205</f>
        <v>0</v>
      </c>
      <c r="AU205" s="148"/>
      <c r="AV205" s="133" t="n">
        <f aca="false">AT205+AO205</f>
        <v>0</v>
      </c>
      <c r="AX205" s="133" t="n">
        <f aca="false">AJ205+AG205+AD205</f>
        <v>0</v>
      </c>
      <c r="AY205" s="149"/>
      <c r="AZ205" s="76" t="n">
        <f aca="false">R205*E205</f>
        <v>0</v>
      </c>
    </row>
    <row r="206" customFormat="false" ht="12" hidden="false" customHeight="true" outlineLevel="0" collapsed="false">
      <c r="A206" s="138" t="n">
        <f aca="false">EDATE(A205,1)</f>
        <v>42948</v>
      </c>
      <c r="B206" s="139" t="n">
        <f aca="false">VLOOKUP($A206,Table2,MATCH(I$3,Curves2,0))</f>
        <v>0</v>
      </c>
      <c r="C206" s="140"/>
      <c r="D206" s="141" t="n">
        <f aca="false">B206+C206</f>
        <v>0</v>
      </c>
      <c r="E206" s="126" t="n">
        <f aca="false">IF(Y206=0,0,IF(AND(Y206=1,$H$3=1),D206*T206,IF($H$3=2,D206,"N/A")))</f>
        <v>0</v>
      </c>
      <c r="F206" s="126" t="n">
        <f aca="false">E206*X206</f>
        <v>0</v>
      </c>
      <c r="G206" s="142" t="n">
        <f aca="false">VLOOKUP($A206,Table,MATCH(G$4,Curves,0))</f>
        <v>3.987</v>
      </c>
      <c r="H206" s="143" t="n">
        <f aca="false">G206</f>
        <v>3.987</v>
      </c>
      <c r="I206" s="142" t="n">
        <f aca="false">VLOOKUP($A206,Table1,MATCH(I$3,Curves1,0))</f>
        <v>0</v>
      </c>
      <c r="J206" s="142" t="n">
        <f aca="false">VLOOKUP($A206,Table,MATCH(J$4,Curves,0))</f>
        <v>-0.0305</v>
      </c>
      <c r="K206" s="143" t="n">
        <f aca="false">J206</f>
        <v>-0.0305</v>
      </c>
      <c r="L206" s="144" t="n">
        <v>0</v>
      </c>
      <c r="M206" s="142" t="n">
        <f aca="false">VLOOKUP($A206,Table,MATCH(M$4,Curves,0))</f>
        <v>0.0087</v>
      </c>
      <c r="N206" s="143" t="n">
        <f aca="false">M206</f>
        <v>0.0087</v>
      </c>
      <c r="O206" s="144" t="n">
        <v>0</v>
      </c>
      <c r="P206" s="145"/>
      <c r="Q206" s="144" t="n">
        <f aca="false">M206+J206+G206</f>
        <v>3.9652</v>
      </c>
      <c r="R206" s="144" t="n">
        <f aca="false">O206+L206+I206</f>
        <v>0</v>
      </c>
      <c r="S206" s="145"/>
      <c r="T206" s="71" t="n">
        <f aca="false">A207-A206</f>
        <v>31</v>
      </c>
      <c r="U206" s="146" t="n">
        <f aca="false">CHOOSE(F$3,A207+24,A206)</f>
        <v>43003</v>
      </c>
      <c r="V206" s="71" t="n">
        <f aca="false">U206-C$3</f>
        <v>6115</v>
      </c>
      <c r="W206" s="142" t="n">
        <f aca="false">VLOOKUP($A206,Table,MATCH(W$4,Curves,0))</f>
        <v>0.058966861357273</v>
      </c>
      <c r="X206" s="147" t="n">
        <f aca="false">1/(1+CHOOSE(F$3,(W207+($K$3/10000))/2,(W206+($K$3/10000))/2))^(2*V206/365.25)</f>
        <v>0.377967434585236</v>
      </c>
      <c r="Y206" s="71" t="n">
        <f aca="false">IF(AND(mthbeg&lt;=A206,mthend&gt;=A206),1,0)</f>
        <v>0</v>
      </c>
      <c r="Z206" s="71" t="n">
        <f aca="false">T206*Y206</f>
        <v>0</v>
      </c>
      <c r="AB206" s="132" t="n">
        <f aca="false">F206*G206</f>
        <v>0</v>
      </c>
      <c r="AC206" s="132" t="n">
        <f aca="false">$F206*H206</f>
        <v>0</v>
      </c>
      <c r="AD206" s="132" t="n">
        <f aca="false">$F206*I206</f>
        <v>0</v>
      </c>
      <c r="AE206" s="132" t="n">
        <f aca="false">$F206*J206</f>
        <v>-0</v>
      </c>
      <c r="AF206" s="132" t="n">
        <f aca="false">$F206*K206</f>
        <v>-0</v>
      </c>
      <c r="AG206" s="132" t="n">
        <f aca="false">$F206*L206</f>
        <v>0</v>
      </c>
      <c r="AH206" s="132" t="n">
        <f aca="false">$F206*M206</f>
        <v>0</v>
      </c>
      <c r="AI206" s="132" t="n">
        <f aca="false">$F206*N206</f>
        <v>0</v>
      </c>
      <c r="AJ206" s="132" t="n">
        <f aca="false">F206*O206</f>
        <v>0</v>
      </c>
      <c r="AK206" s="137"/>
      <c r="AL206" s="132" t="n">
        <f aca="false">CHOOSE($G$3,AC206-AD206,AD206-AC206)</f>
        <v>0</v>
      </c>
      <c r="AM206" s="132" t="n">
        <f aca="false">CHOOSE($G$3,AF206-AG206,AG206-AF206)</f>
        <v>0</v>
      </c>
      <c r="AN206" s="132" t="n">
        <f aca="false">CHOOSE($G$3,AI206-AJ206,AJ206-AI206)</f>
        <v>0</v>
      </c>
      <c r="AO206" s="148" t="n">
        <f aca="false">SUM(AL206:AN206)</f>
        <v>0</v>
      </c>
      <c r="AQ206" s="132" t="n">
        <f aca="false">CHOOSE($G$3,AB206-AC206,AC206-AB206)</f>
        <v>0</v>
      </c>
      <c r="AR206" s="132" t="n">
        <f aca="false">CHOOSE($G$3,AE206-AF206,AF206-AE206)</f>
        <v>0</v>
      </c>
      <c r="AS206" s="132" t="n">
        <f aca="false">CHOOSE($G$3,AH206-AI206,AI206-AH206)</f>
        <v>0</v>
      </c>
      <c r="AT206" s="148" t="n">
        <f aca="false">AQ206+AR206+AS206</f>
        <v>0</v>
      </c>
      <c r="AU206" s="148"/>
      <c r="AV206" s="133" t="n">
        <f aca="false">AT206+AO206</f>
        <v>0</v>
      </c>
      <c r="AX206" s="133" t="n">
        <f aca="false">AJ206+AG206+AD206</f>
        <v>0</v>
      </c>
      <c r="AY206" s="149"/>
      <c r="AZ206" s="76" t="n">
        <f aca="false">R206*E206</f>
        <v>0</v>
      </c>
    </row>
    <row r="207" customFormat="false" ht="12" hidden="false" customHeight="true" outlineLevel="0" collapsed="false">
      <c r="A207" s="138" t="n">
        <f aca="false">EDATE(A206,1)</f>
        <v>42979</v>
      </c>
      <c r="B207" s="139" t="n">
        <f aca="false">VLOOKUP($A207,Table2,MATCH(I$3,Curves2,0))</f>
        <v>0</v>
      </c>
      <c r="C207" s="140"/>
      <c r="D207" s="141" t="n">
        <f aca="false">B207+C207</f>
        <v>0</v>
      </c>
      <c r="E207" s="126" t="n">
        <f aca="false">IF(Y207=0,0,IF(AND(Y207=1,$H$3=1),D207*T207,IF($H$3=2,D207,"N/A")))</f>
        <v>0</v>
      </c>
      <c r="F207" s="126" t="n">
        <f aca="false">E207*X207</f>
        <v>0</v>
      </c>
      <c r="G207" s="142" t="n">
        <f aca="false">VLOOKUP($A207,Table,MATCH(G$4,Curves,0))</f>
        <v>3.987</v>
      </c>
      <c r="H207" s="143" t="n">
        <f aca="false">G207</f>
        <v>3.987</v>
      </c>
      <c r="I207" s="142" t="n">
        <f aca="false">VLOOKUP($A207,Table1,MATCH(I$3,Curves1,0))</f>
        <v>0</v>
      </c>
      <c r="J207" s="142" t="n">
        <f aca="false">VLOOKUP($A207,Table,MATCH(J$4,Curves,0))</f>
        <v>-0.0305</v>
      </c>
      <c r="K207" s="143" t="n">
        <f aca="false">J207</f>
        <v>-0.0305</v>
      </c>
      <c r="L207" s="144" t="n">
        <v>0</v>
      </c>
      <c r="M207" s="142" t="n">
        <f aca="false">VLOOKUP($A207,Table,MATCH(M$4,Curves,0))</f>
        <v>0.0087</v>
      </c>
      <c r="N207" s="143" t="n">
        <f aca="false">M207</f>
        <v>0.0087</v>
      </c>
      <c r="O207" s="144" t="n">
        <v>0</v>
      </c>
      <c r="P207" s="145"/>
      <c r="Q207" s="144" t="n">
        <f aca="false">M207+J207+G207</f>
        <v>3.9652</v>
      </c>
      <c r="R207" s="144" t="n">
        <f aca="false">O207+L207+I207</f>
        <v>0</v>
      </c>
      <c r="S207" s="145"/>
      <c r="T207" s="71" t="n">
        <f aca="false">A208-A207</f>
        <v>30</v>
      </c>
      <c r="U207" s="146" t="n">
        <f aca="false">CHOOSE(F$3,A208+24,A207)</f>
        <v>43033</v>
      </c>
      <c r="V207" s="71" t="n">
        <f aca="false">U207-C$3</f>
        <v>6145</v>
      </c>
      <c r="W207" s="142" t="n">
        <f aca="false">VLOOKUP($A207,Table,MATCH(W$4,Curves,0))</f>
        <v>0.058966861357273</v>
      </c>
      <c r="X207" s="147" t="n">
        <f aca="false">1/(1+CHOOSE(F$3,(W208+($K$3/10000))/2,(W207+($K$3/10000))/2))^(2*V207/365.25)</f>
        <v>0.376167600879295</v>
      </c>
      <c r="Y207" s="71" t="n">
        <f aca="false">IF(AND(mthbeg&lt;=A207,mthend&gt;=A207),1,0)</f>
        <v>0</v>
      </c>
      <c r="Z207" s="71" t="n">
        <f aca="false">T207*Y207</f>
        <v>0</v>
      </c>
      <c r="AB207" s="132" t="n">
        <f aca="false">F207*G207</f>
        <v>0</v>
      </c>
      <c r="AC207" s="132" t="n">
        <f aca="false">$F207*H207</f>
        <v>0</v>
      </c>
      <c r="AD207" s="132" t="n">
        <f aca="false">$F207*I207</f>
        <v>0</v>
      </c>
      <c r="AE207" s="132" t="n">
        <f aca="false">$F207*J207</f>
        <v>-0</v>
      </c>
      <c r="AF207" s="132" t="n">
        <f aca="false">$F207*K207</f>
        <v>-0</v>
      </c>
      <c r="AG207" s="132" t="n">
        <f aca="false">$F207*L207</f>
        <v>0</v>
      </c>
      <c r="AH207" s="132" t="n">
        <f aca="false">$F207*M207</f>
        <v>0</v>
      </c>
      <c r="AI207" s="132" t="n">
        <f aca="false">$F207*N207</f>
        <v>0</v>
      </c>
      <c r="AJ207" s="132" t="n">
        <f aca="false">F207*O207</f>
        <v>0</v>
      </c>
      <c r="AK207" s="137"/>
      <c r="AL207" s="132" t="n">
        <f aca="false">CHOOSE($G$3,AC207-AD207,AD207-AC207)</f>
        <v>0</v>
      </c>
      <c r="AM207" s="132" t="n">
        <f aca="false">CHOOSE($G$3,AF207-AG207,AG207-AF207)</f>
        <v>0</v>
      </c>
      <c r="AN207" s="132" t="n">
        <f aca="false">CHOOSE($G$3,AI207-AJ207,AJ207-AI207)</f>
        <v>0</v>
      </c>
      <c r="AO207" s="148" t="n">
        <f aca="false">SUM(AL207:AN207)</f>
        <v>0</v>
      </c>
      <c r="AQ207" s="132" t="n">
        <f aca="false">CHOOSE($G$3,AB207-AC207,AC207-AB207)</f>
        <v>0</v>
      </c>
      <c r="AR207" s="132" t="n">
        <f aca="false">CHOOSE($G$3,AE207-AF207,AF207-AE207)</f>
        <v>0</v>
      </c>
      <c r="AS207" s="132" t="n">
        <f aca="false">CHOOSE($G$3,AH207-AI207,AI207-AH207)</f>
        <v>0</v>
      </c>
      <c r="AT207" s="148" t="n">
        <f aca="false">AQ207+AR207+AS207</f>
        <v>0</v>
      </c>
      <c r="AU207" s="148"/>
      <c r="AV207" s="133" t="n">
        <f aca="false">AT207+AO207</f>
        <v>0</v>
      </c>
      <c r="AX207" s="133" t="n">
        <f aca="false">AJ207+AG207+AD207</f>
        <v>0</v>
      </c>
      <c r="AY207" s="149"/>
      <c r="AZ207" s="76" t="n">
        <f aca="false">R207*E207</f>
        <v>0</v>
      </c>
    </row>
    <row r="208" customFormat="false" ht="12" hidden="false" customHeight="true" outlineLevel="0" collapsed="false">
      <c r="A208" s="138" t="n">
        <f aca="false">EDATE(A207,1)</f>
        <v>43009</v>
      </c>
      <c r="B208" s="139" t="n">
        <f aca="false">VLOOKUP($A208,Table2,MATCH(I$3,Curves2,0))</f>
        <v>0</v>
      </c>
      <c r="C208" s="140"/>
      <c r="D208" s="141" t="n">
        <f aca="false">B208+C208</f>
        <v>0</v>
      </c>
      <c r="E208" s="126" t="n">
        <f aca="false">IF(Y208=0,0,IF(AND(Y208=1,$H$3=1),D208*T208,IF($H$3=2,D208,"N/A")))</f>
        <v>0</v>
      </c>
      <c r="F208" s="126" t="n">
        <f aca="false">E208*X208</f>
        <v>0</v>
      </c>
      <c r="G208" s="142" t="n">
        <f aca="false">VLOOKUP($A208,Table,MATCH(G$4,Curves,0))</f>
        <v>3.987</v>
      </c>
      <c r="H208" s="143" t="n">
        <f aca="false">G208</f>
        <v>3.987</v>
      </c>
      <c r="I208" s="142" t="n">
        <f aca="false">VLOOKUP($A208,Table1,MATCH(I$3,Curves1,0))</f>
        <v>0</v>
      </c>
      <c r="J208" s="142" t="n">
        <f aca="false">VLOOKUP($A208,Table,MATCH(J$4,Curves,0))</f>
        <v>-0.0305</v>
      </c>
      <c r="K208" s="143" t="n">
        <f aca="false">J208</f>
        <v>-0.0305</v>
      </c>
      <c r="L208" s="144" t="n">
        <v>0</v>
      </c>
      <c r="M208" s="142" t="n">
        <f aca="false">VLOOKUP($A208,Table,MATCH(M$4,Curves,0))</f>
        <v>0.0087</v>
      </c>
      <c r="N208" s="143" t="n">
        <f aca="false">M208</f>
        <v>0.0087</v>
      </c>
      <c r="O208" s="144" t="n">
        <v>0</v>
      </c>
      <c r="P208" s="145"/>
      <c r="Q208" s="144" t="n">
        <f aca="false">M208+J208+G208</f>
        <v>3.9652</v>
      </c>
      <c r="R208" s="144" t="n">
        <f aca="false">O208+L208+I208</f>
        <v>0</v>
      </c>
      <c r="S208" s="145"/>
      <c r="T208" s="71" t="n">
        <f aca="false">A209-A208</f>
        <v>31</v>
      </c>
      <c r="U208" s="146" t="n">
        <f aca="false">CHOOSE(F$3,A209+24,A208)</f>
        <v>43064</v>
      </c>
      <c r="V208" s="71" t="n">
        <f aca="false">U208-C$3</f>
        <v>6176</v>
      </c>
      <c r="W208" s="142" t="n">
        <f aca="false">VLOOKUP($A208,Table,MATCH(W$4,Curves,0))</f>
        <v>0.058966861357273</v>
      </c>
      <c r="X208" s="147" t="n">
        <f aca="false">1/(1+CHOOSE(F$3,(W209+($K$3/10000))/2,(W208+($K$3/10000))/2))^(2*V208/365.25)</f>
        <v>0.374316776113409</v>
      </c>
      <c r="Y208" s="71" t="n">
        <f aca="false">IF(AND(mthbeg&lt;=A208,mthend&gt;=A208),1,0)</f>
        <v>0</v>
      </c>
      <c r="Z208" s="71" t="n">
        <f aca="false">T208*Y208</f>
        <v>0</v>
      </c>
      <c r="AB208" s="132" t="n">
        <f aca="false">F208*G208</f>
        <v>0</v>
      </c>
      <c r="AC208" s="132" t="n">
        <f aca="false">$F208*H208</f>
        <v>0</v>
      </c>
      <c r="AD208" s="132" t="n">
        <f aca="false">$F208*I208</f>
        <v>0</v>
      </c>
      <c r="AE208" s="132" t="n">
        <f aca="false">$F208*J208</f>
        <v>-0</v>
      </c>
      <c r="AF208" s="132" t="n">
        <f aca="false">$F208*K208</f>
        <v>-0</v>
      </c>
      <c r="AG208" s="132" t="n">
        <f aca="false">$F208*L208</f>
        <v>0</v>
      </c>
      <c r="AH208" s="132" t="n">
        <f aca="false">$F208*M208</f>
        <v>0</v>
      </c>
      <c r="AI208" s="132" t="n">
        <f aca="false">$F208*N208</f>
        <v>0</v>
      </c>
      <c r="AJ208" s="132" t="n">
        <f aca="false">F208*O208</f>
        <v>0</v>
      </c>
      <c r="AK208" s="137"/>
      <c r="AL208" s="132" t="n">
        <f aca="false">CHOOSE($G$3,AC208-AD208,AD208-AC208)</f>
        <v>0</v>
      </c>
      <c r="AM208" s="132" t="n">
        <f aca="false">CHOOSE($G$3,AF208-AG208,AG208-AF208)</f>
        <v>0</v>
      </c>
      <c r="AN208" s="132" t="n">
        <f aca="false">CHOOSE($G$3,AI208-AJ208,AJ208-AI208)</f>
        <v>0</v>
      </c>
      <c r="AO208" s="148" t="n">
        <f aca="false">SUM(AL208:AN208)</f>
        <v>0</v>
      </c>
      <c r="AQ208" s="132" t="n">
        <f aca="false">CHOOSE($G$3,AB208-AC208,AC208-AB208)</f>
        <v>0</v>
      </c>
      <c r="AR208" s="132" t="n">
        <f aca="false">CHOOSE($G$3,AE208-AF208,AF208-AE208)</f>
        <v>0</v>
      </c>
      <c r="AS208" s="132" t="n">
        <f aca="false">CHOOSE($G$3,AH208-AI208,AI208-AH208)</f>
        <v>0</v>
      </c>
      <c r="AT208" s="148" t="n">
        <f aca="false">AQ208+AR208+AS208</f>
        <v>0</v>
      </c>
      <c r="AU208" s="148"/>
      <c r="AV208" s="133" t="n">
        <f aca="false">AT208+AO208</f>
        <v>0</v>
      </c>
      <c r="AX208" s="133" t="n">
        <f aca="false">AJ208+AG208+AD208</f>
        <v>0</v>
      </c>
      <c r="AY208" s="149"/>
      <c r="AZ208" s="76" t="n">
        <f aca="false">R208*E208</f>
        <v>0</v>
      </c>
    </row>
    <row r="209" customFormat="false" ht="12" hidden="false" customHeight="true" outlineLevel="0" collapsed="false">
      <c r="A209" s="138" t="n">
        <f aca="false">EDATE(A208,1)</f>
        <v>43040</v>
      </c>
      <c r="B209" s="139" t="n">
        <f aca="false">VLOOKUP($A209,Table2,MATCH(I$3,Curves2,0))</f>
        <v>0</v>
      </c>
      <c r="C209" s="140"/>
      <c r="D209" s="141" t="n">
        <f aca="false">B209+C209</f>
        <v>0</v>
      </c>
      <c r="E209" s="126" t="n">
        <f aca="false">IF(Y209=0,0,IF(AND(Y209=1,$H$3=1),D209*T209,IF($H$3=2,D209,"N/A")))</f>
        <v>0</v>
      </c>
      <c r="F209" s="126" t="n">
        <f aca="false">E209*X209</f>
        <v>0</v>
      </c>
      <c r="G209" s="142" t="n">
        <f aca="false">VLOOKUP($A209,Table,MATCH(G$4,Curves,0))</f>
        <v>3.987</v>
      </c>
      <c r="H209" s="143" t="n">
        <f aca="false">G209</f>
        <v>3.987</v>
      </c>
      <c r="I209" s="142" t="n">
        <f aca="false">VLOOKUP($A209,Table1,MATCH(I$3,Curves1,0))</f>
        <v>0</v>
      </c>
      <c r="J209" s="142" t="n">
        <f aca="false">VLOOKUP($A209,Table,MATCH(J$4,Curves,0))</f>
        <v>-0.0305</v>
      </c>
      <c r="K209" s="143" t="n">
        <f aca="false">J209</f>
        <v>-0.0305</v>
      </c>
      <c r="L209" s="144" t="n">
        <v>0</v>
      </c>
      <c r="M209" s="142" t="n">
        <f aca="false">VLOOKUP($A209,Table,MATCH(M$4,Curves,0))</f>
        <v>0.0087</v>
      </c>
      <c r="N209" s="143" t="n">
        <f aca="false">M209</f>
        <v>0.0087</v>
      </c>
      <c r="O209" s="144" t="n">
        <v>0</v>
      </c>
      <c r="P209" s="145"/>
      <c r="Q209" s="144" t="n">
        <f aca="false">M209+J209+G209</f>
        <v>3.9652</v>
      </c>
      <c r="R209" s="144" t="n">
        <f aca="false">O209+L209+I209</f>
        <v>0</v>
      </c>
      <c r="S209" s="145"/>
      <c r="T209" s="71" t="n">
        <f aca="false">A210-A209</f>
        <v>30</v>
      </c>
      <c r="U209" s="146" t="n">
        <f aca="false">CHOOSE(F$3,A210+24,A209)</f>
        <v>43094</v>
      </c>
      <c r="V209" s="71" t="n">
        <f aca="false">U209-C$3</f>
        <v>6206</v>
      </c>
      <c r="W209" s="142" t="n">
        <f aca="false">VLOOKUP($A209,Table,MATCH(W$4,Curves,0))</f>
        <v>0.058966861357273</v>
      </c>
      <c r="X209" s="147" t="n">
        <f aca="false">1/(1+CHOOSE(F$3,(W210+($K$3/10000))/2,(W209+($K$3/10000))/2))^(2*V209/365.25)</f>
        <v>0.372534326387053</v>
      </c>
      <c r="Y209" s="71" t="n">
        <f aca="false">IF(AND(mthbeg&lt;=A209,mthend&gt;=A209),1,0)</f>
        <v>0</v>
      </c>
      <c r="Z209" s="71" t="n">
        <f aca="false">T209*Y209</f>
        <v>0</v>
      </c>
      <c r="AB209" s="132" t="n">
        <f aca="false">F209*G209</f>
        <v>0</v>
      </c>
      <c r="AC209" s="132" t="n">
        <f aca="false">$F209*H209</f>
        <v>0</v>
      </c>
      <c r="AD209" s="132" t="n">
        <f aca="false">$F209*I209</f>
        <v>0</v>
      </c>
      <c r="AE209" s="132" t="n">
        <f aca="false">$F209*J209</f>
        <v>-0</v>
      </c>
      <c r="AF209" s="132" t="n">
        <f aca="false">$F209*K209</f>
        <v>-0</v>
      </c>
      <c r="AG209" s="132" t="n">
        <f aca="false">$F209*L209</f>
        <v>0</v>
      </c>
      <c r="AH209" s="132" t="n">
        <f aca="false">$F209*M209</f>
        <v>0</v>
      </c>
      <c r="AI209" s="132" t="n">
        <f aca="false">$F209*N209</f>
        <v>0</v>
      </c>
      <c r="AJ209" s="132" t="n">
        <f aca="false">F209*O209</f>
        <v>0</v>
      </c>
      <c r="AK209" s="137"/>
      <c r="AL209" s="132" t="n">
        <f aca="false">CHOOSE($G$3,AC209-AD209,AD209-AC209)</f>
        <v>0</v>
      </c>
      <c r="AM209" s="132" t="n">
        <f aca="false">CHOOSE($G$3,AF209-AG209,AG209-AF209)</f>
        <v>0</v>
      </c>
      <c r="AN209" s="132" t="n">
        <f aca="false">CHOOSE($G$3,AI209-AJ209,AJ209-AI209)</f>
        <v>0</v>
      </c>
      <c r="AO209" s="148" t="n">
        <f aca="false">SUM(AL209:AN209)</f>
        <v>0</v>
      </c>
      <c r="AQ209" s="132" t="n">
        <f aca="false">CHOOSE($G$3,AB209-AC209,AC209-AB209)</f>
        <v>0</v>
      </c>
      <c r="AR209" s="132" t="n">
        <f aca="false">CHOOSE($G$3,AE209-AF209,AF209-AE209)</f>
        <v>0</v>
      </c>
      <c r="AS209" s="132" t="n">
        <f aca="false">CHOOSE($G$3,AH209-AI209,AI209-AH209)</f>
        <v>0</v>
      </c>
      <c r="AT209" s="148" t="n">
        <f aca="false">AQ209+AR209+AS209</f>
        <v>0</v>
      </c>
      <c r="AU209" s="148"/>
      <c r="AV209" s="133" t="n">
        <f aca="false">AT209+AO209</f>
        <v>0</v>
      </c>
      <c r="AX209" s="133" t="n">
        <f aca="false">AJ209+AG209+AD209</f>
        <v>0</v>
      </c>
      <c r="AY209" s="149"/>
      <c r="AZ209" s="76" t="n">
        <f aca="false">R209*E209</f>
        <v>0</v>
      </c>
    </row>
    <row r="210" customFormat="false" ht="12" hidden="false" customHeight="true" outlineLevel="0" collapsed="false">
      <c r="A210" s="138" t="n">
        <f aca="false">EDATE(A209,1)</f>
        <v>43070</v>
      </c>
      <c r="B210" s="139" t="n">
        <f aca="false">VLOOKUP($A210,Table2,MATCH(I$3,Curves2,0))</f>
        <v>0</v>
      </c>
      <c r="C210" s="140"/>
      <c r="D210" s="141" t="n">
        <f aca="false">B210+C210</f>
        <v>0</v>
      </c>
      <c r="E210" s="126" t="n">
        <f aca="false">IF(Y210=0,0,IF(AND(Y210=1,$H$3=1),D210*T210,IF($H$3=2,D210,"N/A")))</f>
        <v>0</v>
      </c>
      <c r="F210" s="126" t="n">
        <f aca="false">E210*X210</f>
        <v>0</v>
      </c>
      <c r="G210" s="142" t="n">
        <f aca="false">VLOOKUP($A210,Table,MATCH(G$4,Curves,0))</f>
        <v>3.987</v>
      </c>
      <c r="H210" s="143" t="n">
        <f aca="false">G210</f>
        <v>3.987</v>
      </c>
      <c r="I210" s="142" t="n">
        <f aca="false">VLOOKUP($A210,Table1,MATCH(I$3,Curves1,0))</f>
        <v>0</v>
      </c>
      <c r="J210" s="142" t="n">
        <f aca="false">VLOOKUP($A210,Table,MATCH(J$4,Curves,0))</f>
        <v>-0.0305</v>
      </c>
      <c r="K210" s="143" t="n">
        <f aca="false">J210</f>
        <v>-0.0305</v>
      </c>
      <c r="L210" s="144" t="n">
        <v>0</v>
      </c>
      <c r="M210" s="142" t="n">
        <f aca="false">VLOOKUP($A210,Table,MATCH(M$4,Curves,0))</f>
        <v>0.0087</v>
      </c>
      <c r="N210" s="143" t="n">
        <f aca="false">M210</f>
        <v>0.0087</v>
      </c>
      <c r="O210" s="144" t="n">
        <v>0</v>
      </c>
      <c r="P210" s="145"/>
      <c r="Q210" s="144" t="n">
        <f aca="false">M210+J210+G210</f>
        <v>3.9652</v>
      </c>
      <c r="R210" s="144" t="n">
        <f aca="false">O210+L210+I210</f>
        <v>0</v>
      </c>
      <c r="S210" s="145"/>
      <c r="T210" s="71" t="n">
        <f aca="false">A211-A210</f>
        <v>31</v>
      </c>
      <c r="U210" s="146" t="n">
        <f aca="false">CHOOSE(F$3,A211+24,A210)</f>
        <v>43125</v>
      </c>
      <c r="V210" s="71" t="n">
        <f aca="false">U210-C$3</f>
        <v>6237</v>
      </c>
      <c r="W210" s="142" t="n">
        <f aca="false">VLOOKUP($A210,Table,MATCH(W$4,Curves,0))</f>
        <v>0.058966861357273</v>
      </c>
      <c r="X210" s="147" t="n">
        <f aca="false">1/(1+CHOOSE(F$3,(W211+($K$3/10000))/2,(W210+($K$3/10000))/2))^(2*V210/365.25)</f>
        <v>0.370701378106</v>
      </c>
      <c r="Y210" s="71" t="n">
        <f aca="false">IF(AND(mthbeg&lt;=A210,mthend&gt;=A210),1,0)</f>
        <v>0</v>
      </c>
      <c r="Z210" s="71" t="n">
        <f aca="false">T210*Y210</f>
        <v>0</v>
      </c>
      <c r="AB210" s="132" t="n">
        <f aca="false">F210*G210</f>
        <v>0</v>
      </c>
      <c r="AC210" s="132" t="n">
        <f aca="false">$F210*H210</f>
        <v>0</v>
      </c>
      <c r="AD210" s="132" t="n">
        <f aca="false">$F210*I210</f>
        <v>0</v>
      </c>
      <c r="AE210" s="132" t="n">
        <f aca="false">$F210*J210</f>
        <v>-0</v>
      </c>
      <c r="AF210" s="132" t="n">
        <f aca="false">$F210*K210</f>
        <v>-0</v>
      </c>
      <c r="AG210" s="132" t="n">
        <f aca="false">$F210*L210</f>
        <v>0</v>
      </c>
      <c r="AH210" s="132" t="n">
        <f aca="false">$F210*M210</f>
        <v>0</v>
      </c>
      <c r="AI210" s="132" t="n">
        <f aca="false">$F210*N210</f>
        <v>0</v>
      </c>
      <c r="AJ210" s="132" t="n">
        <f aca="false">F210*O210</f>
        <v>0</v>
      </c>
      <c r="AK210" s="137"/>
      <c r="AL210" s="132" t="n">
        <f aca="false">CHOOSE($G$3,AC210-AD210,AD210-AC210)</f>
        <v>0</v>
      </c>
      <c r="AM210" s="132" t="n">
        <f aca="false">CHOOSE($G$3,AF210-AG210,AG210-AF210)</f>
        <v>0</v>
      </c>
      <c r="AN210" s="132" t="n">
        <f aca="false">CHOOSE($G$3,AI210-AJ210,AJ210-AI210)</f>
        <v>0</v>
      </c>
      <c r="AO210" s="148" t="n">
        <f aca="false">SUM(AL210:AN210)</f>
        <v>0</v>
      </c>
      <c r="AQ210" s="132" t="n">
        <f aca="false">CHOOSE($G$3,AB210-AC210,AC210-AB210)</f>
        <v>0</v>
      </c>
      <c r="AR210" s="132" t="n">
        <f aca="false">CHOOSE($G$3,AE210-AF210,AF210-AE210)</f>
        <v>0</v>
      </c>
      <c r="AS210" s="132" t="n">
        <f aca="false">CHOOSE($G$3,AH210-AI210,AI210-AH210)</f>
        <v>0</v>
      </c>
      <c r="AT210" s="148" t="n">
        <f aca="false">AQ210+AR210+AS210</f>
        <v>0</v>
      </c>
      <c r="AU210" s="148"/>
      <c r="AV210" s="133" t="n">
        <f aca="false">AT210+AO210</f>
        <v>0</v>
      </c>
      <c r="AX210" s="133" t="n">
        <f aca="false">AJ210+AG210+AD210</f>
        <v>0</v>
      </c>
      <c r="AY210" s="149"/>
      <c r="AZ210" s="76" t="n">
        <f aca="false">R210*E210</f>
        <v>0</v>
      </c>
    </row>
    <row r="211" customFormat="false" ht="12" hidden="false" customHeight="true" outlineLevel="0" collapsed="false">
      <c r="A211" s="138" t="n">
        <f aca="false">EDATE(A210,1)</f>
        <v>43101</v>
      </c>
      <c r="B211" s="139" t="n">
        <f aca="false">VLOOKUP($A211,Table2,MATCH(I$3,Curves2,0))</f>
        <v>0</v>
      </c>
      <c r="C211" s="140"/>
      <c r="D211" s="141" t="n">
        <f aca="false">B211+C211</f>
        <v>0</v>
      </c>
      <c r="E211" s="126" t="n">
        <f aca="false">IF(Y211=0,0,IF(AND(Y211=1,$H$3=1),D211*T211,IF($H$3=2,D211,"N/A")))</f>
        <v>0</v>
      </c>
      <c r="F211" s="126" t="n">
        <f aca="false">E211*X211</f>
        <v>0</v>
      </c>
      <c r="G211" s="142" t="n">
        <f aca="false">VLOOKUP($A211,Table,MATCH(G$4,Curves,0))</f>
        <v>3.987</v>
      </c>
      <c r="H211" s="143" t="n">
        <f aca="false">G211</f>
        <v>3.987</v>
      </c>
      <c r="I211" s="142" t="n">
        <f aca="false">VLOOKUP($A211,Table1,MATCH(I$3,Curves1,0))</f>
        <v>0</v>
      </c>
      <c r="J211" s="142" t="n">
        <f aca="false">VLOOKUP($A211,Table,MATCH(J$4,Curves,0))</f>
        <v>-0.0305</v>
      </c>
      <c r="K211" s="143" t="n">
        <f aca="false">J211</f>
        <v>-0.0305</v>
      </c>
      <c r="L211" s="144" t="n">
        <v>0</v>
      </c>
      <c r="M211" s="142" t="n">
        <f aca="false">VLOOKUP($A211,Table,MATCH(M$4,Curves,0))</f>
        <v>0.0087</v>
      </c>
      <c r="N211" s="143" t="n">
        <f aca="false">M211</f>
        <v>0.0087</v>
      </c>
      <c r="O211" s="144" t="n">
        <v>0</v>
      </c>
      <c r="P211" s="145"/>
      <c r="Q211" s="144" t="n">
        <f aca="false">M211+J211+G211</f>
        <v>3.9652</v>
      </c>
      <c r="R211" s="144" t="n">
        <f aca="false">O211+L211+I211</f>
        <v>0</v>
      </c>
      <c r="S211" s="145"/>
      <c r="T211" s="71" t="n">
        <f aca="false">A212-A211</f>
        <v>31</v>
      </c>
      <c r="U211" s="146" t="n">
        <f aca="false">CHOOSE(F$3,A212+24,A211)</f>
        <v>43156</v>
      </c>
      <c r="V211" s="71" t="n">
        <f aca="false">U211-C$3</f>
        <v>6268</v>
      </c>
      <c r="W211" s="142" t="n">
        <f aca="false">VLOOKUP($A211,Table,MATCH(W$4,Curves,0))</f>
        <v>0.058966861357273</v>
      </c>
      <c r="X211" s="147" t="n">
        <f aca="false">1/(1+CHOOSE(F$3,(W212+($K$3/10000))/2,(W211+($K$3/10000))/2))^(2*V211/365.25)</f>
        <v>0.368877448321131</v>
      </c>
      <c r="Y211" s="71" t="n">
        <f aca="false">IF(AND(mthbeg&lt;=A211,mthend&gt;=A211),1,0)</f>
        <v>0</v>
      </c>
      <c r="Z211" s="71" t="n">
        <f aca="false">T211*Y211</f>
        <v>0</v>
      </c>
      <c r="AB211" s="132" t="n">
        <f aca="false">F211*G211</f>
        <v>0</v>
      </c>
      <c r="AC211" s="132" t="n">
        <f aca="false">$F211*H211</f>
        <v>0</v>
      </c>
      <c r="AD211" s="132" t="n">
        <f aca="false">$F211*I211</f>
        <v>0</v>
      </c>
      <c r="AE211" s="132" t="n">
        <f aca="false">$F211*J211</f>
        <v>-0</v>
      </c>
      <c r="AF211" s="132" t="n">
        <f aca="false">$F211*K211</f>
        <v>-0</v>
      </c>
      <c r="AG211" s="132" t="n">
        <f aca="false">$F211*L211</f>
        <v>0</v>
      </c>
      <c r="AH211" s="132" t="n">
        <f aca="false">$F211*M211</f>
        <v>0</v>
      </c>
      <c r="AI211" s="132" t="n">
        <f aca="false">$F211*N211</f>
        <v>0</v>
      </c>
      <c r="AJ211" s="132" t="n">
        <f aca="false">F211*O211</f>
        <v>0</v>
      </c>
      <c r="AK211" s="137"/>
      <c r="AL211" s="132" t="n">
        <f aca="false">CHOOSE($G$3,AC211-AD211,AD211-AC211)</f>
        <v>0</v>
      </c>
      <c r="AM211" s="132" t="n">
        <f aca="false">CHOOSE($G$3,AF211-AG211,AG211-AF211)</f>
        <v>0</v>
      </c>
      <c r="AN211" s="132" t="n">
        <f aca="false">CHOOSE($G$3,AI211-AJ211,AJ211-AI211)</f>
        <v>0</v>
      </c>
      <c r="AO211" s="148" t="n">
        <f aca="false">SUM(AL211:AN211)</f>
        <v>0</v>
      </c>
      <c r="AQ211" s="132" t="n">
        <f aca="false">CHOOSE($G$3,AB211-AC211,AC211-AB211)</f>
        <v>0</v>
      </c>
      <c r="AR211" s="132" t="n">
        <f aca="false">CHOOSE($G$3,AE211-AF211,AF211-AE211)</f>
        <v>0</v>
      </c>
      <c r="AS211" s="132" t="n">
        <f aca="false">CHOOSE($G$3,AH211-AI211,AI211-AH211)</f>
        <v>0</v>
      </c>
      <c r="AT211" s="148" t="n">
        <f aca="false">AQ211+AR211+AS211</f>
        <v>0</v>
      </c>
      <c r="AU211" s="148"/>
      <c r="AV211" s="133" t="n">
        <f aca="false">AT211+AO211</f>
        <v>0</v>
      </c>
      <c r="AX211" s="133" t="n">
        <f aca="false">AJ211+AG211+AD211</f>
        <v>0</v>
      </c>
      <c r="AY211" s="149"/>
      <c r="AZ211" s="76" t="n">
        <f aca="false">R211*E211</f>
        <v>0</v>
      </c>
    </row>
    <row r="212" customFormat="false" ht="12" hidden="false" customHeight="true" outlineLevel="0" collapsed="false">
      <c r="A212" s="138" t="n">
        <f aca="false">EDATE(A211,1)</f>
        <v>43132</v>
      </c>
      <c r="B212" s="139" t="n">
        <f aca="false">VLOOKUP($A212,Table2,MATCH(I$3,Curves2,0))</f>
        <v>0</v>
      </c>
      <c r="C212" s="140"/>
      <c r="D212" s="141" t="n">
        <f aca="false">B212+C212</f>
        <v>0</v>
      </c>
      <c r="E212" s="126" t="n">
        <f aca="false">IF(Y212=0,0,IF(AND(Y212=1,$H$3=1),D212*T212,IF($H$3=2,D212,"N/A")))</f>
        <v>0</v>
      </c>
      <c r="F212" s="126" t="n">
        <f aca="false">E212*X212</f>
        <v>0</v>
      </c>
      <c r="G212" s="142" t="n">
        <f aca="false">VLOOKUP($A212,Table,MATCH(G$4,Curves,0))</f>
        <v>3.987</v>
      </c>
      <c r="H212" s="143" t="n">
        <f aca="false">G212</f>
        <v>3.987</v>
      </c>
      <c r="I212" s="142" t="n">
        <f aca="false">VLOOKUP($A212,Table1,MATCH(I$3,Curves1,0))</f>
        <v>0</v>
      </c>
      <c r="J212" s="142" t="n">
        <f aca="false">VLOOKUP($A212,Table,MATCH(J$4,Curves,0))</f>
        <v>-0.0305</v>
      </c>
      <c r="K212" s="143" t="n">
        <f aca="false">J212</f>
        <v>-0.0305</v>
      </c>
      <c r="L212" s="144" t="n">
        <v>0</v>
      </c>
      <c r="M212" s="142" t="n">
        <f aca="false">VLOOKUP($A212,Table,MATCH(M$4,Curves,0))</f>
        <v>0.0087</v>
      </c>
      <c r="N212" s="143" t="n">
        <f aca="false">M212</f>
        <v>0.0087</v>
      </c>
      <c r="O212" s="144" t="n">
        <v>0</v>
      </c>
      <c r="P212" s="145"/>
      <c r="Q212" s="144" t="n">
        <f aca="false">M212+J212+G212</f>
        <v>3.9652</v>
      </c>
      <c r="R212" s="144" t="n">
        <f aca="false">O212+L212+I212</f>
        <v>0</v>
      </c>
      <c r="S212" s="145"/>
      <c r="T212" s="71" t="n">
        <f aca="false">A213-A212</f>
        <v>28</v>
      </c>
      <c r="U212" s="146" t="n">
        <f aca="false">CHOOSE(F$3,A213+24,A212)</f>
        <v>43184</v>
      </c>
      <c r="V212" s="71" t="n">
        <f aca="false">U212-C$3</f>
        <v>6296</v>
      </c>
      <c r="W212" s="142" t="n">
        <f aca="false">VLOOKUP($A212,Table,MATCH(W$4,Curves,0))</f>
        <v>0.058966861357273</v>
      </c>
      <c r="X212" s="147" t="n">
        <f aca="false">1/(1+CHOOSE(F$3,(W213+($K$3/10000))/2,(W212+($K$3/10000))/2))^(2*V212/365.25)</f>
        <v>0.367237742546567</v>
      </c>
      <c r="Y212" s="71" t="n">
        <f aca="false">IF(AND(mthbeg&lt;=A212,mthend&gt;=A212),1,0)</f>
        <v>0</v>
      </c>
      <c r="Z212" s="71" t="n">
        <f aca="false">T212*Y212</f>
        <v>0</v>
      </c>
      <c r="AB212" s="132" t="n">
        <f aca="false">F212*G212</f>
        <v>0</v>
      </c>
      <c r="AC212" s="132" t="n">
        <f aca="false">$F212*H212</f>
        <v>0</v>
      </c>
      <c r="AD212" s="132" t="n">
        <f aca="false">$F212*I212</f>
        <v>0</v>
      </c>
      <c r="AE212" s="132" t="n">
        <f aca="false">$F212*J212</f>
        <v>-0</v>
      </c>
      <c r="AF212" s="132" t="n">
        <f aca="false">$F212*K212</f>
        <v>-0</v>
      </c>
      <c r="AG212" s="132" t="n">
        <f aca="false">$F212*L212</f>
        <v>0</v>
      </c>
      <c r="AH212" s="132" t="n">
        <f aca="false">$F212*M212</f>
        <v>0</v>
      </c>
      <c r="AI212" s="132" t="n">
        <f aca="false">$F212*N212</f>
        <v>0</v>
      </c>
      <c r="AJ212" s="132" t="n">
        <f aca="false">F212*O212</f>
        <v>0</v>
      </c>
      <c r="AK212" s="137"/>
      <c r="AL212" s="132" t="n">
        <f aca="false">CHOOSE($G$3,AC212-AD212,AD212-AC212)</f>
        <v>0</v>
      </c>
      <c r="AM212" s="132" t="n">
        <f aca="false">CHOOSE($G$3,AF212-AG212,AG212-AF212)</f>
        <v>0</v>
      </c>
      <c r="AN212" s="132" t="n">
        <f aca="false">CHOOSE($G$3,AI212-AJ212,AJ212-AI212)</f>
        <v>0</v>
      </c>
      <c r="AO212" s="148" t="n">
        <f aca="false">SUM(AL212:AN212)</f>
        <v>0</v>
      </c>
      <c r="AQ212" s="132" t="n">
        <f aca="false">CHOOSE($G$3,AB212-AC212,AC212-AB212)</f>
        <v>0</v>
      </c>
      <c r="AR212" s="132" t="n">
        <f aca="false">CHOOSE($G$3,AE212-AF212,AF212-AE212)</f>
        <v>0</v>
      </c>
      <c r="AS212" s="132" t="n">
        <f aca="false">CHOOSE($G$3,AH212-AI212,AI212-AH212)</f>
        <v>0</v>
      </c>
      <c r="AT212" s="148" t="n">
        <f aca="false">AQ212+AR212+AS212</f>
        <v>0</v>
      </c>
      <c r="AU212" s="148"/>
      <c r="AV212" s="133" t="n">
        <f aca="false">AT212+AO212</f>
        <v>0</v>
      </c>
      <c r="AX212" s="133" t="n">
        <f aca="false">AJ212+AG212+AD212</f>
        <v>0</v>
      </c>
      <c r="AY212" s="149"/>
      <c r="AZ212" s="76" t="n">
        <f aca="false">R212*E212</f>
        <v>0</v>
      </c>
    </row>
    <row r="213" customFormat="false" ht="12" hidden="false" customHeight="true" outlineLevel="0" collapsed="false">
      <c r="A213" s="138" t="n">
        <f aca="false">EDATE(A212,1)</f>
        <v>43160</v>
      </c>
      <c r="B213" s="139" t="n">
        <f aca="false">VLOOKUP($A213,Table2,MATCH(I$3,Curves2,0))</f>
        <v>0</v>
      </c>
      <c r="C213" s="140"/>
      <c r="D213" s="141" t="n">
        <f aca="false">B213+C213</f>
        <v>0</v>
      </c>
      <c r="E213" s="126" t="n">
        <f aca="false">IF(Y213=0,0,IF(AND(Y213=1,$H$3=1),D213*T213,IF($H$3=2,D213,"N/A")))</f>
        <v>0</v>
      </c>
      <c r="F213" s="126" t="n">
        <f aca="false">E213*X213</f>
        <v>0</v>
      </c>
      <c r="G213" s="142" t="n">
        <f aca="false">VLOOKUP($A213,Table,MATCH(G$4,Curves,0))</f>
        <v>3.987</v>
      </c>
      <c r="H213" s="143" t="n">
        <f aca="false">G213</f>
        <v>3.987</v>
      </c>
      <c r="I213" s="142" t="n">
        <f aca="false">VLOOKUP($A213,Table1,MATCH(I$3,Curves1,0))</f>
        <v>0</v>
      </c>
      <c r="J213" s="142" t="n">
        <f aca="false">VLOOKUP($A213,Table,MATCH(J$4,Curves,0))</f>
        <v>-0.0305</v>
      </c>
      <c r="K213" s="143" t="n">
        <f aca="false">J213</f>
        <v>-0.0305</v>
      </c>
      <c r="L213" s="144" t="n">
        <v>0</v>
      </c>
      <c r="M213" s="142" t="n">
        <f aca="false">VLOOKUP($A213,Table,MATCH(M$4,Curves,0))</f>
        <v>0.0087</v>
      </c>
      <c r="N213" s="143" t="n">
        <f aca="false">M213</f>
        <v>0.0087</v>
      </c>
      <c r="O213" s="144" t="n">
        <v>0</v>
      </c>
      <c r="P213" s="145"/>
      <c r="Q213" s="144" t="n">
        <f aca="false">M213+J213+G213</f>
        <v>3.9652</v>
      </c>
      <c r="R213" s="144" t="n">
        <f aca="false">O213+L213+I213</f>
        <v>0</v>
      </c>
      <c r="S213" s="145"/>
      <c r="T213" s="71" t="n">
        <f aca="false">A214-A213</f>
        <v>31</v>
      </c>
      <c r="U213" s="146" t="n">
        <f aca="false">CHOOSE(F$3,A214+24,A213)</f>
        <v>43215</v>
      </c>
      <c r="V213" s="71" t="n">
        <f aca="false">U213-C$3</f>
        <v>6327</v>
      </c>
      <c r="W213" s="142" t="n">
        <f aca="false">VLOOKUP($A213,Table,MATCH(W$4,Curves,0))</f>
        <v>0.058966861357273</v>
      </c>
      <c r="X213" s="147" t="n">
        <f aca="false">1/(1+CHOOSE(F$3,(W214+($K$3/10000))/2,(W213+($K$3/10000))/2))^(2*V213/365.25)</f>
        <v>0.365430854586828</v>
      </c>
      <c r="Y213" s="71" t="n">
        <f aca="false">IF(AND(mthbeg&lt;=A213,mthend&gt;=A213),1,0)</f>
        <v>0</v>
      </c>
      <c r="Z213" s="71" t="n">
        <f aca="false">T213*Y213</f>
        <v>0</v>
      </c>
      <c r="AB213" s="132" t="n">
        <f aca="false">F213*G213</f>
        <v>0</v>
      </c>
      <c r="AC213" s="132" t="n">
        <f aca="false">$F213*H213</f>
        <v>0</v>
      </c>
      <c r="AD213" s="132" t="n">
        <f aca="false">$F213*I213</f>
        <v>0</v>
      </c>
      <c r="AE213" s="132" t="n">
        <f aca="false">$F213*J213</f>
        <v>-0</v>
      </c>
      <c r="AF213" s="132" t="n">
        <f aca="false">$F213*K213</f>
        <v>-0</v>
      </c>
      <c r="AG213" s="132" t="n">
        <f aca="false">$F213*L213</f>
        <v>0</v>
      </c>
      <c r="AH213" s="132" t="n">
        <f aca="false">$F213*M213</f>
        <v>0</v>
      </c>
      <c r="AI213" s="132" t="n">
        <f aca="false">$F213*N213</f>
        <v>0</v>
      </c>
      <c r="AJ213" s="132" t="n">
        <f aca="false">F213*O213</f>
        <v>0</v>
      </c>
      <c r="AK213" s="137"/>
      <c r="AL213" s="132" t="n">
        <f aca="false">CHOOSE($G$3,AC213-AD213,AD213-AC213)</f>
        <v>0</v>
      </c>
      <c r="AM213" s="132" t="n">
        <f aca="false">CHOOSE($G$3,AF213-AG213,AG213-AF213)</f>
        <v>0</v>
      </c>
      <c r="AN213" s="132" t="n">
        <f aca="false">CHOOSE($G$3,AI213-AJ213,AJ213-AI213)</f>
        <v>0</v>
      </c>
      <c r="AO213" s="148" t="n">
        <f aca="false">SUM(AL213:AN213)</f>
        <v>0</v>
      </c>
      <c r="AQ213" s="132" t="n">
        <f aca="false">CHOOSE($G$3,AB213-AC213,AC213-AB213)</f>
        <v>0</v>
      </c>
      <c r="AR213" s="132" t="n">
        <f aca="false">CHOOSE($G$3,AE213-AF213,AF213-AE213)</f>
        <v>0</v>
      </c>
      <c r="AS213" s="132" t="n">
        <f aca="false">CHOOSE($G$3,AH213-AI213,AI213-AH213)</f>
        <v>0</v>
      </c>
      <c r="AT213" s="148" t="n">
        <f aca="false">AQ213+AR213+AS213</f>
        <v>0</v>
      </c>
      <c r="AU213" s="148"/>
      <c r="AV213" s="133" t="n">
        <f aca="false">AT213+AO213</f>
        <v>0</v>
      </c>
      <c r="AX213" s="133" t="n">
        <f aca="false">AJ213+AG213+AD213</f>
        <v>0</v>
      </c>
      <c r="AY213" s="149"/>
      <c r="AZ213" s="76" t="n">
        <f aca="false">R213*E213</f>
        <v>0</v>
      </c>
    </row>
    <row r="214" customFormat="false" ht="12" hidden="false" customHeight="true" outlineLevel="0" collapsed="false">
      <c r="A214" s="138" t="n">
        <f aca="false">EDATE(A213,1)</f>
        <v>43191</v>
      </c>
      <c r="B214" s="139" t="n">
        <f aca="false">VLOOKUP($A214,Table2,MATCH(I$3,Curves2,0))</f>
        <v>0</v>
      </c>
      <c r="C214" s="140"/>
      <c r="D214" s="141" t="n">
        <f aca="false">B214+C214</f>
        <v>0</v>
      </c>
      <c r="E214" s="126" t="n">
        <f aca="false">IF(Y214=0,0,IF(AND(Y214=1,$H$3=1),D214*T214,IF($H$3=2,D214,"N/A")))</f>
        <v>0</v>
      </c>
      <c r="F214" s="126" t="n">
        <f aca="false">E214*X214</f>
        <v>0</v>
      </c>
      <c r="G214" s="142" t="n">
        <f aca="false">VLOOKUP($A214,Table,MATCH(G$4,Curves,0))</f>
        <v>3.987</v>
      </c>
      <c r="H214" s="143" t="n">
        <f aca="false">G214</f>
        <v>3.987</v>
      </c>
      <c r="I214" s="142" t="n">
        <f aca="false">VLOOKUP($A214,Table1,MATCH(I$3,Curves1,0))</f>
        <v>0</v>
      </c>
      <c r="J214" s="142" t="n">
        <f aca="false">VLOOKUP($A214,Table,MATCH(J$4,Curves,0))</f>
        <v>-0.0305</v>
      </c>
      <c r="K214" s="143" t="n">
        <f aca="false">J214</f>
        <v>-0.0305</v>
      </c>
      <c r="L214" s="144" t="n">
        <v>0</v>
      </c>
      <c r="M214" s="142" t="n">
        <f aca="false">VLOOKUP($A214,Table,MATCH(M$4,Curves,0))</f>
        <v>0.0087</v>
      </c>
      <c r="N214" s="143" t="n">
        <f aca="false">M214</f>
        <v>0.0087</v>
      </c>
      <c r="O214" s="144" t="n">
        <v>0</v>
      </c>
      <c r="P214" s="145"/>
      <c r="Q214" s="144" t="n">
        <f aca="false">M214+J214+G214</f>
        <v>3.9652</v>
      </c>
      <c r="R214" s="144" t="n">
        <f aca="false">O214+L214+I214</f>
        <v>0</v>
      </c>
      <c r="S214" s="145"/>
      <c r="T214" s="71" t="n">
        <f aca="false">A215-A214</f>
        <v>30</v>
      </c>
      <c r="U214" s="146" t="n">
        <f aca="false">CHOOSE(F$3,A215+24,A214)</f>
        <v>43245</v>
      </c>
      <c r="V214" s="71" t="n">
        <f aca="false">U214-C$3</f>
        <v>6357</v>
      </c>
      <c r="W214" s="142" t="n">
        <f aca="false">VLOOKUP($A214,Table,MATCH(W$4,Curves,0))</f>
        <v>0.058966861357273</v>
      </c>
      <c r="X214" s="147" t="n">
        <f aca="false">1/(1+CHOOSE(F$3,(W215+($K$3/10000))/2,(W214+($K$3/10000))/2))^(2*V214/365.25)</f>
        <v>0.363690718508708</v>
      </c>
      <c r="Y214" s="71" t="n">
        <f aca="false">IF(AND(mthbeg&lt;=A214,mthend&gt;=A214),1,0)</f>
        <v>0</v>
      </c>
      <c r="Z214" s="71" t="n">
        <f aca="false">T214*Y214</f>
        <v>0</v>
      </c>
      <c r="AB214" s="132" t="n">
        <f aca="false">F214*G214</f>
        <v>0</v>
      </c>
      <c r="AC214" s="132" t="n">
        <f aca="false">$F214*H214</f>
        <v>0</v>
      </c>
      <c r="AD214" s="132" t="n">
        <f aca="false">$F214*I214</f>
        <v>0</v>
      </c>
      <c r="AE214" s="132" t="n">
        <f aca="false">$F214*J214</f>
        <v>-0</v>
      </c>
      <c r="AF214" s="132" t="n">
        <f aca="false">$F214*K214</f>
        <v>-0</v>
      </c>
      <c r="AG214" s="132" t="n">
        <f aca="false">$F214*L214</f>
        <v>0</v>
      </c>
      <c r="AH214" s="132" t="n">
        <f aca="false">$F214*M214</f>
        <v>0</v>
      </c>
      <c r="AI214" s="132" t="n">
        <f aca="false">$F214*N214</f>
        <v>0</v>
      </c>
      <c r="AJ214" s="132" t="n">
        <f aca="false">F214*O214</f>
        <v>0</v>
      </c>
      <c r="AK214" s="137"/>
      <c r="AL214" s="132" t="n">
        <f aca="false">CHOOSE($G$3,AC214-AD214,AD214-AC214)</f>
        <v>0</v>
      </c>
      <c r="AM214" s="132" t="n">
        <f aca="false">CHOOSE($G$3,AF214-AG214,AG214-AF214)</f>
        <v>0</v>
      </c>
      <c r="AN214" s="132" t="n">
        <f aca="false">CHOOSE($G$3,AI214-AJ214,AJ214-AI214)</f>
        <v>0</v>
      </c>
      <c r="AO214" s="148" t="n">
        <f aca="false">SUM(AL214:AN214)</f>
        <v>0</v>
      </c>
      <c r="AQ214" s="132" t="n">
        <f aca="false">CHOOSE($G$3,AB214-AC214,AC214-AB214)</f>
        <v>0</v>
      </c>
      <c r="AR214" s="132" t="n">
        <f aca="false">CHOOSE($G$3,AE214-AF214,AF214-AE214)</f>
        <v>0</v>
      </c>
      <c r="AS214" s="132" t="n">
        <f aca="false">CHOOSE($G$3,AH214-AI214,AI214-AH214)</f>
        <v>0</v>
      </c>
      <c r="AT214" s="148" t="n">
        <f aca="false">AQ214+AR214+AS214</f>
        <v>0</v>
      </c>
      <c r="AU214" s="148"/>
      <c r="AV214" s="133" t="n">
        <f aca="false">AT214+AO214</f>
        <v>0</v>
      </c>
      <c r="AX214" s="133" t="n">
        <f aca="false">AJ214+AG214+AD214</f>
        <v>0</v>
      </c>
      <c r="AY214" s="149"/>
      <c r="AZ214" s="76" t="n">
        <f aca="false">R214*E214</f>
        <v>0</v>
      </c>
    </row>
    <row r="215" customFormat="false" ht="12" hidden="false" customHeight="true" outlineLevel="0" collapsed="false">
      <c r="A215" s="138" t="n">
        <f aca="false">EDATE(A214,1)</f>
        <v>43221</v>
      </c>
      <c r="B215" s="139" t="n">
        <f aca="false">VLOOKUP($A215,Table2,MATCH(I$3,Curves2,0))</f>
        <v>0</v>
      </c>
      <c r="C215" s="140"/>
      <c r="D215" s="141" t="n">
        <f aca="false">B215+C215</f>
        <v>0</v>
      </c>
      <c r="E215" s="126" t="n">
        <f aca="false">IF(Y215=0,0,IF(AND(Y215=1,$H$3=1),D215*T215,IF($H$3=2,D215,"N/A")))</f>
        <v>0</v>
      </c>
      <c r="F215" s="126" t="n">
        <f aca="false">E215*X215</f>
        <v>0</v>
      </c>
      <c r="G215" s="142" t="n">
        <f aca="false">VLOOKUP($A215,Table,MATCH(G$4,Curves,0))</f>
        <v>3.987</v>
      </c>
      <c r="H215" s="143" t="n">
        <f aca="false">G215</f>
        <v>3.987</v>
      </c>
      <c r="I215" s="142" t="n">
        <f aca="false">VLOOKUP($A215,Table1,MATCH(I$3,Curves1,0))</f>
        <v>0</v>
      </c>
      <c r="J215" s="142" t="n">
        <f aca="false">VLOOKUP($A215,Table,MATCH(J$4,Curves,0))</f>
        <v>-0.0305</v>
      </c>
      <c r="K215" s="143" t="n">
        <f aca="false">J215</f>
        <v>-0.0305</v>
      </c>
      <c r="L215" s="144" t="n">
        <v>0</v>
      </c>
      <c r="M215" s="142" t="n">
        <f aca="false">VLOOKUP($A215,Table,MATCH(M$4,Curves,0))</f>
        <v>0.0087</v>
      </c>
      <c r="N215" s="143" t="n">
        <f aca="false">M215</f>
        <v>0.0087</v>
      </c>
      <c r="O215" s="144" t="n">
        <v>0</v>
      </c>
      <c r="P215" s="145"/>
      <c r="Q215" s="144" t="n">
        <f aca="false">M215+J215+G215</f>
        <v>3.9652</v>
      </c>
      <c r="R215" s="144" t="n">
        <f aca="false">O215+L215+I215</f>
        <v>0</v>
      </c>
      <c r="S215" s="145"/>
      <c r="T215" s="71" t="n">
        <f aca="false">A216-A215</f>
        <v>31</v>
      </c>
      <c r="U215" s="146" t="n">
        <f aca="false">CHOOSE(F$3,A216+24,A215)</f>
        <v>43276</v>
      </c>
      <c r="V215" s="71" t="n">
        <f aca="false">U215-C$3</f>
        <v>6388</v>
      </c>
      <c r="W215" s="142" t="n">
        <f aca="false">VLOOKUP($A215,Table,MATCH(W$4,Curves,0))</f>
        <v>0.058966861357273</v>
      </c>
      <c r="X215" s="147" t="n">
        <f aca="false">1/(1+CHOOSE(F$3,(W216+($K$3/10000))/2,(W215+($K$3/10000))/2))^(2*V215/365.25)</f>
        <v>0.361901282663183</v>
      </c>
      <c r="Y215" s="71" t="n">
        <f aca="false">IF(AND(mthbeg&lt;=A215,mthend&gt;=A215),1,0)</f>
        <v>0</v>
      </c>
      <c r="Z215" s="71" t="n">
        <f aca="false">T215*Y215</f>
        <v>0</v>
      </c>
      <c r="AB215" s="132" t="n">
        <f aca="false">F215*G215</f>
        <v>0</v>
      </c>
      <c r="AC215" s="132" t="n">
        <f aca="false">$F215*H215</f>
        <v>0</v>
      </c>
      <c r="AD215" s="132" t="n">
        <f aca="false">$F215*I215</f>
        <v>0</v>
      </c>
      <c r="AE215" s="132" t="n">
        <f aca="false">$F215*J215</f>
        <v>-0</v>
      </c>
      <c r="AF215" s="132" t="n">
        <f aca="false">$F215*K215</f>
        <v>-0</v>
      </c>
      <c r="AG215" s="132" t="n">
        <f aca="false">$F215*L215</f>
        <v>0</v>
      </c>
      <c r="AH215" s="132" t="n">
        <f aca="false">$F215*M215</f>
        <v>0</v>
      </c>
      <c r="AI215" s="132" t="n">
        <f aca="false">$F215*N215</f>
        <v>0</v>
      </c>
      <c r="AJ215" s="132" t="n">
        <f aca="false">F215*O215</f>
        <v>0</v>
      </c>
      <c r="AK215" s="137"/>
      <c r="AL215" s="132" t="n">
        <f aca="false">CHOOSE($G$3,AC215-AD215,AD215-AC215)</f>
        <v>0</v>
      </c>
      <c r="AM215" s="132" t="n">
        <f aca="false">CHOOSE($G$3,AF215-AG215,AG215-AF215)</f>
        <v>0</v>
      </c>
      <c r="AN215" s="132" t="n">
        <f aca="false">CHOOSE($G$3,AI215-AJ215,AJ215-AI215)</f>
        <v>0</v>
      </c>
      <c r="AO215" s="148" t="n">
        <f aca="false">SUM(AL215:AN215)</f>
        <v>0</v>
      </c>
      <c r="AQ215" s="132" t="n">
        <f aca="false">CHOOSE($G$3,AB215-AC215,AC215-AB215)</f>
        <v>0</v>
      </c>
      <c r="AR215" s="132" t="n">
        <f aca="false">CHOOSE($G$3,AE215-AF215,AF215-AE215)</f>
        <v>0</v>
      </c>
      <c r="AS215" s="132" t="n">
        <f aca="false">CHOOSE($G$3,AH215-AI215,AI215-AH215)</f>
        <v>0</v>
      </c>
      <c r="AT215" s="148" t="n">
        <f aca="false">AQ215+AR215+AS215</f>
        <v>0</v>
      </c>
      <c r="AU215" s="148"/>
      <c r="AV215" s="133" t="n">
        <f aca="false">AT215+AO215</f>
        <v>0</v>
      </c>
      <c r="AX215" s="133" t="n">
        <f aca="false">AJ215+AG215+AD215</f>
        <v>0</v>
      </c>
      <c r="AY215" s="149"/>
      <c r="AZ215" s="76" t="n">
        <f aca="false">R215*E215</f>
        <v>0</v>
      </c>
    </row>
    <row r="216" customFormat="false" ht="12" hidden="false" customHeight="true" outlineLevel="0" collapsed="false">
      <c r="A216" s="138" t="n">
        <f aca="false">EDATE(A215,1)</f>
        <v>43252</v>
      </c>
      <c r="B216" s="139" t="n">
        <f aca="false">VLOOKUP($A216,Table2,MATCH(I$3,Curves2,0))</f>
        <v>0</v>
      </c>
      <c r="C216" s="140"/>
      <c r="D216" s="141" t="n">
        <f aca="false">B216+C216</f>
        <v>0</v>
      </c>
      <c r="E216" s="126" t="n">
        <f aca="false">IF(Y216=0,0,IF(AND(Y216=1,$H$3=1),D216*T216,IF($H$3=2,D216,"N/A")))</f>
        <v>0</v>
      </c>
      <c r="F216" s="126" t="n">
        <f aca="false">E216*X216</f>
        <v>0</v>
      </c>
      <c r="G216" s="142" t="n">
        <f aca="false">VLOOKUP($A216,Table,MATCH(G$4,Curves,0))</f>
        <v>3.987</v>
      </c>
      <c r="H216" s="143" t="n">
        <f aca="false">G216</f>
        <v>3.987</v>
      </c>
      <c r="I216" s="142" t="n">
        <f aca="false">VLOOKUP($A216,Table1,MATCH(I$3,Curves1,0))</f>
        <v>0</v>
      </c>
      <c r="J216" s="142" t="n">
        <f aca="false">VLOOKUP($A216,Table,MATCH(J$4,Curves,0))</f>
        <v>-0.0305</v>
      </c>
      <c r="K216" s="143" t="n">
        <f aca="false">J216</f>
        <v>-0.0305</v>
      </c>
      <c r="L216" s="144" t="n">
        <v>0</v>
      </c>
      <c r="M216" s="142" t="n">
        <f aca="false">VLOOKUP($A216,Table,MATCH(M$4,Curves,0))</f>
        <v>0.0087</v>
      </c>
      <c r="N216" s="143" t="n">
        <f aca="false">M216</f>
        <v>0.0087</v>
      </c>
      <c r="O216" s="144" t="n">
        <v>0</v>
      </c>
      <c r="P216" s="145"/>
      <c r="Q216" s="144" t="n">
        <f aca="false">M216+J216+G216</f>
        <v>3.9652</v>
      </c>
      <c r="R216" s="144" t="n">
        <f aca="false">O216+L216+I216</f>
        <v>0</v>
      </c>
      <c r="S216" s="145"/>
      <c r="T216" s="71" t="n">
        <f aca="false">A217-A216</f>
        <v>30</v>
      </c>
      <c r="U216" s="146" t="n">
        <f aca="false">CHOOSE(F$3,A217+24,A216)</f>
        <v>43306</v>
      </c>
      <c r="V216" s="71" t="n">
        <f aca="false">U216-C$3</f>
        <v>6418</v>
      </c>
      <c r="W216" s="142" t="n">
        <f aca="false">VLOOKUP($A216,Table,MATCH(W$4,Curves,0))</f>
        <v>0.058966861357273</v>
      </c>
      <c r="X216" s="147" t="n">
        <f aca="false">1/(1+CHOOSE(F$3,(W217+($K$3/10000))/2,(W216+($K$3/10000))/2))^(2*V216/365.25)</f>
        <v>0.360177953965632</v>
      </c>
      <c r="Y216" s="71" t="n">
        <f aca="false">IF(AND(mthbeg&lt;=A216,mthend&gt;=A216),1,0)</f>
        <v>0</v>
      </c>
      <c r="Z216" s="71" t="n">
        <f aca="false">T216*Y216</f>
        <v>0</v>
      </c>
      <c r="AB216" s="132" t="n">
        <f aca="false">F216*G216</f>
        <v>0</v>
      </c>
      <c r="AC216" s="132" t="n">
        <f aca="false">$F216*H216</f>
        <v>0</v>
      </c>
      <c r="AD216" s="132" t="n">
        <f aca="false">$F216*I216</f>
        <v>0</v>
      </c>
      <c r="AE216" s="132" t="n">
        <f aca="false">$F216*J216</f>
        <v>-0</v>
      </c>
      <c r="AF216" s="132" t="n">
        <f aca="false">$F216*K216</f>
        <v>-0</v>
      </c>
      <c r="AG216" s="132" t="n">
        <f aca="false">$F216*L216</f>
        <v>0</v>
      </c>
      <c r="AH216" s="132" t="n">
        <f aca="false">$F216*M216</f>
        <v>0</v>
      </c>
      <c r="AI216" s="132" t="n">
        <f aca="false">$F216*N216</f>
        <v>0</v>
      </c>
      <c r="AJ216" s="132" t="n">
        <f aca="false">F216*O216</f>
        <v>0</v>
      </c>
      <c r="AK216" s="137"/>
      <c r="AL216" s="132" t="n">
        <f aca="false">CHOOSE($G$3,AC216-AD216,AD216-AC216)</f>
        <v>0</v>
      </c>
      <c r="AM216" s="132" t="n">
        <f aca="false">CHOOSE($G$3,AF216-AG216,AG216-AF216)</f>
        <v>0</v>
      </c>
      <c r="AN216" s="132" t="n">
        <f aca="false">CHOOSE($G$3,AI216-AJ216,AJ216-AI216)</f>
        <v>0</v>
      </c>
      <c r="AO216" s="148" t="n">
        <f aca="false">SUM(AL216:AN216)</f>
        <v>0</v>
      </c>
      <c r="AQ216" s="132" t="n">
        <f aca="false">CHOOSE($G$3,AB216-AC216,AC216-AB216)</f>
        <v>0</v>
      </c>
      <c r="AR216" s="132" t="n">
        <f aca="false">CHOOSE($G$3,AE216-AF216,AF216-AE216)</f>
        <v>0</v>
      </c>
      <c r="AS216" s="132" t="n">
        <f aca="false">CHOOSE($G$3,AH216-AI216,AI216-AH216)</f>
        <v>0</v>
      </c>
      <c r="AT216" s="148" t="n">
        <f aca="false">AQ216+AR216+AS216</f>
        <v>0</v>
      </c>
      <c r="AU216" s="148"/>
      <c r="AV216" s="133" t="n">
        <f aca="false">AT216+AO216</f>
        <v>0</v>
      </c>
      <c r="AX216" s="133" t="n">
        <f aca="false">AJ216+AG216+AD216</f>
        <v>0</v>
      </c>
      <c r="AY216" s="149"/>
      <c r="AZ216" s="76" t="n">
        <f aca="false">R216*E216</f>
        <v>0</v>
      </c>
    </row>
    <row r="217" customFormat="false" ht="12" hidden="false" customHeight="true" outlineLevel="0" collapsed="false">
      <c r="A217" s="138" t="n">
        <f aca="false">EDATE(A216,1)</f>
        <v>43282</v>
      </c>
      <c r="B217" s="139" t="n">
        <f aca="false">VLOOKUP($A217,Table2,MATCH(I$3,Curves2,0))</f>
        <v>0</v>
      </c>
      <c r="C217" s="140"/>
      <c r="D217" s="141" t="n">
        <f aca="false">B217+C217</f>
        <v>0</v>
      </c>
      <c r="E217" s="126" t="n">
        <f aca="false">IF(Y217=0,0,IF(AND(Y217=1,$H$3=1),D217*T217,IF($H$3=2,D217,"N/A")))</f>
        <v>0</v>
      </c>
      <c r="F217" s="126" t="n">
        <f aca="false">E217*X217</f>
        <v>0</v>
      </c>
      <c r="G217" s="142" t="n">
        <f aca="false">VLOOKUP($A217,Table,MATCH(G$4,Curves,0))</f>
        <v>3.987</v>
      </c>
      <c r="H217" s="143" t="n">
        <f aca="false">G217</f>
        <v>3.987</v>
      </c>
      <c r="I217" s="142" t="n">
        <f aca="false">VLOOKUP($A217,Table1,MATCH(I$3,Curves1,0))</f>
        <v>0</v>
      </c>
      <c r="J217" s="142" t="n">
        <f aca="false">VLOOKUP($A217,Table,MATCH(J$4,Curves,0))</f>
        <v>-0.0305</v>
      </c>
      <c r="K217" s="143" t="n">
        <f aca="false">J217</f>
        <v>-0.0305</v>
      </c>
      <c r="L217" s="144" t="n">
        <v>0</v>
      </c>
      <c r="M217" s="142" t="n">
        <f aca="false">VLOOKUP($A217,Table,MATCH(M$4,Curves,0))</f>
        <v>0.0087</v>
      </c>
      <c r="N217" s="143" t="n">
        <f aca="false">M217</f>
        <v>0.0087</v>
      </c>
      <c r="O217" s="144" t="n">
        <v>0</v>
      </c>
      <c r="P217" s="145"/>
      <c r="Q217" s="144" t="n">
        <f aca="false">M217+J217+G217</f>
        <v>3.9652</v>
      </c>
      <c r="R217" s="144" t="n">
        <f aca="false">O217+L217+I217</f>
        <v>0</v>
      </c>
      <c r="S217" s="145"/>
      <c r="T217" s="71" t="n">
        <f aca="false">A218-A217</f>
        <v>31</v>
      </c>
      <c r="U217" s="146" t="n">
        <f aca="false">CHOOSE(F$3,A218+24,A217)</f>
        <v>43337</v>
      </c>
      <c r="V217" s="71" t="n">
        <f aca="false">U217-C$3</f>
        <v>6449</v>
      </c>
      <c r="W217" s="142" t="n">
        <f aca="false">VLOOKUP($A217,Table,MATCH(W$4,Curves,0))</f>
        <v>0.058966861357273</v>
      </c>
      <c r="X217" s="147" t="n">
        <f aca="false">1/(1+CHOOSE(F$3,(W218+($K$3/10000))/2,(W217+($K$3/10000))/2))^(2*V217/365.25)</f>
        <v>0.358405801670306</v>
      </c>
      <c r="Y217" s="71" t="n">
        <f aca="false">IF(AND(mthbeg&lt;=A217,mthend&gt;=A217),1,0)</f>
        <v>0</v>
      </c>
      <c r="Z217" s="71" t="n">
        <f aca="false">T217*Y217</f>
        <v>0</v>
      </c>
      <c r="AB217" s="132" t="n">
        <f aca="false">F217*G217</f>
        <v>0</v>
      </c>
      <c r="AC217" s="132" t="n">
        <f aca="false">$F217*H217</f>
        <v>0</v>
      </c>
      <c r="AD217" s="132" t="n">
        <f aca="false">$F217*I217</f>
        <v>0</v>
      </c>
      <c r="AE217" s="132" t="n">
        <f aca="false">$F217*J217</f>
        <v>-0</v>
      </c>
      <c r="AF217" s="132" t="n">
        <f aca="false">$F217*K217</f>
        <v>-0</v>
      </c>
      <c r="AG217" s="132" t="n">
        <f aca="false">$F217*L217</f>
        <v>0</v>
      </c>
      <c r="AH217" s="132" t="n">
        <f aca="false">$F217*M217</f>
        <v>0</v>
      </c>
      <c r="AI217" s="132" t="n">
        <f aca="false">$F217*N217</f>
        <v>0</v>
      </c>
      <c r="AJ217" s="132" t="n">
        <f aca="false">F217*O217</f>
        <v>0</v>
      </c>
      <c r="AK217" s="137"/>
      <c r="AL217" s="132" t="n">
        <f aca="false">CHOOSE($G$3,AC217-AD217,AD217-AC217)</f>
        <v>0</v>
      </c>
      <c r="AM217" s="132" t="n">
        <f aca="false">CHOOSE($G$3,AF217-AG217,AG217-AF217)</f>
        <v>0</v>
      </c>
      <c r="AN217" s="132" t="n">
        <f aca="false">CHOOSE($G$3,AI217-AJ217,AJ217-AI217)</f>
        <v>0</v>
      </c>
      <c r="AO217" s="148" t="n">
        <f aca="false">SUM(AL217:AN217)</f>
        <v>0</v>
      </c>
      <c r="AQ217" s="132" t="n">
        <f aca="false">CHOOSE($G$3,AB217-AC217,AC217-AB217)</f>
        <v>0</v>
      </c>
      <c r="AR217" s="132" t="n">
        <f aca="false">CHOOSE($G$3,AE217-AF217,AF217-AE217)</f>
        <v>0</v>
      </c>
      <c r="AS217" s="132" t="n">
        <f aca="false">CHOOSE($G$3,AH217-AI217,AI217-AH217)</f>
        <v>0</v>
      </c>
      <c r="AT217" s="148" t="n">
        <f aca="false">AQ217+AR217+AS217</f>
        <v>0</v>
      </c>
      <c r="AU217" s="148"/>
      <c r="AV217" s="133" t="n">
        <f aca="false">AT217+AO217</f>
        <v>0</v>
      </c>
      <c r="AX217" s="133" t="n">
        <f aca="false">AJ217+AG217+AD217</f>
        <v>0</v>
      </c>
      <c r="AY217" s="149"/>
      <c r="AZ217" s="76" t="n">
        <f aca="false">R217*E217</f>
        <v>0</v>
      </c>
    </row>
    <row r="218" customFormat="false" ht="12" hidden="false" customHeight="true" outlineLevel="0" collapsed="false">
      <c r="A218" s="138" t="n">
        <f aca="false">EDATE(A217,1)</f>
        <v>43313</v>
      </c>
      <c r="B218" s="139" t="n">
        <f aca="false">VLOOKUP($A218,Table2,MATCH(I$3,Curves2,0))</f>
        <v>0</v>
      </c>
      <c r="C218" s="140"/>
      <c r="D218" s="141" t="n">
        <f aca="false">B218+C218</f>
        <v>0</v>
      </c>
      <c r="E218" s="126" t="n">
        <f aca="false">IF(Y218=0,0,IF(AND(Y218=1,$H$3=1),D218*T218,IF($H$3=2,D218,"N/A")))</f>
        <v>0</v>
      </c>
      <c r="F218" s="126" t="n">
        <f aca="false">E218*X218</f>
        <v>0</v>
      </c>
      <c r="G218" s="142" t="n">
        <f aca="false">VLOOKUP($A218,Table,MATCH(G$4,Curves,0))</f>
        <v>3.987</v>
      </c>
      <c r="H218" s="143" t="n">
        <f aca="false">G218</f>
        <v>3.987</v>
      </c>
      <c r="I218" s="142" t="n">
        <f aca="false">VLOOKUP($A218,Table1,MATCH(I$3,Curves1,0))</f>
        <v>0</v>
      </c>
      <c r="J218" s="142" t="n">
        <f aca="false">VLOOKUP($A218,Table,MATCH(J$4,Curves,0))</f>
        <v>-0.0305</v>
      </c>
      <c r="K218" s="143" t="n">
        <f aca="false">J218</f>
        <v>-0.0305</v>
      </c>
      <c r="L218" s="144" t="n">
        <v>0</v>
      </c>
      <c r="M218" s="142" t="n">
        <f aca="false">VLOOKUP($A218,Table,MATCH(M$4,Curves,0))</f>
        <v>0.0087</v>
      </c>
      <c r="N218" s="143" t="n">
        <f aca="false">M218</f>
        <v>0.0087</v>
      </c>
      <c r="O218" s="144" t="n">
        <v>0</v>
      </c>
      <c r="P218" s="145"/>
      <c r="Q218" s="144" t="n">
        <f aca="false">M218+J218+G218</f>
        <v>3.9652</v>
      </c>
      <c r="R218" s="144" t="n">
        <f aca="false">O218+L218+I218</f>
        <v>0</v>
      </c>
      <c r="S218" s="145"/>
      <c r="T218" s="71" t="n">
        <f aca="false">A219-A218</f>
        <v>31</v>
      </c>
      <c r="U218" s="146" t="n">
        <f aca="false">CHOOSE(F$3,A219+24,A218)</f>
        <v>43368</v>
      </c>
      <c r="V218" s="71" t="n">
        <f aca="false">U218-C$3</f>
        <v>6480</v>
      </c>
      <c r="W218" s="142" t="n">
        <f aca="false">VLOOKUP($A218,Table,MATCH(W$4,Curves,0))</f>
        <v>0.058966861357273</v>
      </c>
      <c r="X218" s="147" t="n">
        <f aca="false">1/(1+CHOOSE(F$3,(W219+($K$3/10000))/2,(W218+($K$3/10000))/2))^(2*V218/365.25)</f>
        <v>0.356642368741957</v>
      </c>
      <c r="Y218" s="71" t="n">
        <f aca="false">IF(AND(mthbeg&lt;=A218,mthend&gt;=A218),1,0)</f>
        <v>0</v>
      </c>
      <c r="Z218" s="71" t="n">
        <f aca="false">T218*Y218</f>
        <v>0</v>
      </c>
      <c r="AB218" s="132" t="n">
        <f aca="false">F218*G218</f>
        <v>0</v>
      </c>
      <c r="AC218" s="132" t="n">
        <f aca="false">$F218*H218</f>
        <v>0</v>
      </c>
      <c r="AD218" s="132" t="n">
        <f aca="false">$F218*I218</f>
        <v>0</v>
      </c>
      <c r="AE218" s="132" t="n">
        <f aca="false">$F218*J218</f>
        <v>-0</v>
      </c>
      <c r="AF218" s="132" t="n">
        <f aca="false">$F218*K218</f>
        <v>-0</v>
      </c>
      <c r="AG218" s="132" t="n">
        <f aca="false">$F218*L218</f>
        <v>0</v>
      </c>
      <c r="AH218" s="132" t="n">
        <f aca="false">$F218*M218</f>
        <v>0</v>
      </c>
      <c r="AI218" s="132" t="n">
        <f aca="false">$F218*N218</f>
        <v>0</v>
      </c>
      <c r="AJ218" s="132" t="n">
        <f aca="false">F218*O218</f>
        <v>0</v>
      </c>
      <c r="AK218" s="137"/>
      <c r="AL218" s="132" t="n">
        <f aca="false">CHOOSE($G$3,AC218-AD218,AD218-AC218)</f>
        <v>0</v>
      </c>
      <c r="AM218" s="132" t="n">
        <f aca="false">CHOOSE($G$3,AF218-AG218,AG218-AF218)</f>
        <v>0</v>
      </c>
      <c r="AN218" s="132" t="n">
        <f aca="false">CHOOSE($G$3,AI218-AJ218,AJ218-AI218)</f>
        <v>0</v>
      </c>
      <c r="AO218" s="148" t="n">
        <f aca="false">SUM(AL218:AN218)</f>
        <v>0</v>
      </c>
      <c r="AQ218" s="132" t="n">
        <f aca="false">CHOOSE($G$3,AB218-AC218,AC218-AB218)</f>
        <v>0</v>
      </c>
      <c r="AR218" s="132" t="n">
        <f aca="false">CHOOSE($G$3,AE218-AF218,AF218-AE218)</f>
        <v>0</v>
      </c>
      <c r="AS218" s="132" t="n">
        <f aca="false">CHOOSE($G$3,AH218-AI218,AI218-AH218)</f>
        <v>0</v>
      </c>
      <c r="AT218" s="148" t="n">
        <f aca="false">AQ218+AR218+AS218</f>
        <v>0</v>
      </c>
      <c r="AU218" s="148"/>
      <c r="AV218" s="133" t="n">
        <f aca="false">AT218+AO218</f>
        <v>0</v>
      </c>
      <c r="AX218" s="133" t="n">
        <f aca="false">AJ218+AG218+AD218</f>
        <v>0</v>
      </c>
      <c r="AY218" s="149"/>
      <c r="AZ218" s="76" t="n">
        <f aca="false">R218*E218</f>
        <v>0</v>
      </c>
    </row>
    <row r="219" customFormat="false" ht="12" hidden="false" customHeight="true" outlineLevel="0" collapsed="false">
      <c r="A219" s="138" t="n">
        <f aca="false">EDATE(A218,1)</f>
        <v>43344</v>
      </c>
      <c r="B219" s="139" t="n">
        <f aca="false">VLOOKUP($A219,Table2,MATCH(I$3,Curves2,0))</f>
        <v>0</v>
      </c>
      <c r="C219" s="140"/>
      <c r="D219" s="141" t="n">
        <f aca="false">B219+C219</f>
        <v>0</v>
      </c>
      <c r="E219" s="126" t="n">
        <f aca="false">IF(Y219=0,0,IF(AND(Y219=1,$H$3=1),D219*T219,IF($H$3=2,D219,"N/A")))</f>
        <v>0</v>
      </c>
      <c r="F219" s="126" t="n">
        <f aca="false">E219*X219</f>
        <v>0</v>
      </c>
      <c r="G219" s="142" t="n">
        <f aca="false">VLOOKUP($A219,Table,MATCH(G$4,Curves,0))</f>
        <v>3.987</v>
      </c>
      <c r="H219" s="143" t="n">
        <f aca="false">G219</f>
        <v>3.987</v>
      </c>
      <c r="I219" s="142" t="n">
        <f aca="false">VLOOKUP($A219,Table1,MATCH(I$3,Curves1,0))</f>
        <v>0</v>
      </c>
      <c r="J219" s="142" t="n">
        <f aca="false">VLOOKUP($A219,Table,MATCH(J$4,Curves,0))</f>
        <v>-0.0305</v>
      </c>
      <c r="K219" s="143" t="n">
        <f aca="false">J219</f>
        <v>-0.0305</v>
      </c>
      <c r="L219" s="144" t="n">
        <v>0</v>
      </c>
      <c r="M219" s="142" t="n">
        <f aca="false">VLOOKUP($A219,Table,MATCH(M$4,Curves,0))</f>
        <v>0.0087</v>
      </c>
      <c r="N219" s="143" t="n">
        <f aca="false">M219</f>
        <v>0.0087</v>
      </c>
      <c r="O219" s="144" t="n">
        <v>0</v>
      </c>
      <c r="P219" s="145"/>
      <c r="Q219" s="144" t="n">
        <f aca="false">M219+J219+G219</f>
        <v>3.9652</v>
      </c>
      <c r="R219" s="144" t="n">
        <f aca="false">O219+L219+I219</f>
        <v>0</v>
      </c>
      <c r="S219" s="145"/>
      <c r="T219" s="71" t="n">
        <f aca="false">A220-A219</f>
        <v>30</v>
      </c>
      <c r="U219" s="146" t="n">
        <f aca="false">CHOOSE(F$3,A220+24,A219)</f>
        <v>43398</v>
      </c>
      <c r="V219" s="71" t="n">
        <f aca="false">U219-C$3</f>
        <v>6510</v>
      </c>
      <c r="W219" s="142" t="n">
        <f aca="false">VLOOKUP($A219,Table,MATCH(W$4,Curves,0))</f>
        <v>0.058966861357273</v>
      </c>
      <c r="X219" s="147" t="n">
        <f aca="false">1/(1+CHOOSE(F$3,(W220+($K$3/10000))/2,(W219+($K$3/10000))/2))^(2*V219/365.25)</f>
        <v>0.35494408233553</v>
      </c>
      <c r="Y219" s="71" t="n">
        <f aca="false">IF(AND(mthbeg&lt;=A219,mthend&gt;=A219),1,0)</f>
        <v>0</v>
      </c>
      <c r="Z219" s="71" t="n">
        <f aca="false">T219*Y219</f>
        <v>0</v>
      </c>
      <c r="AB219" s="132" t="n">
        <f aca="false">F219*G219</f>
        <v>0</v>
      </c>
      <c r="AC219" s="132" t="n">
        <f aca="false">$F219*H219</f>
        <v>0</v>
      </c>
      <c r="AD219" s="132" t="n">
        <f aca="false">$F219*I219</f>
        <v>0</v>
      </c>
      <c r="AE219" s="132" t="n">
        <f aca="false">$F219*J219</f>
        <v>-0</v>
      </c>
      <c r="AF219" s="132" t="n">
        <f aca="false">$F219*K219</f>
        <v>-0</v>
      </c>
      <c r="AG219" s="132" t="n">
        <f aca="false">$F219*L219</f>
        <v>0</v>
      </c>
      <c r="AH219" s="132" t="n">
        <f aca="false">$F219*M219</f>
        <v>0</v>
      </c>
      <c r="AI219" s="132" t="n">
        <f aca="false">$F219*N219</f>
        <v>0</v>
      </c>
      <c r="AJ219" s="132" t="n">
        <f aca="false">F219*O219</f>
        <v>0</v>
      </c>
      <c r="AK219" s="137"/>
      <c r="AL219" s="132" t="n">
        <f aca="false">CHOOSE($G$3,AC219-AD219,AD219-AC219)</f>
        <v>0</v>
      </c>
      <c r="AM219" s="132" t="n">
        <f aca="false">CHOOSE($G$3,AF219-AG219,AG219-AF219)</f>
        <v>0</v>
      </c>
      <c r="AN219" s="132" t="n">
        <f aca="false">CHOOSE($G$3,AI219-AJ219,AJ219-AI219)</f>
        <v>0</v>
      </c>
      <c r="AO219" s="148" t="n">
        <f aca="false">SUM(AL219:AN219)</f>
        <v>0</v>
      </c>
      <c r="AQ219" s="132" t="n">
        <f aca="false">CHOOSE($G$3,AB219-AC219,AC219-AB219)</f>
        <v>0</v>
      </c>
      <c r="AR219" s="132" t="n">
        <f aca="false">CHOOSE($G$3,AE219-AF219,AF219-AE219)</f>
        <v>0</v>
      </c>
      <c r="AS219" s="132" t="n">
        <f aca="false">CHOOSE($G$3,AH219-AI219,AI219-AH219)</f>
        <v>0</v>
      </c>
      <c r="AT219" s="148" t="n">
        <f aca="false">AQ219+AR219+AS219</f>
        <v>0</v>
      </c>
      <c r="AU219" s="148"/>
      <c r="AV219" s="133" t="n">
        <f aca="false">AT219+AO219</f>
        <v>0</v>
      </c>
      <c r="AX219" s="133" t="n">
        <f aca="false">AJ219+AG219+AD219</f>
        <v>0</v>
      </c>
      <c r="AY219" s="149"/>
      <c r="AZ219" s="76" t="n">
        <f aca="false">R219*E219</f>
        <v>0</v>
      </c>
    </row>
    <row r="220" customFormat="false" ht="12" hidden="false" customHeight="true" outlineLevel="0" collapsed="false">
      <c r="A220" s="138" t="n">
        <f aca="false">EDATE(A219,1)</f>
        <v>43374</v>
      </c>
      <c r="B220" s="139" t="n">
        <f aca="false">VLOOKUP($A220,Table2,MATCH(I$3,Curves2,0))</f>
        <v>0</v>
      </c>
      <c r="C220" s="140"/>
      <c r="D220" s="141" t="n">
        <f aca="false">B220+C220</f>
        <v>0</v>
      </c>
      <c r="E220" s="126" t="n">
        <f aca="false">IF(Y220=0,0,IF(AND(Y220=1,$H$3=1),D220*T220,IF($H$3=2,D220,"N/A")))</f>
        <v>0</v>
      </c>
      <c r="F220" s="126" t="n">
        <f aca="false">E220*X220</f>
        <v>0</v>
      </c>
      <c r="G220" s="142" t="n">
        <f aca="false">VLOOKUP($A220,Table,MATCH(G$4,Curves,0))</f>
        <v>3.987</v>
      </c>
      <c r="H220" s="143" t="n">
        <f aca="false">G220</f>
        <v>3.987</v>
      </c>
      <c r="I220" s="142" t="n">
        <f aca="false">VLOOKUP($A220,Table1,MATCH(I$3,Curves1,0))</f>
        <v>0</v>
      </c>
      <c r="J220" s="142" t="n">
        <f aca="false">VLOOKUP($A220,Table,MATCH(J$4,Curves,0))</f>
        <v>-0.0305</v>
      </c>
      <c r="K220" s="143" t="n">
        <f aca="false">J220</f>
        <v>-0.0305</v>
      </c>
      <c r="L220" s="144" t="n">
        <v>0</v>
      </c>
      <c r="M220" s="142" t="n">
        <f aca="false">VLOOKUP($A220,Table,MATCH(M$4,Curves,0))</f>
        <v>0.0087</v>
      </c>
      <c r="N220" s="143" t="n">
        <f aca="false">M220</f>
        <v>0.0087</v>
      </c>
      <c r="O220" s="144" t="n">
        <v>0</v>
      </c>
      <c r="P220" s="145"/>
      <c r="Q220" s="144" t="n">
        <f aca="false">M220+J220+G220</f>
        <v>3.9652</v>
      </c>
      <c r="R220" s="144" t="n">
        <f aca="false">O220+L220+I220</f>
        <v>0</v>
      </c>
      <c r="S220" s="145"/>
      <c r="T220" s="71" t="n">
        <f aca="false">A221-A220</f>
        <v>31</v>
      </c>
      <c r="U220" s="146" t="n">
        <f aca="false">CHOOSE(F$3,A221+24,A220)</f>
        <v>43429</v>
      </c>
      <c r="V220" s="71" t="n">
        <f aca="false">U220-C$3</f>
        <v>6541</v>
      </c>
      <c r="W220" s="142" t="n">
        <f aca="false">VLOOKUP($A220,Table,MATCH(W$4,Curves,0))</f>
        <v>0.058966861357273</v>
      </c>
      <c r="X220" s="147" t="n">
        <f aca="false">1/(1+CHOOSE(F$3,(W221+($K$3/10000))/2,(W220+($K$3/10000))/2))^(2*V220/365.25)</f>
        <v>0.353197681804077</v>
      </c>
      <c r="Y220" s="71" t="n">
        <f aca="false">IF(AND(mthbeg&lt;=A220,mthend&gt;=A220),1,0)</f>
        <v>0</v>
      </c>
      <c r="Z220" s="71" t="n">
        <f aca="false">T220*Y220</f>
        <v>0</v>
      </c>
      <c r="AB220" s="132" t="n">
        <f aca="false">F220*G220</f>
        <v>0</v>
      </c>
      <c r="AC220" s="132" t="n">
        <f aca="false">$F220*H220</f>
        <v>0</v>
      </c>
      <c r="AD220" s="132" t="n">
        <f aca="false">$F220*I220</f>
        <v>0</v>
      </c>
      <c r="AE220" s="132" t="n">
        <f aca="false">$F220*J220</f>
        <v>-0</v>
      </c>
      <c r="AF220" s="132" t="n">
        <f aca="false">$F220*K220</f>
        <v>-0</v>
      </c>
      <c r="AG220" s="132" t="n">
        <f aca="false">$F220*L220</f>
        <v>0</v>
      </c>
      <c r="AH220" s="132" t="n">
        <f aca="false">$F220*M220</f>
        <v>0</v>
      </c>
      <c r="AI220" s="132" t="n">
        <f aca="false">$F220*N220</f>
        <v>0</v>
      </c>
      <c r="AJ220" s="132" t="n">
        <f aca="false">F220*O220</f>
        <v>0</v>
      </c>
      <c r="AK220" s="137"/>
      <c r="AL220" s="132" t="n">
        <f aca="false">CHOOSE($G$3,AC220-AD220,AD220-AC220)</f>
        <v>0</v>
      </c>
      <c r="AM220" s="132" t="n">
        <f aca="false">CHOOSE($G$3,AF220-AG220,AG220-AF220)</f>
        <v>0</v>
      </c>
      <c r="AN220" s="132" t="n">
        <f aca="false">CHOOSE($G$3,AI220-AJ220,AJ220-AI220)</f>
        <v>0</v>
      </c>
      <c r="AO220" s="148" t="n">
        <f aca="false">SUM(AL220:AN220)</f>
        <v>0</v>
      </c>
      <c r="AQ220" s="132" t="n">
        <f aca="false">CHOOSE($G$3,AB220-AC220,AC220-AB220)</f>
        <v>0</v>
      </c>
      <c r="AR220" s="132" t="n">
        <f aca="false">CHOOSE($G$3,AE220-AF220,AF220-AE220)</f>
        <v>0</v>
      </c>
      <c r="AS220" s="132" t="n">
        <f aca="false">CHOOSE($G$3,AH220-AI220,AI220-AH220)</f>
        <v>0</v>
      </c>
      <c r="AT220" s="148" t="n">
        <f aca="false">AQ220+AR220+AS220</f>
        <v>0</v>
      </c>
      <c r="AU220" s="148"/>
      <c r="AV220" s="133" t="n">
        <f aca="false">AT220+AO220</f>
        <v>0</v>
      </c>
      <c r="AX220" s="133" t="n">
        <f aca="false">AJ220+AG220+AD220</f>
        <v>0</v>
      </c>
      <c r="AY220" s="149"/>
      <c r="AZ220" s="76" t="n">
        <f aca="false">R220*E220</f>
        <v>0</v>
      </c>
    </row>
    <row r="221" customFormat="false" ht="12" hidden="false" customHeight="true" outlineLevel="0" collapsed="false">
      <c r="A221" s="138" t="n">
        <f aca="false">EDATE(A220,1)</f>
        <v>43405</v>
      </c>
      <c r="B221" s="139" t="n">
        <f aca="false">VLOOKUP($A221,Table2,MATCH(I$3,Curves2,0))</f>
        <v>0</v>
      </c>
      <c r="C221" s="140"/>
      <c r="D221" s="141" t="n">
        <f aca="false">B221+C221</f>
        <v>0</v>
      </c>
      <c r="E221" s="126" t="n">
        <f aca="false">IF(Y221=0,0,IF(AND(Y221=1,$H$3=1),D221*T221,IF($H$3=2,D221,"N/A")))</f>
        <v>0</v>
      </c>
      <c r="F221" s="126" t="n">
        <f aca="false">E221*X221</f>
        <v>0</v>
      </c>
      <c r="G221" s="142" t="n">
        <f aca="false">VLOOKUP($A221,Table,MATCH(G$4,Curves,0))</f>
        <v>3.987</v>
      </c>
      <c r="H221" s="143" t="n">
        <f aca="false">G221</f>
        <v>3.987</v>
      </c>
      <c r="I221" s="142" t="n">
        <f aca="false">VLOOKUP($A221,Table1,MATCH(I$3,Curves1,0))</f>
        <v>0</v>
      </c>
      <c r="J221" s="142" t="n">
        <f aca="false">VLOOKUP($A221,Table,MATCH(J$4,Curves,0))</f>
        <v>-0.0305</v>
      </c>
      <c r="K221" s="143" t="n">
        <f aca="false">J221</f>
        <v>-0.0305</v>
      </c>
      <c r="L221" s="144" t="n">
        <v>0</v>
      </c>
      <c r="M221" s="142" t="n">
        <f aca="false">VLOOKUP($A221,Table,MATCH(M$4,Curves,0))</f>
        <v>0.0087</v>
      </c>
      <c r="N221" s="143" t="n">
        <f aca="false">M221</f>
        <v>0.0087</v>
      </c>
      <c r="O221" s="144" t="n">
        <v>0</v>
      </c>
      <c r="P221" s="145"/>
      <c r="Q221" s="144" t="n">
        <f aca="false">M221+J221+G221</f>
        <v>3.9652</v>
      </c>
      <c r="R221" s="144" t="n">
        <f aca="false">O221+L221+I221</f>
        <v>0</v>
      </c>
      <c r="S221" s="145"/>
      <c r="T221" s="71" t="n">
        <f aca="false">A222-A221</f>
        <v>30</v>
      </c>
      <c r="U221" s="146" t="n">
        <f aca="false">CHOOSE(F$3,A222+24,A221)</f>
        <v>43459</v>
      </c>
      <c r="V221" s="71" t="n">
        <f aca="false">U221-C$3</f>
        <v>6571</v>
      </c>
      <c r="W221" s="142" t="n">
        <f aca="false">VLOOKUP($A221,Table,MATCH(W$4,Curves,0))</f>
        <v>0.058966861357273</v>
      </c>
      <c r="X221" s="147" t="n">
        <f aca="false">1/(1+CHOOSE(F$3,(W222+($K$3/10000))/2,(W221+($K$3/10000))/2))^(2*V221/365.25)</f>
        <v>0.35151579856652</v>
      </c>
      <c r="Y221" s="71" t="n">
        <f aca="false">IF(AND(mthbeg&lt;=A221,mthend&gt;=A221),1,0)</f>
        <v>0</v>
      </c>
      <c r="Z221" s="71" t="n">
        <f aca="false">T221*Y221</f>
        <v>0</v>
      </c>
      <c r="AB221" s="132" t="n">
        <f aca="false">F221*G221</f>
        <v>0</v>
      </c>
      <c r="AC221" s="132" t="n">
        <f aca="false">$F221*H221</f>
        <v>0</v>
      </c>
      <c r="AD221" s="132" t="n">
        <f aca="false">$F221*I221</f>
        <v>0</v>
      </c>
      <c r="AE221" s="132" t="n">
        <f aca="false">$F221*J221</f>
        <v>-0</v>
      </c>
      <c r="AF221" s="132" t="n">
        <f aca="false">$F221*K221</f>
        <v>-0</v>
      </c>
      <c r="AG221" s="132" t="n">
        <f aca="false">$F221*L221</f>
        <v>0</v>
      </c>
      <c r="AH221" s="132" t="n">
        <f aca="false">$F221*M221</f>
        <v>0</v>
      </c>
      <c r="AI221" s="132" t="n">
        <f aca="false">$F221*N221</f>
        <v>0</v>
      </c>
      <c r="AJ221" s="132" t="n">
        <f aca="false">F221*O221</f>
        <v>0</v>
      </c>
      <c r="AK221" s="137"/>
      <c r="AL221" s="132" t="n">
        <f aca="false">CHOOSE($G$3,AC221-AD221,AD221-AC221)</f>
        <v>0</v>
      </c>
      <c r="AM221" s="132" t="n">
        <f aca="false">CHOOSE($G$3,AF221-AG221,AG221-AF221)</f>
        <v>0</v>
      </c>
      <c r="AN221" s="132" t="n">
        <f aca="false">CHOOSE($G$3,AI221-AJ221,AJ221-AI221)</f>
        <v>0</v>
      </c>
      <c r="AO221" s="148" t="n">
        <f aca="false">SUM(AL221:AN221)</f>
        <v>0</v>
      </c>
      <c r="AQ221" s="132" t="n">
        <f aca="false">CHOOSE($G$3,AB221-AC221,AC221-AB221)</f>
        <v>0</v>
      </c>
      <c r="AR221" s="132" t="n">
        <f aca="false">CHOOSE($G$3,AE221-AF221,AF221-AE221)</f>
        <v>0</v>
      </c>
      <c r="AS221" s="132" t="n">
        <f aca="false">CHOOSE($G$3,AH221-AI221,AI221-AH221)</f>
        <v>0</v>
      </c>
      <c r="AT221" s="148" t="n">
        <f aca="false">AQ221+AR221+AS221</f>
        <v>0</v>
      </c>
      <c r="AU221" s="148"/>
      <c r="AV221" s="133" t="n">
        <f aca="false">AT221+AO221</f>
        <v>0</v>
      </c>
      <c r="AX221" s="133" t="n">
        <f aca="false">AJ221+AG221+AD221</f>
        <v>0</v>
      </c>
      <c r="AY221" s="149"/>
      <c r="AZ221" s="76" t="n">
        <f aca="false">R221*E221</f>
        <v>0</v>
      </c>
    </row>
    <row r="222" customFormat="false" ht="12" hidden="false" customHeight="true" outlineLevel="0" collapsed="false">
      <c r="A222" s="138" t="n">
        <f aca="false">EDATE(A221,1)</f>
        <v>43435</v>
      </c>
      <c r="B222" s="139" t="n">
        <f aca="false">VLOOKUP($A222,Table2,MATCH(I$3,Curves2,0))</f>
        <v>0</v>
      </c>
      <c r="C222" s="140"/>
      <c r="D222" s="141" t="n">
        <f aca="false">B222+C222</f>
        <v>0</v>
      </c>
      <c r="E222" s="126" t="n">
        <f aca="false">IF(Y222=0,0,IF(AND(Y222=1,$H$3=1),D222*T222,IF($H$3=2,D222,"N/A")))</f>
        <v>0</v>
      </c>
      <c r="F222" s="126" t="n">
        <f aca="false">E222*X222</f>
        <v>0</v>
      </c>
      <c r="G222" s="142" t="n">
        <f aca="false">VLOOKUP($A222,Table,MATCH(G$4,Curves,0))</f>
        <v>3.987</v>
      </c>
      <c r="H222" s="143" t="n">
        <f aca="false">G222</f>
        <v>3.987</v>
      </c>
      <c r="I222" s="142" t="n">
        <f aca="false">VLOOKUP($A222,Table1,MATCH(I$3,Curves1,0))</f>
        <v>0</v>
      </c>
      <c r="J222" s="142" t="n">
        <f aca="false">VLOOKUP($A222,Table,MATCH(J$4,Curves,0))</f>
        <v>-0.0305</v>
      </c>
      <c r="K222" s="143" t="n">
        <f aca="false">J222</f>
        <v>-0.0305</v>
      </c>
      <c r="L222" s="144" t="n">
        <v>0</v>
      </c>
      <c r="M222" s="142" t="n">
        <f aca="false">VLOOKUP($A222,Table,MATCH(M$4,Curves,0))</f>
        <v>0.0087</v>
      </c>
      <c r="N222" s="143" t="n">
        <f aca="false">M222</f>
        <v>0.0087</v>
      </c>
      <c r="O222" s="144" t="n">
        <v>0</v>
      </c>
      <c r="P222" s="145"/>
      <c r="Q222" s="144" t="n">
        <f aca="false">M222+J222+G222</f>
        <v>3.9652</v>
      </c>
      <c r="R222" s="144" t="n">
        <f aca="false">O222+L222+I222</f>
        <v>0</v>
      </c>
      <c r="S222" s="145"/>
      <c r="T222" s="71" t="n">
        <f aca="false">A223-A222</f>
        <v>31</v>
      </c>
      <c r="U222" s="146" t="n">
        <f aca="false">CHOOSE(F$3,A223+24,A222)</f>
        <v>43490</v>
      </c>
      <c r="V222" s="71" t="n">
        <f aca="false">U222-C$3</f>
        <v>6602</v>
      </c>
      <c r="W222" s="142" t="n">
        <f aca="false">VLOOKUP($A222,Table,MATCH(W$4,Curves,0))</f>
        <v>0.058966861357273</v>
      </c>
      <c r="X222" s="147" t="n">
        <f aca="false">1/(1+CHOOSE(F$3,(W223+($K$3/10000))/2,(W222+($K$3/10000))/2))^(2*V222/365.25)</f>
        <v>0.349786265921853</v>
      </c>
      <c r="Y222" s="71" t="n">
        <f aca="false">IF(AND(mthbeg&lt;=A222,mthend&gt;=A222),1,0)</f>
        <v>0</v>
      </c>
      <c r="Z222" s="71" t="n">
        <f aca="false">T222*Y222</f>
        <v>0</v>
      </c>
      <c r="AB222" s="132" t="n">
        <f aca="false">F222*G222</f>
        <v>0</v>
      </c>
      <c r="AC222" s="132" t="n">
        <f aca="false">$F222*H222</f>
        <v>0</v>
      </c>
      <c r="AD222" s="132" t="n">
        <f aca="false">$F222*I222</f>
        <v>0</v>
      </c>
      <c r="AE222" s="132" t="n">
        <f aca="false">$F222*J222</f>
        <v>-0</v>
      </c>
      <c r="AF222" s="132" t="n">
        <f aca="false">$F222*K222</f>
        <v>-0</v>
      </c>
      <c r="AG222" s="132" t="n">
        <f aca="false">$F222*L222</f>
        <v>0</v>
      </c>
      <c r="AH222" s="132" t="n">
        <f aca="false">$F222*M222</f>
        <v>0</v>
      </c>
      <c r="AI222" s="132" t="n">
        <f aca="false">$F222*N222</f>
        <v>0</v>
      </c>
      <c r="AJ222" s="132" t="n">
        <f aca="false">F222*O222</f>
        <v>0</v>
      </c>
      <c r="AK222" s="137"/>
      <c r="AL222" s="132" t="n">
        <f aca="false">CHOOSE($G$3,AC222-AD222,AD222-AC222)</f>
        <v>0</v>
      </c>
      <c r="AM222" s="132" t="n">
        <f aca="false">CHOOSE($G$3,AF222-AG222,AG222-AF222)</f>
        <v>0</v>
      </c>
      <c r="AN222" s="132" t="n">
        <f aca="false">CHOOSE($G$3,AI222-AJ222,AJ222-AI222)</f>
        <v>0</v>
      </c>
      <c r="AO222" s="148" t="n">
        <f aca="false">SUM(AL222:AN222)</f>
        <v>0</v>
      </c>
      <c r="AQ222" s="132" t="n">
        <f aca="false">CHOOSE($G$3,AB222-AC222,AC222-AB222)</f>
        <v>0</v>
      </c>
      <c r="AR222" s="132" t="n">
        <f aca="false">CHOOSE($G$3,AE222-AF222,AF222-AE222)</f>
        <v>0</v>
      </c>
      <c r="AS222" s="132" t="n">
        <f aca="false">CHOOSE($G$3,AH222-AI222,AI222-AH222)</f>
        <v>0</v>
      </c>
      <c r="AT222" s="148" t="n">
        <f aca="false">AQ222+AR222+AS222</f>
        <v>0</v>
      </c>
      <c r="AU222" s="148"/>
      <c r="AV222" s="133" t="n">
        <f aca="false">AT222+AO222</f>
        <v>0</v>
      </c>
      <c r="AX222" s="133" t="n">
        <f aca="false">AJ222+AG222+AD222</f>
        <v>0</v>
      </c>
      <c r="AY222" s="149"/>
      <c r="AZ222" s="76" t="n">
        <f aca="false">R222*E222</f>
        <v>0</v>
      </c>
    </row>
    <row r="223" customFormat="false" ht="12" hidden="false" customHeight="true" outlineLevel="0" collapsed="false">
      <c r="A223" s="138" t="n">
        <f aca="false">EDATE(A222,1)</f>
        <v>43466</v>
      </c>
      <c r="B223" s="139" t="n">
        <f aca="false">VLOOKUP($A223,Table2,MATCH(I$3,Curves2,0))</f>
        <v>0</v>
      </c>
      <c r="C223" s="140"/>
      <c r="D223" s="141" t="n">
        <f aca="false">B223+C223</f>
        <v>0</v>
      </c>
      <c r="E223" s="126" t="n">
        <f aca="false">IF(Y223=0,0,IF(AND(Y223=1,$H$3=1),D223*T223,IF($H$3=2,D223,"N/A")))</f>
        <v>0</v>
      </c>
      <c r="F223" s="126" t="n">
        <f aca="false">E223*X223</f>
        <v>0</v>
      </c>
      <c r="G223" s="142" t="n">
        <f aca="false">VLOOKUP($A223,Table,MATCH(G$4,Curves,0))</f>
        <v>3.987</v>
      </c>
      <c r="H223" s="143" t="n">
        <f aca="false">G223</f>
        <v>3.987</v>
      </c>
      <c r="I223" s="142" t="n">
        <f aca="false">VLOOKUP($A223,Table1,MATCH(I$3,Curves1,0))</f>
        <v>0</v>
      </c>
      <c r="J223" s="142" t="n">
        <f aca="false">VLOOKUP($A223,Table,MATCH(J$4,Curves,0))</f>
        <v>-0.0305</v>
      </c>
      <c r="K223" s="143" t="n">
        <f aca="false">J223</f>
        <v>-0.0305</v>
      </c>
      <c r="L223" s="144" t="n">
        <v>0</v>
      </c>
      <c r="M223" s="142" t="n">
        <f aca="false">VLOOKUP($A223,Table,MATCH(M$4,Curves,0))</f>
        <v>0.0087</v>
      </c>
      <c r="N223" s="143" t="n">
        <f aca="false">M223</f>
        <v>0.0087</v>
      </c>
      <c r="O223" s="144" t="n">
        <v>0</v>
      </c>
      <c r="P223" s="145"/>
      <c r="Q223" s="144" t="n">
        <f aca="false">M223+J223+G223</f>
        <v>3.9652</v>
      </c>
      <c r="R223" s="144" t="n">
        <f aca="false">O223+L223+I223</f>
        <v>0</v>
      </c>
      <c r="S223" s="145"/>
      <c r="T223" s="71" t="n">
        <f aca="false">A224-A223</f>
        <v>31</v>
      </c>
      <c r="U223" s="146" t="n">
        <f aca="false">CHOOSE(F$3,A224+24,A223)</f>
        <v>43521</v>
      </c>
      <c r="V223" s="71" t="n">
        <f aca="false">U223-C$3</f>
        <v>6633</v>
      </c>
      <c r="W223" s="142" t="n">
        <f aca="false">VLOOKUP($A223,Table,MATCH(W$4,Curves,0))</f>
        <v>0.058966861357273</v>
      </c>
      <c r="X223" s="147" t="n">
        <f aca="false">1/(1+CHOOSE(F$3,(W224+($K$3/10000))/2,(W223+($K$3/10000))/2))^(2*V223/365.25)</f>
        <v>0.348065242946399</v>
      </c>
      <c r="Y223" s="71" t="n">
        <f aca="false">IF(AND(mthbeg&lt;=A223,mthend&gt;=A223),1,0)</f>
        <v>0</v>
      </c>
      <c r="Z223" s="71" t="n">
        <f aca="false">T223*Y223</f>
        <v>0</v>
      </c>
      <c r="AB223" s="132" t="n">
        <f aca="false">F223*G223</f>
        <v>0</v>
      </c>
      <c r="AC223" s="132" t="n">
        <f aca="false">$F223*H223</f>
        <v>0</v>
      </c>
      <c r="AD223" s="132" t="n">
        <f aca="false">$F223*I223</f>
        <v>0</v>
      </c>
      <c r="AE223" s="132" t="n">
        <f aca="false">$F223*J223</f>
        <v>-0</v>
      </c>
      <c r="AF223" s="132" t="n">
        <f aca="false">$F223*K223</f>
        <v>-0</v>
      </c>
      <c r="AG223" s="132" t="n">
        <f aca="false">$F223*L223</f>
        <v>0</v>
      </c>
      <c r="AH223" s="132" t="n">
        <f aca="false">$F223*M223</f>
        <v>0</v>
      </c>
      <c r="AI223" s="132" t="n">
        <f aca="false">$F223*N223</f>
        <v>0</v>
      </c>
      <c r="AJ223" s="132" t="n">
        <f aca="false">F223*O223</f>
        <v>0</v>
      </c>
      <c r="AK223" s="137"/>
      <c r="AL223" s="132" t="n">
        <f aca="false">CHOOSE($G$3,AC223-AD223,AD223-AC223)</f>
        <v>0</v>
      </c>
      <c r="AM223" s="132" t="n">
        <f aca="false">CHOOSE($G$3,AF223-AG223,AG223-AF223)</f>
        <v>0</v>
      </c>
      <c r="AN223" s="132" t="n">
        <f aca="false">CHOOSE($G$3,AI223-AJ223,AJ223-AI223)</f>
        <v>0</v>
      </c>
      <c r="AO223" s="148" t="n">
        <f aca="false">SUM(AL223:AN223)</f>
        <v>0</v>
      </c>
      <c r="AQ223" s="132" t="n">
        <f aca="false">CHOOSE($G$3,AB223-AC223,AC223-AB223)</f>
        <v>0</v>
      </c>
      <c r="AR223" s="132" t="n">
        <f aca="false">CHOOSE($G$3,AE223-AF223,AF223-AE223)</f>
        <v>0</v>
      </c>
      <c r="AS223" s="132" t="n">
        <f aca="false">CHOOSE($G$3,AH223-AI223,AI223-AH223)</f>
        <v>0</v>
      </c>
      <c r="AT223" s="148" t="n">
        <f aca="false">AQ223+AR223+AS223</f>
        <v>0</v>
      </c>
      <c r="AU223" s="148"/>
      <c r="AV223" s="133" t="n">
        <f aca="false">AT223+AO223</f>
        <v>0</v>
      </c>
      <c r="AX223" s="133" t="n">
        <f aca="false">AJ223+AG223+AD223</f>
        <v>0</v>
      </c>
      <c r="AY223" s="149"/>
      <c r="AZ223" s="76" t="n">
        <f aca="false">R223*E223</f>
        <v>0</v>
      </c>
    </row>
    <row r="224" customFormat="false" ht="12" hidden="false" customHeight="true" outlineLevel="0" collapsed="false">
      <c r="A224" s="138" t="n">
        <f aca="false">EDATE(A223,1)</f>
        <v>43497</v>
      </c>
      <c r="B224" s="139" t="n">
        <f aca="false">VLOOKUP($A224,Table2,MATCH(I$3,Curves2,0))</f>
        <v>0</v>
      </c>
      <c r="C224" s="140"/>
      <c r="D224" s="141" t="n">
        <f aca="false">B224+C224</f>
        <v>0</v>
      </c>
      <c r="E224" s="126" t="n">
        <f aca="false">IF(Y224=0,0,IF(AND(Y224=1,$H$3=1),D224*T224,IF($H$3=2,D224,"N/A")))</f>
        <v>0</v>
      </c>
      <c r="F224" s="126" t="n">
        <f aca="false">E224*X224</f>
        <v>0</v>
      </c>
      <c r="G224" s="142" t="n">
        <f aca="false">VLOOKUP($A224,Table,MATCH(G$4,Curves,0))</f>
        <v>3.987</v>
      </c>
      <c r="H224" s="143" t="n">
        <f aca="false">G224</f>
        <v>3.987</v>
      </c>
      <c r="I224" s="142" t="n">
        <f aca="false">VLOOKUP($A224,Table1,MATCH(I$3,Curves1,0))</f>
        <v>0</v>
      </c>
      <c r="J224" s="142" t="n">
        <f aca="false">VLOOKUP($A224,Table,MATCH(J$4,Curves,0))</f>
        <v>-0.0305</v>
      </c>
      <c r="K224" s="143" t="n">
        <f aca="false">J224</f>
        <v>-0.0305</v>
      </c>
      <c r="L224" s="144" t="n">
        <v>0</v>
      </c>
      <c r="M224" s="142" t="n">
        <f aca="false">VLOOKUP($A224,Table,MATCH(M$4,Curves,0))</f>
        <v>0.0087</v>
      </c>
      <c r="N224" s="143" t="n">
        <f aca="false">M224</f>
        <v>0.0087</v>
      </c>
      <c r="O224" s="144" t="n">
        <v>0</v>
      </c>
      <c r="P224" s="145"/>
      <c r="Q224" s="144" t="n">
        <f aca="false">M224+J224+G224</f>
        <v>3.9652</v>
      </c>
      <c r="R224" s="144" t="n">
        <f aca="false">O224+L224+I224</f>
        <v>0</v>
      </c>
      <c r="S224" s="145"/>
      <c r="T224" s="71" t="n">
        <f aca="false">A225-A224</f>
        <v>28</v>
      </c>
      <c r="U224" s="146" t="n">
        <f aca="false">CHOOSE(F$3,A225+24,A224)</f>
        <v>43549</v>
      </c>
      <c r="V224" s="71" t="n">
        <f aca="false">U224-C$3</f>
        <v>6661</v>
      </c>
      <c r="W224" s="142" t="n">
        <f aca="false">VLOOKUP($A224,Table,MATCH(W$4,Curves,0))</f>
        <v>0.058966861357273</v>
      </c>
      <c r="X224" s="147" t="n">
        <f aca="false">1/(1+CHOOSE(F$3,(W225+($K$3/10000))/2,(W224+($K$3/10000))/2))^(2*V224/365.25)</f>
        <v>0.346518049992799</v>
      </c>
      <c r="Y224" s="71" t="n">
        <f aca="false">IF(AND(mthbeg&lt;=A224,mthend&gt;=A224),1,0)</f>
        <v>0</v>
      </c>
      <c r="Z224" s="71" t="n">
        <f aca="false">T224*Y224</f>
        <v>0</v>
      </c>
      <c r="AB224" s="132" t="n">
        <f aca="false">F224*G224</f>
        <v>0</v>
      </c>
      <c r="AC224" s="132" t="n">
        <f aca="false">$F224*H224</f>
        <v>0</v>
      </c>
      <c r="AD224" s="132" t="n">
        <f aca="false">$F224*I224</f>
        <v>0</v>
      </c>
      <c r="AE224" s="132" t="n">
        <f aca="false">$F224*J224</f>
        <v>-0</v>
      </c>
      <c r="AF224" s="132" t="n">
        <f aca="false">$F224*K224</f>
        <v>-0</v>
      </c>
      <c r="AG224" s="132" t="n">
        <f aca="false">$F224*L224</f>
        <v>0</v>
      </c>
      <c r="AH224" s="132" t="n">
        <f aca="false">$F224*M224</f>
        <v>0</v>
      </c>
      <c r="AI224" s="132" t="n">
        <f aca="false">$F224*N224</f>
        <v>0</v>
      </c>
      <c r="AJ224" s="132" t="n">
        <f aca="false">F224*O224</f>
        <v>0</v>
      </c>
      <c r="AK224" s="137"/>
      <c r="AL224" s="132" t="n">
        <f aca="false">CHOOSE($G$3,AC224-AD224,AD224-AC224)</f>
        <v>0</v>
      </c>
      <c r="AM224" s="132" t="n">
        <f aca="false">CHOOSE($G$3,AF224-AG224,AG224-AF224)</f>
        <v>0</v>
      </c>
      <c r="AN224" s="132" t="n">
        <f aca="false">CHOOSE($G$3,AI224-AJ224,AJ224-AI224)</f>
        <v>0</v>
      </c>
      <c r="AO224" s="148" t="n">
        <f aca="false">SUM(AL224:AN224)</f>
        <v>0</v>
      </c>
      <c r="AQ224" s="132" t="n">
        <f aca="false">CHOOSE($G$3,AB224-AC224,AC224-AB224)</f>
        <v>0</v>
      </c>
      <c r="AR224" s="132" t="n">
        <f aca="false">CHOOSE($G$3,AE224-AF224,AF224-AE224)</f>
        <v>0</v>
      </c>
      <c r="AS224" s="132" t="n">
        <f aca="false">CHOOSE($G$3,AH224-AI224,AI224-AH224)</f>
        <v>0</v>
      </c>
      <c r="AT224" s="148" t="n">
        <f aca="false">AQ224+AR224+AS224</f>
        <v>0</v>
      </c>
      <c r="AU224" s="148"/>
      <c r="AV224" s="133" t="n">
        <f aca="false">AT224+AO224</f>
        <v>0</v>
      </c>
      <c r="AX224" s="133" t="n">
        <f aca="false">AJ224+AG224+AD224</f>
        <v>0</v>
      </c>
      <c r="AY224" s="149"/>
      <c r="AZ224" s="76" t="n">
        <f aca="false">R224*E224</f>
        <v>0</v>
      </c>
    </row>
    <row r="225" customFormat="false" ht="12" hidden="false" customHeight="true" outlineLevel="0" collapsed="false">
      <c r="A225" s="138" t="n">
        <f aca="false">EDATE(A224,1)</f>
        <v>43525</v>
      </c>
      <c r="B225" s="139" t="n">
        <f aca="false">VLOOKUP($A225,Table2,MATCH(I$3,Curves2,0))</f>
        <v>0</v>
      </c>
      <c r="C225" s="140"/>
      <c r="D225" s="141" t="n">
        <f aca="false">B225+C225</f>
        <v>0</v>
      </c>
      <c r="E225" s="126" t="n">
        <f aca="false">IF(Y225=0,0,IF(AND(Y225=1,$H$3=1),D225*T225,IF($H$3=2,D225,"N/A")))</f>
        <v>0</v>
      </c>
      <c r="F225" s="126" t="n">
        <f aca="false">E225*X225</f>
        <v>0</v>
      </c>
      <c r="G225" s="142" t="n">
        <f aca="false">VLOOKUP($A225,Table,MATCH(G$4,Curves,0))</f>
        <v>3.987</v>
      </c>
      <c r="H225" s="143" t="n">
        <f aca="false">G225</f>
        <v>3.987</v>
      </c>
      <c r="I225" s="142" t="n">
        <f aca="false">VLOOKUP($A225,Table1,MATCH(I$3,Curves1,0))</f>
        <v>0</v>
      </c>
      <c r="J225" s="142" t="n">
        <f aca="false">VLOOKUP($A225,Table,MATCH(J$4,Curves,0))</f>
        <v>-0.0305</v>
      </c>
      <c r="K225" s="143" t="n">
        <f aca="false">J225</f>
        <v>-0.0305</v>
      </c>
      <c r="L225" s="144" t="n">
        <v>0</v>
      </c>
      <c r="M225" s="142" t="n">
        <f aca="false">VLOOKUP($A225,Table,MATCH(M$4,Curves,0))</f>
        <v>0.0087</v>
      </c>
      <c r="N225" s="143" t="n">
        <f aca="false">M225</f>
        <v>0.0087</v>
      </c>
      <c r="O225" s="144" t="n">
        <v>0</v>
      </c>
      <c r="P225" s="145"/>
      <c r="Q225" s="144" t="n">
        <f aca="false">M225+J225+G225</f>
        <v>3.9652</v>
      </c>
      <c r="R225" s="144" t="n">
        <f aca="false">O225+L225+I225</f>
        <v>0</v>
      </c>
      <c r="S225" s="145"/>
      <c r="T225" s="71" t="n">
        <f aca="false">A226-A225</f>
        <v>31</v>
      </c>
      <c r="U225" s="146" t="n">
        <f aca="false">CHOOSE(F$3,A226+24,A225)</f>
        <v>43580</v>
      </c>
      <c r="V225" s="71" t="n">
        <f aca="false">U225-C$3</f>
        <v>6692</v>
      </c>
      <c r="W225" s="142" t="n">
        <f aca="false">VLOOKUP($A225,Table,MATCH(W$4,Curves,0))</f>
        <v>0.058966861357273</v>
      </c>
      <c r="X225" s="147" t="n">
        <f aca="false">1/(1+CHOOSE(F$3,(W226+($K$3/10000))/2,(W225+($K$3/10000))/2))^(2*V225/365.25)</f>
        <v>0.344813107336245</v>
      </c>
      <c r="Y225" s="71" t="n">
        <f aca="false">IF(AND(mthbeg&lt;=A225,mthend&gt;=A225),1,0)</f>
        <v>0</v>
      </c>
      <c r="Z225" s="71" t="n">
        <f aca="false">T225*Y225</f>
        <v>0</v>
      </c>
      <c r="AB225" s="132" t="n">
        <f aca="false">F225*G225</f>
        <v>0</v>
      </c>
      <c r="AC225" s="132" t="n">
        <f aca="false">$F225*H225</f>
        <v>0</v>
      </c>
      <c r="AD225" s="132" t="n">
        <f aca="false">$F225*I225</f>
        <v>0</v>
      </c>
      <c r="AE225" s="132" t="n">
        <f aca="false">$F225*J225</f>
        <v>-0</v>
      </c>
      <c r="AF225" s="132" t="n">
        <f aca="false">$F225*K225</f>
        <v>-0</v>
      </c>
      <c r="AG225" s="132" t="n">
        <f aca="false">$F225*L225</f>
        <v>0</v>
      </c>
      <c r="AH225" s="132" t="n">
        <f aca="false">$F225*M225</f>
        <v>0</v>
      </c>
      <c r="AI225" s="132" t="n">
        <f aca="false">$F225*N225</f>
        <v>0</v>
      </c>
      <c r="AJ225" s="132" t="n">
        <f aca="false">F225*O225</f>
        <v>0</v>
      </c>
      <c r="AK225" s="137"/>
      <c r="AL225" s="132" t="n">
        <f aca="false">CHOOSE($G$3,AC225-AD225,AD225-AC225)</f>
        <v>0</v>
      </c>
      <c r="AM225" s="132" t="n">
        <f aca="false">CHOOSE($G$3,AF225-AG225,AG225-AF225)</f>
        <v>0</v>
      </c>
      <c r="AN225" s="132" t="n">
        <f aca="false">CHOOSE($G$3,AI225-AJ225,AJ225-AI225)</f>
        <v>0</v>
      </c>
      <c r="AO225" s="148" t="n">
        <f aca="false">SUM(AL225:AN225)</f>
        <v>0</v>
      </c>
      <c r="AQ225" s="132" t="n">
        <f aca="false">CHOOSE($G$3,AB225-AC225,AC225-AB225)</f>
        <v>0</v>
      </c>
      <c r="AR225" s="132" t="n">
        <f aca="false">CHOOSE($G$3,AE225-AF225,AF225-AE225)</f>
        <v>0</v>
      </c>
      <c r="AS225" s="132" t="n">
        <f aca="false">CHOOSE($G$3,AH225-AI225,AI225-AH225)</f>
        <v>0</v>
      </c>
      <c r="AT225" s="148" t="n">
        <f aca="false">AQ225+AR225+AS225</f>
        <v>0</v>
      </c>
      <c r="AU225" s="148"/>
      <c r="AV225" s="133" t="n">
        <f aca="false">AT225+AO225</f>
        <v>0</v>
      </c>
      <c r="AX225" s="133" t="n">
        <f aca="false">AJ225+AG225+AD225</f>
        <v>0</v>
      </c>
      <c r="AY225" s="149"/>
      <c r="AZ225" s="76" t="n">
        <f aca="false">R225*E225</f>
        <v>0</v>
      </c>
    </row>
    <row r="226" customFormat="false" ht="12" hidden="false" customHeight="true" outlineLevel="0" collapsed="false">
      <c r="A226" s="138" t="n">
        <f aca="false">EDATE(A225,1)</f>
        <v>43556</v>
      </c>
      <c r="B226" s="139" t="n">
        <f aca="false">VLOOKUP($A226,Table2,MATCH(I$3,Curves2,0))</f>
        <v>0</v>
      </c>
      <c r="C226" s="140"/>
      <c r="D226" s="141" t="n">
        <f aca="false">B226+C226</f>
        <v>0</v>
      </c>
      <c r="E226" s="126" t="n">
        <f aca="false">IF(Y226=0,0,IF(AND(Y226=1,$H$3=1),D226*T226,IF($H$3=2,D226,"N/A")))</f>
        <v>0</v>
      </c>
      <c r="F226" s="126" t="n">
        <f aca="false">E226*X226</f>
        <v>0</v>
      </c>
      <c r="G226" s="142" t="n">
        <f aca="false">VLOOKUP($A226,Table,MATCH(G$4,Curves,0))</f>
        <v>3.987</v>
      </c>
      <c r="H226" s="143" t="n">
        <f aca="false">G226</f>
        <v>3.987</v>
      </c>
      <c r="I226" s="142" t="n">
        <f aca="false">VLOOKUP($A226,Table1,MATCH(I$3,Curves1,0))</f>
        <v>0</v>
      </c>
      <c r="J226" s="142" t="n">
        <f aca="false">VLOOKUP($A226,Table,MATCH(J$4,Curves,0))</f>
        <v>-0.0305</v>
      </c>
      <c r="K226" s="143" t="n">
        <f aca="false">J226</f>
        <v>-0.0305</v>
      </c>
      <c r="L226" s="144" t="n">
        <v>0</v>
      </c>
      <c r="M226" s="142" t="n">
        <f aca="false">VLOOKUP($A226,Table,MATCH(M$4,Curves,0))</f>
        <v>0.0087</v>
      </c>
      <c r="N226" s="143" t="n">
        <f aca="false">M226</f>
        <v>0.0087</v>
      </c>
      <c r="O226" s="144" t="n">
        <v>0</v>
      </c>
      <c r="P226" s="145"/>
      <c r="Q226" s="144" t="n">
        <f aca="false">M226+J226+G226</f>
        <v>3.9652</v>
      </c>
      <c r="R226" s="144" t="n">
        <f aca="false">O226+L226+I226</f>
        <v>0</v>
      </c>
      <c r="S226" s="145"/>
      <c r="T226" s="71" t="n">
        <f aca="false">A227-A226</f>
        <v>30</v>
      </c>
      <c r="U226" s="146" t="n">
        <f aca="false">CHOOSE(F$3,A227+24,A226)</f>
        <v>43610</v>
      </c>
      <c r="V226" s="71" t="n">
        <f aca="false">U226-C$3</f>
        <v>6722</v>
      </c>
      <c r="W226" s="142" t="n">
        <f aca="false">VLOOKUP($A226,Table,MATCH(W$4,Curves,0))</f>
        <v>0.058966861357273</v>
      </c>
      <c r="X226" s="147" t="n">
        <f aca="false">1/(1+CHOOSE(F$3,(W227+($K$3/10000))/2,(W226+($K$3/10000))/2))^(2*V226/365.25)</f>
        <v>0.343171150394862</v>
      </c>
      <c r="Y226" s="71" t="n">
        <f aca="false">IF(AND(mthbeg&lt;=A226,mthend&gt;=A226),1,0)</f>
        <v>0</v>
      </c>
      <c r="Z226" s="71" t="n">
        <f aca="false">T226*Y226</f>
        <v>0</v>
      </c>
      <c r="AB226" s="132" t="n">
        <f aca="false">F226*G226</f>
        <v>0</v>
      </c>
      <c r="AC226" s="132" t="n">
        <f aca="false">$F226*H226</f>
        <v>0</v>
      </c>
      <c r="AD226" s="132" t="n">
        <f aca="false">$F226*I226</f>
        <v>0</v>
      </c>
      <c r="AE226" s="132" t="n">
        <f aca="false">$F226*J226</f>
        <v>-0</v>
      </c>
      <c r="AF226" s="132" t="n">
        <f aca="false">$F226*K226</f>
        <v>-0</v>
      </c>
      <c r="AG226" s="132" t="n">
        <f aca="false">$F226*L226</f>
        <v>0</v>
      </c>
      <c r="AH226" s="132" t="n">
        <f aca="false">$F226*M226</f>
        <v>0</v>
      </c>
      <c r="AI226" s="132" t="n">
        <f aca="false">$F226*N226</f>
        <v>0</v>
      </c>
      <c r="AJ226" s="132" t="n">
        <f aca="false">F226*O226</f>
        <v>0</v>
      </c>
      <c r="AK226" s="137"/>
      <c r="AL226" s="132" t="n">
        <f aca="false">CHOOSE($G$3,AC226-AD226,AD226-AC226)</f>
        <v>0</v>
      </c>
      <c r="AM226" s="132" t="n">
        <f aca="false">CHOOSE($G$3,AF226-AG226,AG226-AF226)</f>
        <v>0</v>
      </c>
      <c r="AN226" s="132" t="n">
        <f aca="false">CHOOSE($G$3,AI226-AJ226,AJ226-AI226)</f>
        <v>0</v>
      </c>
      <c r="AO226" s="148" t="n">
        <f aca="false">SUM(AL226:AN226)</f>
        <v>0</v>
      </c>
      <c r="AQ226" s="132" t="n">
        <f aca="false">CHOOSE($G$3,AB226-AC226,AC226-AB226)</f>
        <v>0</v>
      </c>
      <c r="AR226" s="132" t="n">
        <f aca="false">CHOOSE($G$3,AE226-AF226,AF226-AE226)</f>
        <v>0</v>
      </c>
      <c r="AS226" s="132" t="n">
        <f aca="false">CHOOSE($G$3,AH226-AI226,AI226-AH226)</f>
        <v>0</v>
      </c>
      <c r="AT226" s="148" t="n">
        <f aca="false">AQ226+AR226+AS226</f>
        <v>0</v>
      </c>
      <c r="AU226" s="148"/>
      <c r="AV226" s="133" t="n">
        <f aca="false">AT226+AO226</f>
        <v>0</v>
      </c>
      <c r="AX226" s="133" t="n">
        <f aca="false">AJ226+AG226+AD226</f>
        <v>0</v>
      </c>
      <c r="AY226" s="149"/>
      <c r="AZ226" s="76" t="n">
        <f aca="false">R226*E226</f>
        <v>0</v>
      </c>
    </row>
    <row r="227" customFormat="false" ht="12" hidden="false" customHeight="true" outlineLevel="0" collapsed="false">
      <c r="A227" s="138" t="n">
        <f aca="false">EDATE(A226,1)</f>
        <v>43586</v>
      </c>
      <c r="B227" s="139" t="n">
        <f aca="false">VLOOKUP($A227,Table2,MATCH(I$3,Curves2,0))</f>
        <v>0</v>
      </c>
      <c r="C227" s="140"/>
      <c r="D227" s="141" t="n">
        <f aca="false">B227+C227</f>
        <v>0</v>
      </c>
      <c r="E227" s="126" t="n">
        <f aca="false">IF(Y227=0,0,IF(AND(Y227=1,$H$3=1),D227*T227,IF($H$3=2,D227,"N/A")))</f>
        <v>0</v>
      </c>
      <c r="F227" s="126" t="n">
        <f aca="false">E227*X227</f>
        <v>0</v>
      </c>
      <c r="G227" s="142" t="n">
        <f aca="false">VLOOKUP($A227,Table,MATCH(G$4,Curves,0))</f>
        <v>3.987</v>
      </c>
      <c r="H227" s="143" t="n">
        <f aca="false">G227</f>
        <v>3.987</v>
      </c>
      <c r="I227" s="142" t="n">
        <f aca="false">VLOOKUP($A227,Table1,MATCH(I$3,Curves1,0))</f>
        <v>0</v>
      </c>
      <c r="J227" s="142" t="n">
        <f aca="false">VLOOKUP($A227,Table,MATCH(J$4,Curves,0))</f>
        <v>-0.0305</v>
      </c>
      <c r="K227" s="143" t="n">
        <f aca="false">J227</f>
        <v>-0.0305</v>
      </c>
      <c r="L227" s="144" t="n">
        <v>0</v>
      </c>
      <c r="M227" s="142" t="n">
        <f aca="false">VLOOKUP($A227,Table,MATCH(M$4,Curves,0))</f>
        <v>0.0087</v>
      </c>
      <c r="N227" s="143" t="n">
        <f aca="false">M227</f>
        <v>0.0087</v>
      </c>
      <c r="O227" s="144" t="n">
        <v>0</v>
      </c>
      <c r="P227" s="145"/>
      <c r="Q227" s="144" t="n">
        <f aca="false">M227+J227+G227</f>
        <v>3.9652</v>
      </c>
      <c r="R227" s="144" t="n">
        <f aca="false">O227+L227+I227</f>
        <v>0</v>
      </c>
      <c r="S227" s="145"/>
      <c r="T227" s="71" t="n">
        <f aca="false">A228-A227</f>
        <v>31</v>
      </c>
      <c r="U227" s="146" t="n">
        <f aca="false">CHOOSE(F$3,A228+24,A227)</f>
        <v>43641</v>
      </c>
      <c r="V227" s="71" t="n">
        <f aca="false">U227-C$3</f>
        <v>6753</v>
      </c>
      <c r="W227" s="142" t="n">
        <f aca="false">VLOOKUP($A227,Table,MATCH(W$4,Curves,0))</f>
        <v>0.058966861357273</v>
      </c>
      <c r="X227" s="147" t="n">
        <f aca="false">1/(1+CHOOSE(F$3,(W228+($K$3/10000))/2,(W227+($K$3/10000))/2))^(2*V227/365.25)</f>
        <v>0.341482675197626</v>
      </c>
      <c r="Y227" s="71" t="n">
        <f aca="false">IF(AND(mthbeg&lt;=A227,mthend&gt;=A227),1,0)</f>
        <v>0</v>
      </c>
      <c r="Z227" s="71" t="n">
        <f aca="false">T227*Y227</f>
        <v>0</v>
      </c>
      <c r="AB227" s="132" t="n">
        <f aca="false">F227*G227</f>
        <v>0</v>
      </c>
      <c r="AC227" s="132" t="n">
        <f aca="false">$F227*H227</f>
        <v>0</v>
      </c>
      <c r="AD227" s="132" t="n">
        <f aca="false">$F227*I227</f>
        <v>0</v>
      </c>
      <c r="AE227" s="132" t="n">
        <f aca="false">$F227*J227</f>
        <v>-0</v>
      </c>
      <c r="AF227" s="132" t="n">
        <f aca="false">$F227*K227</f>
        <v>-0</v>
      </c>
      <c r="AG227" s="132" t="n">
        <f aca="false">$F227*L227</f>
        <v>0</v>
      </c>
      <c r="AH227" s="132" t="n">
        <f aca="false">$F227*M227</f>
        <v>0</v>
      </c>
      <c r="AI227" s="132" t="n">
        <f aca="false">$F227*N227</f>
        <v>0</v>
      </c>
      <c r="AJ227" s="132" t="n">
        <f aca="false">F227*O227</f>
        <v>0</v>
      </c>
      <c r="AK227" s="137"/>
      <c r="AL227" s="132" t="n">
        <f aca="false">CHOOSE($G$3,AC227-AD227,AD227-AC227)</f>
        <v>0</v>
      </c>
      <c r="AM227" s="132" t="n">
        <f aca="false">CHOOSE($G$3,AF227-AG227,AG227-AF227)</f>
        <v>0</v>
      </c>
      <c r="AN227" s="132" t="n">
        <f aca="false">CHOOSE($G$3,AI227-AJ227,AJ227-AI227)</f>
        <v>0</v>
      </c>
      <c r="AO227" s="148" t="n">
        <f aca="false">SUM(AL227:AN227)</f>
        <v>0</v>
      </c>
      <c r="AQ227" s="132" t="n">
        <f aca="false">CHOOSE($G$3,AB227-AC227,AC227-AB227)</f>
        <v>0</v>
      </c>
      <c r="AR227" s="132" t="n">
        <f aca="false">CHOOSE($G$3,AE227-AF227,AF227-AE227)</f>
        <v>0</v>
      </c>
      <c r="AS227" s="132" t="n">
        <f aca="false">CHOOSE($G$3,AH227-AI227,AI227-AH227)</f>
        <v>0</v>
      </c>
      <c r="AT227" s="148" t="n">
        <f aca="false">AQ227+AR227+AS227</f>
        <v>0</v>
      </c>
      <c r="AU227" s="148"/>
      <c r="AV227" s="133" t="n">
        <f aca="false">AT227+AO227</f>
        <v>0</v>
      </c>
      <c r="AX227" s="133" t="n">
        <f aca="false">AJ227+AG227+AD227</f>
        <v>0</v>
      </c>
      <c r="AY227" s="149"/>
      <c r="AZ227" s="76" t="n">
        <f aca="false">R227*E227</f>
        <v>0</v>
      </c>
    </row>
    <row r="228" customFormat="false" ht="12" hidden="false" customHeight="true" outlineLevel="0" collapsed="false">
      <c r="A228" s="138" t="n">
        <f aca="false">EDATE(A227,1)</f>
        <v>43617</v>
      </c>
      <c r="B228" s="139" t="n">
        <f aca="false">VLOOKUP($A228,Table2,MATCH(I$3,Curves2,0))</f>
        <v>0</v>
      </c>
      <c r="C228" s="140"/>
      <c r="D228" s="141" t="n">
        <f aca="false">B228+C228</f>
        <v>0</v>
      </c>
      <c r="E228" s="126" t="n">
        <f aca="false">IF(Y228=0,0,IF(AND(Y228=1,$H$3=1),D228*T228,IF($H$3=2,D228,"N/A")))</f>
        <v>0</v>
      </c>
      <c r="F228" s="126" t="n">
        <f aca="false">E228*X228</f>
        <v>0</v>
      </c>
      <c r="G228" s="142" t="n">
        <f aca="false">VLOOKUP($A228,Table,MATCH(G$4,Curves,0))</f>
        <v>3.987</v>
      </c>
      <c r="H228" s="143" t="n">
        <f aca="false">G228</f>
        <v>3.987</v>
      </c>
      <c r="I228" s="142" t="n">
        <f aca="false">VLOOKUP($A228,Table1,MATCH(I$3,Curves1,0))</f>
        <v>0</v>
      </c>
      <c r="J228" s="142" t="n">
        <f aca="false">VLOOKUP($A228,Table,MATCH(J$4,Curves,0))</f>
        <v>-0.0305</v>
      </c>
      <c r="K228" s="143" t="n">
        <f aca="false">J228</f>
        <v>-0.0305</v>
      </c>
      <c r="L228" s="144" t="n">
        <v>0</v>
      </c>
      <c r="M228" s="142" t="n">
        <f aca="false">VLOOKUP($A228,Table,MATCH(M$4,Curves,0))</f>
        <v>0.0087</v>
      </c>
      <c r="N228" s="143" t="n">
        <f aca="false">M228</f>
        <v>0.0087</v>
      </c>
      <c r="O228" s="144" t="n">
        <v>0</v>
      </c>
      <c r="P228" s="145"/>
      <c r="Q228" s="144" t="n">
        <f aca="false">M228+J228+G228</f>
        <v>3.9652</v>
      </c>
      <c r="R228" s="144" t="n">
        <f aca="false">O228+L228+I228</f>
        <v>0</v>
      </c>
      <c r="S228" s="145"/>
      <c r="T228" s="71" t="n">
        <f aca="false">A229-A228</f>
        <v>30</v>
      </c>
      <c r="U228" s="146" t="n">
        <f aca="false">CHOOSE(F$3,A229+24,A228)</f>
        <v>43671</v>
      </c>
      <c r="V228" s="71" t="n">
        <f aca="false">U228-C$3</f>
        <v>6783</v>
      </c>
      <c r="W228" s="142" t="n">
        <f aca="false">VLOOKUP($A228,Table,MATCH(W$4,Curves,0))</f>
        <v>0.058966861357273</v>
      </c>
      <c r="X228" s="147" t="n">
        <f aca="false">1/(1+CHOOSE(F$3,(W229+($K$3/10000))/2,(W228+($K$3/10000))/2))^(2*V228/365.25)</f>
        <v>0.339856577358033</v>
      </c>
      <c r="Y228" s="71" t="n">
        <f aca="false">IF(AND(mthbeg&lt;=A228,mthend&gt;=A228),1,0)</f>
        <v>0</v>
      </c>
      <c r="Z228" s="71" t="n">
        <f aca="false">T228*Y228</f>
        <v>0</v>
      </c>
      <c r="AB228" s="132" t="n">
        <f aca="false">F228*G228</f>
        <v>0</v>
      </c>
      <c r="AC228" s="132" t="n">
        <f aca="false">$F228*H228</f>
        <v>0</v>
      </c>
      <c r="AD228" s="132" t="n">
        <f aca="false">$F228*I228</f>
        <v>0</v>
      </c>
      <c r="AE228" s="132" t="n">
        <f aca="false">$F228*J228</f>
        <v>-0</v>
      </c>
      <c r="AF228" s="132" t="n">
        <f aca="false">$F228*K228</f>
        <v>-0</v>
      </c>
      <c r="AG228" s="132" t="n">
        <f aca="false">$F228*L228</f>
        <v>0</v>
      </c>
      <c r="AH228" s="132" t="n">
        <f aca="false">$F228*M228</f>
        <v>0</v>
      </c>
      <c r="AI228" s="132" t="n">
        <f aca="false">$F228*N228</f>
        <v>0</v>
      </c>
      <c r="AJ228" s="132" t="n">
        <f aca="false">F228*O228</f>
        <v>0</v>
      </c>
      <c r="AK228" s="137"/>
      <c r="AL228" s="132" t="n">
        <f aca="false">CHOOSE($G$3,AC228-AD228,AD228-AC228)</f>
        <v>0</v>
      </c>
      <c r="AM228" s="132" t="n">
        <f aca="false">CHOOSE($G$3,AF228-AG228,AG228-AF228)</f>
        <v>0</v>
      </c>
      <c r="AN228" s="132" t="n">
        <f aca="false">CHOOSE($G$3,AI228-AJ228,AJ228-AI228)</f>
        <v>0</v>
      </c>
      <c r="AO228" s="148" t="n">
        <f aca="false">SUM(AL228:AN228)</f>
        <v>0</v>
      </c>
      <c r="AQ228" s="132" t="n">
        <f aca="false">CHOOSE($G$3,AB228-AC228,AC228-AB228)</f>
        <v>0</v>
      </c>
      <c r="AR228" s="132" t="n">
        <f aca="false">CHOOSE($G$3,AE228-AF228,AF228-AE228)</f>
        <v>0</v>
      </c>
      <c r="AS228" s="132" t="n">
        <f aca="false">CHOOSE($G$3,AH228-AI228,AI228-AH228)</f>
        <v>0</v>
      </c>
      <c r="AT228" s="148" t="n">
        <f aca="false">AQ228+AR228+AS228</f>
        <v>0</v>
      </c>
      <c r="AU228" s="148"/>
      <c r="AV228" s="133" t="n">
        <f aca="false">AT228+AO228</f>
        <v>0</v>
      </c>
      <c r="AX228" s="133" t="n">
        <f aca="false">AJ228+AG228+AD228</f>
        <v>0</v>
      </c>
      <c r="AY228" s="149"/>
      <c r="AZ228" s="76" t="n">
        <f aca="false">R228*E228</f>
        <v>0</v>
      </c>
    </row>
    <row r="229" customFormat="false" ht="12" hidden="false" customHeight="true" outlineLevel="0" collapsed="false">
      <c r="A229" s="138" t="n">
        <f aca="false">EDATE(A228,1)</f>
        <v>43647</v>
      </c>
      <c r="B229" s="139" t="n">
        <f aca="false">VLOOKUP($A229,Table2,MATCH(I$3,Curves2,0))</f>
        <v>0</v>
      </c>
      <c r="C229" s="140"/>
      <c r="D229" s="141" t="n">
        <f aca="false">B229+C229</f>
        <v>0</v>
      </c>
      <c r="E229" s="126" t="n">
        <f aca="false">IF(Y229=0,0,IF(AND(Y229=1,$H$3=1),D229*T229,IF($H$3=2,D229,"N/A")))</f>
        <v>0</v>
      </c>
      <c r="F229" s="126" t="n">
        <f aca="false">E229*X229</f>
        <v>0</v>
      </c>
      <c r="G229" s="142" t="n">
        <f aca="false">VLOOKUP($A229,Table,MATCH(G$4,Curves,0))</f>
        <v>3.987</v>
      </c>
      <c r="H229" s="143" t="n">
        <f aca="false">G229</f>
        <v>3.987</v>
      </c>
      <c r="I229" s="142" t="n">
        <f aca="false">VLOOKUP($A229,Table1,MATCH(I$3,Curves1,0))</f>
        <v>0</v>
      </c>
      <c r="J229" s="142" t="n">
        <f aca="false">VLOOKUP($A229,Table,MATCH(J$4,Curves,0))</f>
        <v>-0.0305</v>
      </c>
      <c r="K229" s="143" t="n">
        <f aca="false">J229</f>
        <v>-0.0305</v>
      </c>
      <c r="L229" s="144" t="n">
        <v>0</v>
      </c>
      <c r="M229" s="142" t="n">
        <f aca="false">VLOOKUP($A229,Table,MATCH(M$4,Curves,0))</f>
        <v>0.0087</v>
      </c>
      <c r="N229" s="143" t="n">
        <f aca="false">M229</f>
        <v>0.0087</v>
      </c>
      <c r="O229" s="144" t="n">
        <v>0</v>
      </c>
      <c r="P229" s="145"/>
      <c r="Q229" s="144" t="n">
        <f aca="false">M229+J229+G229</f>
        <v>3.9652</v>
      </c>
      <c r="R229" s="144" t="n">
        <f aca="false">O229+L229+I229</f>
        <v>0</v>
      </c>
      <c r="S229" s="145"/>
      <c r="T229" s="71" t="n">
        <f aca="false">A230-A229</f>
        <v>31</v>
      </c>
      <c r="U229" s="146" t="n">
        <f aca="false">CHOOSE(F$3,A230+24,A229)</f>
        <v>43702</v>
      </c>
      <c r="V229" s="71" t="n">
        <f aca="false">U229-C$3</f>
        <v>6814</v>
      </c>
      <c r="W229" s="142" t="n">
        <f aca="false">VLOOKUP($A229,Table,MATCH(W$4,Curves,0))</f>
        <v>0.058966861357273</v>
      </c>
      <c r="X229" s="147" t="n">
        <f aca="false">1/(1+CHOOSE(F$3,(W230+($K$3/10000))/2,(W229+($K$3/10000))/2))^(2*V229/365.25)</f>
        <v>0.338184410566547</v>
      </c>
      <c r="Y229" s="71" t="n">
        <f aca="false">IF(AND(mthbeg&lt;=A229,mthend&gt;=A229),1,0)</f>
        <v>0</v>
      </c>
      <c r="Z229" s="71" t="n">
        <f aca="false">T229*Y229</f>
        <v>0</v>
      </c>
      <c r="AB229" s="132" t="n">
        <f aca="false">F229*G229</f>
        <v>0</v>
      </c>
      <c r="AC229" s="132" t="n">
        <f aca="false">$F229*H229</f>
        <v>0</v>
      </c>
      <c r="AD229" s="132" t="n">
        <f aca="false">$F229*I229</f>
        <v>0</v>
      </c>
      <c r="AE229" s="132" t="n">
        <f aca="false">$F229*J229</f>
        <v>-0</v>
      </c>
      <c r="AF229" s="132" t="n">
        <f aca="false">$F229*K229</f>
        <v>-0</v>
      </c>
      <c r="AG229" s="132" t="n">
        <f aca="false">$F229*L229</f>
        <v>0</v>
      </c>
      <c r="AH229" s="132" t="n">
        <f aca="false">$F229*M229</f>
        <v>0</v>
      </c>
      <c r="AI229" s="132" t="n">
        <f aca="false">$F229*N229</f>
        <v>0</v>
      </c>
      <c r="AJ229" s="132" t="n">
        <f aca="false">F229*O229</f>
        <v>0</v>
      </c>
      <c r="AK229" s="137"/>
      <c r="AL229" s="132" t="n">
        <f aca="false">CHOOSE($G$3,AC229-AD229,AD229-AC229)</f>
        <v>0</v>
      </c>
      <c r="AM229" s="132" t="n">
        <f aca="false">CHOOSE($G$3,AF229-AG229,AG229-AF229)</f>
        <v>0</v>
      </c>
      <c r="AN229" s="132" t="n">
        <f aca="false">CHOOSE($G$3,AI229-AJ229,AJ229-AI229)</f>
        <v>0</v>
      </c>
      <c r="AO229" s="148" t="n">
        <f aca="false">SUM(AL229:AN229)</f>
        <v>0</v>
      </c>
      <c r="AQ229" s="132" t="n">
        <f aca="false">CHOOSE($G$3,AB229-AC229,AC229-AB229)</f>
        <v>0</v>
      </c>
      <c r="AR229" s="132" t="n">
        <f aca="false">CHOOSE($G$3,AE229-AF229,AF229-AE229)</f>
        <v>0</v>
      </c>
      <c r="AS229" s="132" t="n">
        <f aca="false">CHOOSE($G$3,AH229-AI229,AI229-AH229)</f>
        <v>0</v>
      </c>
      <c r="AT229" s="148" t="n">
        <f aca="false">AQ229+AR229+AS229</f>
        <v>0</v>
      </c>
      <c r="AU229" s="148"/>
      <c r="AV229" s="133" t="n">
        <f aca="false">AT229+AO229</f>
        <v>0</v>
      </c>
      <c r="AX229" s="133" t="n">
        <f aca="false">AJ229+AG229+AD229</f>
        <v>0</v>
      </c>
      <c r="AY229" s="149"/>
      <c r="AZ229" s="76" t="n">
        <f aca="false">R229*E229</f>
        <v>0</v>
      </c>
    </row>
    <row r="230" customFormat="false" ht="12" hidden="false" customHeight="true" outlineLevel="0" collapsed="false">
      <c r="A230" s="138" t="n">
        <f aca="false">EDATE(A229,1)</f>
        <v>43678</v>
      </c>
      <c r="B230" s="139" t="n">
        <f aca="false">VLOOKUP($A230,Table2,MATCH(I$3,Curves2,0))</f>
        <v>0</v>
      </c>
      <c r="C230" s="140"/>
      <c r="D230" s="141" t="n">
        <f aca="false">B230+C230</f>
        <v>0</v>
      </c>
      <c r="E230" s="126" t="n">
        <f aca="false">IF(Y230=0,0,IF(AND(Y230=1,$H$3=1),D230*T230,IF($H$3=2,D230,"N/A")))</f>
        <v>0</v>
      </c>
      <c r="F230" s="126" t="n">
        <f aca="false">E230*X230</f>
        <v>0</v>
      </c>
      <c r="G230" s="142" t="n">
        <f aca="false">VLOOKUP($A230,Table,MATCH(G$4,Curves,0))</f>
        <v>3.987</v>
      </c>
      <c r="H230" s="143" t="n">
        <f aca="false">G230</f>
        <v>3.987</v>
      </c>
      <c r="I230" s="142" t="n">
        <f aca="false">VLOOKUP($A230,Table1,MATCH(I$3,Curves1,0))</f>
        <v>0</v>
      </c>
      <c r="J230" s="142" t="n">
        <f aca="false">VLOOKUP($A230,Table,MATCH(J$4,Curves,0))</f>
        <v>-0.0305</v>
      </c>
      <c r="K230" s="143" t="n">
        <f aca="false">J230</f>
        <v>-0.0305</v>
      </c>
      <c r="L230" s="144" t="n">
        <v>0</v>
      </c>
      <c r="M230" s="142" t="n">
        <f aca="false">VLOOKUP($A230,Table,MATCH(M$4,Curves,0))</f>
        <v>0.0087</v>
      </c>
      <c r="N230" s="143" t="n">
        <f aca="false">M230</f>
        <v>0.0087</v>
      </c>
      <c r="O230" s="144" t="n">
        <v>0</v>
      </c>
      <c r="P230" s="145"/>
      <c r="Q230" s="144" t="n">
        <f aca="false">M230+J230+G230</f>
        <v>3.9652</v>
      </c>
      <c r="R230" s="144" t="n">
        <f aca="false">O230+L230+I230</f>
        <v>0</v>
      </c>
      <c r="S230" s="145"/>
      <c r="T230" s="71" t="n">
        <f aca="false">A231-A230</f>
        <v>31</v>
      </c>
      <c r="U230" s="146" t="n">
        <f aca="false">CHOOSE(F$3,A231+24,A230)</f>
        <v>43733</v>
      </c>
      <c r="V230" s="71" t="n">
        <f aca="false">U230-C$3</f>
        <v>6845</v>
      </c>
      <c r="W230" s="142" t="n">
        <f aca="false">VLOOKUP($A230,Table,MATCH(W$4,Curves,0))</f>
        <v>0.058966861357273</v>
      </c>
      <c r="X230" s="147" t="n">
        <f aca="false">1/(1+CHOOSE(F$3,(W231+($K$3/10000))/2,(W230+($K$3/10000))/2))^(2*V230/365.25)</f>
        <v>0.336520471192051</v>
      </c>
      <c r="Y230" s="71" t="n">
        <f aca="false">IF(AND(mthbeg&lt;=A230,mthend&gt;=A230),1,0)</f>
        <v>0</v>
      </c>
      <c r="Z230" s="71" t="n">
        <f aca="false">T230*Y230</f>
        <v>0</v>
      </c>
      <c r="AB230" s="132" t="n">
        <f aca="false">F230*G230</f>
        <v>0</v>
      </c>
      <c r="AC230" s="132" t="n">
        <f aca="false">$F230*H230</f>
        <v>0</v>
      </c>
      <c r="AD230" s="132" t="n">
        <f aca="false">$F230*I230</f>
        <v>0</v>
      </c>
      <c r="AE230" s="132" t="n">
        <f aca="false">$F230*J230</f>
        <v>-0</v>
      </c>
      <c r="AF230" s="132" t="n">
        <f aca="false">$F230*K230</f>
        <v>-0</v>
      </c>
      <c r="AG230" s="132" t="n">
        <f aca="false">$F230*L230</f>
        <v>0</v>
      </c>
      <c r="AH230" s="132" t="n">
        <f aca="false">$F230*M230</f>
        <v>0</v>
      </c>
      <c r="AI230" s="132" t="n">
        <f aca="false">$F230*N230</f>
        <v>0</v>
      </c>
      <c r="AJ230" s="132" t="n">
        <f aca="false">F230*O230</f>
        <v>0</v>
      </c>
      <c r="AK230" s="137"/>
      <c r="AL230" s="132" t="n">
        <f aca="false">CHOOSE($G$3,AC230-AD230,AD230-AC230)</f>
        <v>0</v>
      </c>
      <c r="AM230" s="132" t="n">
        <f aca="false">CHOOSE($G$3,AF230-AG230,AG230-AF230)</f>
        <v>0</v>
      </c>
      <c r="AN230" s="132" t="n">
        <f aca="false">CHOOSE($G$3,AI230-AJ230,AJ230-AI230)</f>
        <v>0</v>
      </c>
      <c r="AO230" s="148" t="n">
        <f aca="false">SUM(AL230:AN230)</f>
        <v>0</v>
      </c>
      <c r="AQ230" s="132" t="n">
        <f aca="false">CHOOSE($G$3,AB230-AC230,AC230-AB230)</f>
        <v>0</v>
      </c>
      <c r="AR230" s="132" t="n">
        <f aca="false">CHOOSE($G$3,AE230-AF230,AF230-AE230)</f>
        <v>0</v>
      </c>
      <c r="AS230" s="132" t="n">
        <f aca="false">CHOOSE($G$3,AH230-AI230,AI230-AH230)</f>
        <v>0</v>
      </c>
      <c r="AT230" s="148" t="n">
        <f aca="false">AQ230+AR230+AS230</f>
        <v>0</v>
      </c>
      <c r="AU230" s="148"/>
      <c r="AV230" s="133" t="n">
        <f aca="false">AT230+AO230</f>
        <v>0</v>
      </c>
      <c r="AX230" s="133" t="n">
        <f aca="false">AJ230+AG230+AD230</f>
        <v>0</v>
      </c>
      <c r="AY230" s="149"/>
      <c r="AZ230" s="76" t="n">
        <f aca="false">R230*E230</f>
        <v>0</v>
      </c>
    </row>
    <row r="231" customFormat="false" ht="12" hidden="false" customHeight="true" outlineLevel="0" collapsed="false">
      <c r="A231" s="138" t="n">
        <f aca="false">EDATE(A230,1)</f>
        <v>43709</v>
      </c>
      <c r="B231" s="139" t="n">
        <f aca="false">VLOOKUP($A231,Table2,MATCH(I$3,Curves2,0))</f>
        <v>0</v>
      </c>
      <c r="C231" s="140"/>
      <c r="D231" s="141" t="n">
        <f aca="false">B231+C231</f>
        <v>0</v>
      </c>
      <c r="E231" s="126" t="n">
        <f aca="false">IF(Y231=0,0,IF(AND(Y231=1,$H$3=1),D231*T231,IF($H$3=2,D231,"N/A")))</f>
        <v>0</v>
      </c>
      <c r="F231" s="126" t="n">
        <f aca="false">E231*X231</f>
        <v>0</v>
      </c>
      <c r="G231" s="142" t="n">
        <f aca="false">VLOOKUP($A231,Table,MATCH(G$4,Curves,0))</f>
        <v>3.987</v>
      </c>
      <c r="H231" s="143" t="n">
        <f aca="false">G231</f>
        <v>3.987</v>
      </c>
      <c r="I231" s="142" t="n">
        <f aca="false">VLOOKUP($A231,Table1,MATCH(I$3,Curves1,0))</f>
        <v>0</v>
      </c>
      <c r="J231" s="142" t="n">
        <f aca="false">VLOOKUP($A231,Table,MATCH(J$4,Curves,0))</f>
        <v>-0.0305</v>
      </c>
      <c r="K231" s="143" t="n">
        <f aca="false">J231</f>
        <v>-0.0305</v>
      </c>
      <c r="L231" s="144" t="n">
        <v>0</v>
      </c>
      <c r="M231" s="142" t="n">
        <f aca="false">VLOOKUP($A231,Table,MATCH(M$4,Curves,0))</f>
        <v>0.0087</v>
      </c>
      <c r="N231" s="143" t="n">
        <f aca="false">M231</f>
        <v>0.0087</v>
      </c>
      <c r="O231" s="144" t="n">
        <v>0</v>
      </c>
      <c r="P231" s="145"/>
      <c r="Q231" s="144" t="n">
        <f aca="false">M231+J231+G231</f>
        <v>3.9652</v>
      </c>
      <c r="R231" s="144" t="n">
        <f aca="false">O231+L231+I231</f>
        <v>0</v>
      </c>
      <c r="S231" s="145"/>
      <c r="T231" s="71" t="n">
        <f aca="false">A232-A231</f>
        <v>30</v>
      </c>
      <c r="U231" s="146" t="n">
        <f aca="false">CHOOSE(F$3,A232+24,A231)</f>
        <v>43763</v>
      </c>
      <c r="V231" s="71" t="n">
        <f aca="false">U231-C$3</f>
        <v>6875</v>
      </c>
      <c r="W231" s="142" t="n">
        <f aca="false">VLOOKUP($A231,Table,MATCH(W$4,Curves,0))</f>
        <v>0.058966861357273</v>
      </c>
      <c r="X231" s="147" t="n">
        <f aca="false">1/(1+CHOOSE(F$3,(W232+($K$3/10000))/2,(W231+($K$3/10000))/2))^(2*V231/365.25)</f>
        <v>0.33491800274803</v>
      </c>
      <c r="Y231" s="71" t="n">
        <f aca="false">IF(AND(mthbeg&lt;=A231,mthend&gt;=A231),1,0)</f>
        <v>0</v>
      </c>
      <c r="Z231" s="71" t="n">
        <f aca="false">T231*Y231</f>
        <v>0</v>
      </c>
      <c r="AB231" s="132" t="n">
        <f aca="false">F231*G231</f>
        <v>0</v>
      </c>
      <c r="AC231" s="132" t="n">
        <f aca="false">$F231*H231</f>
        <v>0</v>
      </c>
      <c r="AD231" s="132" t="n">
        <f aca="false">$F231*I231</f>
        <v>0</v>
      </c>
      <c r="AE231" s="132" t="n">
        <f aca="false">$F231*J231</f>
        <v>-0</v>
      </c>
      <c r="AF231" s="132" t="n">
        <f aca="false">$F231*K231</f>
        <v>-0</v>
      </c>
      <c r="AG231" s="132" t="n">
        <f aca="false">$F231*L231</f>
        <v>0</v>
      </c>
      <c r="AH231" s="132" t="n">
        <f aca="false">$F231*M231</f>
        <v>0</v>
      </c>
      <c r="AI231" s="132" t="n">
        <f aca="false">$F231*N231</f>
        <v>0</v>
      </c>
      <c r="AJ231" s="132" t="n">
        <f aca="false">F231*O231</f>
        <v>0</v>
      </c>
      <c r="AK231" s="137"/>
      <c r="AL231" s="132" t="n">
        <f aca="false">CHOOSE($G$3,AC231-AD231,AD231-AC231)</f>
        <v>0</v>
      </c>
      <c r="AM231" s="132" t="n">
        <f aca="false">CHOOSE($G$3,AF231-AG231,AG231-AF231)</f>
        <v>0</v>
      </c>
      <c r="AN231" s="132" t="n">
        <f aca="false">CHOOSE($G$3,AI231-AJ231,AJ231-AI231)</f>
        <v>0</v>
      </c>
      <c r="AO231" s="148" t="n">
        <f aca="false">SUM(AL231:AN231)</f>
        <v>0</v>
      </c>
      <c r="AQ231" s="132" t="n">
        <f aca="false">CHOOSE($G$3,AB231-AC231,AC231-AB231)</f>
        <v>0</v>
      </c>
      <c r="AR231" s="132" t="n">
        <f aca="false">CHOOSE($G$3,AE231-AF231,AF231-AE231)</f>
        <v>0</v>
      </c>
      <c r="AS231" s="132" t="n">
        <f aca="false">CHOOSE($G$3,AH231-AI231,AI231-AH231)</f>
        <v>0</v>
      </c>
      <c r="AT231" s="148" t="n">
        <f aca="false">AQ231+AR231+AS231</f>
        <v>0</v>
      </c>
      <c r="AU231" s="148"/>
      <c r="AV231" s="133" t="n">
        <f aca="false">AT231+AO231</f>
        <v>0</v>
      </c>
      <c r="AX231" s="133" t="n">
        <f aca="false">AJ231+AG231+AD231</f>
        <v>0</v>
      </c>
      <c r="AY231" s="149"/>
      <c r="AZ231" s="76" t="n">
        <f aca="false">R231*E231</f>
        <v>0</v>
      </c>
    </row>
    <row r="232" customFormat="false" ht="12" hidden="false" customHeight="true" outlineLevel="0" collapsed="false">
      <c r="A232" s="138" t="n">
        <f aca="false">EDATE(A231,1)</f>
        <v>43739</v>
      </c>
      <c r="B232" s="139" t="n">
        <f aca="false">VLOOKUP($A232,Table2,MATCH(I$3,Curves2,0))</f>
        <v>0</v>
      </c>
      <c r="C232" s="140"/>
      <c r="D232" s="141" t="n">
        <f aca="false">B232+C232</f>
        <v>0</v>
      </c>
      <c r="E232" s="126" t="n">
        <f aca="false">IF(Y232=0,0,IF(AND(Y232=1,$H$3=1),D232*T232,IF($H$3=2,D232,"N/A")))</f>
        <v>0</v>
      </c>
      <c r="F232" s="126" t="n">
        <f aca="false">E232*X232</f>
        <v>0</v>
      </c>
      <c r="G232" s="142" t="n">
        <f aca="false">VLOOKUP($A232,Table,MATCH(G$4,Curves,0))</f>
        <v>3.987</v>
      </c>
      <c r="H232" s="143" t="n">
        <f aca="false">G232</f>
        <v>3.987</v>
      </c>
      <c r="I232" s="142" t="n">
        <f aca="false">VLOOKUP($A232,Table1,MATCH(I$3,Curves1,0))</f>
        <v>0</v>
      </c>
      <c r="J232" s="142" t="n">
        <f aca="false">VLOOKUP($A232,Table,MATCH(J$4,Curves,0))</f>
        <v>-0.0305</v>
      </c>
      <c r="K232" s="143" t="n">
        <f aca="false">J232</f>
        <v>-0.0305</v>
      </c>
      <c r="L232" s="144" t="n">
        <v>0</v>
      </c>
      <c r="M232" s="142" t="n">
        <f aca="false">VLOOKUP($A232,Table,MATCH(M$4,Curves,0))</f>
        <v>0.0087</v>
      </c>
      <c r="N232" s="143" t="n">
        <f aca="false">M232</f>
        <v>0.0087</v>
      </c>
      <c r="O232" s="144" t="n">
        <v>0</v>
      </c>
      <c r="P232" s="145"/>
      <c r="Q232" s="144" t="n">
        <f aca="false">M232+J232+G232</f>
        <v>3.9652</v>
      </c>
      <c r="R232" s="144" t="n">
        <f aca="false">O232+L232+I232</f>
        <v>0</v>
      </c>
      <c r="S232" s="145"/>
      <c r="T232" s="71" t="n">
        <f aca="false">A233-A232</f>
        <v>31</v>
      </c>
      <c r="U232" s="146" t="n">
        <f aca="false">CHOOSE(F$3,A233+24,A232)</f>
        <v>43794</v>
      </c>
      <c r="V232" s="71" t="n">
        <f aca="false">U232-C$3</f>
        <v>6906</v>
      </c>
      <c r="W232" s="142" t="n">
        <f aca="false">VLOOKUP($A232,Table,MATCH(W$4,Curves,0))</f>
        <v>0.058966861357273</v>
      </c>
      <c r="X232" s="147" t="n">
        <f aca="false">1/(1+CHOOSE(F$3,(W233+($K$3/10000))/2,(W232+($K$3/10000))/2))^(2*V232/365.25)</f>
        <v>0.333270134796143</v>
      </c>
      <c r="Y232" s="71" t="n">
        <f aca="false">IF(AND(mthbeg&lt;=A232,mthend&gt;=A232),1,0)</f>
        <v>0</v>
      </c>
      <c r="Z232" s="71" t="n">
        <f aca="false">T232*Y232</f>
        <v>0</v>
      </c>
      <c r="AB232" s="132" t="n">
        <f aca="false">F232*G232</f>
        <v>0</v>
      </c>
      <c r="AC232" s="132" t="n">
        <f aca="false">$F232*H232</f>
        <v>0</v>
      </c>
      <c r="AD232" s="132" t="n">
        <f aca="false">$F232*I232</f>
        <v>0</v>
      </c>
      <c r="AE232" s="132" t="n">
        <f aca="false">$F232*J232</f>
        <v>-0</v>
      </c>
      <c r="AF232" s="132" t="n">
        <f aca="false">$F232*K232</f>
        <v>-0</v>
      </c>
      <c r="AG232" s="132" t="n">
        <f aca="false">$F232*L232</f>
        <v>0</v>
      </c>
      <c r="AH232" s="132" t="n">
        <f aca="false">$F232*M232</f>
        <v>0</v>
      </c>
      <c r="AI232" s="132" t="n">
        <f aca="false">$F232*N232</f>
        <v>0</v>
      </c>
      <c r="AJ232" s="132" t="n">
        <f aca="false">F232*O232</f>
        <v>0</v>
      </c>
      <c r="AK232" s="137"/>
      <c r="AL232" s="132" t="n">
        <f aca="false">CHOOSE($G$3,AC232-AD232,AD232-AC232)</f>
        <v>0</v>
      </c>
      <c r="AM232" s="132" t="n">
        <f aca="false">CHOOSE($G$3,AF232-AG232,AG232-AF232)</f>
        <v>0</v>
      </c>
      <c r="AN232" s="132" t="n">
        <f aca="false">CHOOSE($G$3,AI232-AJ232,AJ232-AI232)</f>
        <v>0</v>
      </c>
      <c r="AO232" s="148" t="n">
        <f aca="false">SUM(AL232:AN232)</f>
        <v>0</v>
      </c>
      <c r="AQ232" s="132" t="n">
        <f aca="false">CHOOSE($G$3,AB232-AC232,AC232-AB232)</f>
        <v>0</v>
      </c>
      <c r="AR232" s="132" t="n">
        <f aca="false">CHOOSE($G$3,AE232-AF232,AF232-AE232)</f>
        <v>0</v>
      </c>
      <c r="AS232" s="132" t="n">
        <f aca="false">CHOOSE($G$3,AH232-AI232,AI232-AH232)</f>
        <v>0</v>
      </c>
      <c r="AT232" s="148" t="n">
        <f aca="false">AQ232+AR232+AS232</f>
        <v>0</v>
      </c>
      <c r="AU232" s="148"/>
      <c r="AV232" s="133" t="n">
        <f aca="false">AT232+AO232</f>
        <v>0</v>
      </c>
      <c r="AX232" s="133" t="n">
        <f aca="false">AJ232+AG232+AD232</f>
        <v>0</v>
      </c>
      <c r="AY232" s="149"/>
      <c r="AZ232" s="76" t="n">
        <f aca="false">R232*E232</f>
        <v>0</v>
      </c>
    </row>
    <row r="233" customFormat="false" ht="12" hidden="false" customHeight="true" outlineLevel="0" collapsed="false">
      <c r="A233" s="138" t="n">
        <f aca="false">EDATE(A232,1)</f>
        <v>43770</v>
      </c>
      <c r="B233" s="139" t="n">
        <f aca="false">VLOOKUP($A233,Table2,MATCH(I$3,Curves2,0))</f>
        <v>0</v>
      </c>
      <c r="C233" s="140"/>
      <c r="D233" s="141" t="n">
        <f aca="false">B233+C233</f>
        <v>0</v>
      </c>
      <c r="E233" s="126" t="n">
        <f aca="false">IF(Y233=0,0,IF(AND(Y233=1,$H$3=1),D233*T233,IF($H$3=2,D233,"N/A")))</f>
        <v>0</v>
      </c>
      <c r="F233" s="126" t="n">
        <f aca="false">E233*X233</f>
        <v>0</v>
      </c>
      <c r="G233" s="142" t="n">
        <f aca="false">VLOOKUP($A233,Table,MATCH(G$4,Curves,0))</f>
        <v>3.987</v>
      </c>
      <c r="H233" s="143" t="n">
        <f aca="false">G233</f>
        <v>3.987</v>
      </c>
      <c r="I233" s="142" t="n">
        <f aca="false">VLOOKUP($A233,Table1,MATCH(I$3,Curves1,0))</f>
        <v>0</v>
      </c>
      <c r="J233" s="142" t="n">
        <f aca="false">VLOOKUP($A233,Table,MATCH(J$4,Curves,0))</f>
        <v>-0.0305</v>
      </c>
      <c r="K233" s="143" t="n">
        <f aca="false">J233</f>
        <v>-0.0305</v>
      </c>
      <c r="L233" s="144" t="n">
        <v>0</v>
      </c>
      <c r="M233" s="142" t="n">
        <f aca="false">VLOOKUP($A233,Table,MATCH(M$4,Curves,0))</f>
        <v>0.0087</v>
      </c>
      <c r="N233" s="143" t="n">
        <f aca="false">M233</f>
        <v>0.0087</v>
      </c>
      <c r="O233" s="144" t="n">
        <v>0</v>
      </c>
      <c r="P233" s="145"/>
      <c r="Q233" s="144" t="n">
        <f aca="false">M233+J233+G233</f>
        <v>3.9652</v>
      </c>
      <c r="R233" s="144" t="n">
        <f aca="false">O233+L233+I233</f>
        <v>0</v>
      </c>
      <c r="S233" s="145"/>
      <c r="T233" s="71" t="n">
        <f aca="false">A234-A233</f>
        <v>30</v>
      </c>
      <c r="U233" s="146" t="n">
        <f aca="false">CHOOSE(F$3,A234+24,A233)</f>
        <v>43824</v>
      </c>
      <c r="V233" s="71" t="n">
        <f aca="false">U233-C$3</f>
        <v>6936</v>
      </c>
      <c r="W233" s="142" t="n">
        <f aca="false">VLOOKUP($A233,Table,MATCH(W$4,Curves,0))</f>
        <v>0.058966861357273</v>
      </c>
      <c r="X233" s="147" t="n">
        <f aca="false">1/(1+CHOOSE(F$3,(W234+($K$3/10000))/2,(W233+($K$3/10000))/2))^(2*V233/365.25)</f>
        <v>0.331683144047991</v>
      </c>
      <c r="Y233" s="71" t="n">
        <f aca="false">IF(AND(mthbeg&lt;=A233,mthend&gt;=A233),1,0)</f>
        <v>0</v>
      </c>
      <c r="Z233" s="71" t="n">
        <f aca="false">T233*Y233</f>
        <v>0</v>
      </c>
      <c r="AB233" s="132" t="n">
        <f aca="false">F233*G233</f>
        <v>0</v>
      </c>
      <c r="AC233" s="132" t="n">
        <f aca="false">$F233*H233</f>
        <v>0</v>
      </c>
      <c r="AD233" s="132" t="n">
        <f aca="false">$F233*I233</f>
        <v>0</v>
      </c>
      <c r="AE233" s="132" t="n">
        <f aca="false">$F233*J233</f>
        <v>-0</v>
      </c>
      <c r="AF233" s="132" t="n">
        <f aca="false">$F233*K233</f>
        <v>-0</v>
      </c>
      <c r="AG233" s="132" t="n">
        <f aca="false">$F233*L233</f>
        <v>0</v>
      </c>
      <c r="AH233" s="132" t="n">
        <f aca="false">$F233*M233</f>
        <v>0</v>
      </c>
      <c r="AI233" s="132" t="n">
        <f aca="false">$F233*N233</f>
        <v>0</v>
      </c>
      <c r="AJ233" s="132" t="n">
        <f aca="false">F233*O233</f>
        <v>0</v>
      </c>
      <c r="AK233" s="137"/>
      <c r="AL233" s="132" t="n">
        <f aca="false">CHOOSE($G$3,AC233-AD233,AD233-AC233)</f>
        <v>0</v>
      </c>
      <c r="AM233" s="132" t="n">
        <f aca="false">CHOOSE($G$3,AF233-AG233,AG233-AF233)</f>
        <v>0</v>
      </c>
      <c r="AN233" s="132" t="n">
        <f aca="false">CHOOSE($G$3,AI233-AJ233,AJ233-AI233)</f>
        <v>0</v>
      </c>
      <c r="AO233" s="148" t="n">
        <f aca="false">SUM(AL233:AN233)</f>
        <v>0</v>
      </c>
      <c r="AQ233" s="132" t="n">
        <f aca="false">CHOOSE($G$3,AB233-AC233,AC233-AB233)</f>
        <v>0</v>
      </c>
      <c r="AR233" s="132" t="n">
        <f aca="false">CHOOSE($G$3,AE233-AF233,AF233-AE233)</f>
        <v>0</v>
      </c>
      <c r="AS233" s="132" t="n">
        <f aca="false">CHOOSE($G$3,AH233-AI233,AI233-AH233)</f>
        <v>0</v>
      </c>
      <c r="AT233" s="148" t="n">
        <f aca="false">AQ233+AR233+AS233</f>
        <v>0</v>
      </c>
      <c r="AU233" s="148"/>
      <c r="AV233" s="133" t="n">
        <f aca="false">AT233+AO233</f>
        <v>0</v>
      </c>
      <c r="AX233" s="133" t="n">
        <f aca="false">AJ233+AG233+AD233</f>
        <v>0</v>
      </c>
      <c r="AY233" s="149"/>
      <c r="AZ233" s="76" t="n">
        <f aca="false">R233*E233</f>
        <v>0</v>
      </c>
    </row>
    <row r="234" customFormat="false" ht="12" hidden="false" customHeight="true" outlineLevel="0" collapsed="false">
      <c r="A234" s="138" t="n">
        <f aca="false">EDATE(A233,1)</f>
        <v>43800</v>
      </c>
      <c r="B234" s="139" t="n">
        <f aca="false">VLOOKUP($A234,Table2,MATCH(I$3,Curves2,0))</f>
        <v>0</v>
      </c>
      <c r="C234" s="140"/>
      <c r="D234" s="141" t="n">
        <f aca="false">B234+C234</f>
        <v>0</v>
      </c>
      <c r="E234" s="126" t="n">
        <f aca="false">IF(Y234=0,0,IF(AND(Y234=1,$H$3=1),D234*T234,IF($H$3=2,D234,"N/A")))</f>
        <v>0</v>
      </c>
      <c r="F234" s="126" t="n">
        <f aca="false">E234*X234</f>
        <v>0</v>
      </c>
      <c r="G234" s="142" t="n">
        <f aca="false">VLOOKUP($A234,Table,MATCH(G$4,Curves,0))</f>
        <v>3.987</v>
      </c>
      <c r="H234" s="143" t="n">
        <f aca="false">G234</f>
        <v>3.987</v>
      </c>
      <c r="I234" s="142" t="n">
        <f aca="false">VLOOKUP($A234,Table1,MATCH(I$3,Curves1,0))</f>
        <v>0</v>
      </c>
      <c r="J234" s="142" t="n">
        <f aca="false">VLOOKUP($A234,Table,MATCH(J$4,Curves,0))</f>
        <v>-0.0305</v>
      </c>
      <c r="K234" s="143" t="n">
        <f aca="false">J234</f>
        <v>-0.0305</v>
      </c>
      <c r="L234" s="144" t="n">
        <v>0</v>
      </c>
      <c r="M234" s="142" t="n">
        <f aca="false">VLOOKUP($A234,Table,MATCH(M$4,Curves,0))</f>
        <v>0.0087</v>
      </c>
      <c r="N234" s="143" t="n">
        <f aca="false">M234</f>
        <v>0.0087</v>
      </c>
      <c r="O234" s="144" t="n">
        <v>0</v>
      </c>
      <c r="P234" s="145"/>
      <c r="Q234" s="144" t="n">
        <f aca="false">M234+J234+G234</f>
        <v>3.9652</v>
      </c>
      <c r="R234" s="144" t="n">
        <f aca="false">O234+L234+I234</f>
        <v>0</v>
      </c>
      <c r="S234" s="145"/>
      <c r="T234" s="71" t="n">
        <f aca="false">A235-A234</f>
        <v>31</v>
      </c>
      <c r="U234" s="146" t="n">
        <f aca="false">CHOOSE(F$3,A235+24,A234)</f>
        <v>43855</v>
      </c>
      <c r="V234" s="71" t="n">
        <f aca="false">U234-C$3</f>
        <v>6967</v>
      </c>
      <c r="W234" s="142" t="n">
        <f aca="false">VLOOKUP($A234,Table,MATCH(W$4,Curves,0))</f>
        <v>0.058966861357273</v>
      </c>
      <c r="X234" s="147" t="n">
        <f aca="false">1/(1+CHOOSE(F$3,(W235+($K$3/10000))/2,(W234+($K$3/10000))/2))^(2*V234/365.25)</f>
        <v>0.330051192290329</v>
      </c>
      <c r="Y234" s="71" t="n">
        <f aca="false">IF(AND(mthbeg&lt;=A234,mthend&gt;=A234),1,0)</f>
        <v>0</v>
      </c>
      <c r="Z234" s="71" t="n">
        <f aca="false">T234*Y234</f>
        <v>0</v>
      </c>
      <c r="AB234" s="132" t="n">
        <f aca="false">F234*G234</f>
        <v>0</v>
      </c>
      <c r="AC234" s="132" t="n">
        <f aca="false">$F234*H234</f>
        <v>0</v>
      </c>
      <c r="AD234" s="132" t="n">
        <f aca="false">$F234*I234</f>
        <v>0</v>
      </c>
      <c r="AE234" s="132" t="n">
        <f aca="false">$F234*J234</f>
        <v>-0</v>
      </c>
      <c r="AF234" s="132" t="n">
        <f aca="false">$F234*K234</f>
        <v>-0</v>
      </c>
      <c r="AG234" s="132" t="n">
        <f aca="false">$F234*L234</f>
        <v>0</v>
      </c>
      <c r="AH234" s="132" t="n">
        <f aca="false">$F234*M234</f>
        <v>0</v>
      </c>
      <c r="AI234" s="132" t="n">
        <f aca="false">$F234*N234</f>
        <v>0</v>
      </c>
      <c r="AJ234" s="132" t="n">
        <f aca="false">F234*O234</f>
        <v>0</v>
      </c>
      <c r="AK234" s="137"/>
      <c r="AL234" s="132" t="n">
        <f aca="false">CHOOSE($G$3,AC234-AD234,AD234-AC234)</f>
        <v>0</v>
      </c>
      <c r="AM234" s="132" t="n">
        <f aca="false">CHOOSE($G$3,AF234-AG234,AG234-AF234)</f>
        <v>0</v>
      </c>
      <c r="AN234" s="132" t="n">
        <f aca="false">CHOOSE($G$3,AI234-AJ234,AJ234-AI234)</f>
        <v>0</v>
      </c>
      <c r="AO234" s="148" t="n">
        <f aca="false">SUM(AL234:AN234)</f>
        <v>0</v>
      </c>
      <c r="AQ234" s="132" t="n">
        <f aca="false">CHOOSE($G$3,AB234-AC234,AC234-AB234)</f>
        <v>0</v>
      </c>
      <c r="AR234" s="132" t="n">
        <f aca="false">CHOOSE($G$3,AE234-AF234,AF234-AE234)</f>
        <v>0</v>
      </c>
      <c r="AS234" s="132" t="n">
        <f aca="false">CHOOSE($G$3,AH234-AI234,AI234-AH234)</f>
        <v>0</v>
      </c>
      <c r="AT234" s="148" t="n">
        <f aca="false">AQ234+AR234+AS234</f>
        <v>0</v>
      </c>
      <c r="AU234" s="148"/>
      <c r="AV234" s="133" t="n">
        <f aca="false">AT234+AO234</f>
        <v>0</v>
      </c>
      <c r="AX234" s="133" t="n">
        <f aca="false">AJ234+AG234+AD234</f>
        <v>0</v>
      </c>
      <c r="AY234" s="149"/>
      <c r="AZ234" s="76" t="n">
        <f aca="false">R234*E234</f>
        <v>0</v>
      </c>
    </row>
    <row r="235" customFormat="false" ht="12" hidden="false" customHeight="true" outlineLevel="0" collapsed="false">
      <c r="A235" s="138" t="n">
        <f aca="false">EDATE(A234,1)</f>
        <v>43831</v>
      </c>
      <c r="B235" s="139" t="n">
        <f aca="false">VLOOKUP($A235,Table2,MATCH(I$3,Curves2,0))</f>
        <v>0</v>
      </c>
      <c r="C235" s="140"/>
      <c r="D235" s="141" t="n">
        <f aca="false">B235+C235</f>
        <v>0</v>
      </c>
      <c r="E235" s="126" t="n">
        <f aca="false">IF(Y235=0,0,IF(AND(Y235=1,$H$3=1),D235*T235,IF($H$3=2,D235,"N/A")))</f>
        <v>0</v>
      </c>
      <c r="F235" s="126" t="n">
        <f aca="false">E235*X235</f>
        <v>0</v>
      </c>
      <c r="G235" s="142" t="n">
        <f aca="false">VLOOKUP($A235,Table,MATCH(G$4,Curves,0))</f>
        <v>3.987</v>
      </c>
      <c r="H235" s="143" t="n">
        <f aca="false">G235</f>
        <v>3.987</v>
      </c>
      <c r="I235" s="142" t="n">
        <f aca="false">VLOOKUP($A235,Table1,MATCH(I$3,Curves1,0))</f>
        <v>0</v>
      </c>
      <c r="J235" s="142" t="n">
        <f aca="false">VLOOKUP($A235,Table,MATCH(J$4,Curves,0))</f>
        <v>-0.0305</v>
      </c>
      <c r="K235" s="143" t="n">
        <f aca="false">J235</f>
        <v>-0.0305</v>
      </c>
      <c r="L235" s="144" t="n">
        <v>0</v>
      </c>
      <c r="M235" s="142" t="n">
        <f aca="false">VLOOKUP($A235,Table,MATCH(M$4,Curves,0))</f>
        <v>0.0087</v>
      </c>
      <c r="N235" s="143" t="n">
        <f aca="false">M235</f>
        <v>0.0087</v>
      </c>
      <c r="O235" s="144" t="n">
        <v>0</v>
      </c>
      <c r="P235" s="145"/>
      <c r="Q235" s="144" t="n">
        <f aca="false">M235+J235+G235</f>
        <v>3.9652</v>
      </c>
      <c r="R235" s="144" t="n">
        <f aca="false">O235+L235+I235</f>
        <v>0</v>
      </c>
      <c r="S235" s="145"/>
      <c r="T235" s="71" t="n">
        <f aca="false">A236-A235</f>
        <v>31</v>
      </c>
      <c r="U235" s="146" t="n">
        <f aca="false">CHOOSE(F$3,A236+24,A235)</f>
        <v>43886</v>
      </c>
      <c r="V235" s="71" t="n">
        <f aca="false">U235-C$3</f>
        <v>6998</v>
      </c>
      <c r="W235" s="142" t="n">
        <f aca="false">VLOOKUP($A235,Table,MATCH(W$4,Curves,0))</f>
        <v>0.058966861357273</v>
      </c>
      <c r="X235" s="147" t="n">
        <f aca="false">1/(1+CHOOSE(F$3,(W236+($K$3/10000))/2,(W235+($K$3/10000))/2))^(2*V235/365.25)</f>
        <v>0.328427270083118</v>
      </c>
      <c r="Y235" s="71" t="n">
        <f aca="false">IF(AND(mthbeg&lt;=A235,mthend&gt;=A235),1,0)</f>
        <v>0</v>
      </c>
      <c r="Z235" s="71" t="n">
        <f aca="false">T235*Y235</f>
        <v>0</v>
      </c>
      <c r="AB235" s="132" t="n">
        <f aca="false">F235*G235</f>
        <v>0</v>
      </c>
      <c r="AC235" s="132" t="n">
        <f aca="false">$F235*H235</f>
        <v>0</v>
      </c>
      <c r="AD235" s="132" t="n">
        <f aca="false">$F235*I235</f>
        <v>0</v>
      </c>
      <c r="AE235" s="132" t="n">
        <f aca="false">$F235*J235</f>
        <v>-0</v>
      </c>
      <c r="AF235" s="132" t="n">
        <f aca="false">$F235*K235</f>
        <v>-0</v>
      </c>
      <c r="AG235" s="132" t="n">
        <f aca="false">$F235*L235</f>
        <v>0</v>
      </c>
      <c r="AH235" s="132" t="n">
        <f aca="false">$F235*M235</f>
        <v>0</v>
      </c>
      <c r="AI235" s="132" t="n">
        <f aca="false">$F235*N235</f>
        <v>0</v>
      </c>
      <c r="AJ235" s="132" t="n">
        <f aca="false">F235*O235</f>
        <v>0</v>
      </c>
      <c r="AK235" s="137"/>
      <c r="AL235" s="132" t="n">
        <f aca="false">CHOOSE($G$3,AC235-AD235,AD235-AC235)</f>
        <v>0</v>
      </c>
      <c r="AM235" s="132" t="n">
        <f aca="false">CHOOSE($G$3,AF235-AG235,AG235-AF235)</f>
        <v>0</v>
      </c>
      <c r="AN235" s="132" t="n">
        <f aca="false">CHOOSE($G$3,AI235-AJ235,AJ235-AI235)</f>
        <v>0</v>
      </c>
      <c r="AO235" s="148" t="n">
        <f aca="false">SUM(AL235:AN235)</f>
        <v>0</v>
      </c>
      <c r="AQ235" s="132" t="n">
        <f aca="false">CHOOSE($G$3,AB235-AC235,AC235-AB235)</f>
        <v>0</v>
      </c>
      <c r="AR235" s="132" t="n">
        <f aca="false">CHOOSE($G$3,AE235-AF235,AF235-AE235)</f>
        <v>0</v>
      </c>
      <c r="AS235" s="132" t="n">
        <f aca="false">CHOOSE($G$3,AH235-AI235,AI235-AH235)</f>
        <v>0</v>
      </c>
      <c r="AT235" s="148" t="n">
        <f aca="false">AQ235+AR235+AS235</f>
        <v>0</v>
      </c>
      <c r="AU235" s="148"/>
      <c r="AV235" s="133" t="n">
        <f aca="false">AT235+AO235</f>
        <v>0</v>
      </c>
      <c r="AX235" s="133" t="n">
        <f aca="false">AJ235+AG235+AD235</f>
        <v>0</v>
      </c>
      <c r="AY235" s="149"/>
      <c r="AZ235" s="76" t="n">
        <f aca="false">R235*E235</f>
        <v>0</v>
      </c>
    </row>
    <row r="236" customFormat="false" ht="12" hidden="false" customHeight="true" outlineLevel="0" collapsed="false">
      <c r="A236" s="138" t="n">
        <f aca="false">EDATE(A235,1)</f>
        <v>43862</v>
      </c>
      <c r="B236" s="139" t="n">
        <f aca="false">VLOOKUP($A236,Table2,MATCH(I$3,Curves2,0))</f>
        <v>0</v>
      </c>
      <c r="C236" s="140"/>
      <c r="D236" s="141" t="n">
        <f aca="false">B236+C236</f>
        <v>0</v>
      </c>
      <c r="E236" s="126" t="n">
        <f aca="false">IF(Y236=0,0,IF(AND(Y236=1,$H$3=1),D236*T236,IF($H$3=2,D236,"N/A")))</f>
        <v>0</v>
      </c>
      <c r="F236" s="126" t="n">
        <f aca="false">E236*X236</f>
        <v>0</v>
      </c>
      <c r="G236" s="142" t="n">
        <f aca="false">VLOOKUP($A236,Table,MATCH(G$4,Curves,0))</f>
        <v>3.987</v>
      </c>
      <c r="H236" s="143" t="n">
        <f aca="false">G236</f>
        <v>3.987</v>
      </c>
      <c r="I236" s="142" t="n">
        <f aca="false">VLOOKUP($A236,Table1,MATCH(I$3,Curves1,0))</f>
        <v>0</v>
      </c>
      <c r="J236" s="142" t="n">
        <f aca="false">VLOOKUP($A236,Table,MATCH(J$4,Curves,0))</f>
        <v>-0.0305</v>
      </c>
      <c r="K236" s="143" t="n">
        <f aca="false">J236</f>
        <v>-0.0305</v>
      </c>
      <c r="L236" s="144" t="n">
        <v>0</v>
      </c>
      <c r="M236" s="142" t="n">
        <f aca="false">VLOOKUP($A236,Table,MATCH(M$4,Curves,0))</f>
        <v>0.0087</v>
      </c>
      <c r="N236" s="143" t="n">
        <f aca="false">M236</f>
        <v>0.0087</v>
      </c>
      <c r="O236" s="144" t="n">
        <v>0</v>
      </c>
      <c r="P236" s="145"/>
      <c r="Q236" s="144" t="n">
        <f aca="false">M236+J236+G236</f>
        <v>3.9652</v>
      </c>
      <c r="R236" s="144" t="n">
        <f aca="false">O236+L236+I236</f>
        <v>0</v>
      </c>
      <c r="S236" s="145"/>
      <c r="T236" s="71" t="n">
        <f aca="false">A237-A236</f>
        <v>29</v>
      </c>
      <c r="U236" s="146" t="n">
        <f aca="false">CHOOSE(F$3,A237+24,A236)</f>
        <v>43915</v>
      </c>
      <c r="V236" s="71" t="n">
        <f aca="false">U236-C$3</f>
        <v>7027</v>
      </c>
      <c r="W236" s="142" t="n">
        <f aca="false">VLOOKUP($A236,Table,MATCH(W$4,Curves,0))</f>
        <v>0.058966861357273</v>
      </c>
      <c r="X236" s="147" t="n">
        <f aca="false">1/(1+CHOOSE(F$3,(W237+($K$3/10000))/2,(W236+($K$3/10000))/2))^(2*V236/365.25)</f>
        <v>0.326915351258902</v>
      </c>
      <c r="Y236" s="71" t="n">
        <f aca="false">IF(AND(mthbeg&lt;=A236,mthend&gt;=A236),1,0)</f>
        <v>0</v>
      </c>
      <c r="Z236" s="71" t="n">
        <f aca="false">T236*Y236</f>
        <v>0</v>
      </c>
      <c r="AB236" s="132" t="n">
        <f aca="false">F236*G236</f>
        <v>0</v>
      </c>
      <c r="AC236" s="132" t="n">
        <f aca="false">$F236*H236</f>
        <v>0</v>
      </c>
      <c r="AD236" s="132" t="n">
        <f aca="false">$F236*I236</f>
        <v>0</v>
      </c>
      <c r="AE236" s="132" t="n">
        <f aca="false">$F236*J236</f>
        <v>-0</v>
      </c>
      <c r="AF236" s="132" t="n">
        <f aca="false">$F236*K236</f>
        <v>-0</v>
      </c>
      <c r="AG236" s="132" t="n">
        <f aca="false">$F236*L236</f>
        <v>0</v>
      </c>
      <c r="AH236" s="132" t="n">
        <f aca="false">$F236*M236</f>
        <v>0</v>
      </c>
      <c r="AI236" s="132" t="n">
        <f aca="false">$F236*N236</f>
        <v>0</v>
      </c>
      <c r="AJ236" s="132" t="n">
        <f aca="false">F236*O236</f>
        <v>0</v>
      </c>
      <c r="AK236" s="137"/>
      <c r="AL236" s="132" t="n">
        <f aca="false">CHOOSE($G$3,AC236-AD236,AD236-AC236)</f>
        <v>0</v>
      </c>
      <c r="AM236" s="132" t="n">
        <f aca="false">CHOOSE($G$3,AF236-AG236,AG236-AF236)</f>
        <v>0</v>
      </c>
      <c r="AN236" s="132" t="n">
        <f aca="false">CHOOSE($G$3,AI236-AJ236,AJ236-AI236)</f>
        <v>0</v>
      </c>
      <c r="AO236" s="148" t="n">
        <f aca="false">SUM(AL236:AN236)</f>
        <v>0</v>
      </c>
      <c r="AQ236" s="132" t="n">
        <f aca="false">CHOOSE($G$3,AB236-AC236,AC236-AB236)</f>
        <v>0</v>
      </c>
      <c r="AR236" s="132" t="n">
        <f aca="false">CHOOSE($G$3,AE236-AF236,AF236-AE236)</f>
        <v>0</v>
      </c>
      <c r="AS236" s="132" t="n">
        <f aca="false">CHOOSE($G$3,AH236-AI236,AI236-AH236)</f>
        <v>0</v>
      </c>
      <c r="AT236" s="148" t="n">
        <f aca="false">AQ236+AR236+AS236</f>
        <v>0</v>
      </c>
      <c r="AU236" s="148"/>
      <c r="AV236" s="133" t="n">
        <f aca="false">AT236+AO236</f>
        <v>0</v>
      </c>
      <c r="AX236" s="133" t="n">
        <f aca="false">AJ236+AG236+AD236</f>
        <v>0</v>
      </c>
      <c r="AY236" s="149"/>
      <c r="AZ236" s="76" t="n">
        <f aca="false">R236*E236</f>
        <v>0</v>
      </c>
    </row>
    <row r="237" customFormat="false" ht="12" hidden="false" customHeight="true" outlineLevel="0" collapsed="false">
      <c r="A237" s="138" t="n">
        <f aca="false">EDATE(A236,1)</f>
        <v>43891</v>
      </c>
      <c r="B237" s="139" t="n">
        <f aca="false">VLOOKUP($A237,Table2,MATCH(I$3,Curves2,0))</f>
        <v>0</v>
      </c>
      <c r="C237" s="140"/>
      <c r="D237" s="141" t="n">
        <f aca="false">B237+C237</f>
        <v>0</v>
      </c>
      <c r="E237" s="126" t="n">
        <f aca="false">IF(Y237=0,0,IF(AND(Y237=1,$H$3=1),D237*T237,IF($H$3=2,D237,"N/A")))</f>
        <v>0</v>
      </c>
      <c r="F237" s="126" t="n">
        <f aca="false">E237*X237</f>
        <v>0</v>
      </c>
      <c r="G237" s="142" t="n">
        <f aca="false">VLOOKUP($A237,Table,MATCH(G$4,Curves,0))</f>
        <v>3.987</v>
      </c>
      <c r="H237" s="143" t="n">
        <f aca="false">G237</f>
        <v>3.987</v>
      </c>
      <c r="I237" s="142" t="n">
        <f aca="false">VLOOKUP($A237,Table1,MATCH(I$3,Curves1,0))</f>
        <v>0</v>
      </c>
      <c r="J237" s="142" t="n">
        <f aca="false">VLOOKUP($A237,Table,MATCH(J$4,Curves,0))</f>
        <v>-0.0305</v>
      </c>
      <c r="K237" s="143" t="n">
        <f aca="false">J237</f>
        <v>-0.0305</v>
      </c>
      <c r="L237" s="144" t="n">
        <v>0</v>
      </c>
      <c r="M237" s="142" t="n">
        <f aca="false">VLOOKUP($A237,Table,MATCH(M$4,Curves,0))</f>
        <v>0.0087</v>
      </c>
      <c r="N237" s="143" t="n">
        <f aca="false">M237</f>
        <v>0.0087</v>
      </c>
      <c r="O237" s="144" t="n">
        <v>0</v>
      </c>
      <c r="P237" s="145"/>
      <c r="Q237" s="144" t="n">
        <f aca="false">M237+J237+G237</f>
        <v>3.9652</v>
      </c>
      <c r="R237" s="144" t="n">
        <f aca="false">O237+L237+I237</f>
        <v>0</v>
      </c>
      <c r="S237" s="145"/>
      <c r="T237" s="71" t="n">
        <f aca="false">A238-A237</f>
        <v>31</v>
      </c>
      <c r="U237" s="146" t="n">
        <f aca="false">CHOOSE(F$3,A238+24,A237)</f>
        <v>43946</v>
      </c>
      <c r="V237" s="71" t="n">
        <f aca="false">U237-C$3</f>
        <v>7058</v>
      </c>
      <c r="W237" s="142" t="n">
        <f aca="false">VLOOKUP($A237,Table,MATCH(W$4,Curves,0))</f>
        <v>0.058966861357273</v>
      </c>
      <c r="X237" s="147" t="n">
        <f aca="false">1/(1+CHOOSE(F$3,(W238+($K$3/10000))/2,(W237+($K$3/10000))/2))^(2*V237/365.25)</f>
        <v>0.325306858057883</v>
      </c>
      <c r="Y237" s="71" t="n">
        <f aca="false">IF(AND(mthbeg&lt;=A237,mthend&gt;=A237),1,0)</f>
        <v>0</v>
      </c>
      <c r="Z237" s="71" t="n">
        <f aca="false">T237*Y237</f>
        <v>0</v>
      </c>
      <c r="AB237" s="132" t="n">
        <f aca="false">F237*G237</f>
        <v>0</v>
      </c>
      <c r="AC237" s="132" t="n">
        <f aca="false">$F237*H237</f>
        <v>0</v>
      </c>
      <c r="AD237" s="132" t="n">
        <f aca="false">$F237*I237</f>
        <v>0</v>
      </c>
      <c r="AE237" s="132" t="n">
        <f aca="false">$F237*J237</f>
        <v>-0</v>
      </c>
      <c r="AF237" s="132" t="n">
        <f aca="false">$F237*K237</f>
        <v>-0</v>
      </c>
      <c r="AG237" s="132" t="n">
        <f aca="false">$F237*L237</f>
        <v>0</v>
      </c>
      <c r="AH237" s="132" t="n">
        <f aca="false">$F237*M237</f>
        <v>0</v>
      </c>
      <c r="AI237" s="132" t="n">
        <f aca="false">$F237*N237</f>
        <v>0</v>
      </c>
      <c r="AJ237" s="132" t="n">
        <f aca="false">F237*O237</f>
        <v>0</v>
      </c>
      <c r="AK237" s="137"/>
      <c r="AL237" s="132" t="n">
        <f aca="false">CHOOSE($G$3,AC237-AD237,AD237-AC237)</f>
        <v>0</v>
      </c>
      <c r="AM237" s="132" t="n">
        <f aca="false">CHOOSE($G$3,AF237-AG237,AG237-AF237)</f>
        <v>0</v>
      </c>
      <c r="AN237" s="132" t="n">
        <f aca="false">CHOOSE($G$3,AI237-AJ237,AJ237-AI237)</f>
        <v>0</v>
      </c>
      <c r="AO237" s="148" t="n">
        <f aca="false">SUM(AL237:AN237)</f>
        <v>0</v>
      </c>
      <c r="AQ237" s="132" t="n">
        <f aca="false">CHOOSE($G$3,AB237-AC237,AC237-AB237)</f>
        <v>0</v>
      </c>
      <c r="AR237" s="132" t="n">
        <f aca="false">CHOOSE($G$3,AE237-AF237,AF237-AE237)</f>
        <v>0</v>
      </c>
      <c r="AS237" s="132" t="n">
        <f aca="false">CHOOSE($G$3,AH237-AI237,AI237-AH237)</f>
        <v>0</v>
      </c>
      <c r="AT237" s="148" t="n">
        <f aca="false">AQ237+AR237+AS237</f>
        <v>0</v>
      </c>
      <c r="AU237" s="148"/>
      <c r="AV237" s="133" t="n">
        <f aca="false">AT237+AO237</f>
        <v>0</v>
      </c>
      <c r="AX237" s="133" t="n">
        <f aca="false">AJ237+AG237+AD237</f>
        <v>0</v>
      </c>
      <c r="AY237" s="149"/>
      <c r="AZ237" s="76" t="n">
        <f aca="false">R237*E237</f>
        <v>0</v>
      </c>
    </row>
    <row r="238" customFormat="false" ht="12" hidden="false" customHeight="true" outlineLevel="0" collapsed="false">
      <c r="A238" s="138" t="n">
        <f aca="false">EDATE(A237,1)</f>
        <v>43922</v>
      </c>
      <c r="B238" s="139" t="n">
        <f aca="false">VLOOKUP($A238,Table2,MATCH(I$3,Curves2,0))</f>
        <v>0</v>
      </c>
      <c r="C238" s="140"/>
      <c r="D238" s="141" t="n">
        <f aca="false">B238+C238</f>
        <v>0</v>
      </c>
      <c r="E238" s="126" t="n">
        <f aca="false">IF(Y238=0,0,IF(AND(Y238=1,$H$3=1),D238*T238,IF($H$3=2,D238,"N/A")))</f>
        <v>0</v>
      </c>
      <c r="F238" s="126" t="n">
        <f aca="false">E238*X238</f>
        <v>0</v>
      </c>
      <c r="G238" s="142" t="n">
        <f aca="false">VLOOKUP($A238,Table,MATCH(G$4,Curves,0))</f>
        <v>3.987</v>
      </c>
      <c r="H238" s="143" t="n">
        <f aca="false">G238</f>
        <v>3.987</v>
      </c>
      <c r="I238" s="142" t="n">
        <f aca="false">VLOOKUP($A238,Table1,MATCH(I$3,Curves1,0))</f>
        <v>0</v>
      </c>
      <c r="J238" s="142" t="n">
        <f aca="false">VLOOKUP($A238,Table,MATCH(J$4,Curves,0))</f>
        <v>-0.0305</v>
      </c>
      <c r="K238" s="143" t="n">
        <f aca="false">J238</f>
        <v>-0.0305</v>
      </c>
      <c r="L238" s="144" t="n">
        <v>0</v>
      </c>
      <c r="M238" s="142" t="n">
        <f aca="false">VLOOKUP($A238,Table,MATCH(M$4,Curves,0))</f>
        <v>0.0087</v>
      </c>
      <c r="N238" s="143" t="n">
        <f aca="false">M238</f>
        <v>0.0087</v>
      </c>
      <c r="O238" s="144" t="n">
        <v>0</v>
      </c>
      <c r="P238" s="145"/>
      <c r="Q238" s="144" t="n">
        <f aca="false">M238+J238+G238</f>
        <v>3.9652</v>
      </c>
      <c r="R238" s="144" t="n">
        <f aca="false">O238+L238+I238</f>
        <v>0</v>
      </c>
      <c r="S238" s="145"/>
      <c r="T238" s="71" t="n">
        <f aca="false">A239-A238</f>
        <v>30</v>
      </c>
      <c r="U238" s="146" t="n">
        <f aca="false">CHOOSE(F$3,A239+24,A238)</f>
        <v>43976</v>
      </c>
      <c r="V238" s="71" t="n">
        <f aca="false">U238-C$3</f>
        <v>7088</v>
      </c>
      <c r="W238" s="142" t="n">
        <f aca="false">VLOOKUP($A238,Table,MATCH(W$4,Curves,0))</f>
        <v>0.058966861357273</v>
      </c>
      <c r="X238" s="147" t="n">
        <f aca="false">1/(1+CHOOSE(F$3,(W239+($K$3/10000))/2,(W238+($K$3/10000))/2))^(2*V238/365.25)</f>
        <v>0.323757787438746</v>
      </c>
      <c r="Y238" s="71" t="n">
        <f aca="false">IF(AND(mthbeg&lt;=A238,mthend&gt;=A238),1,0)</f>
        <v>0</v>
      </c>
      <c r="Z238" s="71" t="n">
        <f aca="false">T238*Y238</f>
        <v>0</v>
      </c>
      <c r="AB238" s="132" t="n">
        <f aca="false">F238*G238</f>
        <v>0</v>
      </c>
      <c r="AC238" s="132" t="n">
        <f aca="false">$F238*H238</f>
        <v>0</v>
      </c>
      <c r="AD238" s="132" t="n">
        <f aca="false">$F238*I238</f>
        <v>0</v>
      </c>
      <c r="AE238" s="132" t="n">
        <f aca="false">$F238*J238</f>
        <v>-0</v>
      </c>
      <c r="AF238" s="132" t="n">
        <f aca="false">$F238*K238</f>
        <v>-0</v>
      </c>
      <c r="AG238" s="132" t="n">
        <f aca="false">$F238*L238</f>
        <v>0</v>
      </c>
      <c r="AH238" s="132" t="n">
        <f aca="false">$F238*M238</f>
        <v>0</v>
      </c>
      <c r="AI238" s="132" t="n">
        <f aca="false">$F238*N238</f>
        <v>0</v>
      </c>
      <c r="AJ238" s="132" t="n">
        <f aca="false">F238*O238</f>
        <v>0</v>
      </c>
      <c r="AK238" s="137"/>
      <c r="AL238" s="132" t="n">
        <f aca="false">CHOOSE($G$3,AC238-AD238,AD238-AC238)</f>
        <v>0</v>
      </c>
      <c r="AM238" s="132" t="n">
        <f aca="false">CHOOSE($G$3,AF238-AG238,AG238-AF238)</f>
        <v>0</v>
      </c>
      <c r="AN238" s="132" t="n">
        <f aca="false">CHOOSE($G$3,AI238-AJ238,AJ238-AI238)</f>
        <v>0</v>
      </c>
      <c r="AO238" s="148" t="n">
        <f aca="false">SUM(AL238:AN238)</f>
        <v>0</v>
      </c>
      <c r="AQ238" s="132" t="n">
        <f aca="false">CHOOSE($G$3,AB238-AC238,AC238-AB238)</f>
        <v>0</v>
      </c>
      <c r="AR238" s="132" t="n">
        <f aca="false">CHOOSE($G$3,AE238-AF238,AF238-AE238)</f>
        <v>0</v>
      </c>
      <c r="AS238" s="132" t="n">
        <f aca="false">CHOOSE($G$3,AH238-AI238,AI238-AH238)</f>
        <v>0</v>
      </c>
      <c r="AT238" s="148" t="n">
        <f aca="false">AQ238+AR238+AS238</f>
        <v>0</v>
      </c>
      <c r="AU238" s="148"/>
      <c r="AV238" s="133" t="n">
        <f aca="false">AT238+AO238</f>
        <v>0</v>
      </c>
      <c r="AX238" s="133" t="n">
        <f aca="false">AJ238+AG238+AD238</f>
        <v>0</v>
      </c>
      <c r="AY238" s="149"/>
      <c r="AZ238" s="76" t="n">
        <f aca="false">R238*E238</f>
        <v>0</v>
      </c>
    </row>
    <row r="239" customFormat="false" ht="12" hidden="false" customHeight="true" outlineLevel="0" collapsed="false">
      <c r="A239" s="138" t="n">
        <f aca="false">EDATE(A238,1)</f>
        <v>43952</v>
      </c>
      <c r="B239" s="139" t="n">
        <f aca="false">VLOOKUP($A239,Table2,MATCH(I$3,Curves2,0))</f>
        <v>0</v>
      </c>
      <c r="C239" s="140"/>
      <c r="D239" s="141" t="n">
        <f aca="false">B239+C239</f>
        <v>0</v>
      </c>
      <c r="E239" s="126" t="n">
        <f aca="false">IF(Y239=0,0,IF(AND(Y239=1,$H$3=1),D239*T239,IF($H$3=2,D239,"N/A")))</f>
        <v>0</v>
      </c>
      <c r="F239" s="126" t="n">
        <f aca="false">E239*X239</f>
        <v>0</v>
      </c>
      <c r="G239" s="142" t="n">
        <f aca="false">VLOOKUP($A239,Table,MATCH(G$4,Curves,0))</f>
        <v>3.987</v>
      </c>
      <c r="H239" s="143" t="n">
        <f aca="false">G239</f>
        <v>3.987</v>
      </c>
      <c r="I239" s="142" t="n">
        <f aca="false">VLOOKUP($A239,Table1,MATCH(I$3,Curves1,0))</f>
        <v>0</v>
      </c>
      <c r="J239" s="142" t="n">
        <f aca="false">VLOOKUP($A239,Table,MATCH(J$4,Curves,0))</f>
        <v>-0.0305</v>
      </c>
      <c r="K239" s="143" t="n">
        <f aca="false">J239</f>
        <v>-0.0305</v>
      </c>
      <c r="L239" s="144" t="n">
        <v>0</v>
      </c>
      <c r="M239" s="142" t="n">
        <f aca="false">VLOOKUP($A239,Table,MATCH(M$4,Curves,0))</f>
        <v>0.0087</v>
      </c>
      <c r="N239" s="143" t="n">
        <f aca="false">M239</f>
        <v>0.0087</v>
      </c>
      <c r="O239" s="144" t="n">
        <v>0</v>
      </c>
      <c r="P239" s="145"/>
      <c r="Q239" s="144" t="n">
        <f aca="false">M239+J239+G239</f>
        <v>3.9652</v>
      </c>
      <c r="R239" s="144" t="n">
        <f aca="false">O239+L239+I239</f>
        <v>0</v>
      </c>
      <c r="S239" s="145"/>
      <c r="T239" s="71" t="n">
        <f aca="false">A240-A239</f>
        <v>31</v>
      </c>
      <c r="U239" s="146" t="n">
        <f aca="false">CHOOSE(F$3,A240+24,A239)</f>
        <v>44007</v>
      </c>
      <c r="V239" s="71" t="n">
        <f aca="false">U239-C$3</f>
        <v>7119</v>
      </c>
      <c r="W239" s="142" t="n">
        <f aca="false">VLOOKUP($A239,Table,MATCH(W$4,Curves,0))</f>
        <v>0.058966861357273</v>
      </c>
      <c r="X239" s="147" t="n">
        <f aca="false">1/(1+CHOOSE(F$3,(W240+($K$3/10000))/2,(W239+($K$3/10000))/2))^(2*V239/365.25)</f>
        <v>0.322164830124668</v>
      </c>
      <c r="Y239" s="71" t="n">
        <f aca="false">IF(AND(mthbeg&lt;=A239,mthend&gt;=A239),1,0)</f>
        <v>0</v>
      </c>
      <c r="Z239" s="71" t="n">
        <f aca="false">T239*Y239</f>
        <v>0</v>
      </c>
      <c r="AB239" s="132" t="n">
        <f aca="false">F239*G239</f>
        <v>0</v>
      </c>
      <c r="AC239" s="132" t="n">
        <f aca="false">$F239*H239</f>
        <v>0</v>
      </c>
      <c r="AD239" s="132" t="n">
        <f aca="false">$F239*I239</f>
        <v>0</v>
      </c>
      <c r="AE239" s="132" t="n">
        <f aca="false">$F239*J239</f>
        <v>-0</v>
      </c>
      <c r="AF239" s="132" t="n">
        <f aca="false">$F239*K239</f>
        <v>-0</v>
      </c>
      <c r="AG239" s="132" t="n">
        <f aca="false">$F239*L239</f>
        <v>0</v>
      </c>
      <c r="AH239" s="132" t="n">
        <f aca="false">$F239*M239</f>
        <v>0</v>
      </c>
      <c r="AI239" s="132" t="n">
        <f aca="false">$F239*N239</f>
        <v>0</v>
      </c>
      <c r="AJ239" s="132" t="n">
        <f aca="false">F239*O239</f>
        <v>0</v>
      </c>
      <c r="AK239" s="137"/>
      <c r="AL239" s="132" t="n">
        <f aca="false">CHOOSE($G$3,AC239-AD239,AD239-AC239)</f>
        <v>0</v>
      </c>
      <c r="AM239" s="132" t="n">
        <f aca="false">CHOOSE($G$3,AF239-AG239,AG239-AF239)</f>
        <v>0</v>
      </c>
      <c r="AN239" s="132" t="n">
        <f aca="false">CHOOSE($G$3,AI239-AJ239,AJ239-AI239)</f>
        <v>0</v>
      </c>
      <c r="AO239" s="148" t="n">
        <f aca="false">SUM(AL239:AN239)</f>
        <v>0</v>
      </c>
      <c r="AQ239" s="132" t="n">
        <f aca="false">CHOOSE($G$3,AB239-AC239,AC239-AB239)</f>
        <v>0</v>
      </c>
      <c r="AR239" s="132" t="n">
        <f aca="false">CHOOSE($G$3,AE239-AF239,AF239-AE239)</f>
        <v>0</v>
      </c>
      <c r="AS239" s="132" t="n">
        <f aca="false">CHOOSE($G$3,AH239-AI239,AI239-AH239)</f>
        <v>0</v>
      </c>
      <c r="AT239" s="148" t="n">
        <f aca="false">AQ239+AR239+AS239</f>
        <v>0</v>
      </c>
      <c r="AU239" s="148"/>
      <c r="AV239" s="133" t="n">
        <f aca="false">AT239+AO239</f>
        <v>0</v>
      </c>
      <c r="AX239" s="133" t="n">
        <f aca="false">AJ239+AG239+AD239</f>
        <v>0</v>
      </c>
      <c r="AY239" s="149"/>
      <c r="AZ239" s="76" t="n">
        <f aca="false">R239*E239</f>
        <v>0</v>
      </c>
    </row>
    <row r="240" customFormat="false" ht="12" hidden="false" customHeight="true" outlineLevel="0" collapsed="false">
      <c r="A240" s="138" t="n">
        <f aca="false">EDATE(A239,1)</f>
        <v>43983</v>
      </c>
      <c r="B240" s="139" t="n">
        <f aca="false">VLOOKUP($A240,Table2,MATCH(I$3,Curves2,0))</f>
        <v>0</v>
      </c>
      <c r="C240" s="140"/>
      <c r="D240" s="141" t="n">
        <f aca="false">B240+C240</f>
        <v>0</v>
      </c>
      <c r="E240" s="126" t="n">
        <f aca="false">IF(Y240=0,0,IF(AND(Y240=1,$H$3=1),D240*T240,IF($H$3=2,D240,"N/A")))</f>
        <v>0</v>
      </c>
      <c r="F240" s="126" t="n">
        <f aca="false">E240*X240</f>
        <v>0</v>
      </c>
      <c r="G240" s="142" t="n">
        <f aca="false">VLOOKUP($A240,Table,MATCH(G$4,Curves,0))</f>
        <v>3.987</v>
      </c>
      <c r="H240" s="143" t="n">
        <f aca="false">G240</f>
        <v>3.987</v>
      </c>
      <c r="I240" s="142" t="n">
        <f aca="false">VLOOKUP($A240,Table1,MATCH(I$3,Curves1,0))</f>
        <v>0</v>
      </c>
      <c r="J240" s="142" t="n">
        <f aca="false">VLOOKUP($A240,Table,MATCH(J$4,Curves,0))</f>
        <v>-0.0305</v>
      </c>
      <c r="K240" s="143" t="n">
        <f aca="false">J240</f>
        <v>-0.0305</v>
      </c>
      <c r="L240" s="144" t="n">
        <v>0</v>
      </c>
      <c r="M240" s="142" t="n">
        <f aca="false">VLOOKUP($A240,Table,MATCH(M$4,Curves,0))</f>
        <v>0.0087</v>
      </c>
      <c r="N240" s="143" t="n">
        <f aca="false">M240</f>
        <v>0.0087</v>
      </c>
      <c r="O240" s="144" t="n">
        <v>0</v>
      </c>
      <c r="P240" s="145"/>
      <c r="Q240" s="144" t="n">
        <f aca="false">M240+J240+G240</f>
        <v>3.9652</v>
      </c>
      <c r="R240" s="144" t="n">
        <f aca="false">O240+L240+I240</f>
        <v>0</v>
      </c>
      <c r="S240" s="145"/>
      <c r="T240" s="71" t="n">
        <f aca="false">A241-A240</f>
        <v>30</v>
      </c>
      <c r="U240" s="146" t="n">
        <f aca="false">CHOOSE(F$3,A241+24,A240)</f>
        <v>44037</v>
      </c>
      <c r="V240" s="71" t="n">
        <f aca="false">U240-C$3</f>
        <v>7149</v>
      </c>
      <c r="W240" s="142" t="n">
        <f aca="false">VLOOKUP($A240,Table,MATCH(W$4,Curves,0))</f>
        <v>0.058966861357273</v>
      </c>
      <c r="X240" s="147" t="n">
        <f aca="false">1/(1+CHOOSE(F$3,(W241+($K$3/10000))/2,(W240+($K$3/10000))/2))^(2*V240/365.25)</f>
        <v>0.320630721450032</v>
      </c>
      <c r="Y240" s="71" t="n">
        <f aca="false">IF(AND(mthbeg&lt;=A240,mthend&gt;=A240),1,0)</f>
        <v>0</v>
      </c>
      <c r="Z240" s="71" t="n">
        <f aca="false">T240*Y240</f>
        <v>0</v>
      </c>
      <c r="AB240" s="132" t="n">
        <f aca="false">F240*G240</f>
        <v>0</v>
      </c>
      <c r="AC240" s="132" t="n">
        <f aca="false">$F240*H240</f>
        <v>0</v>
      </c>
      <c r="AD240" s="132" t="n">
        <f aca="false">$F240*I240</f>
        <v>0</v>
      </c>
      <c r="AE240" s="132" t="n">
        <f aca="false">$F240*J240</f>
        <v>-0</v>
      </c>
      <c r="AF240" s="132" t="n">
        <f aca="false">$F240*K240</f>
        <v>-0</v>
      </c>
      <c r="AG240" s="132" t="n">
        <f aca="false">$F240*L240</f>
        <v>0</v>
      </c>
      <c r="AH240" s="132" t="n">
        <f aca="false">$F240*M240</f>
        <v>0</v>
      </c>
      <c r="AI240" s="132" t="n">
        <f aca="false">$F240*N240</f>
        <v>0</v>
      </c>
      <c r="AJ240" s="132" t="n">
        <f aca="false">F240*O240</f>
        <v>0</v>
      </c>
      <c r="AK240" s="137"/>
      <c r="AL240" s="132" t="n">
        <f aca="false">CHOOSE($G$3,AC240-AD240,AD240-AC240)</f>
        <v>0</v>
      </c>
      <c r="AM240" s="132" t="n">
        <f aca="false">CHOOSE($G$3,AF240-AG240,AG240-AF240)</f>
        <v>0</v>
      </c>
      <c r="AN240" s="132" t="n">
        <f aca="false">CHOOSE($G$3,AI240-AJ240,AJ240-AI240)</f>
        <v>0</v>
      </c>
      <c r="AO240" s="148" t="n">
        <f aca="false">SUM(AL240:AN240)</f>
        <v>0</v>
      </c>
      <c r="AQ240" s="132" t="n">
        <f aca="false">CHOOSE($G$3,AB240-AC240,AC240-AB240)</f>
        <v>0</v>
      </c>
      <c r="AR240" s="132" t="n">
        <f aca="false">CHOOSE($G$3,AE240-AF240,AF240-AE240)</f>
        <v>0</v>
      </c>
      <c r="AS240" s="132" t="n">
        <f aca="false">CHOOSE($G$3,AH240-AI240,AI240-AH240)</f>
        <v>0</v>
      </c>
      <c r="AT240" s="148" t="n">
        <f aca="false">AQ240+AR240+AS240</f>
        <v>0</v>
      </c>
      <c r="AU240" s="148"/>
      <c r="AV240" s="133" t="n">
        <f aca="false">AT240+AO240</f>
        <v>0</v>
      </c>
      <c r="AX240" s="133" t="n">
        <f aca="false">AJ240+AG240+AD240</f>
        <v>0</v>
      </c>
      <c r="AY240" s="149"/>
      <c r="AZ240" s="76" t="n">
        <f aca="false">R240*E240</f>
        <v>0</v>
      </c>
    </row>
    <row r="241" customFormat="false" ht="12" hidden="false" customHeight="true" outlineLevel="0" collapsed="false">
      <c r="A241" s="138" t="n">
        <f aca="false">EDATE(A240,1)</f>
        <v>44013</v>
      </c>
      <c r="B241" s="139" t="n">
        <f aca="false">VLOOKUP($A241,Table2,MATCH(I$3,Curves2,0))</f>
        <v>0</v>
      </c>
      <c r="C241" s="140"/>
      <c r="D241" s="141" t="n">
        <f aca="false">B241+C241</f>
        <v>0</v>
      </c>
      <c r="E241" s="126" t="n">
        <f aca="false">IF(Y241=0,0,IF(AND(Y241=1,$H$3=1),D241*T241,IF($H$3=2,D241,"N/A")))</f>
        <v>0</v>
      </c>
      <c r="F241" s="126" t="n">
        <f aca="false">E241*X241</f>
        <v>0</v>
      </c>
      <c r="G241" s="142" t="n">
        <f aca="false">VLOOKUP($A241,Table,MATCH(G$4,Curves,0))</f>
        <v>3.987</v>
      </c>
      <c r="H241" s="143" t="n">
        <f aca="false">G241</f>
        <v>3.987</v>
      </c>
      <c r="I241" s="142" t="n">
        <f aca="false">VLOOKUP($A241,Table1,MATCH(I$3,Curves1,0))</f>
        <v>0</v>
      </c>
      <c r="J241" s="142" t="n">
        <f aca="false">VLOOKUP($A241,Table,MATCH(J$4,Curves,0))</f>
        <v>-0.0305</v>
      </c>
      <c r="K241" s="143" t="n">
        <f aca="false">J241</f>
        <v>-0.0305</v>
      </c>
      <c r="L241" s="144" t="n">
        <v>0</v>
      </c>
      <c r="M241" s="142" t="n">
        <f aca="false">VLOOKUP($A241,Table,MATCH(M$4,Curves,0))</f>
        <v>0.0087</v>
      </c>
      <c r="N241" s="143" t="n">
        <f aca="false">M241</f>
        <v>0.0087</v>
      </c>
      <c r="O241" s="144" t="n">
        <v>0</v>
      </c>
      <c r="P241" s="145"/>
      <c r="Q241" s="144" t="n">
        <f aca="false">M241+J241+G241</f>
        <v>3.9652</v>
      </c>
      <c r="R241" s="144" t="n">
        <f aca="false">O241+L241+I241</f>
        <v>0</v>
      </c>
      <c r="S241" s="145"/>
      <c r="T241" s="71" t="n">
        <f aca="false">A242-A241</f>
        <v>31</v>
      </c>
      <c r="U241" s="146" t="n">
        <f aca="false">CHOOSE(F$3,A242+24,A241)</f>
        <v>44068</v>
      </c>
      <c r="V241" s="71" t="n">
        <f aca="false">U241-C$3</f>
        <v>7180</v>
      </c>
      <c r="W241" s="142" t="n">
        <f aca="false">VLOOKUP($A241,Table,MATCH(W$4,Curves,0))</f>
        <v>0.058966861357273</v>
      </c>
      <c r="X241" s="147" t="n">
        <f aca="false">1/(1+CHOOSE(F$3,(W242+($K$3/10000))/2,(W241+($K$3/10000))/2))^(2*V241/365.25)</f>
        <v>0.319053149967065</v>
      </c>
      <c r="Y241" s="71" t="n">
        <f aca="false">IF(AND(mthbeg&lt;=A241,mthend&gt;=A241),1,0)</f>
        <v>0</v>
      </c>
      <c r="Z241" s="71" t="n">
        <f aca="false">T241*Y241</f>
        <v>0</v>
      </c>
      <c r="AB241" s="132" t="n">
        <f aca="false">F241*G241</f>
        <v>0</v>
      </c>
      <c r="AC241" s="132" t="n">
        <f aca="false">$F241*H241</f>
        <v>0</v>
      </c>
      <c r="AD241" s="132" t="n">
        <f aca="false">$F241*I241</f>
        <v>0</v>
      </c>
      <c r="AE241" s="132" t="n">
        <f aca="false">$F241*J241</f>
        <v>-0</v>
      </c>
      <c r="AF241" s="132" t="n">
        <f aca="false">$F241*K241</f>
        <v>-0</v>
      </c>
      <c r="AG241" s="132" t="n">
        <f aca="false">$F241*L241</f>
        <v>0</v>
      </c>
      <c r="AH241" s="132" t="n">
        <f aca="false">$F241*M241</f>
        <v>0</v>
      </c>
      <c r="AI241" s="132" t="n">
        <f aca="false">$F241*N241</f>
        <v>0</v>
      </c>
      <c r="AJ241" s="132" t="n">
        <f aca="false">F241*O241</f>
        <v>0</v>
      </c>
      <c r="AK241" s="137"/>
      <c r="AL241" s="132" t="n">
        <f aca="false">CHOOSE($G$3,AC241-AD241,AD241-AC241)</f>
        <v>0</v>
      </c>
      <c r="AM241" s="132" t="n">
        <f aca="false">CHOOSE($G$3,AF241-AG241,AG241-AF241)</f>
        <v>0</v>
      </c>
      <c r="AN241" s="132" t="n">
        <f aca="false">CHOOSE($G$3,AI241-AJ241,AJ241-AI241)</f>
        <v>0</v>
      </c>
      <c r="AO241" s="148" t="n">
        <f aca="false">SUM(AL241:AN241)</f>
        <v>0</v>
      </c>
      <c r="AQ241" s="132" t="n">
        <f aca="false">CHOOSE($G$3,AB241-AC241,AC241-AB241)</f>
        <v>0</v>
      </c>
      <c r="AR241" s="132" t="n">
        <f aca="false">CHOOSE($G$3,AE241-AF241,AF241-AE241)</f>
        <v>0</v>
      </c>
      <c r="AS241" s="132" t="n">
        <f aca="false">CHOOSE($G$3,AH241-AI241,AI241-AH241)</f>
        <v>0</v>
      </c>
      <c r="AT241" s="148" t="n">
        <f aca="false">AQ241+AR241+AS241</f>
        <v>0</v>
      </c>
      <c r="AU241" s="148"/>
      <c r="AV241" s="133" t="n">
        <f aca="false">AT241+AO241</f>
        <v>0</v>
      </c>
      <c r="AX241" s="133" t="n">
        <f aca="false">AJ241+AG241+AD241</f>
        <v>0</v>
      </c>
      <c r="AY241" s="149"/>
      <c r="AZ241" s="76" t="n">
        <f aca="false">R241*E241</f>
        <v>0</v>
      </c>
    </row>
    <row r="242" customFormat="false" ht="12" hidden="false" customHeight="true" outlineLevel="0" collapsed="false">
      <c r="A242" s="138" t="n">
        <f aca="false">EDATE(A241,1)</f>
        <v>44044</v>
      </c>
      <c r="B242" s="139" t="n">
        <f aca="false">VLOOKUP($A242,Table2,MATCH(I$3,Curves2,0))</f>
        <v>0</v>
      </c>
      <c r="C242" s="140"/>
      <c r="D242" s="141" t="n">
        <f aca="false">B242+C242</f>
        <v>0</v>
      </c>
      <c r="E242" s="126" t="n">
        <f aca="false">IF(Y242=0,0,IF(AND(Y242=1,$H$3=1),D242*T242,IF($H$3=2,D242,"N/A")))</f>
        <v>0</v>
      </c>
      <c r="F242" s="126" t="n">
        <f aca="false">E242*X242</f>
        <v>0</v>
      </c>
      <c r="G242" s="142" t="n">
        <f aca="false">VLOOKUP($A242,Table,MATCH(G$4,Curves,0))</f>
        <v>3.987</v>
      </c>
      <c r="H242" s="143" t="n">
        <f aca="false">G242</f>
        <v>3.987</v>
      </c>
      <c r="I242" s="142" t="n">
        <f aca="false">VLOOKUP($A242,Table1,MATCH(I$3,Curves1,0))</f>
        <v>0</v>
      </c>
      <c r="J242" s="142" t="n">
        <f aca="false">VLOOKUP($A242,Table,MATCH(J$4,Curves,0))</f>
        <v>-0.0305</v>
      </c>
      <c r="K242" s="143" t="n">
        <f aca="false">J242</f>
        <v>-0.0305</v>
      </c>
      <c r="L242" s="144" t="n">
        <v>0</v>
      </c>
      <c r="M242" s="142" t="n">
        <f aca="false">VLOOKUP($A242,Table,MATCH(M$4,Curves,0))</f>
        <v>0.0087</v>
      </c>
      <c r="N242" s="143" t="n">
        <f aca="false">M242</f>
        <v>0.0087</v>
      </c>
      <c r="O242" s="144" t="n">
        <v>0</v>
      </c>
      <c r="P242" s="145"/>
      <c r="Q242" s="144" t="n">
        <f aca="false">M242+J242+G242</f>
        <v>3.9652</v>
      </c>
      <c r="R242" s="144" t="n">
        <f aca="false">O242+L242+I242</f>
        <v>0</v>
      </c>
      <c r="S242" s="145"/>
      <c r="T242" s="71" t="n">
        <f aca="false">A243-A242</f>
        <v>31</v>
      </c>
      <c r="U242" s="146" t="n">
        <f aca="false">CHOOSE(F$3,A243+24,A242)</f>
        <v>44099</v>
      </c>
      <c r="V242" s="71" t="n">
        <f aca="false">U242-C$3</f>
        <v>7211</v>
      </c>
      <c r="W242" s="142" t="n">
        <f aca="false">VLOOKUP($A242,Table,MATCH(W$4,Curves,0))</f>
        <v>0.058966861357273</v>
      </c>
      <c r="X242" s="147" t="n">
        <f aca="false">1/(1+CHOOSE(F$3,(W243+($K$3/10000))/2,(W242+($K$3/10000))/2))^(2*V242/365.25)</f>
        <v>0.317483340472009</v>
      </c>
      <c r="Y242" s="71" t="n">
        <f aca="false">IF(AND(mthbeg&lt;=A242,mthend&gt;=A242),1,0)</f>
        <v>0</v>
      </c>
      <c r="Z242" s="71" t="n">
        <f aca="false">T242*Y242</f>
        <v>0</v>
      </c>
      <c r="AB242" s="132" t="n">
        <f aca="false">F242*G242</f>
        <v>0</v>
      </c>
      <c r="AC242" s="132" t="n">
        <f aca="false">$F242*H242</f>
        <v>0</v>
      </c>
      <c r="AD242" s="132" t="n">
        <f aca="false">$F242*I242</f>
        <v>0</v>
      </c>
      <c r="AE242" s="132" t="n">
        <f aca="false">$F242*J242</f>
        <v>-0</v>
      </c>
      <c r="AF242" s="132" t="n">
        <f aca="false">$F242*K242</f>
        <v>-0</v>
      </c>
      <c r="AG242" s="132" t="n">
        <f aca="false">$F242*L242</f>
        <v>0</v>
      </c>
      <c r="AH242" s="132" t="n">
        <f aca="false">$F242*M242</f>
        <v>0</v>
      </c>
      <c r="AI242" s="132" t="n">
        <f aca="false">$F242*N242</f>
        <v>0</v>
      </c>
      <c r="AJ242" s="132" t="n">
        <f aca="false">F242*O242</f>
        <v>0</v>
      </c>
      <c r="AK242" s="137"/>
      <c r="AL242" s="132" t="n">
        <f aca="false">CHOOSE($G$3,AC242-AD242,AD242-AC242)</f>
        <v>0</v>
      </c>
      <c r="AM242" s="132" t="n">
        <f aca="false">CHOOSE($G$3,AF242-AG242,AG242-AF242)</f>
        <v>0</v>
      </c>
      <c r="AN242" s="132" t="n">
        <f aca="false">CHOOSE($G$3,AI242-AJ242,AJ242-AI242)</f>
        <v>0</v>
      </c>
      <c r="AO242" s="148" t="n">
        <f aca="false">SUM(AL242:AN242)</f>
        <v>0</v>
      </c>
      <c r="AQ242" s="132" t="n">
        <f aca="false">CHOOSE($G$3,AB242-AC242,AC242-AB242)</f>
        <v>0</v>
      </c>
      <c r="AR242" s="132" t="n">
        <f aca="false">CHOOSE($G$3,AE242-AF242,AF242-AE242)</f>
        <v>0</v>
      </c>
      <c r="AS242" s="132" t="n">
        <f aca="false">CHOOSE($G$3,AH242-AI242,AI242-AH242)</f>
        <v>0</v>
      </c>
      <c r="AT242" s="148" t="n">
        <f aca="false">AQ242+AR242+AS242</f>
        <v>0</v>
      </c>
      <c r="AU242" s="148"/>
      <c r="AV242" s="133" t="n">
        <f aca="false">AT242+AO242</f>
        <v>0</v>
      </c>
      <c r="AX242" s="133" t="n">
        <f aca="false">AJ242+AG242+AD242</f>
        <v>0</v>
      </c>
      <c r="AY242" s="149"/>
      <c r="AZ242" s="76" t="n">
        <f aca="false">R242*E242</f>
        <v>0</v>
      </c>
    </row>
    <row r="243" customFormat="false" ht="12" hidden="false" customHeight="true" outlineLevel="0" collapsed="false">
      <c r="A243" s="138" t="n">
        <f aca="false">EDATE(A242,1)</f>
        <v>44075</v>
      </c>
      <c r="B243" s="139" t="n">
        <f aca="false">VLOOKUP($A243,Table2,MATCH(I$3,Curves2,0))</f>
        <v>0</v>
      </c>
      <c r="C243" s="140"/>
      <c r="D243" s="141" t="n">
        <f aca="false">B243+C243</f>
        <v>0</v>
      </c>
      <c r="E243" s="126" t="n">
        <f aca="false">IF(Y243=0,0,IF(AND(Y243=1,$H$3=1),D243*T243,IF($H$3=2,D243,"N/A")))</f>
        <v>0</v>
      </c>
      <c r="F243" s="126" t="n">
        <f aca="false">E243*X243</f>
        <v>0</v>
      </c>
      <c r="G243" s="142" t="n">
        <f aca="false">VLOOKUP($A243,Table,MATCH(G$4,Curves,0))</f>
        <v>3.987</v>
      </c>
      <c r="H243" s="143" t="n">
        <f aca="false">G243</f>
        <v>3.987</v>
      </c>
      <c r="I243" s="142" t="n">
        <f aca="false">VLOOKUP($A243,Table1,MATCH(I$3,Curves1,0))</f>
        <v>0</v>
      </c>
      <c r="J243" s="142" t="n">
        <f aca="false">VLOOKUP($A243,Table,MATCH(J$4,Curves,0))</f>
        <v>-0.0305</v>
      </c>
      <c r="K243" s="143" t="n">
        <f aca="false">J243</f>
        <v>-0.0305</v>
      </c>
      <c r="L243" s="144" t="n">
        <v>0</v>
      </c>
      <c r="M243" s="142" t="n">
        <f aca="false">VLOOKUP($A243,Table,MATCH(M$4,Curves,0))</f>
        <v>0.0087</v>
      </c>
      <c r="N243" s="143" t="n">
        <f aca="false">M243</f>
        <v>0.0087</v>
      </c>
      <c r="O243" s="144" t="n">
        <v>0</v>
      </c>
      <c r="P243" s="145"/>
      <c r="Q243" s="144" t="n">
        <f aca="false">M243+J243+G243</f>
        <v>3.9652</v>
      </c>
      <c r="R243" s="144" t="n">
        <f aca="false">O243+L243+I243</f>
        <v>0</v>
      </c>
      <c r="S243" s="145"/>
      <c r="T243" s="71" t="n">
        <f aca="false">A244-A243</f>
        <v>30</v>
      </c>
      <c r="U243" s="146" t="n">
        <f aca="false">CHOOSE(F$3,A244+24,A243)</f>
        <v>44129</v>
      </c>
      <c r="V243" s="71" t="n">
        <f aca="false">U243-C$3</f>
        <v>7241</v>
      </c>
      <c r="W243" s="142" t="n">
        <f aca="false">VLOOKUP($A243,Table,MATCH(W$4,Curves,0))</f>
        <v>0.058966861357273</v>
      </c>
      <c r="X243" s="147" t="n">
        <f aca="false">1/(1+CHOOSE(F$3,(W244+($K$3/10000))/2,(W243+($K$3/10000))/2))^(2*V243/365.25)</f>
        <v>0.315971524466264</v>
      </c>
      <c r="Y243" s="71" t="n">
        <f aca="false">IF(AND(mthbeg&lt;=A243,mthend&gt;=A243),1,0)</f>
        <v>0</v>
      </c>
      <c r="Z243" s="71" t="n">
        <f aca="false">T243*Y243</f>
        <v>0</v>
      </c>
      <c r="AB243" s="132" t="n">
        <f aca="false">F243*G243</f>
        <v>0</v>
      </c>
      <c r="AC243" s="132" t="n">
        <f aca="false">$F243*H243</f>
        <v>0</v>
      </c>
      <c r="AD243" s="132" t="n">
        <f aca="false">$F243*I243</f>
        <v>0</v>
      </c>
      <c r="AE243" s="132" t="n">
        <f aca="false">$F243*J243</f>
        <v>-0</v>
      </c>
      <c r="AF243" s="132" t="n">
        <f aca="false">$F243*K243</f>
        <v>-0</v>
      </c>
      <c r="AG243" s="132" t="n">
        <f aca="false">$F243*L243</f>
        <v>0</v>
      </c>
      <c r="AH243" s="132" t="n">
        <f aca="false">$F243*M243</f>
        <v>0</v>
      </c>
      <c r="AI243" s="132" t="n">
        <f aca="false">$F243*N243</f>
        <v>0</v>
      </c>
      <c r="AJ243" s="132" t="n">
        <f aca="false">F243*O243</f>
        <v>0</v>
      </c>
      <c r="AK243" s="137"/>
      <c r="AL243" s="132" t="n">
        <f aca="false">CHOOSE($G$3,AC243-AD243,AD243-AC243)</f>
        <v>0</v>
      </c>
      <c r="AM243" s="132" t="n">
        <f aca="false">CHOOSE($G$3,AF243-AG243,AG243-AF243)</f>
        <v>0</v>
      </c>
      <c r="AN243" s="132" t="n">
        <f aca="false">CHOOSE($G$3,AI243-AJ243,AJ243-AI243)</f>
        <v>0</v>
      </c>
      <c r="AO243" s="148" t="n">
        <f aca="false">SUM(AL243:AN243)</f>
        <v>0</v>
      </c>
      <c r="AQ243" s="132" t="n">
        <f aca="false">CHOOSE($G$3,AB243-AC243,AC243-AB243)</f>
        <v>0</v>
      </c>
      <c r="AR243" s="132" t="n">
        <f aca="false">CHOOSE($G$3,AE243-AF243,AF243-AE243)</f>
        <v>0</v>
      </c>
      <c r="AS243" s="132" t="n">
        <f aca="false">CHOOSE($G$3,AH243-AI243,AI243-AH243)</f>
        <v>0</v>
      </c>
      <c r="AT243" s="148" t="n">
        <f aca="false">AQ243+AR243+AS243</f>
        <v>0</v>
      </c>
      <c r="AU243" s="148"/>
      <c r="AV243" s="133" t="n">
        <f aca="false">AT243+AO243</f>
        <v>0</v>
      </c>
      <c r="AX243" s="133" t="n">
        <f aca="false">AJ243+AG243+AD243</f>
        <v>0</v>
      </c>
      <c r="AY243" s="149"/>
      <c r="AZ243" s="76" t="n">
        <f aca="false">R243*E243</f>
        <v>0</v>
      </c>
    </row>
    <row r="244" customFormat="false" ht="12" hidden="false" customHeight="true" outlineLevel="0" collapsed="false">
      <c r="A244" s="138" t="n">
        <f aca="false">EDATE(A243,1)</f>
        <v>44105</v>
      </c>
      <c r="B244" s="139" t="n">
        <f aca="false">VLOOKUP($A244,Table2,MATCH(I$3,Curves2,0))</f>
        <v>0</v>
      </c>
      <c r="C244" s="140"/>
      <c r="D244" s="141" t="n">
        <f aca="false">B244+C244</f>
        <v>0</v>
      </c>
      <c r="E244" s="126" t="n">
        <f aca="false">IF(Y244=0,0,IF(AND(Y244=1,$H$3=1),D244*T244,IF($H$3=2,D244,"N/A")))</f>
        <v>0</v>
      </c>
      <c r="F244" s="126" t="n">
        <f aca="false">E244*X244</f>
        <v>0</v>
      </c>
      <c r="G244" s="142" t="n">
        <f aca="false">VLOOKUP($A244,Table,MATCH(G$4,Curves,0))</f>
        <v>3.987</v>
      </c>
      <c r="H244" s="143" t="n">
        <f aca="false">G244</f>
        <v>3.987</v>
      </c>
      <c r="I244" s="142" t="n">
        <f aca="false">VLOOKUP($A244,Table1,MATCH(I$3,Curves1,0))</f>
        <v>0</v>
      </c>
      <c r="J244" s="142" t="n">
        <f aca="false">VLOOKUP($A244,Table,MATCH(J$4,Curves,0))</f>
        <v>-0.0305</v>
      </c>
      <c r="K244" s="143" t="n">
        <f aca="false">J244</f>
        <v>-0.0305</v>
      </c>
      <c r="L244" s="144" t="n">
        <v>0</v>
      </c>
      <c r="M244" s="142" t="n">
        <f aca="false">VLOOKUP($A244,Table,MATCH(M$4,Curves,0))</f>
        <v>0.0087</v>
      </c>
      <c r="N244" s="143" t="n">
        <f aca="false">M244</f>
        <v>0.0087</v>
      </c>
      <c r="O244" s="144" t="n">
        <v>0</v>
      </c>
      <c r="P244" s="145"/>
      <c r="Q244" s="144" t="n">
        <f aca="false">M244+J244+G244</f>
        <v>3.9652</v>
      </c>
      <c r="R244" s="144" t="n">
        <f aca="false">O244+L244+I244</f>
        <v>0</v>
      </c>
      <c r="S244" s="145"/>
      <c r="T244" s="71" t="n">
        <f aca="false">A245-A244</f>
        <v>31</v>
      </c>
      <c r="U244" s="146" t="n">
        <f aca="false">CHOOSE(F$3,A245+24,A244)</f>
        <v>44160</v>
      </c>
      <c r="V244" s="71" t="n">
        <f aca="false">U244-C$3</f>
        <v>7272</v>
      </c>
      <c r="W244" s="142" t="n">
        <f aca="false">VLOOKUP($A244,Table,MATCH(W$4,Curves,0))</f>
        <v>0.058966861357273</v>
      </c>
      <c r="X244" s="147" t="n">
        <f aca="false">1/(1+CHOOSE(F$3,(W245+($K$3/10000))/2,(W244+($K$3/10000))/2))^(2*V244/365.25)</f>
        <v>0.314416877225434</v>
      </c>
      <c r="Y244" s="71" t="n">
        <f aca="false">IF(AND(mthbeg&lt;=A244,mthend&gt;=A244),1,0)</f>
        <v>0</v>
      </c>
      <c r="Z244" s="71" t="n">
        <f aca="false">T244*Y244</f>
        <v>0</v>
      </c>
      <c r="AB244" s="132" t="n">
        <f aca="false">F244*G244</f>
        <v>0</v>
      </c>
      <c r="AC244" s="132" t="n">
        <f aca="false">$F244*H244</f>
        <v>0</v>
      </c>
      <c r="AD244" s="132" t="n">
        <f aca="false">$F244*I244</f>
        <v>0</v>
      </c>
      <c r="AE244" s="132" t="n">
        <f aca="false">$F244*J244</f>
        <v>-0</v>
      </c>
      <c r="AF244" s="132" t="n">
        <f aca="false">$F244*K244</f>
        <v>-0</v>
      </c>
      <c r="AG244" s="132" t="n">
        <f aca="false">$F244*L244</f>
        <v>0</v>
      </c>
      <c r="AH244" s="132" t="n">
        <f aca="false">$F244*M244</f>
        <v>0</v>
      </c>
      <c r="AI244" s="132" t="n">
        <f aca="false">$F244*N244</f>
        <v>0</v>
      </c>
      <c r="AJ244" s="132" t="n">
        <f aca="false">F244*O244</f>
        <v>0</v>
      </c>
      <c r="AK244" s="137"/>
      <c r="AL244" s="132" t="n">
        <f aca="false">CHOOSE($G$3,AC244-AD244,AD244-AC244)</f>
        <v>0</v>
      </c>
      <c r="AM244" s="132" t="n">
        <f aca="false">CHOOSE($G$3,AF244-AG244,AG244-AF244)</f>
        <v>0</v>
      </c>
      <c r="AN244" s="132" t="n">
        <f aca="false">CHOOSE($G$3,AI244-AJ244,AJ244-AI244)</f>
        <v>0</v>
      </c>
      <c r="AO244" s="148" t="n">
        <f aca="false">SUM(AL244:AN244)</f>
        <v>0</v>
      </c>
      <c r="AQ244" s="132" t="n">
        <f aca="false">CHOOSE($G$3,AB244-AC244,AC244-AB244)</f>
        <v>0</v>
      </c>
      <c r="AR244" s="132" t="n">
        <f aca="false">CHOOSE($G$3,AE244-AF244,AF244-AE244)</f>
        <v>0</v>
      </c>
      <c r="AS244" s="132" t="n">
        <f aca="false">CHOOSE($G$3,AH244-AI244,AI244-AH244)</f>
        <v>0</v>
      </c>
      <c r="AT244" s="148" t="n">
        <f aca="false">AQ244+AR244+AS244</f>
        <v>0</v>
      </c>
      <c r="AU244" s="148"/>
      <c r="AV244" s="133" t="n">
        <f aca="false">AT244+AO244</f>
        <v>0</v>
      </c>
      <c r="AX244" s="133" t="n">
        <f aca="false">AJ244+AG244+AD244</f>
        <v>0</v>
      </c>
      <c r="AY244" s="149"/>
      <c r="AZ244" s="76" t="n">
        <f aca="false">R244*E244</f>
        <v>0</v>
      </c>
    </row>
    <row r="245" customFormat="false" ht="12" hidden="false" customHeight="true" outlineLevel="0" collapsed="false">
      <c r="A245" s="138" t="n">
        <f aca="false">EDATE(A244,1)</f>
        <v>44136</v>
      </c>
      <c r="B245" s="139" t="n">
        <f aca="false">VLOOKUP($A245,Table2,MATCH(I$3,Curves2,0))</f>
        <v>0</v>
      </c>
      <c r="C245" s="140"/>
      <c r="D245" s="141" t="n">
        <f aca="false">B245+C245</f>
        <v>0</v>
      </c>
      <c r="E245" s="126" t="n">
        <f aca="false">IF(Y245=0,0,IF(AND(Y245=1,$H$3=1),D245*T245,IF($H$3=2,D245,"N/A")))</f>
        <v>0</v>
      </c>
      <c r="F245" s="126" t="n">
        <f aca="false">E245*X245</f>
        <v>0</v>
      </c>
      <c r="G245" s="142" t="n">
        <f aca="false">VLOOKUP($A245,Table,MATCH(G$4,Curves,0))</f>
        <v>3.987</v>
      </c>
      <c r="H245" s="143" t="n">
        <f aca="false">G245</f>
        <v>3.987</v>
      </c>
      <c r="I245" s="142" t="n">
        <f aca="false">VLOOKUP($A245,Table1,MATCH(I$3,Curves1,0))</f>
        <v>0</v>
      </c>
      <c r="J245" s="142" t="n">
        <f aca="false">VLOOKUP($A245,Table,MATCH(J$4,Curves,0))</f>
        <v>-0.0305</v>
      </c>
      <c r="K245" s="143" t="n">
        <f aca="false">J245</f>
        <v>-0.0305</v>
      </c>
      <c r="L245" s="144" t="n">
        <v>0</v>
      </c>
      <c r="M245" s="142" t="n">
        <f aca="false">VLOOKUP($A245,Table,MATCH(M$4,Curves,0))</f>
        <v>0.0087</v>
      </c>
      <c r="N245" s="143" t="n">
        <f aca="false">M245</f>
        <v>0.0087</v>
      </c>
      <c r="O245" s="144" t="n">
        <v>0</v>
      </c>
      <c r="P245" s="145"/>
      <c r="Q245" s="144" t="n">
        <f aca="false">M245+J245+G245</f>
        <v>3.9652</v>
      </c>
      <c r="R245" s="144" t="n">
        <f aca="false">O245+L245+I245</f>
        <v>0</v>
      </c>
      <c r="S245" s="145"/>
      <c r="T245" s="71" t="n">
        <f aca="false">A246-A245</f>
        <v>30</v>
      </c>
      <c r="U245" s="146" t="n">
        <f aca="false">CHOOSE(F$3,A246+24,A245)</f>
        <v>44190</v>
      </c>
      <c r="V245" s="71" t="n">
        <f aca="false">U245-C$3</f>
        <v>7302</v>
      </c>
      <c r="W245" s="142" t="n">
        <f aca="false">VLOOKUP($A245,Table,MATCH(W$4,Curves,0))</f>
        <v>0.058966861357273</v>
      </c>
      <c r="X245" s="147" t="n">
        <f aca="false">1/(1+CHOOSE(F$3,(W246+($K$3/10000))/2,(W245+($K$3/10000))/2))^(2*V245/365.25)</f>
        <v>0.312919663334592</v>
      </c>
      <c r="Y245" s="71" t="n">
        <f aca="false">IF(AND(mthbeg&lt;=A245,mthend&gt;=A245),1,0)</f>
        <v>0</v>
      </c>
      <c r="Z245" s="71" t="n">
        <f aca="false">T245*Y245</f>
        <v>0</v>
      </c>
      <c r="AB245" s="132" t="n">
        <f aca="false">F245*G245</f>
        <v>0</v>
      </c>
      <c r="AC245" s="132" t="n">
        <f aca="false">$F245*H245</f>
        <v>0</v>
      </c>
      <c r="AD245" s="132" t="n">
        <f aca="false">$F245*I245</f>
        <v>0</v>
      </c>
      <c r="AE245" s="132" t="n">
        <f aca="false">$F245*J245</f>
        <v>-0</v>
      </c>
      <c r="AF245" s="132" t="n">
        <f aca="false">$F245*K245</f>
        <v>-0</v>
      </c>
      <c r="AG245" s="132" t="n">
        <f aca="false">$F245*L245</f>
        <v>0</v>
      </c>
      <c r="AH245" s="132" t="n">
        <f aca="false">$F245*M245</f>
        <v>0</v>
      </c>
      <c r="AI245" s="132" t="n">
        <f aca="false">$F245*N245</f>
        <v>0</v>
      </c>
      <c r="AJ245" s="132" t="n">
        <f aca="false">F245*O245</f>
        <v>0</v>
      </c>
      <c r="AK245" s="137"/>
      <c r="AL245" s="132" t="n">
        <f aca="false">CHOOSE($G$3,AC245-AD245,AD245-AC245)</f>
        <v>0</v>
      </c>
      <c r="AM245" s="132" t="n">
        <f aca="false">CHOOSE($G$3,AF245-AG245,AG245-AF245)</f>
        <v>0</v>
      </c>
      <c r="AN245" s="132" t="n">
        <f aca="false">CHOOSE($G$3,AI245-AJ245,AJ245-AI245)</f>
        <v>0</v>
      </c>
      <c r="AO245" s="148" t="n">
        <f aca="false">SUM(AL245:AN245)</f>
        <v>0</v>
      </c>
      <c r="AQ245" s="132" t="n">
        <f aca="false">CHOOSE($G$3,AB245-AC245,AC245-AB245)</f>
        <v>0</v>
      </c>
      <c r="AR245" s="132" t="n">
        <f aca="false">CHOOSE($G$3,AE245-AF245,AF245-AE245)</f>
        <v>0</v>
      </c>
      <c r="AS245" s="132" t="n">
        <f aca="false">CHOOSE($G$3,AH245-AI245,AI245-AH245)</f>
        <v>0</v>
      </c>
      <c r="AT245" s="148" t="n">
        <f aca="false">AQ245+AR245+AS245</f>
        <v>0</v>
      </c>
      <c r="AU245" s="148"/>
      <c r="AV245" s="133" t="n">
        <f aca="false">AT245+AO245</f>
        <v>0</v>
      </c>
      <c r="AX245" s="133" t="n">
        <f aca="false">AJ245+AG245+AD245</f>
        <v>0</v>
      </c>
      <c r="AY245" s="149"/>
      <c r="AZ245" s="76" t="n">
        <f aca="false">R245*E245</f>
        <v>0</v>
      </c>
    </row>
    <row r="246" customFormat="false" ht="12" hidden="false" customHeight="true" outlineLevel="0" collapsed="false">
      <c r="A246" s="138" t="n">
        <f aca="false">EDATE(A245,1)</f>
        <v>44166</v>
      </c>
      <c r="B246" s="139" t="n">
        <f aca="false">VLOOKUP($A246,Table2,MATCH(I$3,Curves2,0))</f>
        <v>0</v>
      </c>
      <c r="C246" s="140"/>
      <c r="D246" s="141" t="n">
        <f aca="false">B246+C246</f>
        <v>0</v>
      </c>
      <c r="E246" s="126" t="n">
        <f aca="false">IF(Y246=0,0,IF(AND(Y246=1,$H$3=1),D246*T246,IF($H$3=2,D246,"N/A")))</f>
        <v>0</v>
      </c>
      <c r="F246" s="126" t="n">
        <f aca="false">E246*X246</f>
        <v>0</v>
      </c>
      <c r="G246" s="142" t="n">
        <f aca="false">VLOOKUP($A246,Table,MATCH(G$4,Curves,0))</f>
        <v>3.987</v>
      </c>
      <c r="H246" s="143" t="n">
        <f aca="false">G246</f>
        <v>3.987</v>
      </c>
      <c r="I246" s="142" t="n">
        <f aca="false">VLOOKUP($A246,Table1,MATCH(I$3,Curves1,0))</f>
        <v>0</v>
      </c>
      <c r="J246" s="142" t="n">
        <f aca="false">VLOOKUP($A246,Table,MATCH(J$4,Curves,0))</f>
        <v>-0.0305</v>
      </c>
      <c r="K246" s="143" t="n">
        <f aca="false">J246</f>
        <v>-0.0305</v>
      </c>
      <c r="L246" s="144" t="n">
        <v>0</v>
      </c>
      <c r="M246" s="142" t="n">
        <f aca="false">VLOOKUP($A246,Table,MATCH(M$4,Curves,0))</f>
        <v>0.0087</v>
      </c>
      <c r="N246" s="143" t="n">
        <f aca="false">M246</f>
        <v>0.0087</v>
      </c>
      <c r="O246" s="144" t="n">
        <v>0</v>
      </c>
      <c r="P246" s="145"/>
      <c r="Q246" s="144" t="n">
        <f aca="false">M246+J246+G246</f>
        <v>3.9652</v>
      </c>
      <c r="R246" s="144" t="n">
        <f aca="false">O246+L246+I246</f>
        <v>0</v>
      </c>
      <c r="S246" s="145"/>
      <c r="T246" s="71" t="n">
        <f aca="false">A247-A246</f>
        <v>31</v>
      </c>
      <c r="U246" s="146" t="n">
        <f aca="false">CHOOSE(F$3,A247+24,A246)</f>
        <v>44221</v>
      </c>
      <c r="V246" s="71" t="n">
        <f aca="false">U246-C$3</f>
        <v>7333</v>
      </c>
      <c r="W246" s="142" t="n">
        <f aca="false">VLOOKUP($A246,Table,MATCH(W$4,Curves,0))</f>
        <v>0.058966861357273</v>
      </c>
      <c r="X246" s="147" t="n">
        <f aca="false">1/(1+CHOOSE(F$3,(W247+($K$3/10000))/2,(W246+($K$3/10000))/2))^(2*V246/365.25)</f>
        <v>0.311380031900948</v>
      </c>
      <c r="Y246" s="71" t="n">
        <f aca="false">IF(AND(mthbeg&lt;=A246,mthend&gt;=A246),1,0)</f>
        <v>0</v>
      </c>
      <c r="Z246" s="71" t="n">
        <f aca="false">T246*Y246</f>
        <v>0</v>
      </c>
      <c r="AB246" s="132" t="n">
        <f aca="false">F246*G246</f>
        <v>0</v>
      </c>
      <c r="AC246" s="132" t="n">
        <f aca="false">$F246*H246</f>
        <v>0</v>
      </c>
      <c r="AD246" s="132" t="n">
        <f aca="false">$F246*I246</f>
        <v>0</v>
      </c>
      <c r="AE246" s="132" t="n">
        <f aca="false">$F246*J246</f>
        <v>-0</v>
      </c>
      <c r="AF246" s="132" t="n">
        <f aca="false">$F246*K246</f>
        <v>-0</v>
      </c>
      <c r="AG246" s="132" t="n">
        <f aca="false">$F246*L246</f>
        <v>0</v>
      </c>
      <c r="AH246" s="132" t="n">
        <f aca="false">$F246*M246</f>
        <v>0</v>
      </c>
      <c r="AI246" s="132" t="n">
        <f aca="false">$F246*N246</f>
        <v>0</v>
      </c>
      <c r="AJ246" s="132" t="n">
        <f aca="false">F246*O246</f>
        <v>0</v>
      </c>
      <c r="AK246" s="137"/>
      <c r="AL246" s="132" t="n">
        <f aca="false">CHOOSE($G$3,AC246-AD246,AD246-AC246)</f>
        <v>0</v>
      </c>
      <c r="AM246" s="132" t="n">
        <f aca="false">CHOOSE($G$3,AF246-AG246,AG246-AF246)</f>
        <v>0</v>
      </c>
      <c r="AN246" s="132" t="n">
        <f aca="false">CHOOSE($G$3,AI246-AJ246,AJ246-AI246)</f>
        <v>0</v>
      </c>
      <c r="AO246" s="148" t="n">
        <f aca="false">SUM(AL246:AN246)</f>
        <v>0</v>
      </c>
      <c r="AQ246" s="132" t="n">
        <f aca="false">CHOOSE($G$3,AB246-AC246,AC246-AB246)</f>
        <v>0</v>
      </c>
      <c r="AR246" s="132" t="n">
        <f aca="false">CHOOSE($G$3,AE246-AF246,AF246-AE246)</f>
        <v>0</v>
      </c>
      <c r="AS246" s="132" t="n">
        <f aca="false">CHOOSE($G$3,AH246-AI246,AI246-AH246)</f>
        <v>0</v>
      </c>
      <c r="AT246" s="148" t="n">
        <f aca="false">AQ246+AR246+AS246</f>
        <v>0</v>
      </c>
      <c r="AU246" s="148"/>
      <c r="AV246" s="133" t="n">
        <f aca="false">AT246+AO246</f>
        <v>0</v>
      </c>
      <c r="AX246" s="133" t="n">
        <f aca="false">AJ246+AG246+AD246</f>
        <v>0</v>
      </c>
      <c r="AY246" s="149"/>
      <c r="AZ246" s="76" t="n">
        <f aca="false">R246*E246</f>
        <v>0</v>
      </c>
    </row>
    <row r="247" customFormat="false" ht="12" hidden="false" customHeight="true" outlineLevel="0" collapsed="false">
      <c r="A247" s="138" t="n">
        <f aca="false">EDATE(A246,1)</f>
        <v>44197</v>
      </c>
      <c r="B247" s="139" t="n">
        <f aca="false">VLOOKUP($A247,Table2,MATCH(I$3,Curves2,0))</f>
        <v>0</v>
      </c>
      <c r="C247" s="140"/>
      <c r="D247" s="141" t="n">
        <f aca="false">B247+C247</f>
        <v>0</v>
      </c>
      <c r="E247" s="126" t="n">
        <f aca="false">IF(Y247=0,0,IF(AND(Y247=1,$H$3=1),D247*T247,IF($H$3=2,D247,"N/A")))</f>
        <v>0</v>
      </c>
      <c r="F247" s="126" t="n">
        <f aca="false">E247*X247</f>
        <v>0</v>
      </c>
      <c r="G247" s="142" t="n">
        <f aca="false">VLOOKUP($A247,Table,MATCH(G$4,Curves,0))</f>
        <v>3.987</v>
      </c>
      <c r="H247" s="143" t="n">
        <f aca="false">G247</f>
        <v>3.987</v>
      </c>
      <c r="I247" s="142" t="n">
        <f aca="false">VLOOKUP($A247,Table1,MATCH(I$3,Curves1,0))</f>
        <v>0</v>
      </c>
      <c r="J247" s="142" t="n">
        <f aca="false">VLOOKUP($A247,Table,MATCH(J$4,Curves,0))</f>
        <v>-0.0305</v>
      </c>
      <c r="K247" s="143" t="n">
        <f aca="false">J247</f>
        <v>-0.0305</v>
      </c>
      <c r="L247" s="144" t="n">
        <v>0</v>
      </c>
      <c r="M247" s="142" t="n">
        <f aca="false">VLOOKUP($A247,Table,MATCH(M$4,Curves,0))</f>
        <v>0.0087</v>
      </c>
      <c r="N247" s="143" t="n">
        <f aca="false">M247</f>
        <v>0.0087</v>
      </c>
      <c r="O247" s="144" t="n">
        <v>0</v>
      </c>
      <c r="P247" s="145"/>
      <c r="Q247" s="144" t="n">
        <f aca="false">M247+J247+G247</f>
        <v>3.9652</v>
      </c>
      <c r="R247" s="144" t="n">
        <f aca="false">O247+L247+I247</f>
        <v>0</v>
      </c>
      <c r="S247" s="145"/>
      <c r="T247" s="71" t="n">
        <f aca="false">A248-A247</f>
        <v>31</v>
      </c>
      <c r="U247" s="146" t="n">
        <f aca="false">CHOOSE(F$3,A248+24,A247)</f>
        <v>44252</v>
      </c>
      <c r="V247" s="71" t="n">
        <f aca="false">U247-C$3</f>
        <v>7364</v>
      </c>
      <c r="W247" s="142" t="n">
        <f aca="false">VLOOKUP($A247,Table,MATCH(W$4,Curves,0))</f>
        <v>0.058966861357273</v>
      </c>
      <c r="X247" s="147" t="n">
        <f aca="false">1/(1+CHOOSE(F$3,(W248+($K$3/10000))/2,(W247+($K$3/10000))/2))^(2*V247/365.25)</f>
        <v>0.309847975782087</v>
      </c>
      <c r="Y247" s="71" t="n">
        <f aca="false">IF(AND(mthbeg&lt;=A247,mthend&gt;=A247),1,0)</f>
        <v>0</v>
      </c>
      <c r="Z247" s="71" t="n">
        <f aca="false">T247*Y247</f>
        <v>0</v>
      </c>
      <c r="AB247" s="132" t="n">
        <f aca="false">F247*G247</f>
        <v>0</v>
      </c>
      <c r="AC247" s="132" t="n">
        <f aca="false">$F247*H247</f>
        <v>0</v>
      </c>
      <c r="AD247" s="132" t="n">
        <f aca="false">$F247*I247</f>
        <v>0</v>
      </c>
      <c r="AE247" s="132" t="n">
        <f aca="false">$F247*J247</f>
        <v>-0</v>
      </c>
      <c r="AF247" s="132" t="n">
        <f aca="false">$F247*K247</f>
        <v>-0</v>
      </c>
      <c r="AG247" s="132" t="n">
        <f aca="false">$F247*L247</f>
        <v>0</v>
      </c>
      <c r="AH247" s="132" t="n">
        <f aca="false">$F247*M247</f>
        <v>0</v>
      </c>
      <c r="AI247" s="132" t="n">
        <f aca="false">$F247*N247</f>
        <v>0</v>
      </c>
      <c r="AJ247" s="132" t="n">
        <f aca="false">F247*O247</f>
        <v>0</v>
      </c>
      <c r="AK247" s="137"/>
      <c r="AL247" s="132" t="n">
        <f aca="false">CHOOSE($G$3,AC247-AD247,AD247-AC247)</f>
        <v>0</v>
      </c>
      <c r="AM247" s="132" t="n">
        <f aca="false">CHOOSE($G$3,AF247-AG247,AG247-AF247)</f>
        <v>0</v>
      </c>
      <c r="AN247" s="132" t="n">
        <f aca="false">CHOOSE($G$3,AI247-AJ247,AJ247-AI247)</f>
        <v>0</v>
      </c>
      <c r="AO247" s="148" t="n">
        <f aca="false">SUM(AL247:AN247)</f>
        <v>0</v>
      </c>
      <c r="AQ247" s="132" t="n">
        <f aca="false">CHOOSE($G$3,AB247-AC247,AC247-AB247)</f>
        <v>0</v>
      </c>
      <c r="AR247" s="132" t="n">
        <f aca="false">CHOOSE($G$3,AE247-AF247,AF247-AE247)</f>
        <v>0</v>
      </c>
      <c r="AS247" s="132" t="n">
        <f aca="false">CHOOSE($G$3,AH247-AI247,AI247-AH247)</f>
        <v>0</v>
      </c>
      <c r="AT247" s="148" t="n">
        <f aca="false">AQ247+AR247+AS247</f>
        <v>0</v>
      </c>
      <c r="AU247" s="148"/>
      <c r="AV247" s="133" t="n">
        <f aca="false">AT247+AO247</f>
        <v>0</v>
      </c>
      <c r="AX247" s="133" t="n">
        <f aca="false">AJ247+AG247+AD247</f>
        <v>0</v>
      </c>
      <c r="AY247" s="149"/>
      <c r="AZ247" s="76" t="n">
        <f aca="false">R247*E247</f>
        <v>0</v>
      </c>
    </row>
    <row r="248" customFormat="false" ht="12" hidden="false" customHeight="true" outlineLevel="0" collapsed="false">
      <c r="A248" s="138" t="n">
        <f aca="false">EDATE(A247,1)</f>
        <v>44228</v>
      </c>
      <c r="B248" s="139" t="n">
        <f aca="false">VLOOKUP($A248,Table2,MATCH(I$3,Curves2,0))</f>
        <v>0</v>
      </c>
      <c r="C248" s="140"/>
      <c r="D248" s="141" t="n">
        <f aca="false">B248+C248</f>
        <v>0</v>
      </c>
      <c r="E248" s="126" t="n">
        <f aca="false">IF(Y248=0,0,IF(AND(Y248=1,$H$3=1),D248*T248,IF($H$3=2,D248,"N/A")))</f>
        <v>0</v>
      </c>
      <c r="F248" s="126" t="n">
        <f aca="false">E248*X248</f>
        <v>0</v>
      </c>
      <c r="G248" s="142" t="n">
        <f aca="false">VLOOKUP($A248,Table,MATCH(G$4,Curves,0))</f>
        <v>3.987</v>
      </c>
      <c r="H248" s="143" t="n">
        <f aca="false">G248</f>
        <v>3.987</v>
      </c>
      <c r="I248" s="142" t="n">
        <f aca="false">VLOOKUP($A248,Table1,MATCH(I$3,Curves1,0))</f>
        <v>0</v>
      </c>
      <c r="J248" s="142" t="n">
        <f aca="false">VLOOKUP($A248,Table,MATCH(J$4,Curves,0))</f>
        <v>-0.0305</v>
      </c>
      <c r="K248" s="143" t="n">
        <f aca="false">J248</f>
        <v>-0.0305</v>
      </c>
      <c r="L248" s="144" t="n">
        <v>0</v>
      </c>
      <c r="M248" s="142" t="n">
        <f aca="false">VLOOKUP($A248,Table,MATCH(M$4,Curves,0))</f>
        <v>0.0087</v>
      </c>
      <c r="N248" s="143" t="n">
        <f aca="false">M248</f>
        <v>0.0087</v>
      </c>
      <c r="O248" s="144" t="n">
        <v>0</v>
      </c>
      <c r="P248" s="145"/>
      <c r="Q248" s="144" t="n">
        <f aca="false">M248+J248+G248</f>
        <v>3.9652</v>
      </c>
      <c r="R248" s="144" t="n">
        <f aca="false">O248+L248+I248</f>
        <v>0</v>
      </c>
      <c r="S248" s="145"/>
      <c r="T248" s="71" t="n">
        <f aca="false">A249-A248</f>
        <v>28</v>
      </c>
      <c r="U248" s="146" t="n">
        <f aca="false">CHOOSE(F$3,A249+24,A248)</f>
        <v>44280</v>
      </c>
      <c r="V248" s="71" t="n">
        <f aca="false">U248-C$3</f>
        <v>7392</v>
      </c>
      <c r="W248" s="142" t="n">
        <f aca="false">VLOOKUP($A248,Table,MATCH(W$4,Curves,0))</f>
        <v>0.058966861357273</v>
      </c>
      <c r="X248" s="147" t="n">
        <f aca="false">1/(1+CHOOSE(F$3,(W249+($K$3/10000))/2,(W248+($K$3/10000))/2))^(2*V248/365.25)</f>
        <v>0.308470663296764</v>
      </c>
      <c r="Y248" s="71" t="n">
        <f aca="false">IF(AND(mthbeg&lt;=A248,mthend&gt;=A248),1,0)</f>
        <v>0</v>
      </c>
      <c r="Z248" s="71" t="n">
        <f aca="false">T248*Y248</f>
        <v>0</v>
      </c>
      <c r="AB248" s="132" t="n">
        <f aca="false">F248*G248</f>
        <v>0</v>
      </c>
      <c r="AC248" s="132" t="n">
        <f aca="false">$F248*H248</f>
        <v>0</v>
      </c>
      <c r="AD248" s="132" t="n">
        <f aca="false">$F248*I248</f>
        <v>0</v>
      </c>
      <c r="AE248" s="132" t="n">
        <f aca="false">$F248*J248</f>
        <v>-0</v>
      </c>
      <c r="AF248" s="132" t="n">
        <f aca="false">$F248*K248</f>
        <v>-0</v>
      </c>
      <c r="AG248" s="132" t="n">
        <f aca="false">$F248*L248</f>
        <v>0</v>
      </c>
      <c r="AH248" s="132" t="n">
        <f aca="false">$F248*M248</f>
        <v>0</v>
      </c>
      <c r="AI248" s="132" t="n">
        <f aca="false">$F248*N248</f>
        <v>0</v>
      </c>
      <c r="AJ248" s="132" t="n">
        <f aca="false">F248*O248</f>
        <v>0</v>
      </c>
      <c r="AK248" s="137"/>
      <c r="AL248" s="132" t="n">
        <f aca="false">CHOOSE($G$3,AC248-AD248,AD248-AC248)</f>
        <v>0</v>
      </c>
      <c r="AM248" s="132" t="n">
        <f aca="false">CHOOSE($G$3,AF248-AG248,AG248-AF248)</f>
        <v>0</v>
      </c>
      <c r="AN248" s="132" t="n">
        <f aca="false">CHOOSE($G$3,AI248-AJ248,AJ248-AI248)</f>
        <v>0</v>
      </c>
      <c r="AO248" s="148" t="n">
        <f aca="false">SUM(AL248:AN248)</f>
        <v>0</v>
      </c>
      <c r="AQ248" s="132" t="n">
        <f aca="false">CHOOSE($G$3,AB248-AC248,AC248-AB248)</f>
        <v>0</v>
      </c>
      <c r="AR248" s="132" t="n">
        <f aca="false">CHOOSE($G$3,AE248-AF248,AF248-AE248)</f>
        <v>0</v>
      </c>
      <c r="AS248" s="132" t="n">
        <f aca="false">CHOOSE($G$3,AH248-AI248,AI248-AH248)</f>
        <v>0</v>
      </c>
      <c r="AT248" s="148" t="n">
        <f aca="false">AQ248+AR248+AS248</f>
        <v>0</v>
      </c>
      <c r="AU248" s="148"/>
      <c r="AV248" s="133" t="n">
        <f aca="false">AT248+AO248</f>
        <v>0</v>
      </c>
      <c r="AX248" s="133" t="n">
        <f aca="false">AJ248+AG248+AD248</f>
        <v>0</v>
      </c>
      <c r="AY248" s="149"/>
      <c r="AZ248" s="76" t="n">
        <f aca="false">R248*E248</f>
        <v>0</v>
      </c>
    </row>
    <row r="249" customFormat="false" ht="12" hidden="false" customHeight="true" outlineLevel="0" collapsed="false">
      <c r="A249" s="138" t="n">
        <f aca="false">EDATE(A248,1)</f>
        <v>44256</v>
      </c>
      <c r="B249" s="139" t="n">
        <f aca="false">VLOOKUP($A249,Table2,MATCH(I$3,Curves2,0))</f>
        <v>0</v>
      </c>
      <c r="C249" s="140"/>
      <c r="D249" s="141" t="n">
        <f aca="false">B249+C249</f>
        <v>0</v>
      </c>
      <c r="E249" s="126" t="n">
        <f aca="false">IF(Y249=0,0,IF(AND(Y249=1,$H$3=1),D249*T249,IF($H$3=2,D249,"N/A")))</f>
        <v>0</v>
      </c>
      <c r="F249" s="126" t="n">
        <f aca="false">E249*X249</f>
        <v>0</v>
      </c>
      <c r="G249" s="142" t="n">
        <f aca="false">VLOOKUP($A249,Table,MATCH(G$4,Curves,0))</f>
        <v>3.987</v>
      </c>
      <c r="H249" s="143" t="n">
        <f aca="false">G249</f>
        <v>3.987</v>
      </c>
      <c r="I249" s="142" t="n">
        <f aca="false">VLOOKUP($A249,Table1,MATCH(I$3,Curves1,0))</f>
        <v>0</v>
      </c>
      <c r="J249" s="142" t="n">
        <f aca="false">VLOOKUP($A249,Table,MATCH(J$4,Curves,0))</f>
        <v>-0.0305</v>
      </c>
      <c r="K249" s="143" t="n">
        <f aca="false">J249</f>
        <v>-0.0305</v>
      </c>
      <c r="L249" s="144" t="n">
        <v>0</v>
      </c>
      <c r="M249" s="142" t="n">
        <f aca="false">VLOOKUP($A249,Table,MATCH(M$4,Curves,0))</f>
        <v>0.0087</v>
      </c>
      <c r="N249" s="143" t="n">
        <f aca="false">M249</f>
        <v>0.0087</v>
      </c>
      <c r="O249" s="144" t="n">
        <v>0</v>
      </c>
      <c r="P249" s="145"/>
      <c r="Q249" s="144" t="n">
        <f aca="false">M249+J249+G249</f>
        <v>3.9652</v>
      </c>
      <c r="R249" s="144" t="n">
        <f aca="false">O249+L249+I249</f>
        <v>0</v>
      </c>
      <c r="S249" s="145"/>
      <c r="T249" s="71" t="n">
        <f aca="false">A250-A249</f>
        <v>31</v>
      </c>
      <c r="U249" s="146" t="n">
        <f aca="false">CHOOSE(F$3,A250+24,A249)</f>
        <v>44311</v>
      </c>
      <c r="V249" s="71" t="n">
        <f aca="false">U249-C$3</f>
        <v>7423</v>
      </c>
      <c r="W249" s="142" t="n">
        <f aca="false">VLOOKUP($A249,Table,MATCH(W$4,Curves,0))</f>
        <v>0.058966861357273</v>
      </c>
      <c r="X249" s="147" t="n">
        <f aca="false">1/(1+CHOOSE(F$3,(W250+($K$3/10000))/2,(W249+($K$3/10000))/2))^(2*V249/365.25)</f>
        <v>0.306952921891485</v>
      </c>
      <c r="Y249" s="71" t="n">
        <f aca="false">IF(AND(mthbeg&lt;=A249,mthend&gt;=A249),1,0)</f>
        <v>0</v>
      </c>
      <c r="Z249" s="71" t="n">
        <f aca="false">T249*Y249</f>
        <v>0</v>
      </c>
      <c r="AB249" s="132" t="n">
        <f aca="false">F249*G249</f>
        <v>0</v>
      </c>
      <c r="AC249" s="132" t="n">
        <f aca="false">$F249*H249</f>
        <v>0</v>
      </c>
      <c r="AD249" s="132" t="n">
        <f aca="false">$F249*I249</f>
        <v>0</v>
      </c>
      <c r="AE249" s="132" t="n">
        <f aca="false">$F249*J249</f>
        <v>-0</v>
      </c>
      <c r="AF249" s="132" t="n">
        <f aca="false">$F249*K249</f>
        <v>-0</v>
      </c>
      <c r="AG249" s="132" t="n">
        <f aca="false">$F249*L249</f>
        <v>0</v>
      </c>
      <c r="AH249" s="132" t="n">
        <f aca="false">$F249*M249</f>
        <v>0</v>
      </c>
      <c r="AI249" s="132" t="n">
        <f aca="false">$F249*N249</f>
        <v>0</v>
      </c>
      <c r="AJ249" s="132" t="n">
        <f aca="false">F249*O249</f>
        <v>0</v>
      </c>
      <c r="AK249" s="137"/>
      <c r="AL249" s="132" t="n">
        <f aca="false">CHOOSE($G$3,AC249-AD249,AD249-AC249)</f>
        <v>0</v>
      </c>
      <c r="AM249" s="132" t="n">
        <f aca="false">CHOOSE($G$3,AF249-AG249,AG249-AF249)</f>
        <v>0</v>
      </c>
      <c r="AN249" s="132" t="n">
        <f aca="false">CHOOSE($G$3,AI249-AJ249,AJ249-AI249)</f>
        <v>0</v>
      </c>
      <c r="AO249" s="148" t="n">
        <f aca="false">SUM(AL249:AN249)</f>
        <v>0</v>
      </c>
      <c r="AQ249" s="132" t="n">
        <f aca="false">CHOOSE($G$3,AB249-AC249,AC249-AB249)</f>
        <v>0</v>
      </c>
      <c r="AR249" s="132" t="n">
        <f aca="false">CHOOSE($G$3,AE249-AF249,AF249-AE249)</f>
        <v>0</v>
      </c>
      <c r="AS249" s="132" t="n">
        <f aca="false">CHOOSE($G$3,AH249-AI249,AI249-AH249)</f>
        <v>0</v>
      </c>
      <c r="AT249" s="148" t="n">
        <f aca="false">AQ249+AR249+AS249</f>
        <v>0</v>
      </c>
      <c r="AU249" s="148"/>
      <c r="AV249" s="133" t="n">
        <f aca="false">AT249+AO249</f>
        <v>0</v>
      </c>
      <c r="AX249" s="133" t="n">
        <f aca="false">AJ249+AG249+AD249</f>
        <v>0</v>
      </c>
      <c r="AY249" s="149"/>
      <c r="AZ249" s="76" t="n">
        <f aca="false">R249*E249</f>
        <v>0</v>
      </c>
    </row>
    <row r="250" customFormat="false" ht="12" hidden="false" customHeight="true" outlineLevel="0" collapsed="false">
      <c r="A250" s="138" t="n">
        <f aca="false">EDATE(A249,1)</f>
        <v>44287</v>
      </c>
      <c r="B250" s="139" t="n">
        <f aca="false">VLOOKUP($A250,Table2,MATCH(I$3,Curves2,0))</f>
        <v>0</v>
      </c>
      <c r="C250" s="140"/>
      <c r="D250" s="141" t="n">
        <f aca="false">B250+C250</f>
        <v>0</v>
      </c>
      <c r="E250" s="126" t="n">
        <f aca="false">IF(Y250=0,0,IF(AND(Y250=1,$H$3=1),D250*T250,IF($H$3=2,D250,"N/A")))</f>
        <v>0</v>
      </c>
      <c r="F250" s="126" t="n">
        <f aca="false">E250*X250</f>
        <v>0</v>
      </c>
      <c r="G250" s="142" t="n">
        <f aca="false">VLOOKUP($A250,Table,MATCH(G$4,Curves,0))</f>
        <v>3.987</v>
      </c>
      <c r="H250" s="143" t="n">
        <f aca="false">G250</f>
        <v>3.987</v>
      </c>
      <c r="I250" s="142" t="n">
        <f aca="false">VLOOKUP($A250,Table1,MATCH(I$3,Curves1,0))</f>
        <v>0</v>
      </c>
      <c r="J250" s="142" t="n">
        <f aca="false">VLOOKUP($A250,Table,MATCH(J$4,Curves,0))</f>
        <v>-0.0305</v>
      </c>
      <c r="K250" s="143" t="n">
        <f aca="false">J250</f>
        <v>-0.0305</v>
      </c>
      <c r="L250" s="144" t="n">
        <v>0</v>
      </c>
      <c r="M250" s="142" t="n">
        <f aca="false">VLOOKUP($A250,Table,MATCH(M$4,Curves,0))</f>
        <v>0.0087</v>
      </c>
      <c r="N250" s="143" t="n">
        <f aca="false">M250</f>
        <v>0.0087</v>
      </c>
      <c r="O250" s="144" t="n">
        <v>0</v>
      </c>
      <c r="P250" s="145"/>
      <c r="Q250" s="144" t="n">
        <f aca="false">M250+J250+G250</f>
        <v>3.9652</v>
      </c>
      <c r="R250" s="144" t="n">
        <f aca="false">O250+L250+I250</f>
        <v>0</v>
      </c>
      <c r="S250" s="145"/>
      <c r="T250" s="71" t="n">
        <f aca="false">A251-A250</f>
        <v>30</v>
      </c>
      <c r="U250" s="146" t="n">
        <f aca="false">CHOOSE(F$3,A251+24,A250)</f>
        <v>44341</v>
      </c>
      <c r="V250" s="71" t="n">
        <f aca="false">U250-C$3</f>
        <v>7453</v>
      </c>
      <c r="W250" s="142" t="n">
        <f aca="false">VLOOKUP($A250,Table,MATCH(W$4,Curves,0))</f>
        <v>0.058966861357273</v>
      </c>
      <c r="X250" s="147" t="n">
        <f aca="false">1/(1+CHOOSE(F$3,(W251+($K$3/10000))/2,(W250+($K$3/10000))/2))^(2*V250/365.25)</f>
        <v>0.305491250423509</v>
      </c>
      <c r="Y250" s="71" t="n">
        <f aca="false">IF(AND(mthbeg&lt;=A250,mthend&gt;=A250),1,0)</f>
        <v>0</v>
      </c>
      <c r="Z250" s="71" t="n">
        <f aca="false">T250*Y250</f>
        <v>0</v>
      </c>
      <c r="AB250" s="132" t="n">
        <f aca="false">F250*G250</f>
        <v>0</v>
      </c>
      <c r="AC250" s="132" t="n">
        <f aca="false">$F250*H250</f>
        <v>0</v>
      </c>
      <c r="AD250" s="132" t="n">
        <f aca="false">$F250*I250</f>
        <v>0</v>
      </c>
      <c r="AE250" s="132" t="n">
        <f aca="false">$F250*J250</f>
        <v>-0</v>
      </c>
      <c r="AF250" s="132" t="n">
        <f aca="false">$F250*K250</f>
        <v>-0</v>
      </c>
      <c r="AG250" s="132" t="n">
        <f aca="false">$F250*L250</f>
        <v>0</v>
      </c>
      <c r="AH250" s="132" t="n">
        <f aca="false">$F250*M250</f>
        <v>0</v>
      </c>
      <c r="AI250" s="132" t="n">
        <f aca="false">$F250*N250</f>
        <v>0</v>
      </c>
      <c r="AJ250" s="132" t="n">
        <f aca="false">F250*O250</f>
        <v>0</v>
      </c>
      <c r="AK250" s="137"/>
      <c r="AL250" s="132" t="n">
        <f aca="false">CHOOSE($G$3,AC250-AD250,AD250-AC250)</f>
        <v>0</v>
      </c>
      <c r="AM250" s="132" t="n">
        <f aca="false">CHOOSE($G$3,AF250-AG250,AG250-AF250)</f>
        <v>0</v>
      </c>
      <c r="AN250" s="132" t="n">
        <f aca="false">CHOOSE($G$3,AI250-AJ250,AJ250-AI250)</f>
        <v>0</v>
      </c>
      <c r="AO250" s="148" t="n">
        <f aca="false">SUM(AL250:AN250)</f>
        <v>0</v>
      </c>
      <c r="AQ250" s="132" t="n">
        <f aca="false">CHOOSE($G$3,AB250-AC250,AC250-AB250)</f>
        <v>0</v>
      </c>
      <c r="AR250" s="132" t="n">
        <f aca="false">CHOOSE($G$3,AE250-AF250,AF250-AE250)</f>
        <v>0</v>
      </c>
      <c r="AS250" s="132" t="n">
        <f aca="false">CHOOSE($G$3,AH250-AI250,AI250-AH250)</f>
        <v>0</v>
      </c>
      <c r="AT250" s="148" t="n">
        <f aca="false">AQ250+AR250+AS250</f>
        <v>0</v>
      </c>
      <c r="AU250" s="148"/>
      <c r="AV250" s="133" t="n">
        <f aca="false">AT250+AO250</f>
        <v>0</v>
      </c>
      <c r="AX250" s="133" t="n">
        <f aca="false">AJ250+AG250+AD250</f>
        <v>0</v>
      </c>
      <c r="AY250" s="149"/>
      <c r="AZ250" s="76" t="n">
        <f aca="false">R250*E250</f>
        <v>0</v>
      </c>
    </row>
    <row r="251" customFormat="false" ht="12" hidden="false" customHeight="true" outlineLevel="0" collapsed="false">
      <c r="A251" s="138" t="n">
        <f aca="false">EDATE(A250,1)</f>
        <v>44317</v>
      </c>
      <c r="B251" s="139" t="n">
        <f aca="false">VLOOKUP($A251,Table2,MATCH(I$3,Curves2,0))</f>
        <v>0</v>
      </c>
      <c r="C251" s="140"/>
      <c r="D251" s="141" t="n">
        <f aca="false">B251+C251</f>
        <v>0</v>
      </c>
      <c r="E251" s="126" t="n">
        <f aca="false">IF(Y251=0,0,IF(AND(Y251=1,$H$3=1),D251*T251,IF($H$3=2,D251,"N/A")))</f>
        <v>0</v>
      </c>
      <c r="F251" s="126" t="n">
        <f aca="false">E251*X251</f>
        <v>0</v>
      </c>
      <c r="G251" s="142" t="n">
        <f aca="false">VLOOKUP($A251,Table,MATCH(G$4,Curves,0))</f>
        <v>3.987</v>
      </c>
      <c r="H251" s="143" t="n">
        <f aca="false">G251</f>
        <v>3.987</v>
      </c>
      <c r="I251" s="142" t="n">
        <f aca="false">VLOOKUP($A251,Table1,MATCH(I$3,Curves1,0))</f>
        <v>0</v>
      </c>
      <c r="J251" s="142" t="n">
        <f aca="false">VLOOKUP($A251,Table,MATCH(J$4,Curves,0))</f>
        <v>-0.0305</v>
      </c>
      <c r="K251" s="143" t="n">
        <f aca="false">J251</f>
        <v>-0.0305</v>
      </c>
      <c r="L251" s="144" t="n">
        <v>0</v>
      </c>
      <c r="M251" s="142" t="n">
        <f aca="false">VLOOKUP($A251,Table,MATCH(M$4,Curves,0))</f>
        <v>0.0087</v>
      </c>
      <c r="N251" s="143" t="n">
        <f aca="false">M251</f>
        <v>0.0087</v>
      </c>
      <c r="O251" s="144" t="n">
        <v>0</v>
      </c>
      <c r="P251" s="145"/>
      <c r="Q251" s="144" t="n">
        <f aca="false">M251+J251+G251</f>
        <v>3.9652</v>
      </c>
      <c r="R251" s="144" t="n">
        <f aca="false">O251+L251+I251</f>
        <v>0</v>
      </c>
      <c r="S251" s="145"/>
      <c r="T251" s="71" t="n">
        <f aca="false">A252-A251</f>
        <v>31</v>
      </c>
      <c r="U251" s="146" t="n">
        <f aca="false">CHOOSE(F$3,A252+24,A251)</f>
        <v>44372</v>
      </c>
      <c r="V251" s="71" t="n">
        <f aca="false">U251-C$3</f>
        <v>7484</v>
      </c>
      <c r="W251" s="142" t="n">
        <f aca="false">VLOOKUP($A251,Table,MATCH(W$4,Curves,0))</f>
        <v>0.058966861357273</v>
      </c>
      <c r="X251" s="147" t="n">
        <f aca="false">1/(1+CHOOSE(F$3,(W252+($K$3/10000))/2,(W251+($K$3/10000))/2))^(2*V251/365.25)</f>
        <v>0.303988168364545</v>
      </c>
      <c r="Y251" s="71" t="n">
        <f aca="false">IF(AND(mthbeg&lt;=A251,mthend&gt;=A251),1,0)</f>
        <v>0</v>
      </c>
      <c r="Z251" s="71" t="n">
        <f aca="false">T251*Y251</f>
        <v>0</v>
      </c>
      <c r="AB251" s="132" t="n">
        <f aca="false">F251*G251</f>
        <v>0</v>
      </c>
      <c r="AC251" s="132" t="n">
        <f aca="false">$F251*H251</f>
        <v>0</v>
      </c>
      <c r="AD251" s="132" t="n">
        <f aca="false">$F251*I251</f>
        <v>0</v>
      </c>
      <c r="AE251" s="132" t="n">
        <f aca="false">$F251*J251</f>
        <v>-0</v>
      </c>
      <c r="AF251" s="132" t="n">
        <f aca="false">$F251*K251</f>
        <v>-0</v>
      </c>
      <c r="AG251" s="132" t="n">
        <f aca="false">$F251*L251</f>
        <v>0</v>
      </c>
      <c r="AH251" s="132" t="n">
        <f aca="false">$F251*M251</f>
        <v>0</v>
      </c>
      <c r="AI251" s="132" t="n">
        <f aca="false">$F251*N251</f>
        <v>0</v>
      </c>
      <c r="AJ251" s="132" t="n">
        <f aca="false">F251*O251</f>
        <v>0</v>
      </c>
      <c r="AK251" s="137"/>
      <c r="AL251" s="132" t="n">
        <f aca="false">CHOOSE($G$3,AC251-AD251,AD251-AC251)</f>
        <v>0</v>
      </c>
      <c r="AM251" s="132" t="n">
        <f aca="false">CHOOSE($G$3,AF251-AG251,AG251-AF251)</f>
        <v>0</v>
      </c>
      <c r="AN251" s="132" t="n">
        <f aca="false">CHOOSE($G$3,AI251-AJ251,AJ251-AI251)</f>
        <v>0</v>
      </c>
      <c r="AO251" s="148" t="n">
        <f aca="false">SUM(AL251:AN251)</f>
        <v>0</v>
      </c>
      <c r="AQ251" s="132" t="n">
        <f aca="false">CHOOSE($G$3,AB251-AC251,AC251-AB251)</f>
        <v>0</v>
      </c>
      <c r="AR251" s="132" t="n">
        <f aca="false">CHOOSE($G$3,AE251-AF251,AF251-AE251)</f>
        <v>0</v>
      </c>
      <c r="AS251" s="132" t="n">
        <f aca="false">CHOOSE($G$3,AH251-AI251,AI251-AH251)</f>
        <v>0</v>
      </c>
      <c r="AT251" s="148" t="n">
        <f aca="false">AQ251+AR251+AS251</f>
        <v>0</v>
      </c>
      <c r="AU251" s="148"/>
      <c r="AV251" s="133" t="n">
        <f aca="false">AT251+AO251</f>
        <v>0</v>
      </c>
      <c r="AX251" s="133" t="n">
        <f aca="false">AJ251+AG251+AD251</f>
        <v>0</v>
      </c>
      <c r="AY251" s="149"/>
      <c r="AZ251" s="76" t="n">
        <f aca="false">R251*E251</f>
        <v>0</v>
      </c>
    </row>
    <row r="252" customFormat="false" ht="12" hidden="false" customHeight="true" outlineLevel="0" collapsed="false">
      <c r="A252" s="138" t="n">
        <f aca="false">EDATE(A251,1)</f>
        <v>44348</v>
      </c>
      <c r="B252" s="139" t="n">
        <f aca="false">VLOOKUP($A252,Table2,MATCH(I$3,Curves2,0))</f>
        <v>0</v>
      </c>
      <c r="C252" s="140"/>
      <c r="D252" s="141" t="n">
        <f aca="false">B252+C252</f>
        <v>0</v>
      </c>
      <c r="E252" s="126" t="n">
        <f aca="false">IF(Y252=0,0,IF(AND(Y252=1,$H$3=1),D252*T252,IF($H$3=2,D252,"N/A")))</f>
        <v>0</v>
      </c>
      <c r="F252" s="126" t="n">
        <f aca="false">E252*X252</f>
        <v>0</v>
      </c>
      <c r="G252" s="142" t="n">
        <f aca="false">VLOOKUP($A252,Table,MATCH(G$4,Curves,0))</f>
        <v>3.987</v>
      </c>
      <c r="H252" s="143" t="n">
        <f aca="false">G252</f>
        <v>3.987</v>
      </c>
      <c r="I252" s="142" t="n">
        <f aca="false">VLOOKUP($A252,Table1,MATCH(I$3,Curves1,0))</f>
        <v>0</v>
      </c>
      <c r="J252" s="142" t="n">
        <f aca="false">VLOOKUP($A252,Table,MATCH(J$4,Curves,0))</f>
        <v>-0.0305</v>
      </c>
      <c r="K252" s="143" t="n">
        <f aca="false">J252</f>
        <v>-0.0305</v>
      </c>
      <c r="L252" s="144" t="n">
        <v>0</v>
      </c>
      <c r="M252" s="142" t="n">
        <f aca="false">VLOOKUP($A252,Table,MATCH(M$4,Curves,0))</f>
        <v>0.0087</v>
      </c>
      <c r="N252" s="143" t="n">
        <f aca="false">M252</f>
        <v>0.0087</v>
      </c>
      <c r="O252" s="144" t="n">
        <v>0</v>
      </c>
      <c r="P252" s="145"/>
      <c r="Q252" s="144" t="n">
        <f aca="false">M252+J252+G252</f>
        <v>3.9652</v>
      </c>
      <c r="R252" s="144" t="n">
        <f aca="false">O252+L252+I252</f>
        <v>0</v>
      </c>
      <c r="S252" s="145"/>
      <c r="T252" s="71" t="n">
        <f aca="false">A253-A252</f>
        <v>30</v>
      </c>
      <c r="U252" s="146" t="n">
        <f aca="false">CHOOSE(F$3,A253+24,A252)</f>
        <v>44402</v>
      </c>
      <c r="V252" s="71" t="n">
        <f aca="false">U252-C$3</f>
        <v>7514</v>
      </c>
      <c r="W252" s="142" t="n">
        <f aca="false">VLOOKUP($A252,Table,MATCH(W$4,Curves,0))</f>
        <v>0.058966861357273</v>
      </c>
      <c r="X252" s="147" t="n">
        <f aca="false">1/(1+CHOOSE(F$3,(W253+($K$3/10000))/2,(W252+($K$3/10000))/2))^(2*V252/365.25)</f>
        <v>0.302540614682493</v>
      </c>
      <c r="Y252" s="71" t="n">
        <f aca="false">IF(AND(mthbeg&lt;=A252,mthend&gt;=A252),1,0)</f>
        <v>0</v>
      </c>
      <c r="Z252" s="71" t="n">
        <f aca="false">T252*Y252</f>
        <v>0</v>
      </c>
      <c r="AB252" s="132" t="n">
        <f aca="false">F252*G252</f>
        <v>0</v>
      </c>
      <c r="AC252" s="132" t="n">
        <f aca="false">$F252*H252</f>
        <v>0</v>
      </c>
      <c r="AD252" s="132" t="n">
        <f aca="false">$F252*I252</f>
        <v>0</v>
      </c>
      <c r="AE252" s="132" t="n">
        <f aca="false">$F252*J252</f>
        <v>-0</v>
      </c>
      <c r="AF252" s="132" t="n">
        <f aca="false">$F252*K252</f>
        <v>-0</v>
      </c>
      <c r="AG252" s="132" t="n">
        <f aca="false">$F252*L252</f>
        <v>0</v>
      </c>
      <c r="AH252" s="132" t="n">
        <f aca="false">$F252*M252</f>
        <v>0</v>
      </c>
      <c r="AI252" s="132" t="n">
        <f aca="false">$F252*N252</f>
        <v>0</v>
      </c>
      <c r="AJ252" s="132" t="n">
        <f aca="false">F252*O252</f>
        <v>0</v>
      </c>
      <c r="AK252" s="137"/>
      <c r="AL252" s="132" t="n">
        <f aca="false">CHOOSE($G$3,AC252-AD252,AD252-AC252)</f>
        <v>0</v>
      </c>
      <c r="AM252" s="132" t="n">
        <f aca="false">CHOOSE($G$3,AF252-AG252,AG252-AF252)</f>
        <v>0</v>
      </c>
      <c r="AN252" s="132" t="n">
        <f aca="false">CHOOSE($G$3,AI252-AJ252,AJ252-AI252)</f>
        <v>0</v>
      </c>
      <c r="AO252" s="148" t="n">
        <f aca="false">SUM(AL252:AN252)</f>
        <v>0</v>
      </c>
      <c r="AQ252" s="132" t="n">
        <f aca="false">CHOOSE($G$3,AB252-AC252,AC252-AB252)</f>
        <v>0</v>
      </c>
      <c r="AR252" s="132" t="n">
        <f aca="false">CHOOSE($G$3,AE252-AF252,AF252-AE252)</f>
        <v>0</v>
      </c>
      <c r="AS252" s="132" t="n">
        <f aca="false">CHOOSE($G$3,AH252-AI252,AI252-AH252)</f>
        <v>0</v>
      </c>
      <c r="AT252" s="148" t="n">
        <f aca="false">AQ252+AR252+AS252</f>
        <v>0</v>
      </c>
      <c r="AU252" s="148"/>
      <c r="AV252" s="133" t="n">
        <f aca="false">AT252+AO252</f>
        <v>0</v>
      </c>
      <c r="AX252" s="133" t="n">
        <f aca="false">AJ252+AG252+AD252</f>
        <v>0</v>
      </c>
      <c r="AY252" s="149"/>
      <c r="AZ252" s="76" t="n">
        <f aca="false">R252*E252</f>
        <v>0</v>
      </c>
    </row>
    <row r="253" customFormat="false" ht="12" hidden="false" customHeight="true" outlineLevel="0" collapsed="false">
      <c r="A253" s="138" t="n">
        <f aca="false">EDATE(A252,1)</f>
        <v>44378</v>
      </c>
      <c r="B253" s="139" t="n">
        <f aca="false">VLOOKUP($A253,Table2,MATCH(I$3,Curves2,0))</f>
        <v>0</v>
      </c>
      <c r="C253" s="140"/>
      <c r="D253" s="141" t="n">
        <f aca="false">B253+C253</f>
        <v>0</v>
      </c>
      <c r="E253" s="126" t="n">
        <f aca="false">IF(Y253=0,0,IF(AND(Y253=1,$H$3=1),D253*T253,IF($H$3=2,D253,"N/A")))</f>
        <v>0</v>
      </c>
      <c r="F253" s="126" t="n">
        <f aca="false">E253*X253</f>
        <v>0</v>
      </c>
      <c r="G253" s="142" t="n">
        <f aca="false">VLOOKUP($A253,Table,MATCH(G$4,Curves,0))</f>
        <v>3.987</v>
      </c>
      <c r="H253" s="143" t="n">
        <f aca="false">G253</f>
        <v>3.987</v>
      </c>
      <c r="I253" s="142" t="n">
        <f aca="false">VLOOKUP($A253,Table1,MATCH(I$3,Curves1,0))</f>
        <v>0</v>
      </c>
      <c r="J253" s="142" t="n">
        <f aca="false">VLOOKUP($A253,Table,MATCH(J$4,Curves,0))</f>
        <v>-0.0305</v>
      </c>
      <c r="K253" s="143" t="n">
        <f aca="false">J253</f>
        <v>-0.0305</v>
      </c>
      <c r="L253" s="144" t="n">
        <v>0</v>
      </c>
      <c r="M253" s="142" t="n">
        <f aca="false">VLOOKUP($A253,Table,MATCH(M$4,Curves,0))</f>
        <v>0.0087</v>
      </c>
      <c r="N253" s="143" t="n">
        <f aca="false">M253</f>
        <v>0.0087</v>
      </c>
      <c r="O253" s="144" t="n">
        <v>0</v>
      </c>
      <c r="P253" s="145"/>
      <c r="Q253" s="144" t="n">
        <f aca="false">M253+J253+G253</f>
        <v>3.9652</v>
      </c>
      <c r="R253" s="144" t="n">
        <f aca="false">O253+L253+I253</f>
        <v>0</v>
      </c>
      <c r="S253" s="145"/>
      <c r="T253" s="71" t="n">
        <f aca="false">A254-A253</f>
        <v>31</v>
      </c>
      <c r="U253" s="146" t="n">
        <f aca="false">CHOOSE(F$3,A254+24,A253)</f>
        <v>44433</v>
      </c>
      <c r="V253" s="71" t="n">
        <f aca="false">U253-C$3</f>
        <v>7545</v>
      </c>
      <c r="W253" s="142" t="n">
        <f aca="false">VLOOKUP($A253,Table,MATCH(W$4,Curves,0))</f>
        <v>0.058966861357273</v>
      </c>
      <c r="X253" s="147" t="n">
        <f aca="false">1/(1+CHOOSE(F$3,(W254+($K$3/10000))/2,(W253+($K$3/10000))/2))^(2*V253/365.25)</f>
        <v>0.30105205038022</v>
      </c>
      <c r="Y253" s="71" t="n">
        <f aca="false">IF(AND(mthbeg&lt;=A253,mthend&gt;=A253),1,0)</f>
        <v>0</v>
      </c>
      <c r="Z253" s="71" t="n">
        <f aca="false">T253*Y253</f>
        <v>0</v>
      </c>
      <c r="AB253" s="132" t="n">
        <f aca="false">F253*G253</f>
        <v>0</v>
      </c>
      <c r="AC253" s="132" t="n">
        <f aca="false">$F253*H253</f>
        <v>0</v>
      </c>
      <c r="AD253" s="132" t="n">
        <f aca="false">$F253*I253</f>
        <v>0</v>
      </c>
      <c r="AE253" s="132" t="n">
        <f aca="false">$F253*J253</f>
        <v>-0</v>
      </c>
      <c r="AF253" s="132" t="n">
        <f aca="false">$F253*K253</f>
        <v>-0</v>
      </c>
      <c r="AG253" s="132" t="n">
        <f aca="false">$F253*L253</f>
        <v>0</v>
      </c>
      <c r="AH253" s="132" t="n">
        <f aca="false">$F253*M253</f>
        <v>0</v>
      </c>
      <c r="AI253" s="132" t="n">
        <f aca="false">$F253*N253</f>
        <v>0</v>
      </c>
      <c r="AJ253" s="132" t="n">
        <f aca="false">F253*O253</f>
        <v>0</v>
      </c>
      <c r="AK253" s="137"/>
      <c r="AL253" s="132" t="n">
        <f aca="false">CHOOSE($G$3,AC253-AD253,AD253-AC253)</f>
        <v>0</v>
      </c>
      <c r="AM253" s="132" t="n">
        <f aca="false">CHOOSE($G$3,AF253-AG253,AG253-AF253)</f>
        <v>0</v>
      </c>
      <c r="AN253" s="132" t="n">
        <f aca="false">CHOOSE($G$3,AI253-AJ253,AJ253-AI253)</f>
        <v>0</v>
      </c>
      <c r="AO253" s="148" t="n">
        <f aca="false">SUM(AL253:AN253)</f>
        <v>0</v>
      </c>
      <c r="AQ253" s="132" t="n">
        <f aca="false">CHOOSE($G$3,AB253-AC253,AC253-AB253)</f>
        <v>0</v>
      </c>
      <c r="AR253" s="132" t="n">
        <f aca="false">CHOOSE($G$3,AE253-AF253,AF253-AE253)</f>
        <v>0</v>
      </c>
      <c r="AS253" s="132" t="n">
        <f aca="false">CHOOSE($G$3,AH253-AI253,AI253-AH253)</f>
        <v>0</v>
      </c>
      <c r="AT253" s="148" t="n">
        <f aca="false">AQ253+AR253+AS253</f>
        <v>0</v>
      </c>
      <c r="AU253" s="148"/>
      <c r="AV253" s="133" t="n">
        <f aca="false">AT253+AO253</f>
        <v>0</v>
      </c>
      <c r="AX253" s="133" t="n">
        <f aca="false">AJ253+AG253+AD253</f>
        <v>0</v>
      </c>
      <c r="AY253" s="149"/>
      <c r="AZ253" s="76" t="n">
        <f aca="false">R253*E253</f>
        <v>0</v>
      </c>
    </row>
    <row r="254" customFormat="false" ht="12" hidden="false" customHeight="true" outlineLevel="0" collapsed="false">
      <c r="A254" s="138" t="n">
        <f aca="false">EDATE(A253,1)</f>
        <v>44409</v>
      </c>
      <c r="B254" s="139" t="n">
        <f aca="false">VLOOKUP($A254,Table2,MATCH(I$3,Curves2,0))</f>
        <v>0</v>
      </c>
      <c r="C254" s="140"/>
      <c r="D254" s="141" t="n">
        <f aca="false">B254+C254</f>
        <v>0</v>
      </c>
      <c r="E254" s="126" t="n">
        <f aca="false">IF(Y254=0,0,IF(AND(Y254=1,$H$3=1),D254*T254,IF($H$3=2,D254,"N/A")))</f>
        <v>0</v>
      </c>
      <c r="F254" s="126" t="n">
        <f aca="false">E254*X254</f>
        <v>0</v>
      </c>
      <c r="G254" s="142" t="n">
        <f aca="false">VLOOKUP($A254,Table,MATCH(G$4,Curves,0))</f>
        <v>3.987</v>
      </c>
      <c r="H254" s="143" t="n">
        <f aca="false">G254</f>
        <v>3.987</v>
      </c>
      <c r="I254" s="142" t="n">
        <f aca="false">VLOOKUP($A254,Table1,MATCH(I$3,Curves1,0))</f>
        <v>0</v>
      </c>
      <c r="J254" s="142" t="n">
        <f aca="false">VLOOKUP($A254,Table,MATCH(J$4,Curves,0))</f>
        <v>-0.0305</v>
      </c>
      <c r="K254" s="143" t="n">
        <f aca="false">J254</f>
        <v>-0.0305</v>
      </c>
      <c r="L254" s="144" t="n">
        <v>0</v>
      </c>
      <c r="M254" s="142" t="n">
        <f aca="false">VLOOKUP($A254,Table,MATCH(M$4,Curves,0))</f>
        <v>0.0087</v>
      </c>
      <c r="N254" s="143" t="n">
        <f aca="false">M254</f>
        <v>0.0087</v>
      </c>
      <c r="O254" s="144" t="n">
        <v>0</v>
      </c>
      <c r="P254" s="145"/>
      <c r="Q254" s="144" t="n">
        <f aca="false">M254+J254+G254</f>
        <v>3.9652</v>
      </c>
      <c r="R254" s="144" t="n">
        <f aca="false">O254+L254+I254</f>
        <v>0</v>
      </c>
      <c r="S254" s="145"/>
      <c r="T254" s="71" t="n">
        <f aca="false">A255-A254</f>
        <v>31</v>
      </c>
      <c r="U254" s="146" t="n">
        <f aca="false">CHOOSE(F$3,A255+24,A254)</f>
        <v>44464</v>
      </c>
      <c r="V254" s="71" t="n">
        <f aca="false">U254-C$3</f>
        <v>7576</v>
      </c>
      <c r="W254" s="142" t="n">
        <f aca="false">VLOOKUP($A254,Table,MATCH(W$4,Curves,0))</f>
        <v>0.058966861357273</v>
      </c>
      <c r="X254" s="147" t="n">
        <f aca="false">1/(1+CHOOSE(F$3,(W255+($K$3/10000))/2,(W254+($K$3/10000))/2))^(2*V254/365.25)</f>
        <v>0.29957081013156</v>
      </c>
      <c r="Y254" s="71" t="n">
        <f aca="false">IF(AND(mthbeg&lt;=A254,mthend&gt;=A254),1,0)</f>
        <v>0</v>
      </c>
      <c r="Z254" s="71" t="n">
        <f aca="false">T254*Y254</f>
        <v>0</v>
      </c>
      <c r="AB254" s="132" t="n">
        <f aca="false">F254*G254</f>
        <v>0</v>
      </c>
      <c r="AC254" s="132" t="n">
        <f aca="false">$F254*H254</f>
        <v>0</v>
      </c>
      <c r="AD254" s="132" t="n">
        <f aca="false">$F254*I254</f>
        <v>0</v>
      </c>
      <c r="AE254" s="132" t="n">
        <f aca="false">$F254*J254</f>
        <v>-0</v>
      </c>
      <c r="AF254" s="132" t="n">
        <f aca="false">$F254*K254</f>
        <v>-0</v>
      </c>
      <c r="AG254" s="132" t="n">
        <f aca="false">$F254*L254</f>
        <v>0</v>
      </c>
      <c r="AH254" s="132" t="n">
        <f aca="false">$F254*M254</f>
        <v>0</v>
      </c>
      <c r="AI254" s="132" t="n">
        <f aca="false">$F254*N254</f>
        <v>0</v>
      </c>
      <c r="AJ254" s="132" t="n">
        <f aca="false">F254*O254</f>
        <v>0</v>
      </c>
      <c r="AK254" s="137"/>
      <c r="AL254" s="132" t="n">
        <f aca="false">CHOOSE($G$3,AC254-AD254,AD254-AC254)</f>
        <v>0</v>
      </c>
      <c r="AM254" s="132" t="n">
        <f aca="false">CHOOSE($G$3,AF254-AG254,AG254-AF254)</f>
        <v>0</v>
      </c>
      <c r="AN254" s="132" t="n">
        <f aca="false">CHOOSE($G$3,AI254-AJ254,AJ254-AI254)</f>
        <v>0</v>
      </c>
      <c r="AO254" s="148" t="n">
        <f aca="false">SUM(AL254:AN254)</f>
        <v>0</v>
      </c>
      <c r="AQ254" s="132" t="n">
        <f aca="false">CHOOSE($G$3,AB254-AC254,AC254-AB254)</f>
        <v>0</v>
      </c>
      <c r="AR254" s="132" t="n">
        <f aca="false">CHOOSE($G$3,AE254-AF254,AF254-AE254)</f>
        <v>0</v>
      </c>
      <c r="AS254" s="132" t="n">
        <f aca="false">CHOOSE($G$3,AH254-AI254,AI254-AH254)</f>
        <v>0</v>
      </c>
      <c r="AT254" s="148" t="n">
        <f aca="false">AQ254+AR254+AS254</f>
        <v>0</v>
      </c>
      <c r="AU254" s="148"/>
      <c r="AV254" s="133" t="n">
        <f aca="false">AT254+AO254</f>
        <v>0</v>
      </c>
      <c r="AX254" s="133" t="n">
        <f aca="false">AJ254+AG254+AD254</f>
        <v>0</v>
      </c>
      <c r="AY254" s="149"/>
      <c r="AZ254" s="76" t="n">
        <f aca="false">R254*E254</f>
        <v>0</v>
      </c>
    </row>
    <row r="255" customFormat="false" ht="12" hidden="false" customHeight="true" outlineLevel="0" collapsed="false">
      <c r="A255" s="138" t="n">
        <f aca="false">EDATE(A254,1)</f>
        <v>44440</v>
      </c>
      <c r="B255" s="139" t="n">
        <f aca="false">VLOOKUP($A255,Table2,MATCH(I$3,Curves2,0))</f>
        <v>0</v>
      </c>
      <c r="C255" s="140"/>
      <c r="D255" s="141" t="n">
        <f aca="false">B255+C255</f>
        <v>0</v>
      </c>
      <c r="E255" s="126" t="n">
        <f aca="false">IF(Y255=0,0,IF(AND(Y255=1,$H$3=1),D255*T255,IF($H$3=2,D255,"N/A")))</f>
        <v>0</v>
      </c>
      <c r="F255" s="126" t="n">
        <f aca="false">E255*X255</f>
        <v>0</v>
      </c>
      <c r="G255" s="142" t="n">
        <f aca="false">VLOOKUP($A255,Table,MATCH(G$4,Curves,0))</f>
        <v>3.987</v>
      </c>
      <c r="H255" s="143" t="n">
        <f aca="false">G255</f>
        <v>3.987</v>
      </c>
      <c r="I255" s="142" t="n">
        <f aca="false">VLOOKUP($A255,Table1,MATCH(I$3,Curves1,0))</f>
        <v>0</v>
      </c>
      <c r="J255" s="142" t="n">
        <f aca="false">VLOOKUP($A255,Table,MATCH(J$4,Curves,0))</f>
        <v>-0.0305</v>
      </c>
      <c r="K255" s="143" t="n">
        <f aca="false">J255</f>
        <v>-0.0305</v>
      </c>
      <c r="L255" s="144" t="n">
        <v>0</v>
      </c>
      <c r="M255" s="142" t="n">
        <f aca="false">VLOOKUP($A255,Table,MATCH(M$4,Curves,0))</f>
        <v>0.0087</v>
      </c>
      <c r="N255" s="143" t="n">
        <f aca="false">M255</f>
        <v>0.0087</v>
      </c>
      <c r="O255" s="144" t="n">
        <v>0</v>
      </c>
      <c r="P255" s="145"/>
      <c r="Q255" s="144" t="n">
        <f aca="false">M255+J255+G255</f>
        <v>3.9652</v>
      </c>
      <c r="R255" s="144" t="n">
        <f aca="false">O255+L255+I255</f>
        <v>0</v>
      </c>
      <c r="S255" s="145"/>
      <c r="T255" s="71" t="n">
        <f aca="false">A256-A255</f>
        <v>30</v>
      </c>
      <c r="U255" s="146" t="n">
        <f aca="false">CHOOSE(F$3,A256+24,A255)</f>
        <v>44494</v>
      </c>
      <c r="V255" s="71" t="n">
        <f aca="false">U255-C$3</f>
        <v>7606</v>
      </c>
      <c r="W255" s="142" t="n">
        <f aca="false">VLOOKUP($A255,Table,MATCH(W$4,Curves,0))</f>
        <v>0.058966861357273</v>
      </c>
      <c r="X255" s="147" t="n">
        <f aca="false">1/(1+CHOOSE(F$3,(W256+($K$3/10000))/2,(W255+($K$3/10000))/2))^(2*V255/365.25)</f>
        <v>0.298144291357575</v>
      </c>
      <c r="Y255" s="71" t="n">
        <f aca="false">IF(AND(mthbeg&lt;=A255,mthend&gt;=A255),1,0)</f>
        <v>0</v>
      </c>
      <c r="Z255" s="71" t="n">
        <f aca="false">T255*Y255</f>
        <v>0</v>
      </c>
      <c r="AB255" s="132" t="n">
        <f aca="false">F255*G255</f>
        <v>0</v>
      </c>
      <c r="AC255" s="132" t="n">
        <f aca="false">$F255*H255</f>
        <v>0</v>
      </c>
      <c r="AD255" s="132" t="n">
        <f aca="false">$F255*I255</f>
        <v>0</v>
      </c>
      <c r="AE255" s="132" t="n">
        <f aca="false">$F255*J255</f>
        <v>-0</v>
      </c>
      <c r="AF255" s="132" t="n">
        <f aca="false">$F255*K255</f>
        <v>-0</v>
      </c>
      <c r="AG255" s="132" t="n">
        <f aca="false">$F255*L255</f>
        <v>0</v>
      </c>
      <c r="AH255" s="132" t="n">
        <f aca="false">$F255*M255</f>
        <v>0</v>
      </c>
      <c r="AI255" s="132" t="n">
        <f aca="false">$F255*N255</f>
        <v>0</v>
      </c>
      <c r="AJ255" s="132" t="n">
        <f aca="false">F255*O255</f>
        <v>0</v>
      </c>
      <c r="AK255" s="137"/>
      <c r="AL255" s="132" t="n">
        <f aca="false">CHOOSE($G$3,AC255-AD255,AD255-AC255)</f>
        <v>0</v>
      </c>
      <c r="AM255" s="132" t="n">
        <f aca="false">CHOOSE($G$3,AF255-AG255,AG255-AF255)</f>
        <v>0</v>
      </c>
      <c r="AN255" s="132" t="n">
        <f aca="false">CHOOSE($G$3,AI255-AJ255,AJ255-AI255)</f>
        <v>0</v>
      </c>
      <c r="AO255" s="148" t="n">
        <f aca="false">SUM(AL255:AN255)</f>
        <v>0</v>
      </c>
      <c r="AQ255" s="132" t="n">
        <f aca="false">CHOOSE($G$3,AB255-AC255,AC255-AB255)</f>
        <v>0</v>
      </c>
      <c r="AR255" s="132" t="n">
        <f aca="false">CHOOSE($G$3,AE255-AF255,AF255-AE255)</f>
        <v>0</v>
      </c>
      <c r="AS255" s="132" t="n">
        <f aca="false">CHOOSE($G$3,AH255-AI255,AI255-AH255)</f>
        <v>0</v>
      </c>
      <c r="AT255" s="148" t="n">
        <f aca="false">AQ255+AR255+AS255</f>
        <v>0</v>
      </c>
      <c r="AU255" s="148"/>
      <c r="AV255" s="133" t="n">
        <f aca="false">AT255+AO255</f>
        <v>0</v>
      </c>
      <c r="AX255" s="133" t="n">
        <f aca="false">AJ255+AG255+AD255</f>
        <v>0</v>
      </c>
      <c r="AY255" s="149"/>
      <c r="AZ255" s="76" t="n">
        <f aca="false">R255*E255</f>
        <v>0</v>
      </c>
    </row>
    <row r="256" customFormat="false" ht="12" hidden="false" customHeight="true" outlineLevel="0" collapsed="false">
      <c r="A256" s="138" t="n">
        <f aca="false">EDATE(A255,1)</f>
        <v>44470</v>
      </c>
      <c r="B256" s="139" t="n">
        <f aca="false">VLOOKUP($A256,Table2,MATCH(I$3,Curves2,0))</f>
        <v>0</v>
      </c>
      <c r="C256" s="140"/>
      <c r="D256" s="141" t="n">
        <f aca="false">B256+C256</f>
        <v>0</v>
      </c>
      <c r="E256" s="126" t="n">
        <f aca="false">IF(Y256=0,0,IF(AND(Y256=1,$H$3=1),D256*T256,IF($H$3=2,D256,"N/A")))</f>
        <v>0</v>
      </c>
      <c r="F256" s="126" t="n">
        <f aca="false">E256*X256</f>
        <v>0</v>
      </c>
      <c r="G256" s="142" t="n">
        <f aca="false">VLOOKUP($A256,Table,MATCH(G$4,Curves,0))</f>
        <v>3.987</v>
      </c>
      <c r="H256" s="143" t="n">
        <f aca="false">G256</f>
        <v>3.987</v>
      </c>
      <c r="I256" s="142" t="n">
        <f aca="false">VLOOKUP($A256,Table1,MATCH(I$3,Curves1,0))</f>
        <v>0</v>
      </c>
      <c r="J256" s="142" t="n">
        <f aca="false">VLOOKUP($A256,Table,MATCH(J$4,Curves,0))</f>
        <v>-0.0305</v>
      </c>
      <c r="K256" s="143" t="n">
        <f aca="false">J256</f>
        <v>-0.0305</v>
      </c>
      <c r="L256" s="144" t="n">
        <v>0</v>
      </c>
      <c r="M256" s="142" t="n">
        <f aca="false">VLOOKUP($A256,Table,MATCH(M$4,Curves,0))</f>
        <v>0.0087</v>
      </c>
      <c r="N256" s="143" t="n">
        <f aca="false">M256</f>
        <v>0.0087</v>
      </c>
      <c r="O256" s="144" t="n">
        <v>0</v>
      </c>
      <c r="P256" s="145"/>
      <c r="Q256" s="144" t="n">
        <f aca="false">M256+J256+G256</f>
        <v>3.9652</v>
      </c>
      <c r="R256" s="144" t="n">
        <f aca="false">O256+L256+I256</f>
        <v>0</v>
      </c>
      <c r="S256" s="145"/>
      <c r="T256" s="71" t="n">
        <f aca="false">A257-A256</f>
        <v>31</v>
      </c>
      <c r="U256" s="146" t="n">
        <f aca="false">CHOOSE(F$3,A257+24,A256)</f>
        <v>44525</v>
      </c>
      <c r="V256" s="71" t="n">
        <f aca="false">U256-C$3</f>
        <v>7637</v>
      </c>
      <c r="W256" s="142" t="n">
        <f aca="false">VLOOKUP($A256,Table,MATCH(W$4,Curves,0))</f>
        <v>0.058966861357273</v>
      </c>
      <c r="X256" s="147" t="n">
        <f aca="false">1/(1+CHOOSE(F$3,(W257+($K$3/10000))/2,(W256+($K$3/10000))/2))^(2*V256/365.25)</f>
        <v>0.296677357903014</v>
      </c>
      <c r="Y256" s="71" t="n">
        <f aca="false">IF(AND(mthbeg&lt;=A256,mthend&gt;=A256),1,0)</f>
        <v>0</v>
      </c>
      <c r="Z256" s="71" t="n">
        <f aca="false">T256*Y256</f>
        <v>0</v>
      </c>
      <c r="AB256" s="132" t="n">
        <f aca="false">F256*G256</f>
        <v>0</v>
      </c>
      <c r="AC256" s="132" t="n">
        <f aca="false">$F256*H256</f>
        <v>0</v>
      </c>
      <c r="AD256" s="132" t="n">
        <f aca="false">$F256*I256</f>
        <v>0</v>
      </c>
      <c r="AE256" s="132" t="n">
        <f aca="false">$F256*J256</f>
        <v>-0</v>
      </c>
      <c r="AF256" s="132" t="n">
        <f aca="false">$F256*K256</f>
        <v>-0</v>
      </c>
      <c r="AG256" s="132" t="n">
        <f aca="false">$F256*L256</f>
        <v>0</v>
      </c>
      <c r="AH256" s="132" t="n">
        <f aca="false">$F256*M256</f>
        <v>0</v>
      </c>
      <c r="AI256" s="132" t="n">
        <f aca="false">$F256*N256</f>
        <v>0</v>
      </c>
      <c r="AJ256" s="132" t="n">
        <f aca="false">F256*O256</f>
        <v>0</v>
      </c>
      <c r="AK256" s="137"/>
      <c r="AL256" s="132" t="n">
        <f aca="false">CHOOSE($G$3,AC256-AD256,AD256-AC256)</f>
        <v>0</v>
      </c>
      <c r="AM256" s="132" t="n">
        <f aca="false">CHOOSE($G$3,AF256-AG256,AG256-AF256)</f>
        <v>0</v>
      </c>
      <c r="AN256" s="132" t="n">
        <f aca="false">CHOOSE($G$3,AI256-AJ256,AJ256-AI256)</f>
        <v>0</v>
      </c>
      <c r="AO256" s="148" t="n">
        <f aca="false">SUM(AL256:AN256)</f>
        <v>0</v>
      </c>
      <c r="AQ256" s="132" t="n">
        <f aca="false">CHOOSE($G$3,AB256-AC256,AC256-AB256)</f>
        <v>0</v>
      </c>
      <c r="AR256" s="132" t="n">
        <f aca="false">CHOOSE($G$3,AE256-AF256,AF256-AE256)</f>
        <v>0</v>
      </c>
      <c r="AS256" s="132" t="n">
        <f aca="false">CHOOSE($G$3,AH256-AI256,AI256-AH256)</f>
        <v>0</v>
      </c>
      <c r="AT256" s="148" t="n">
        <f aca="false">AQ256+AR256+AS256</f>
        <v>0</v>
      </c>
      <c r="AU256" s="148"/>
      <c r="AV256" s="133" t="n">
        <f aca="false">AT256+AO256</f>
        <v>0</v>
      </c>
      <c r="AX256" s="133" t="n">
        <f aca="false">AJ256+AG256+AD256</f>
        <v>0</v>
      </c>
      <c r="AY256" s="149"/>
      <c r="AZ256" s="76" t="n">
        <f aca="false">R256*E256</f>
        <v>0</v>
      </c>
    </row>
    <row r="257" customFormat="false" ht="12" hidden="false" customHeight="true" outlineLevel="0" collapsed="false">
      <c r="A257" s="138" t="n">
        <f aca="false">EDATE(A256,1)</f>
        <v>44501</v>
      </c>
      <c r="B257" s="139" t="n">
        <f aca="false">VLOOKUP($A257,Table2,MATCH(I$3,Curves2,0))</f>
        <v>0</v>
      </c>
      <c r="C257" s="140"/>
      <c r="D257" s="141" t="n">
        <f aca="false">B257+C257</f>
        <v>0</v>
      </c>
      <c r="E257" s="126" t="n">
        <f aca="false">IF(Y257=0,0,IF(AND(Y257=1,$H$3=1),D257*T257,IF($H$3=2,D257,"N/A")))</f>
        <v>0</v>
      </c>
      <c r="F257" s="126" t="n">
        <f aca="false">E257*X257</f>
        <v>0</v>
      </c>
      <c r="G257" s="142" t="n">
        <f aca="false">VLOOKUP($A257,Table,MATCH(G$4,Curves,0))</f>
        <v>3.987</v>
      </c>
      <c r="H257" s="143" t="n">
        <f aca="false">G257</f>
        <v>3.987</v>
      </c>
      <c r="I257" s="142" t="n">
        <f aca="false">VLOOKUP($A257,Table1,MATCH(I$3,Curves1,0))</f>
        <v>0</v>
      </c>
      <c r="J257" s="142" t="n">
        <f aca="false">VLOOKUP($A257,Table,MATCH(J$4,Curves,0))</f>
        <v>-0.0305</v>
      </c>
      <c r="K257" s="143" t="n">
        <f aca="false">J257</f>
        <v>-0.0305</v>
      </c>
      <c r="L257" s="144" t="n">
        <v>0</v>
      </c>
      <c r="M257" s="142" t="n">
        <f aca="false">VLOOKUP($A257,Table,MATCH(M$4,Curves,0))</f>
        <v>0.0087</v>
      </c>
      <c r="N257" s="143" t="n">
        <f aca="false">M257</f>
        <v>0.0087</v>
      </c>
      <c r="O257" s="144" t="n">
        <v>0</v>
      </c>
      <c r="P257" s="145"/>
      <c r="Q257" s="144" t="n">
        <f aca="false">M257+J257+G257</f>
        <v>3.9652</v>
      </c>
      <c r="R257" s="144" t="n">
        <f aca="false">O257+L257+I257</f>
        <v>0</v>
      </c>
      <c r="S257" s="145"/>
      <c r="T257" s="71" t="n">
        <f aca="false">A258-A257</f>
        <v>30</v>
      </c>
      <c r="U257" s="146" t="n">
        <f aca="false">CHOOSE(F$3,A258+24,A257)</f>
        <v>44555</v>
      </c>
      <c r="V257" s="71" t="n">
        <f aca="false">U257-C$3</f>
        <v>7667</v>
      </c>
      <c r="W257" s="142" t="n">
        <f aca="false">VLOOKUP($A257,Table,MATCH(W$4,Curves,0))</f>
        <v>0.058966861357273</v>
      </c>
      <c r="X257" s="147" t="n">
        <f aca="false">1/(1+CHOOSE(F$3,(W258+($K$3/10000))/2,(W257+($K$3/10000))/2))^(2*V257/365.25)</f>
        <v>0.295264617387077</v>
      </c>
      <c r="Y257" s="71" t="n">
        <f aca="false">IF(AND(mthbeg&lt;=A257,mthend&gt;=A257),1,0)</f>
        <v>0</v>
      </c>
      <c r="Z257" s="71" t="n">
        <f aca="false">T257*Y257</f>
        <v>0</v>
      </c>
      <c r="AB257" s="132" t="n">
        <f aca="false">F257*G257</f>
        <v>0</v>
      </c>
      <c r="AC257" s="132" t="n">
        <f aca="false">$F257*H257</f>
        <v>0</v>
      </c>
      <c r="AD257" s="132" t="n">
        <f aca="false">$F257*I257</f>
        <v>0</v>
      </c>
      <c r="AE257" s="132" t="n">
        <f aca="false">$F257*J257</f>
        <v>-0</v>
      </c>
      <c r="AF257" s="132" t="n">
        <f aca="false">$F257*K257</f>
        <v>-0</v>
      </c>
      <c r="AG257" s="132" t="n">
        <f aca="false">$F257*L257</f>
        <v>0</v>
      </c>
      <c r="AH257" s="132" t="n">
        <f aca="false">$F257*M257</f>
        <v>0</v>
      </c>
      <c r="AI257" s="132" t="n">
        <f aca="false">$F257*N257</f>
        <v>0</v>
      </c>
      <c r="AJ257" s="132" t="n">
        <f aca="false">F257*O257</f>
        <v>0</v>
      </c>
      <c r="AK257" s="137"/>
      <c r="AL257" s="132" t="n">
        <f aca="false">CHOOSE($G$3,AC257-AD257,AD257-AC257)</f>
        <v>0</v>
      </c>
      <c r="AM257" s="132" t="n">
        <f aca="false">CHOOSE($G$3,AF257-AG257,AG257-AF257)</f>
        <v>0</v>
      </c>
      <c r="AN257" s="132" t="n">
        <f aca="false">CHOOSE($G$3,AI257-AJ257,AJ257-AI257)</f>
        <v>0</v>
      </c>
      <c r="AO257" s="148" t="n">
        <f aca="false">SUM(AL257:AN257)</f>
        <v>0</v>
      </c>
      <c r="AQ257" s="132" t="n">
        <f aca="false">CHOOSE($G$3,AB257-AC257,AC257-AB257)</f>
        <v>0</v>
      </c>
      <c r="AR257" s="132" t="n">
        <f aca="false">CHOOSE($G$3,AE257-AF257,AF257-AE257)</f>
        <v>0</v>
      </c>
      <c r="AS257" s="132" t="n">
        <f aca="false">CHOOSE($G$3,AH257-AI257,AI257-AH257)</f>
        <v>0</v>
      </c>
      <c r="AT257" s="148" t="n">
        <f aca="false">AQ257+AR257+AS257</f>
        <v>0</v>
      </c>
      <c r="AU257" s="148"/>
      <c r="AV257" s="133" t="n">
        <f aca="false">AT257+AO257</f>
        <v>0</v>
      </c>
      <c r="AX257" s="133" t="n">
        <f aca="false">AJ257+AG257+AD257</f>
        <v>0</v>
      </c>
      <c r="AY257" s="149"/>
      <c r="AZ257" s="76" t="n">
        <f aca="false">R257*E257</f>
        <v>0</v>
      </c>
    </row>
    <row r="258" customFormat="false" ht="12" hidden="false" customHeight="true" outlineLevel="0" collapsed="false">
      <c r="A258" s="138" t="n">
        <f aca="false">EDATE(A257,1)</f>
        <v>44531</v>
      </c>
      <c r="B258" s="139" t="n">
        <f aca="false">VLOOKUP($A258,Table2,MATCH(I$3,Curves2,0))</f>
        <v>0</v>
      </c>
      <c r="C258" s="140"/>
      <c r="D258" s="141" t="n">
        <f aca="false">B258+C258</f>
        <v>0</v>
      </c>
      <c r="E258" s="126" t="n">
        <f aca="false">IF(Y258=0,0,IF(AND(Y258=1,$H$3=1),D258*T258,IF($H$3=2,D258,"N/A")))</f>
        <v>0</v>
      </c>
      <c r="F258" s="126" t="n">
        <f aca="false">E258*X258</f>
        <v>0</v>
      </c>
      <c r="G258" s="142" t="n">
        <f aca="false">VLOOKUP($A258,Table,MATCH(G$4,Curves,0))</f>
        <v>3.987</v>
      </c>
      <c r="H258" s="143" t="n">
        <f aca="false">G258</f>
        <v>3.987</v>
      </c>
      <c r="I258" s="142" t="n">
        <f aca="false">VLOOKUP($A258,Table1,MATCH(I$3,Curves1,0))</f>
        <v>0</v>
      </c>
      <c r="J258" s="142" t="n">
        <f aca="false">VLOOKUP($A258,Table,MATCH(J$4,Curves,0))</f>
        <v>-0.0305</v>
      </c>
      <c r="K258" s="143" t="n">
        <f aca="false">J258</f>
        <v>-0.0305</v>
      </c>
      <c r="L258" s="144" t="n">
        <v>0</v>
      </c>
      <c r="M258" s="142" t="n">
        <f aca="false">VLOOKUP($A258,Table,MATCH(M$4,Curves,0))</f>
        <v>0.0087</v>
      </c>
      <c r="N258" s="143" t="n">
        <f aca="false">M258</f>
        <v>0.0087</v>
      </c>
      <c r="O258" s="144" t="n">
        <v>0</v>
      </c>
      <c r="P258" s="145"/>
      <c r="Q258" s="144" t="n">
        <f aca="false">M258+J258+G258</f>
        <v>3.9652</v>
      </c>
      <c r="R258" s="144" t="n">
        <f aca="false">O258+L258+I258</f>
        <v>0</v>
      </c>
      <c r="S258" s="145"/>
      <c r="T258" s="71" t="n">
        <f aca="false">A259-A258</f>
        <v>31</v>
      </c>
      <c r="U258" s="146" t="n">
        <f aca="false">CHOOSE(F$3,A259+24,A258)</f>
        <v>44586</v>
      </c>
      <c r="V258" s="71" t="n">
        <f aca="false">U258-C$3</f>
        <v>7698</v>
      </c>
      <c r="W258" s="142" t="n">
        <f aca="false">VLOOKUP($A258,Table,MATCH(W$4,Curves,0))</f>
        <v>0.058966861357273</v>
      </c>
      <c r="X258" s="147" t="n">
        <f aca="false">1/(1+CHOOSE(F$3,(W259+($K$3/10000))/2,(W258+($K$3/10000))/2))^(2*V258/365.25)</f>
        <v>0.293811852542172</v>
      </c>
      <c r="Y258" s="71" t="n">
        <f aca="false">IF(AND(mthbeg&lt;=A258,mthend&gt;=A258),1,0)</f>
        <v>0</v>
      </c>
      <c r="Z258" s="71" t="n">
        <f aca="false">T258*Y258</f>
        <v>0</v>
      </c>
      <c r="AB258" s="132" t="n">
        <f aca="false">F258*G258</f>
        <v>0</v>
      </c>
      <c r="AC258" s="132" t="n">
        <f aca="false">$F258*H258</f>
        <v>0</v>
      </c>
      <c r="AD258" s="132" t="n">
        <f aca="false">$F258*I258</f>
        <v>0</v>
      </c>
      <c r="AE258" s="132" t="n">
        <f aca="false">$F258*J258</f>
        <v>-0</v>
      </c>
      <c r="AF258" s="132" t="n">
        <f aca="false">$F258*K258</f>
        <v>-0</v>
      </c>
      <c r="AG258" s="132" t="n">
        <f aca="false">$F258*L258</f>
        <v>0</v>
      </c>
      <c r="AH258" s="132" t="n">
        <f aca="false">$F258*M258</f>
        <v>0</v>
      </c>
      <c r="AI258" s="132" t="n">
        <f aca="false">$F258*N258</f>
        <v>0</v>
      </c>
      <c r="AJ258" s="132" t="n">
        <f aca="false">F258*O258</f>
        <v>0</v>
      </c>
      <c r="AK258" s="137"/>
      <c r="AL258" s="132" t="n">
        <f aca="false">CHOOSE($G$3,AC258-AD258,AD258-AC258)</f>
        <v>0</v>
      </c>
      <c r="AM258" s="132" t="n">
        <f aca="false">CHOOSE($G$3,AF258-AG258,AG258-AF258)</f>
        <v>0</v>
      </c>
      <c r="AN258" s="132" t="n">
        <f aca="false">CHOOSE($G$3,AI258-AJ258,AJ258-AI258)</f>
        <v>0</v>
      </c>
      <c r="AO258" s="148" t="n">
        <f aca="false">SUM(AL258:AN258)</f>
        <v>0</v>
      </c>
      <c r="AQ258" s="132" t="n">
        <f aca="false">CHOOSE($G$3,AB258-AC258,AC258-AB258)</f>
        <v>0</v>
      </c>
      <c r="AR258" s="132" t="n">
        <f aca="false">CHOOSE($G$3,AE258-AF258,AF258-AE258)</f>
        <v>0</v>
      </c>
      <c r="AS258" s="132" t="n">
        <f aca="false">CHOOSE($G$3,AH258-AI258,AI258-AH258)</f>
        <v>0</v>
      </c>
      <c r="AT258" s="148" t="n">
        <f aca="false">AQ258+AR258+AS258</f>
        <v>0</v>
      </c>
      <c r="AU258" s="148"/>
      <c r="AV258" s="133" t="n">
        <f aca="false">AT258+AO258</f>
        <v>0</v>
      </c>
      <c r="AX258" s="133" t="n">
        <f aca="false">AJ258+AG258+AD258</f>
        <v>0</v>
      </c>
      <c r="AY258" s="149"/>
      <c r="AZ258" s="76" t="n">
        <f aca="false">R258*E258</f>
        <v>0</v>
      </c>
    </row>
    <row r="259" customFormat="false" ht="12" hidden="false" customHeight="true" outlineLevel="0" collapsed="false">
      <c r="A259" s="138" t="n">
        <f aca="false">EDATE(A258,1)</f>
        <v>44562</v>
      </c>
      <c r="B259" s="139" t="n">
        <f aca="false">VLOOKUP($A259,Table2,MATCH(I$3,Curves2,0))</f>
        <v>0</v>
      </c>
      <c r="C259" s="140"/>
      <c r="D259" s="141" t="n">
        <f aca="false">B259+C259</f>
        <v>0</v>
      </c>
      <c r="E259" s="126" t="n">
        <f aca="false">IF(Y259=0,0,IF(AND(Y259=1,$H$3=1),D259*T259,IF($H$3=2,D259,"N/A")))</f>
        <v>0</v>
      </c>
      <c r="F259" s="126" t="n">
        <f aca="false">E259*X259</f>
        <v>0</v>
      </c>
      <c r="G259" s="142" t="n">
        <f aca="false">VLOOKUP($A259,Table,MATCH(G$4,Curves,0))</f>
        <v>3.987</v>
      </c>
      <c r="H259" s="143" t="n">
        <f aca="false">G259</f>
        <v>3.987</v>
      </c>
      <c r="I259" s="142" t="n">
        <f aca="false">VLOOKUP($A259,Table1,MATCH(I$3,Curves1,0))</f>
        <v>0</v>
      </c>
      <c r="J259" s="142" t="n">
        <f aca="false">VLOOKUP($A259,Table,MATCH(J$4,Curves,0))</f>
        <v>-0.0305</v>
      </c>
      <c r="K259" s="143" t="n">
        <f aca="false">J259</f>
        <v>-0.0305</v>
      </c>
      <c r="L259" s="144" t="n">
        <v>0</v>
      </c>
      <c r="M259" s="142" t="n">
        <f aca="false">VLOOKUP($A259,Table,MATCH(M$4,Curves,0))</f>
        <v>0.0087</v>
      </c>
      <c r="N259" s="143" t="n">
        <f aca="false">M259</f>
        <v>0.0087</v>
      </c>
      <c r="O259" s="144" t="n">
        <v>0</v>
      </c>
      <c r="P259" s="145"/>
      <c r="Q259" s="144" t="n">
        <f aca="false">M259+J259+G259</f>
        <v>3.9652</v>
      </c>
      <c r="R259" s="144" t="n">
        <f aca="false">O259+L259+I259</f>
        <v>0</v>
      </c>
      <c r="S259" s="145"/>
      <c r="T259" s="71" t="n">
        <f aca="false">A260-A259</f>
        <v>31</v>
      </c>
      <c r="U259" s="146" t="n">
        <f aca="false">CHOOSE(F$3,A260+24,A259)</f>
        <v>44617</v>
      </c>
      <c r="V259" s="71" t="n">
        <f aca="false">U259-C$3</f>
        <v>7729</v>
      </c>
      <c r="W259" s="142" t="n">
        <f aca="false">VLOOKUP($A259,Table,MATCH(W$4,Curves,0))</f>
        <v>0.058966861357273</v>
      </c>
      <c r="X259" s="147" t="n">
        <f aca="false">1/(1+CHOOSE(F$3,(W260+($K$3/10000))/2,(W259+($K$3/10000))/2))^(2*V259/365.25)</f>
        <v>0.29236623560992</v>
      </c>
      <c r="Y259" s="71" t="n">
        <f aca="false">IF(AND(mthbeg&lt;=A259,mthend&gt;=A259),1,0)</f>
        <v>0</v>
      </c>
      <c r="Z259" s="71" t="n">
        <f aca="false">T259*Y259</f>
        <v>0</v>
      </c>
      <c r="AB259" s="132" t="n">
        <f aca="false">F259*G259</f>
        <v>0</v>
      </c>
      <c r="AC259" s="132" t="n">
        <f aca="false">$F259*H259</f>
        <v>0</v>
      </c>
      <c r="AD259" s="132" t="n">
        <f aca="false">$F259*I259</f>
        <v>0</v>
      </c>
      <c r="AE259" s="132" t="n">
        <f aca="false">$F259*J259</f>
        <v>-0</v>
      </c>
      <c r="AF259" s="132" t="n">
        <f aca="false">$F259*K259</f>
        <v>-0</v>
      </c>
      <c r="AG259" s="132" t="n">
        <f aca="false">$F259*L259</f>
        <v>0</v>
      </c>
      <c r="AH259" s="132" t="n">
        <f aca="false">$F259*M259</f>
        <v>0</v>
      </c>
      <c r="AI259" s="132" t="n">
        <f aca="false">$F259*N259</f>
        <v>0</v>
      </c>
      <c r="AJ259" s="132" t="n">
        <f aca="false">F259*O259</f>
        <v>0</v>
      </c>
      <c r="AK259" s="137"/>
      <c r="AL259" s="132" t="n">
        <f aca="false">CHOOSE($G$3,AC259-AD259,AD259-AC259)</f>
        <v>0</v>
      </c>
      <c r="AM259" s="132" t="n">
        <f aca="false">CHOOSE($G$3,AF259-AG259,AG259-AF259)</f>
        <v>0</v>
      </c>
      <c r="AN259" s="132" t="n">
        <f aca="false">CHOOSE($G$3,AI259-AJ259,AJ259-AI259)</f>
        <v>0</v>
      </c>
      <c r="AO259" s="148" t="n">
        <f aca="false">SUM(AL259:AN259)</f>
        <v>0</v>
      </c>
      <c r="AQ259" s="132" t="n">
        <f aca="false">CHOOSE($G$3,AB259-AC259,AC259-AB259)</f>
        <v>0</v>
      </c>
      <c r="AR259" s="132" t="n">
        <f aca="false">CHOOSE($G$3,AE259-AF259,AF259-AE259)</f>
        <v>0</v>
      </c>
      <c r="AS259" s="132" t="n">
        <f aca="false">CHOOSE($G$3,AH259-AI259,AI259-AH259)</f>
        <v>0</v>
      </c>
      <c r="AT259" s="148" t="n">
        <f aca="false">AQ259+AR259+AS259</f>
        <v>0</v>
      </c>
      <c r="AU259" s="148"/>
      <c r="AV259" s="133" t="n">
        <f aca="false">AT259+AO259</f>
        <v>0</v>
      </c>
      <c r="AX259" s="133" t="n">
        <f aca="false">AJ259+AG259+AD259</f>
        <v>0</v>
      </c>
      <c r="AY259" s="149"/>
      <c r="AZ259" s="76" t="n">
        <f aca="false">R259*E259</f>
        <v>0</v>
      </c>
    </row>
    <row r="260" customFormat="false" ht="12" hidden="false" customHeight="true" outlineLevel="0" collapsed="false">
      <c r="A260" s="138" t="n">
        <f aca="false">EDATE(A259,1)</f>
        <v>44593</v>
      </c>
      <c r="B260" s="139" t="n">
        <f aca="false">VLOOKUP($A260,Table2,MATCH(I$3,Curves2,0))</f>
        <v>0</v>
      </c>
      <c r="C260" s="140"/>
      <c r="D260" s="141" t="n">
        <f aca="false">B260+C260</f>
        <v>0</v>
      </c>
      <c r="E260" s="126" t="n">
        <f aca="false">IF(Y260=0,0,IF(AND(Y260=1,$H$3=1),D260*T260,IF($H$3=2,D260,"N/A")))</f>
        <v>0</v>
      </c>
      <c r="F260" s="126" t="n">
        <f aca="false">E260*X260</f>
        <v>0</v>
      </c>
      <c r="G260" s="142" t="n">
        <f aca="false">VLOOKUP($A260,Table,MATCH(G$4,Curves,0))</f>
        <v>3.987</v>
      </c>
      <c r="H260" s="143" t="n">
        <f aca="false">G260</f>
        <v>3.987</v>
      </c>
      <c r="I260" s="142" t="n">
        <f aca="false">VLOOKUP($A260,Table1,MATCH(I$3,Curves1,0))</f>
        <v>0</v>
      </c>
      <c r="J260" s="142" t="n">
        <f aca="false">VLOOKUP($A260,Table,MATCH(J$4,Curves,0))</f>
        <v>-0.0305</v>
      </c>
      <c r="K260" s="143" t="n">
        <f aca="false">J260</f>
        <v>-0.0305</v>
      </c>
      <c r="L260" s="144" t="n">
        <v>0</v>
      </c>
      <c r="M260" s="142" t="n">
        <f aca="false">VLOOKUP($A260,Table,MATCH(M$4,Curves,0))</f>
        <v>0.0087</v>
      </c>
      <c r="N260" s="143" t="n">
        <f aca="false">M260</f>
        <v>0.0087</v>
      </c>
      <c r="O260" s="144" t="n">
        <v>0</v>
      </c>
      <c r="P260" s="145"/>
      <c r="Q260" s="144" t="n">
        <f aca="false">M260+J260+G260</f>
        <v>3.9652</v>
      </c>
      <c r="R260" s="144" t="n">
        <f aca="false">O260+L260+I260</f>
        <v>0</v>
      </c>
      <c r="S260" s="145"/>
      <c r="T260" s="71" t="n">
        <f aca="false">A261-A260</f>
        <v>28</v>
      </c>
      <c r="U260" s="146" t="n">
        <f aca="false">CHOOSE(F$3,A261+24,A260)</f>
        <v>44645</v>
      </c>
      <c r="V260" s="71" t="n">
        <f aca="false">U260-C$3</f>
        <v>7757</v>
      </c>
      <c r="W260" s="142" t="n">
        <f aca="false">VLOOKUP($A260,Table,MATCH(W$4,Curves,0))</f>
        <v>0.058966861357273</v>
      </c>
      <c r="X260" s="147" t="n">
        <f aca="false">1/(1+CHOOSE(F$3,(W261+($K$3/10000))/2,(W260+($K$3/10000))/2))^(2*V260/365.25)</f>
        <v>0.291066631616781</v>
      </c>
      <c r="Y260" s="71" t="n">
        <f aca="false">IF(AND(mthbeg&lt;=A260,mthend&gt;=A260),1,0)</f>
        <v>0</v>
      </c>
      <c r="Z260" s="71" t="n">
        <f aca="false">T260*Y260</f>
        <v>0</v>
      </c>
      <c r="AB260" s="132" t="n">
        <f aca="false">F260*G260</f>
        <v>0</v>
      </c>
      <c r="AC260" s="132" t="n">
        <f aca="false">$F260*H260</f>
        <v>0</v>
      </c>
      <c r="AD260" s="132" t="n">
        <f aca="false">$F260*I260</f>
        <v>0</v>
      </c>
      <c r="AE260" s="132" t="n">
        <f aca="false">$F260*J260</f>
        <v>-0</v>
      </c>
      <c r="AF260" s="132" t="n">
        <f aca="false">$F260*K260</f>
        <v>-0</v>
      </c>
      <c r="AG260" s="132" t="n">
        <f aca="false">$F260*L260</f>
        <v>0</v>
      </c>
      <c r="AH260" s="132" t="n">
        <f aca="false">$F260*M260</f>
        <v>0</v>
      </c>
      <c r="AI260" s="132" t="n">
        <f aca="false">$F260*N260</f>
        <v>0</v>
      </c>
      <c r="AJ260" s="132" t="n">
        <f aca="false">F260*O260</f>
        <v>0</v>
      </c>
      <c r="AK260" s="137"/>
      <c r="AL260" s="132" t="n">
        <f aca="false">CHOOSE($G$3,AC260-AD260,AD260-AC260)</f>
        <v>0</v>
      </c>
      <c r="AM260" s="132" t="n">
        <f aca="false">CHOOSE($G$3,AF260-AG260,AG260-AF260)</f>
        <v>0</v>
      </c>
      <c r="AN260" s="132" t="n">
        <f aca="false">CHOOSE($G$3,AI260-AJ260,AJ260-AI260)</f>
        <v>0</v>
      </c>
      <c r="AO260" s="148" t="n">
        <f aca="false">SUM(AL260:AN260)</f>
        <v>0</v>
      </c>
      <c r="AQ260" s="132" t="n">
        <f aca="false">CHOOSE($G$3,AB260-AC260,AC260-AB260)</f>
        <v>0</v>
      </c>
      <c r="AR260" s="132" t="n">
        <f aca="false">CHOOSE($G$3,AE260-AF260,AF260-AE260)</f>
        <v>0</v>
      </c>
      <c r="AS260" s="132" t="n">
        <f aca="false">CHOOSE($G$3,AH260-AI260,AI260-AH260)</f>
        <v>0</v>
      </c>
      <c r="AT260" s="148" t="n">
        <f aca="false">AQ260+AR260+AS260</f>
        <v>0</v>
      </c>
      <c r="AU260" s="148"/>
      <c r="AV260" s="133" t="n">
        <f aca="false">AT260+AO260</f>
        <v>0</v>
      </c>
      <c r="AX260" s="133" t="n">
        <f aca="false">AJ260+AG260+AD260</f>
        <v>0</v>
      </c>
      <c r="AY260" s="149"/>
      <c r="AZ260" s="76" t="n">
        <f aca="false">R260*E260</f>
        <v>0</v>
      </c>
    </row>
    <row r="261" customFormat="false" ht="12" hidden="false" customHeight="true" outlineLevel="0" collapsed="false">
      <c r="A261" s="138" t="n">
        <f aca="false">EDATE(A260,1)</f>
        <v>44621</v>
      </c>
      <c r="B261" s="139" t="n">
        <f aca="false">VLOOKUP($A261,Table2,MATCH(I$3,Curves2,0))</f>
        <v>0</v>
      </c>
      <c r="C261" s="140"/>
      <c r="D261" s="141" t="n">
        <f aca="false">B261+C261</f>
        <v>0</v>
      </c>
      <c r="E261" s="126" t="n">
        <f aca="false">IF(Y261=0,0,IF(AND(Y261=1,$H$3=1),D261*T261,IF($H$3=2,D261,"N/A")))</f>
        <v>0</v>
      </c>
      <c r="F261" s="126" t="n">
        <f aca="false">E261*X261</f>
        <v>0</v>
      </c>
      <c r="G261" s="142" t="n">
        <f aca="false">VLOOKUP($A261,Table,MATCH(G$4,Curves,0))</f>
        <v>3.987</v>
      </c>
      <c r="H261" s="143" t="n">
        <f aca="false">G261</f>
        <v>3.987</v>
      </c>
      <c r="I261" s="142" t="n">
        <f aca="false">VLOOKUP($A261,Table1,MATCH(I$3,Curves1,0))</f>
        <v>0</v>
      </c>
      <c r="J261" s="142" t="n">
        <f aca="false">VLOOKUP($A261,Table,MATCH(J$4,Curves,0))</f>
        <v>-0.0305</v>
      </c>
      <c r="K261" s="143" t="n">
        <f aca="false">J261</f>
        <v>-0.0305</v>
      </c>
      <c r="L261" s="144" t="n">
        <v>0</v>
      </c>
      <c r="M261" s="142" t="n">
        <f aca="false">VLOOKUP($A261,Table,MATCH(M$4,Curves,0))</f>
        <v>0.0087</v>
      </c>
      <c r="N261" s="143" t="n">
        <f aca="false">M261</f>
        <v>0.0087</v>
      </c>
      <c r="O261" s="144" t="n">
        <v>0</v>
      </c>
      <c r="P261" s="145"/>
      <c r="Q261" s="144" t="n">
        <f aca="false">M261+J261+G261</f>
        <v>3.9652</v>
      </c>
      <c r="R261" s="144" t="n">
        <f aca="false">O261+L261+I261</f>
        <v>0</v>
      </c>
      <c r="S261" s="145"/>
      <c r="T261" s="71" t="n">
        <f aca="false">A262-A261</f>
        <v>31</v>
      </c>
      <c r="U261" s="146" t="n">
        <f aca="false">CHOOSE(F$3,A262+24,A261)</f>
        <v>44676</v>
      </c>
      <c r="V261" s="71" t="n">
        <f aca="false">U261-C$3</f>
        <v>7788</v>
      </c>
      <c r="W261" s="142" t="n">
        <f aca="false">VLOOKUP($A261,Table,MATCH(W$4,Curves,0))</f>
        <v>0.058966861357273</v>
      </c>
      <c r="X261" s="147" t="n">
        <f aca="false">1/(1+CHOOSE(F$3,(W262+($K$3/10000))/2,(W261+($K$3/10000))/2))^(2*V261/365.25)</f>
        <v>0.289634521756549</v>
      </c>
      <c r="Y261" s="71" t="n">
        <f aca="false">IF(AND(mthbeg&lt;=A261,mthend&gt;=A261),1,0)</f>
        <v>0</v>
      </c>
      <c r="Z261" s="71" t="n">
        <f aca="false">T261*Y261</f>
        <v>0</v>
      </c>
      <c r="AB261" s="132" t="n">
        <f aca="false">F261*G261</f>
        <v>0</v>
      </c>
      <c r="AC261" s="132" t="n">
        <f aca="false">$F261*H261</f>
        <v>0</v>
      </c>
      <c r="AD261" s="132" t="n">
        <f aca="false">$F261*I261</f>
        <v>0</v>
      </c>
      <c r="AE261" s="132" t="n">
        <f aca="false">$F261*J261</f>
        <v>-0</v>
      </c>
      <c r="AF261" s="132" t="n">
        <f aca="false">$F261*K261</f>
        <v>-0</v>
      </c>
      <c r="AG261" s="132" t="n">
        <f aca="false">$F261*L261</f>
        <v>0</v>
      </c>
      <c r="AH261" s="132" t="n">
        <f aca="false">$F261*M261</f>
        <v>0</v>
      </c>
      <c r="AI261" s="132" t="n">
        <f aca="false">$F261*N261</f>
        <v>0</v>
      </c>
      <c r="AJ261" s="132" t="n">
        <f aca="false">F261*O261</f>
        <v>0</v>
      </c>
      <c r="AK261" s="137"/>
      <c r="AL261" s="132" t="n">
        <f aca="false">CHOOSE($G$3,AC261-AD261,AD261-AC261)</f>
        <v>0</v>
      </c>
      <c r="AM261" s="132" t="n">
        <f aca="false">CHOOSE($G$3,AF261-AG261,AG261-AF261)</f>
        <v>0</v>
      </c>
      <c r="AN261" s="132" t="n">
        <f aca="false">CHOOSE($G$3,AI261-AJ261,AJ261-AI261)</f>
        <v>0</v>
      </c>
      <c r="AO261" s="148" t="n">
        <f aca="false">SUM(AL261:AN261)</f>
        <v>0</v>
      </c>
      <c r="AQ261" s="132" t="n">
        <f aca="false">CHOOSE($G$3,AB261-AC261,AC261-AB261)</f>
        <v>0</v>
      </c>
      <c r="AR261" s="132" t="n">
        <f aca="false">CHOOSE($G$3,AE261-AF261,AF261-AE261)</f>
        <v>0</v>
      </c>
      <c r="AS261" s="132" t="n">
        <f aca="false">CHOOSE($G$3,AH261-AI261,AI261-AH261)</f>
        <v>0</v>
      </c>
      <c r="AT261" s="148" t="n">
        <f aca="false">AQ261+AR261+AS261</f>
        <v>0</v>
      </c>
      <c r="AU261" s="148"/>
      <c r="AV261" s="133" t="n">
        <f aca="false">AT261+AO261</f>
        <v>0</v>
      </c>
      <c r="AX261" s="133" t="n">
        <f aca="false">AJ261+AG261+AD261</f>
        <v>0</v>
      </c>
      <c r="AY261" s="149"/>
      <c r="AZ261" s="76" t="n">
        <f aca="false">R261*E261</f>
        <v>0</v>
      </c>
    </row>
    <row r="262" customFormat="false" ht="12" hidden="false" customHeight="true" outlineLevel="0" collapsed="false">
      <c r="A262" s="138" t="n">
        <f aca="false">EDATE(A261,1)</f>
        <v>44652</v>
      </c>
      <c r="B262" s="139" t="n">
        <f aca="false">VLOOKUP($A262,Table2,MATCH(I$3,Curves2,0))</f>
        <v>0</v>
      </c>
      <c r="C262" s="140"/>
      <c r="D262" s="141" t="n">
        <f aca="false">B262+C262</f>
        <v>0</v>
      </c>
      <c r="E262" s="126" t="n">
        <f aca="false">IF(Y262=0,0,IF(AND(Y262=1,$H$3=1),D262*T262,IF($H$3=2,D262,"N/A")))</f>
        <v>0</v>
      </c>
      <c r="F262" s="126" t="n">
        <f aca="false">E262*X262</f>
        <v>0</v>
      </c>
      <c r="G262" s="142" t="n">
        <f aca="false">VLOOKUP($A262,Table,MATCH(G$4,Curves,0))</f>
        <v>3.987</v>
      </c>
      <c r="H262" s="143" t="n">
        <f aca="false">G262</f>
        <v>3.987</v>
      </c>
      <c r="I262" s="142" t="n">
        <f aca="false">VLOOKUP($A262,Table1,MATCH(I$3,Curves1,0))</f>
        <v>0</v>
      </c>
      <c r="J262" s="142" t="n">
        <f aca="false">VLOOKUP($A262,Table,MATCH(J$4,Curves,0))</f>
        <v>-0.0305</v>
      </c>
      <c r="K262" s="143" t="n">
        <f aca="false">J262</f>
        <v>-0.0305</v>
      </c>
      <c r="L262" s="144" t="n">
        <v>0</v>
      </c>
      <c r="M262" s="142" t="n">
        <f aca="false">VLOOKUP($A262,Table,MATCH(M$4,Curves,0))</f>
        <v>0.0087</v>
      </c>
      <c r="N262" s="143" t="n">
        <f aca="false">M262</f>
        <v>0.0087</v>
      </c>
      <c r="O262" s="144" t="n">
        <v>0</v>
      </c>
      <c r="P262" s="145"/>
      <c r="Q262" s="144" t="n">
        <f aca="false">M262+J262+G262</f>
        <v>3.9652</v>
      </c>
      <c r="R262" s="144" t="n">
        <f aca="false">O262+L262+I262</f>
        <v>0</v>
      </c>
      <c r="S262" s="145"/>
      <c r="T262" s="71" t="n">
        <f aca="false">A263-A262</f>
        <v>30</v>
      </c>
      <c r="U262" s="146" t="n">
        <f aca="false">CHOOSE(F$3,A263+24,A262)</f>
        <v>44706</v>
      </c>
      <c r="V262" s="71" t="n">
        <f aca="false">U262-C$3</f>
        <v>7818</v>
      </c>
      <c r="W262" s="142" t="n">
        <f aca="false">VLOOKUP($A262,Table,MATCH(W$4,Curves,0))</f>
        <v>0.058966861357273</v>
      </c>
      <c r="X262" s="147" t="n">
        <f aca="false">1/(1+CHOOSE(F$3,(W263+($K$3/10000))/2,(W262+($K$3/10000))/2))^(2*V262/365.25)</f>
        <v>0.288255318346515</v>
      </c>
      <c r="Y262" s="71" t="n">
        <f aca="false">IF(AND(mthbeg&lt;=A262,mthend&gt;=A262),1,0)</f>
        <v>0</v>
      </c>
      <c r="Z262" s="71" t="n">
        <f aca="false">T262*Y262</f>
        <v>0</v>
      </c>
      <c r="AB262" s="132" t="n">
        <f aca="false">F262*G262</f>
        <v>0</v>
      </c>
      <c r="AC262" s="132" t="n">
        <f aca="false">$F262*H262</f>
        <v>0</v>
      </c>
      <c r="AD262" s="132" t="n">
        <f aca="false">$F262*I262</f>
        <v>0</v>
      </c>
      <c r="AE262" s="132" t="n">
        <f aca="false">$F262*J262</f>
        <v>-0</v>
      </c>
      <c r="AF262" s="132" t="n">
        <f aca="false">$F262*K262</f>
        <v>-0</v>
      </c>
      <c r="AG262" s="132" t="n">
        <f aca="false">$F262*L262</f>
        <v>0</v>
      </c>
      <c r="AH262" s="132" t="n">
        <f aca="false">$F262*M262</f>
        <v>0</v>
      </c>
      <c r="AI262" s="132" t="n">
        <f aca="false">$F262*N262</f>
        <v>0</v>
      </c>
      <c r="AJ262" s="132" t="n">
        <f aca="false">F262*O262</f>
        <v>0</v>
      </c>
      <c r="AK262" s="137"/>
      <c r="AL262" s="132" t="n">
        <f aca="false">CHOOSE($G$3,AC262-AD262,AD262-AC262)</f>
        <v>0</v>
      </c>
      <c r="AM262" s="132" t="n">
        <f aca="false">CHOOSE($G$3,AF262-AG262,AG262-AF262)</f>
        <v>0</v>
      </c>
      <c r="AN262" s="132" t="n">
        <f aca="false">CHOOSE($G$3,AI262-AJ262,AJ262-AI262)</f>
        <v>0</v>
      </c>
      <c r="AO262" s="148" t="n">
        <f aca="false">SUM(AL262:AN262)</f>
        <v>0</v>
      </c>
      <c r="AQ262" s="132" t="n">
        <f aca="false">CHOOSE($G$3,AB262-AC262,AC262-AB262)</f>
        <v>0</v>
      </c>
      <c r="AR262" s="132" t="n">
        <f aca="false">CHOOSE($G$3,AE262-AF262,AF262-AE262)</f>
        <v>0</v>
      </c>
      <c r="AS262" s="132" t="n">
        <f aca="false">CHOOSE($G$3,AH262-AI262,AI262-AH262)</f>
        <v>0</v>
      </c>
      <c r="AT262" s="148" t="n">
        <f aca="false">AQ262+AR262+AS262</f>
        <v>0</v>
      </c>
      <c r="AU262" s="148"/>
      <c r="AV262" s="133" t="n">
        <f aca="false">AT262+AO262</f>
        <v>0</v>
      </c>
      <c r="AX262" s="133" t="n">
        <f aca="false">AJ262+AG262+AD262</f>
        <v>0</v>
      </c>
      <c r="AY262" s="149"/>
      <c r="AZ262" s="76" t="n">
        <f aca="false">R262*E262</f>
        <v>0</v>
      </c>
    </row>
    <row r="263" customFormat="false" ht="12" hidden="false" customHeight="true" outlineLevel="0" collapsed="false">
      <c r="A263" s="138" t="n">
        <f aca="false">EDATE(A262,1)</f>
        <v>44682</v>
      </c>
      <c r="B263" s="139" t="n">
        <f aca="false">VLOOKUP($A263,Table2,MATCH(I$3,Curves2,0))</f>
        <v>0</v>
      </c>
      <c r="C263" s="140"/>
      <c r="D263" s="141" t="n">
        <f aca="false">B263+C263</f>
        <v>0</v>
      </c>
      <c r="E263" s="126" t="n">
        <f aca="false">IF(Y263=0,0,IF(AND(Y263=1,$H$3=1),D263*T263,IF($H$3=2,D263,"N/A")))</f>
        <v>0</v>
      </c>
      <c r="F263" s="126" t="n">
        <f aca="false">E263*X263</f>
        <v>0</v>
      </c>
      <c r="G263" s="142" t="n">
        <f aca="false">VLOOKUP($A263,Table,MATCH(G$4,Curves,0))</f>
        <v>3.987</v>
      </c>
      <c r="H263" s="143" t="n">
        <f aca="false">G263</f>
        <v>3.987</v>
      </c>
      <c r="I263" s="142" t="n">
        <f aca="false">VLOOKUP($A263,Table1,MATCH(I$3,Curves1,0))</f>
        <v>0</v>
      </c>
      <c r="J263" s="142" t="n">
        <f aca="false">VLOOKUP($A263,Table,MATCH(J$4,Curves,0))</f>
        <v>-0.0305</v>
      </c>
      <c r="K263" s="143" t="n">
        <f aca="false">J263</f>
        <v>-0.0305</v>
      </c>
      <c r="L263" s="144" t="n">
        <v>0</v>
      </c>
      <c r="M263" s="142" t="n">
        <f aca="false">VLOOKUP($A263,Table,MATCH(M$4,Curves,0))</f>
        <v>0.0087</v>
      </c>
      <c r="N263" s="143" t="n">
        <f aca="false">M263</f>
        <v>0.0087</v>
      </c>
      <c r="O263" s="144" t="n">
        <v>0</v>
      </c>
      <c r="P263" s="145"/>
      <c r="Q263" s="144" t="n">
        <f aca="false">M263+J263+G263</f>
        <v>3.9652</v>
      </c>
      <c r="R263" s="144" t="n">
        <f aca="false">O263+L263+I263</f>
        <v>0</v>
      </c>
      <c r="S263" s="145"/>
      <c r="T263" s="71" t="n">
        <f aca="false">A264-A263</f>
        <v>31</v>
      </c>
      <c r="U263" s="146" t="n">
        <f aca="false">CHOOSE(F$3,A264+24,A263)</f>
        <v>44737</v>
      </c>
      <c r="V263" s="71" t="n">
        <f aca="false">U263-C$3</f>
        <v>7849</v>
      </c>
      <c r="W263" s="142" t="n">
        <f aca="false">VLOOKUP($A263,Table,MATCH(W$4,Curves,0))</f>
        <v>0.058966861357273</v>
      </c>
      <c r="X263" s="147" t="n">
        <f aca="false">1/(1+CHOOSE(F$3,(W264+($K$3/10000))/2,(W263+($K$3/10000))/2))^(2*V263/365.25)</f>
        <v>0.286837040746725</v>
      </c>
      <c r="Y263" s="71" t="n">
        <f aca="false">IF(AND(mthbeg&lt;=A263,mthend&gt;=A263),1,0)</f>
        <v>0</v>
      </c>
      <c r="Z263" s="71" t="n">
        <f aca="false">T263*Y263</f>
        <v>0</v>
      </c>
      <c r="AB263" s="132" t="n">
        <f aca="false">F263*G263</f>
        <v>0</v>
      </c>
      <c r="AC263" s="132" t="n">
        <f aca="false">$F263*H263</f>
        <v>0</v>
      </c>
      <c r="AD263" s="132" t="n">
        <f aca="false">$F263*I263</f>
        <v>0</v>
      </c>
      <c r="AE263" s="132" t="n">
        <f aca="false">$F263*J263</f>
        <v>-0</v>
      </c>
      <c r="AF263" s="132" t="n">
        <f aca="false">$F263*K263</f>
        <v>-0</v>
      </c>
      <c r="AG263" s="132" t="n">
        <f aca="false">$F263*L263</f>
        <v>0</v>
      </c>
      <c r="AH263" s="132" t="n">
        <f aca="false">$F263*M263</f>
        <v>0</v>
      </c>
      <c r="AI263" s="132" t="n">
        <f aca="false">$F263*N263</f>
        <v>0</v>
      </c>
      <c r="AJ263" s="132" t="n">
        <f aca="false">F263*O263</f>
        <v>0</v>
      </c>
      <c r="AK263" s="137"/>
      <c r="AL263" s="132" t="n">
        <f aca="false">CHOOSE($G$3,AC263-AD263,AD263-AC263)</f>
        <v>0</v>
      </c>
      <c r="AM263" s="132" t="n">
        <f aca="false">CHOOSE($G$3,AF263-AG263,AG263-AF263)</f>
        <v>0</v>
      </c>
      <c r="AN263" s="132" t="n">
        <f aca="false">CHOOSE($G$3,AI263-AJ263,AJ263-AI263)</f>
        <v>0</v>
      </c>
      <c r="AO263" s="148" t="n">
        <f aca="false">SUM(AL263:AN263)</f>
        <v>0</v>
      </c>
      <c r="AQ263" s="132" t="n">
        <f aca="false">CHOOSE($G$3,AB263-AC263,AC263-AB263)</f>
        <v>0</v>
      </c>
      <c r="AR263" s="132" t="n">
        <f aca="false">CHOOSE($G$3,AE263-AF263,AF263-AE263)</f>
        <v>0</v>
      </c>
      <c r="AS263" s="132" t="n">
        <f aca="false">CHOOSE($G$3,AH263-AI263,AI263-AH263)</f>
        <v>0</v>
      </c>
      <c r="AT263" s="148" t="n">
        <f aca="false">AQ263+AR263+AS263</f>
        <v>0</v>
      </c>
      <c r="AU263" s="148"/>
      <c r="AV263" s="133" t="n">
        <f aca="false">AT263+AO263</f>
        <v>0</v>
      </c>
      <c r="AX263" s="133" t="n">
        <f aca="false">AJ263+AG263+AD263</f>
        <v>0</v>
      </c>
      <c r="AY263" s="149"/>
      <c r="AZ263" s="76" t="n">
        <f aca="false">R263*E263</f>
        <v>0</v>
      </c>
    </row>
    <row r="264" customFormat="false" ht="12" hidden="false" customHeight="true" outlineLevel="0" collapsed="false">
      <c r="A264" s="138" t="n">
        <f aca="false">EDATE(A263,1)</f>
        <v>44713</v>
      </c>
      <c r="B264" s="139" t="n">
        <f aca="false">VLOOKUP($A264,Table2,MATCH(I$3,Curves2,0))</f>
        <v>0</v>
      </c>
      <c r="C264" s="140"/>
      <c r="D264" s="141" t="n">
        <f aca="false">B264+C264</f>
        <v>0</v>
      </c>
      <c r="E264" s="126" t="n">
        <f aca="false">IF(Y264=0,0,IF(AND(Y264=1,$H$3=1),D264*T264,IF($H$3=2,D264,"N/A")))</f>
        <v>0</v>
      </c>
      <c r="F264" s="126" t="n">
        <f aca="false">E264*X264</f>
        <v>0</v>
      </c>
      <c r="G264" s="142" t="n">
        <f aca="false">VLOOKUP($A264,Table,MATCH(G$4,Curves,0))</f>
        <v>3.987</v>
      </c>
      <c r="H264" s="143" t="n">
        <f aca="false">G264</f>
        <v>3.987</v>
      </c>
      <c r="I264" s="142" t="n">
        <f aca="false">VLOOKUP($A264,Table1,MATCH(I$3,Curves1,0))</f>
        <v>0</v>
      </c>
      <c r="J264" s="142" t="n">
        <f aca="false">VLOOKUP($A264,Table,MATCH(J$4,Curves,0))</f>
        <v>-0.0305</v>
      </c>
      <c r="K264" s="143" t="n">
        <f aca="false">J264</f>
        <v>-0.0305</v>
      </c>
      <c r="L264" s="144" t="n">
        <v>0</v>
      </c>
      <c r="M264" s="142" t="n">
        <f aca="false">VLOOKUP($A264,Table,MATCH(M$4,Curves,0))</f>
        <v>0.0087</v>
      </c>
      <c r="N264" s="143" t="n">
        <f aca="false">M264</f>
        <v>0.0087</v>
      </c>
      <c r="O264" s="144" t="n">
        <v>0</v>
      </c>
      <c r="P264" s="145"/>
      <c r="Q264" s="144" t="n">
        <f aca="false">M264+J264+G264</f>
        <v>3.9652</v>
      </c>
      <c r="R264" s="144" t="n">
        <f aca="false">O264+L264+I264</f>
        <v>0</v>
      </c>
      <c r="S264" s="145"/>
      <c r="T264" s="71" t="n">
        <f aca="false">A265-A264</f>
        <v>30</v>
      </c>
      <c r="U264" s="146" t="n">
        <f aca="false">CHOOSE(F$3,A265+24,A264)</f>
        <v>44767</v>
      </c>
      <c r="V264" s="71" t="n">
        <f aca="false">U264-C$3</f>
        <v>7879</v>
      </c>
      <c r="W264" s="142" t="n">
        <f aca="false">VLOOKUP($A264,Table,MATCH(W$4,Curves,0))</f>
        <v>0.058966861357273</v>
      </c>
      <c r="X264" s="147" t="n">
        <f aca="false">1/(1+CHOOSE(F$3,(W265+($K$3/10000))/2,(W264+($K$3/10000))/2))^(2*V264/365.25)</f>
        <v>0.285471158591785</v>
      </c>
      <c r="Y264" s="71" t="n">
        <f aca="false">IF(AND(mthbeg&lt;=A264,mthend&gt;=A264),1,0)</f>
        <v>0</v>
      </c>
      <c r="Z264" s="71" t="n">
        <f aca="false">T264*Y264</f>
        <v>0</v>
      </c>
      <c r="AB264" s="132" t="n">
        <f aca="false">F264*G264</f>
        <v>0</v>
      </c>
      <c r="AC264" s="132" t="n">
        <f aca="false">$F264*H264</f>
        <v>0</v>
      </c>
      <c r="AD264" s="132" t="n">
        <f aca="false">$F264*I264</f>
        <v>0</v>
      </c>
      <c r="AE264" s="132" t="n">
        <f aca="false">$F264*J264</f>
        <v>-0</v>
      </c>
      <c r="AF264" s="132" t="n">
        <f aca="false">$F264*K264</f>
        <v>-0</v>
      </c>
      <c r="AG264" s="132" t="n">
        <f aca="false">$F264*L264</f>
        <v>0</v>
      </c>
      <c r="AH264" s="132" t="n">
        <f aca="false">$F264*M264</f>
        <v>0</v>
      </c>
      <c r="AI264" s="132" t="n">
        <f aca="false">$F264*N264</f>
        <v>0</v>
      </c>
      <c r="AJ264" s="132" t="n">
        <f aca="false">F264*O264</f>
        <v>0</v>
      </c>
      <c r="AK264" s="137"/>
      <c r="AL264" s="132" t="n">
        <f aca="false">CHOOSE($G$3,AC264-AD264,AD264-AC264)</f>
        <v>0</v>
      </c>
      <c r="AM264" s="132" t="n">
        <f aca="false">CHOOSE($G$3,AF264-AG264,AG264-AF264)</f>
        <v>0</v>
      </c>
      <c r="AN264" s="132" t="n">
        <f aca="false">CHOOSE($G$3,AI264-AJ264,AJ264-AI264)</f>
        <v>0</v>
      </c>
      <c r="AO264" s="148" t="n">
        <f aca="false">SUM(AL264:AN264)</f>
        <v>0</v>
      </c>
      <c r="AQ264" s="132" t="n">
        <f aca="false">CHOOSE($G$3,AB264-AC264,AC264-AB264)</f>
        <v>0</v>
      </c>
      <c r="AR264" s="132" t="n">
        <f aca="false">CHOOSE($G$3,AE264-AF264,AF264-AE264)</f>
        <v>0</v>
      </c>
      <c r="AS264" s="132" t="n">
        <f aca="false">CHOOSE($G$3,AH264-AI264,AI264-AH264)</f>
        <v>0</v>
      </c>
      <c r="AT264" s="148" t="n">
        <f aca="false">AQ264+AR264+AS264</f>
        <v>0</v>
      </c>
      <c r="AU264" s="148"/>
      <c r="AV264" s="133" t="n">
        <f aca="false">AT264+AO264</f>
        <v>0</v>
      </c>
      <c r="AX264" s="133" t="n">
        <f aca="false">AJ264+AG264+AD264</f>
        <v>0</v>
      </c>
      <c r="AY264" s="149"/>
      <c r="AZ264" s="76" t="n">
        <f aca="false">R264*E264</f>
        <v>0</v>
      </c>
    </row>
    <row r="265" customFormat="false" ht="12" hidden="false" customHeight="true" outlineLevel="0" collapsed="false">
      <c r="A265" s="138" t="n">
        <f aca="false">EDATE(A264,1)</f>
        <v>44743</v>
      </c>
      <c r="B265" s="139" t="n">
        <f aca="false">VLOOKUP($A265,Table2,MATCH(I$3,Curves2,0))</f>
        <v>0</v>
      </c>
      <c r="C265" s="140"/>
      <c r="D265" s="141" t="n">
        <f aca="false">B265+C265</f>
        <v>0</v>
      </c>
      <c r="E265" s="126" t="n">
        <f aca="false">IF(Y265=0,0,IF(AND(Y265=1,$H$3=1),D265*T265,IF($H$3=2,D265,"N/A")))</f>
        <v>0</v>
      </c>
      <c r="F265" s="126" t="n">
        <f aca="false">E265*X265</f>
        <v>0</v>
      </c>
      <c r="G265" s="142" t="n">
        <f aca="false">VLOOKUP($A265,Table,MATCH(G$4,Curves,0))</f>
        <v>3.987</v>
      </c>
      <c r="H265" s="143" t="n">
        <f aca="false">G265</f>
        <v>3.987</v>
      </c>
      <c r="I265" s="142" t="n">
        <f aca="false">VLOOKUP($A265,Table1,MATCH(I$3,Curves1,0))</f>
        <v>0</v>
      </c>
      <c r="J265" s="142" t="n">
        <f aca="false">VLOOKUP($A265,Table,MATCH(J$4,Curves,0))</f>
        <v>-0.0305</v>
      </c>
      <c r="K265" s="143" t="n">
        <f aca="false">J265</f>
        <v>-0.0305</v>
      </c>
      <c r="L265" s="144" t="n">
        <v>0</v>
      </c>
      <c r="M265" s="142" t="n">
        <f aca="false">VLOOKUP($A265,Table,MATCH(M$4,Curves,0))</f>
        <v>0.0087</v>
      </c>
      <c r="N265" s="143" t="n">
        <f aca="false">M265</f>
        <v>0.0087</v>
      </c>
      <c r="O265" s="144" t="n">
        <v>0</v>
      </c>
      <c r="P265" s="145"/>
      <c r="Q265" s="144" t="n">
        <f aca="false">M265+J265+G265</f>
        <v>3.9652</v>
      </c>
      <c r="R265" s="144" t="n">
        <f aca="false">O265+L265+I265</f>
        <v>0</v>
      </c>
      <c r="S265" s="145"/>
      <c r="T265" s="71" t="n">
        <f aca="false">A266-A265</f>
        <v>31</v>
      </c>
      <c r="U265" s="146" t="n">
        <f aca="false">CHOOSE(F$3,A266+24,A265)</f>
        <v>44798</v>
      </c>
      <c r="V265" s="71" t="n">
        <f aca="false">U265-C$3</f>
        <v>7910</v>
      </c>
      <c r="W265" s="142" t="n">
        <f aca="false">VLOOKUP($A265,Table,MATCH(W$4,Curves,0))</f>
        <v>0.058966861357273</v>
      </c>
      <c r="X265" s="147" t="n">
        <f aca="false">1/(1+CHOOSE(F$3,(W266+($K$3/10000))/2,(W265+($K$3/10000))/2))^(2*V265/365.25)</f>
        <v>0.284066579651354</v>
      </c>
      <c r="Y265" s="71" t="n">
        <f aca="false">IF(AND(mthbeg&lt;=A265,mthend&gt;=A265),1,0)</f>
        <v>0</v>
      </c>
      <c r="Z265" s="71" t="n">
        <f aca="false">T265*Y265</f>
        <v>0</v>
      </c>
      <c r="AB265" s="132" t="n">
        <f aca="false">F265*G265</f>
        <v>0</v>
      </c>
      <c r="AC265" s="132" t="n">
        <f aca="false">$F265*H265</f>
        <v>0</v>
      </c>
      <c r="AD265" s="132" t="n">
        <f aca="false">$F265*I265</f>
        <v>0</v>
      </c>
      <c r="AE265" s="132" t="n">
        <f aca="false">$F265*J265</f>
        <v>-0</v>
      </c>
      <c r="AF265" s="132" t="n">
        <f aca="false">$F265*K265</f>
        <v>-0</v>
      </c>
      <c r="AG265" s="132" t="n">
        <f aca="false">$F265*L265</f>
        <v>0</v>
      </c>
      <c r="AH265" s="132" t="n">
        <f aca="false">$F265*M265</f>
        <v>0</v>
      </c>
      <c r="AI265" s="132" t="n">
        <f aca="false">$F265*N265</f>
        <v>0</v>
      </c>
      <c r="AJ265" s="132" t="n">
        <f aca="false">F265*O265</f>
        <v>0</v>
      </c>
      <c r="AK265" s="137"/>
      <c r="AL265" s="132" t="n">
        <f aca="false">CHOOSE($G$3,AC265-AD265,AD265-AC265)</f>
        <v>0</v>
      </c>
      <c r="AM265" s="132" t="n">
        <f aca="false">CHOOSE($G$3,AF265-AG265,AG265-AF265)</f>
        <v>0</v>
      </c>
      <c r="AN265" s="132" t="n">
        <f aca="false">CHOOSE($G$3,AI265-AJ265,AJ265-AI265)</f>
        <v>0</v>
      </c>
      <c r="AO265" s="148" t="n">
        <f aca="false">SUM(AL265:AN265)</f>
        <v>0</v>
      </c>
      <c r="AQ265" s="132" t="n">
        <f aca="false">CHOOSE($G$3,AB265-AC265,AC265-AB265)</f>
        <v>0</v>
      </c>
      <c r="AR265" s="132" t="n">
        <f aca="false">CHOOSE($G$3,AE265-AF265,AF265-AE265)</f>
        <v>0</v>
      </c>
      <c r="AS265" s="132" t="n">
        <f aca="false">CHOOSE($G$3,AH265-AI265,AI265-AH265)</f>
        <v>0</v>
      </c>
      <c r="AT265" s="148" t="n">
        <f aca="false">AQ265+AR265+AS265</f>
        <v>0</v>
      </c>
      <c r="AU265" s="148"/>
      <c r="AV265" s="133" t="n">
        <f aca="false">AT265+AO265</f>
        <v>0</v>
      </c>
      <c r="AX265" s="133" t="n">
        <f aca="false">AJ265+AG265+AD265</f>
        <v>0</v>
      </c>
      <c r="AY265" s="149"/>
      <c r="AZ265" s="76" t="n">
        <f aca="false">R265*E265</f>
        <v>0</v>
      </c>
    </row>
    <row r="266" customFormat="false" ht="12" hidden="false" customHeight="true" outlineLevel="0" collapsed="false">
      <c r="A266" s="138" t="n">
        <f aca="false">EDATE(A265,1)</f>
        <v>44774</v>
      </c>
      <c r="B266" s="139" t="n">
        <f aca="false">VLOOKUP($A266,Table2,MATCH(I$3,Curves2,0))</f>
        <v>0</v>
      </c>
      <c r="C266" s="140"/>
      <c r="D266" s="141" t="n">
        <f aca="false">B266+C266</f>
        <v>0</v>
      </c>
      <c r="E266" s="126" t="n">
        <f aca="false">IF(Y266=0,0,IF(AND(Y266=1,$H$3=1),D266*T266,IF($H$3=2,D266,"N/A")))</f>
        <v>0</v>
      </c>
      <c r="F266" s="126" t="n">
        <f aca="false">E266*X266</f>
        <v>0</v>
      </c>
      <c r="G266" s="142" t="n">
        <f aca="false">VLOOKUP($A266,Table,MATCH(G$4,Curves,0))</f>
        <v>3.987</v>
      </c>
      <c r="H266" s="143" t="n">
        <f aca="false">G266</f>
        <v>3.987</v>
      </c>
      <c r="I266" s="142" t="n">
        <f aca="false">VLOOKUP($A266,Table1,MATCH(I$3,Curves1,0))</f>
        <v>0</v>
      </c>
      <c r="J266" s="142" t="n">
        <f aca="false">VLOOKUP($A266,Table,MATCH(J$4,Curves,0))</f>
        <v>-0.0305</v>
      </c>
      <c r="K266" s="143" t="n">
        <f aca="false">J266</f>
        <v>-0.0305</v>
      </c>
      <c r="L266" s="144" t="n">
        <v>0</v>
      </c>
      <c r="M266" s="142" t="n">
        <f aca="false">VLOOKUP($A266,Table,MATCH(M$4,Curves,0))</f>
        <v>0.0087</v>
      </c>
      <c r="N266" s="143" t="n">
        <f aca="false">M266</f>
        <v>0.0087</v>
      </c>
      <c r="O266" s="144" t="n">
        <v>0</v>
      </c>
      <c r="P266" s="145"/>
      <c r="Q266" s="144" t="n">
        <f aca="false">M266+J266+G266</f>
        <v>3.9652</v>
      </c>
      <c r="R266" s="144" t="n">
        <f aca="false">O266+L266+I266</f>
        <v>0</v>
      </c>
      <c r="S266" s="145"/>
      <c r="T266" s="71" t="n">
        <f aca="false">A267-A266</f>
        <v>31</v>
      </c>
      <c r="U266" s="146" t="n">
        <f aca="false">CHOOSE(F$3,A267+24,A266)</f>
        <v>44829</v>
      </c>
      <c r="V266" s="71" t="n">
        <f aca="false">U266-C$3</f>
        <v>7941</v>
      </c>
      <c r="W266" s="142" t="n">
        <f aca="false">VLOOKUP($A266,Table,MATCH(W$4,Curves,0))</f>
        <v>0.058966861357273</v>
      </c>
      <c r="X266" s="147" t="n">
        <f aca="false">1/(1+CHOOSE(F$3,(W267+($K$3/10000))/2,(W266+($K$3/10000))/2))^(2*V266/365.25)</f>
        <v>0.282668911538656</v>
      </c>
      <c r="Y266" s="71" t="n">
        <f aca="false">IF(AND(mthbeg&lt;=A266,mthend&gt;=A266),1,0)</f>
        <v>0</v>
      </c>
      <c r="Z266" s="71" t="n">
        <f aca="false">T266*Y266</f>
        <v>0</v>
      </c>
      <c r="AB266" s="132" t="n">
        <f aca="false">F266*G266</f>
        <v>0</v>
      </c>
      <c r="AC266" s="132" t="n">
        <f aca="false">$F266*H266</f>
        <v>0</v>
      </c>
      <c r="AD266" s="132" t="n">
        <f aca="false">$F266*I266</f>
        <v>0</v>
      </c>
      <c r="AE266" s="132" t="n">
        <f aca="false">$F266*J266</f>
        <v>-0</v>
      </c>
      <c r="AF266" s="132" t="n">
        <f aca="false">$F266*K266</f>
        <v>-0</v>
      </c>
      <c r="AG266" s="132" t="n">
        <f aca="false">$F266*L266</f>
        <v>0</v>
      </c>
      <c r="AH266" s="132" t="n">
        <f aca="false">$F266*M266</f>
        <v>0</v>
      </c>
      <c r="AI266" s="132" t="n">
        <f aca="false">$F266*N266</f>
        <v>0</v>
      </c>
      <c r="AJ266" s="132" t="n">
        <f aca="false">F266*O266</f>
        <v>0</v>
      </c>
      <c r="AK266" s="137"/>
      <c r="AL266" s="132" t="n">
        <f aca="false">CHOOSE($G$3,AC266-AD266,AD266-AC266)</f>
        <v>0</v>
      </c>
      <c r="AM266" s="132" t="n">
        <f aca="false">CHOOSE($G$3,AF266-AG266,AG266-AF266)</f>
        <v>0</v>
      </c>
      <c r="AN266" s="132" t="n">
        <f aca="false">CHOOSE($G$3,AI266-AJ266,AJ266-AI266)</f>
        <v>0</v>
      </c>
      <c r="AO266" s="148" t="n">
        <f aca="false">SUM(AL266:AN266)</f>
        <v>0</v>
      </c>
      <c r="AQ266" s="132" t="n">
        <f aca="false">CHOOSE($G$3,AB266-AC266,AC266-AB266)</f>
        <v>0</v>
      </c>
      <c r="AR266" s="132" t="n">
        <f aca="false">CHOOSE($G$3,AE266-AF266,AF266-AE266)</f>
        <v>0</v>
      </c>
      <c r="AS266" s="132" t="n">
        <f aca="false">CHOOSE($G$3,AH266-AI266,AI266-AH266)</f>
        <v>0</v>
      </c>
      <c r="AT266" s="148" t="n">
        <f aca="false">AQ266+AR266+AS266</f>
        <v>0</v>
      </c>
      <c r="AU266" s="148"/>
      <c r="AV266" s="133" t="n">
        <f aca="false">AT266+AO266</f>
        <v>0</v>
      </c>
      <c r="AX266" s="133" t="n">
        <f aca="false">AJ266+AG266+AD266</f>
        <v>0</v>
      </c>
      <c r="AY266" s="149"/>
      <c r="AZ266" s="76" t="n">
        <f aca="false">R266*E266</f>
        <v>0</v>
      </c>
    </row>
    <row r="267" customFormat="false" ht="12" hidden="false" customHeight="true" outlineLevel="0" collapsed="false">
      <c r="A267" s="138" t="n">
        <f aca="false">EDATE(A266,1)</f>
        <v>44805</v>
      </c>
      <c r="B267" s="139" t="n">
        <f aca="false">VLOOKUP($A267,Table2,MATCH(I$3,Curves2,0))</f>
        <v>0</v>
      </c>
      <c r="C267" s="140"/>
      <c r="D267" s="141" t="n">
        <f aca="false">B267+C267</f>
        <v>0</v>
      </c>
      <c r="E267" s="126" t="n">
        <f aca="false">IF(Y267=0,0,IF(AND(Y267=1,$H$3=1),D267*T267,IF($H$3=2,D267,"N/A")))</f>
        <v>0</v>
      </c>
      <c r="F267" s="126" t="n">
        <f aca="false">E267*X267</f>
        <v>0</v>
      </c>
      <c r="G267" s="142" t="n">
        <f aca="false">VLOOKUP($A267,Table,MATCH(G$4,Curves,0))</f>
        <v>3.987</v>
      </c>
      <c r="H267" s="143" t="n">
        <f aca="false">G267</f>
        <v>3.987</v>
      </c>
      <c r="I267" s="142" t="n">
        <f aca="false">VLOOKUP($A267,Table1,MATCH(I$3,Curves1,0))</f>
        <v>0</v>
      </c>
      <c r="J267" s="142" t="n">
        <f aca="false">VLOOKUP($A267,Table,MATCH(J$4,Curves,0))</f>
        <v>-0.0305</v>
      </c>
      <c r="K267" s="143" t="n">
        <f aca="false">J267</f>
        <v>-0.0305</v>
      </c>
      <c r="L267" s="144" t="n">
        <v>0</v>
      </c>
      <c r="M267" s="142" t="n">
        <f aca="false">VLOOKUP($A267,Table,MATCH(M$4,Curves,0))</f>
        <v>0.0087</v>
      </c>
      <c r="N267" s="143" t="n">
        <f aca="false">M267</f>
        <v>0.0087</v>
      </c>
      <c r="O267" s="144" t="n">
        <v>0</v>
      </c>
      <c r="P267" s="145"/>
      <c r="Q267" s="144" t="n">
        <f aca="false">M267+J267+G267</f>
        <v>3.9652</v>
      </c>
      <c r="R267" s="144" t="n">
        <f aca="false">O267+L267+I267</f>
        <v>0</v>
      </c>
      <c r="S267" s="145"/>
      <c r="T267" s="71" t="n">
        <f aca="false">A268-A267</f>
        <v>30</v>
      </c>
      <c r="U267" s="146" t="n">
        <f aca="false">CHOOSE(F$3,A268+24,A267)</f>
        <v>44859</v>
      </c>
      <c r="V267" s="71" t="n">
        <f aca="false">U267-C$3</f>
        <v>7971</v>
      </c>
      <c r="W267" s="142" t="n">
        <f aca="false">VLOOKUP($A267,Table,MATCH(W$4,Curves,0))</f>
        <v>0.058966861357273</v>
      </c>
      <c r="X267" s="147" t="n">
        <f aca="false">1/(1+CHOOSE(F$3,(W268+($K$3/10000))/2,(W267+($K$3/10000))/2))^(2*V267/365.25)</f>
        <v>0.281322877494302</v>
      </c>
      <c r="Y267" s="71" t="n">
        <f aca="false">IF(AND(mthbeg&lt;=A267,mthend&gt;=A267),1,0)</f>
        <v>0</v>
      </c>
      <c r="Z267" s="71" t="n">
        <f aca="false">T267*Y267</f>
        <v>0</v>
      </c>
      <c r="AB267" s="132" t="n">
        <f aca="false">F267*G267</f>
        <v>0</v>
      </c>
      <c r="AC267" s="132" t="n">
        <f aca="false">$F267*H267</f>
        <v>0</v>
      </c>
      <c r="AD267" s="132" t="n">
        <f aca="false">$F267*I267</f>
        <v>0</v>
      </c>
      <c r="AE267" s="132" t="n">
        <f aca="false">$F267*J267</f>
        <v>-0</v>
      </c>
      <c r="AF267" s="132" t="n">
        <f aca="false">$F267*K267</f>
        <v>-0</v>
      </c>
      <c r="AG267" s="132" t="n">
        <f aca="false">$F267*L267</f>
        <v>0</v>
      </c>
      <c r="AH267" s="132" t="n">
        <f aca="false">$F267*M267</f>
        <v>0</v>
      </c>
      <c r="AI267" s="132" t="n">
        <f aca="false">$F267*N267</f>
        <v>0</v>
      </c>
      <c r="AJ267" s="132" t="n">
        <f aca="false">F267*O267</f>
        <v>0</v>
      </c>
      <c r="AK267" s="137"/>
      <c r="AL267" s="132" t="n">
        <f aca="false">CHOOSE($G$3,AC267-AD267,AD267-AC267)</f>
        <v>0</v>
      </c>
      <c r="AM267" s="132" t="n">
        <f aca="false">CHOOSE($G$3,AF267-AG267,AG267-AF267)</f>
        <v>0</v>
      </c>
      <c r="AN267" s="132" t="n">
        <f aca="false">CHOOSE($G$3,AI267-AJ267,AJ267-AI267)</f>
        <v>0</v>
      </c>
      <c r="AO267" s="148" t="n">
        <f aca="false">SUM(AL267:AN267)</f>
        <v>0</v>
      </c>
      <c r="AQ267" s="132" t="n">
        <f aca="false">CHOOSE($G$3,AB267-AC267,AC267-AB267)</f>
        <v>0</v>
      </c>
      <c r="AR267" s="132" t="n">
        <f aca="false">CHOOSE($G$3,AE267-AF267,AF267-AE267)</f>
        <v>0</v>
      </c>
      <c r="AS267" s="132" t="n">
        <f aca="false">CHOOSE($G$3,AH267-AI267,AI267-AH267)</f>
        <v>0</v>
      </c>
      <c r="AT267" s="148" t="n">
        <f aca="false">AQ267+AR267+AS267</f>
        <v>0</v>
      </c>
      <c r="AU267" s="148"/>
      <c r="AV267" s="133" t="n">
        <f aca="false">AT267+AO267</f>
        <v>0</v>
      </c>
      <c r="AX267" s="133" t="n">
        <f aca="false">AJ267+AG267+AD267</f>
        <v>0</v>
      </c>
      <c r="AY267" s="149"/>
      <c r="AZ267" s="76" t="n">
        <f aca="false">R267*E267</f>
        <v>0</v>
      </c>
    </row>
    <row r="268" customFormat="false" ht="12" hidden="false" customHeight="true" outlineLevel="0" collapsed="false">
      <c r="A268" s="138" t="n">
        <f aca="false">EDATE(A267,1)</f>
        <v>44835</v>
      </c>
      <c r="B268" s="139" t="n">
        <f aca="false">VLOOKUP($A268,Table2,MATCH(I$3,Curves2,0))</f>
        <v>0</v>
      </c>
      <c r="C268" s="140"/>
      <c r="D268" s="141" t="n">
        <f aca="false">B268+C268</f>
        <v>0</v>
      </c>
      <c r="E268" s="126" t="n">
        <f aca="false">IF(Y268=0,0,IF(AND(Y268=1,$H$3=1),D268*T268,IF($H$3=2,D268,"N/A")))</f>
        <v>0</v>
      </c>
      <c r="F268" s="126" t="n">
        <f aca="false">E268*X268</f>
        <v>0</v>
      </c>
      <c r="G268" s="142" t="n">
        <f aca="false">VLOOKUP($A268,Table,MATCH(G$4,Curves,0))</f>
        <v>3.987</v>
      </c>
      <c r="H268" s="143" t="n">
        <f aca="false">G268</f>
        <v>3.987</v>
      </c>
      <c r="I268" s="142" t="n">
        <f aca="false">VLOOKUP($A268,Table1,MATCH(I$3,Curves1,0))</f>
        <v>0</v>
      </c>
      <c r="J268" s="142" t="n">
        <f aca="false">VLOOKUP($A268,Table,MATCH(J$4,Curves,0))</f>
        <v>-0.0305</v>
      </c>
      <c r="K268" s="143" t="n">
        <f aca="false">J268</f>
        <v>-0.0305</v>
      </c>
      <c r="L268" s="144" t="n">
        <v>0</v>
      </c>
      <c r="M268" s="142" t="n">
        <f aca="false">VLOOKUP($A268,Table,MATCH(M$4,Curves,0))</f>
        <v>0.0087</v>
      </c>
      <c r="N268" s="143" t="n">
        <f aca="false">M268</f>
        <v>0.0087</v>
      </c>
      <c r="O268" s="144" t="n">
        <v>0</v>
      </c>
      <c r="P268" s="145"/>
      <c r="Q268" s="144" t="n">
        <f aca="false">M268+J268+G268</f>
        <v>3.9652</v>
      </c>
      <c r="R268" s="144" t="n">
        <f aca="false">O268+L268+I268</f>
        <v>0</v>
      </c>
      <c r="S268" s="145"/>
      <c r="T268" s="71" t="n">
        <f aca="false">A269-A268</f>
        <v>31</v>
      </c>
      <c r="U268" s="146" t="n">
        <f aca="false">CHOOSE(F$3,A269+24,A268)</f>
        <v>44890</v>
      </c>
      <c r="V268" s="71" t="n">
        <f aca="false">U268-C$3</f>
        <v>8002</v>
      </c>
      <c r="W268" s="142" t="n">
        <f aca="false">VLOOKUP($A268,Table,MATCH(W$4,Curves,0))</f>
        <v>0.058966861357273</v>
      </c>
      <c r="X268" s="147" t="n">
        <f aca="false">1/(1+CHOOSE(F$3,(W269+($K$3/10000))/2,(W268+($K$3/10000))/2))^(2*V268/365.25)</f>
        <v>0.27993870898096</v>
      </c>
      <c r="Y268" s="71" t="n">
        <f aca="false">IF(AND(mthbeg&lt;=A268,mthend&gt;=A268),1,0)</f>
        <v>0</v>
      </c>
      <c r="Z268" s="71" t="n">
        <f aca="false">T268*Y268</f>
        <v>0</v>
      </c>
      <c r="AB268" s="132" t="n">
        <f aca="false">F268*G268</f>
        <v>0</v>
      </c>
      <c r="AC268" s="132" t="n">
        <f aca="false">$F268*H268</f>
        <v>0</v>
      </c>
      <c r="AD268" s="132" t="n">
        <f aca="false">$F268*I268</f>
        <v>0</v>
      </c>
      <c r="AE268" s="132" t="n">
        <f aca="false">$F268*J268</f>
        <v>-0</v>
      </c>
      <c r="AF268" s="132" t="n">
        <f aca="false">$F268*K268</f>
        <v>-0</v>
      </c>
      <c r="AG268" s="132" t="n">
        <f aca="false">$F268*L268</f>
        <v>0</v>
      </c>
      <c r="AH268" s="132" t="n">
        <f aca="false">$F268*M268</f>
        <v>0</v>
      </c>
      <c r="AI268" s="132" t="n">
        <f aca="false">$F268*N268</f>
        <v>0</v>
      </c>
      <c r="AJ268" s="132" t="n">
        <f aca="false">F268*O268</f>
        <v>0</v>
      </c>
      <c r="AK268" s="137"/>
      <c r="AL268" s="132" t="n">
        <f aca="false">CHOOSE($G$3,AC268-AD268,AD268-AC268)</f>
        <v>0</v>
      </c>
      <c r="AM268" s="132" t="n">
        <f aca="false">CHOOSE($G$3,AF268-AG268,AG268-AF268)</f>
        <v>0</v>
      </c>
      <c r="AN268" s="132" t="n">
        <f aca="false">CHOOSE($G$3,AI268-AJ268,AJ268-AI268)</f>
        <v>0</v>
      </c>
      <c r="AO268" s="148" t="n">
        <f aca="false">SUM(AL268:AN268)</f>
        <v>0</v>
      </c>
      <c r="AQ268" s="132" t="n">
        <f aca="false">CHOOSE($G$3,AB268-AC268,AC268-AB268)</f>
        <v>0</v>
      </c>
      <c r="AR268" s="132" t="n">
        <f aca="false">CHOOSE($G$3,AE268-AF268,AF268-AE268)</f>
        <v>0</v>
      </c>
      <c r="AS268" s="132" t="n">
        <f aca="false">CHOOSE($G$3,AH268-AI268,AI268-AH268)</f>
        <v>0</v>
      </c>
      <c r="AT268" s="148" t="n">
        <f aca="false">AQ268+AR268+AS268</f>
        <v>0</v>
      </c>
      <c r="AU268" s="148"/>
      <c r="AV268" s="133" t="n">
        <f aca="false">AT268+AO268</f>
        <v>0</v>
      </c>
      <c r="AX268" s="133" t="n">
        <f aca="false">AJ268+AG268+AD268</f>
        <v>0</v>
      </c>
      <c r="AY268" s="149"/>
      <c r="AZ268" s="76" t="n">
        <f aca="false">R268*E268</f>
        <v>0</v>
      </c>
    </row>
    <row r="269" customFormat="false" ht="12" hidden="false" customHeight="true" outlineLevel="0" collapsed="false">
      <c r="A269" s="138" t="n">
        <f aca="false">EDATE(A268,1)</f>
        <v>44866</v>
      </c>
      <c r="B269" s="139" t="n">
        <f aca="false">VLOOKUP($A269,Table2,MATCH(I$3,Curves2,0))</f>
        <v>0</v>
      </c>
      <c r="C269" s="140"/>
      <c r="D269" s="141" t="n">
        <f aca="false">B269+C269</f>
        <v>0</v>
      </c>
      <c r="E269" s="126" t="n">
        <f aca="false">IF(Y269=0,0,IF(AND(Y269=1,$H$3=1),D269*T269,IF($H$3=2,D269,"N/A")))</f>
        <v>0</v>
      </c>
      <c r="F269" s="126" t="n">
        <f aca="false">E269*X269</f>
        <v>0</v>
      </c>
      <c r="G269" s="142" t="n">
        <f aca="false">VLOOKUP($A269,Table,MATCH(G$4,Curves,0))</f>
        <v>3.987</v>
      </c>
      <c r="H269" s="143" t="n">
        <f aca="false">G269</f>
        <v>3.987</v>
      </c>
      <c r="I269" s="142" t="n">
        <f aca="false">VLOOKUP($A269,Table1,MATCH(I$3,Curves1,0))</f>
        <v>0</v>
      </c>
      <c r="J269" s="142" t="n">
        <f aca="false">VLOOKUP($A269,Table,MATCH(J$4,Curves,0))</f>
        <v>-0.0305</v>
      </c>
      <c r="K269" s="143" t="n">
        <f aca="false">J269</f>
        <v>-0.0305</v>
      </c>
      <c r="L269" s="144" t="n">
        <v>0</v>
      </c>
      <c r="M269" s="142" t="n">
        <f aca="false">VLOOKUP($A269,Table,MATCH(M$4,Curves,0))</f>
        <v>0.0087</v>
      </c>
      <c r="N269" s="143" t="n">
        <f aca="false">M269</f>
        <v>0.0087</v>
      </c>
      <c r="O269" s="144" t="n">
        <v>0</v>
      </c>
      <c r="P269" s="145"/>
      <c r="Q269" s="144" t="n">
        <f aca="false">M269+J269+G269</f>
        <v>3.9652</v>
      </c>
      <c r="R269" s="144" t="n">
        <f aca="false">O269+L269+I269</f>
        <v>0</v>
      </c>
      <c r="S269" s="145"/>
      <c r="T269" s="71" t="n">
        <f aca="false">A270-A269</f>
        <v>30</v>
      </c>
      <c r="U269" s="146" t="n">
        <f aca="false">CHOOSE(F$3,A270+24,A269)</f>
        <v>44920</v>
      </c>
      <c r="V269" s="71" t="n">
        <f aca="false">U269-C$3</f>
        <v>8032</v>
      </c>
      <c r="W269" s="142" t="n">
        <f aca="false">VLOOKUP($A269,Table,MATCH(W$4,Curves,0))</f>
        <v>0.058966861357273</v>
      </c>
      <c r="X269" s="147" t="n">
        <f aca="false">1/(1+CHOOSE(F$3,(W270+($K$3/10000))/2,(W269+($K$3/10000))/2))^(2*V269/365.25)</f>
        <v>0.278605675820115</v>
      </c>
      <c r="Y269" s="71" t="n">
        <f aca="false">IF(AND(mthbeg&lt;=A269,mthend&gt;=A269),1,0)</f>
        <v>0</v>
      </c>
      <c r="Z269" s="71" t="n">
        <f aca="false">T269*Y269</f>
        <v>0</v>
      </c>
      <c r="AB269" s="132" t="n">
        <f aca="false">F269*G269</f>
        <v>0</v>
      </c>
      <c r="AC269" s="132" t="n">
        <f aca="false">$F269*H269</f>
        <v>0</v>
      </c>
      <c r="AD269" s="132" t="n">
        <f aca="false">$F269*I269</f>
        <v>0</v>
      </c>
      <c r="AE269" s="132" t="n">
        <f aca="false">$F269*J269</f>
        <v>-0</v>
      </c>
      <c r="AF269" s="132" t="n">
        <f aca="false">$F269*K269</f>
        <v>-0</v>
      </c>
      <c r="AG269" s="132" t="n">
        <f aca="false">$F269*L269</f>
        <v>0</v>
      </c>
      <c r="AH269" s="132" t="n">
        <f aca="false">$F269*M269</f>
        <v>0</v>
      </c>
      <c r="AI269" s="132" t="n">
        <f aca="false">$F269*N269</f>
        <v>0</v>
      </c>
      <c r="AJ269" s="132" t="n">
        <f aca="false">F269*O269</f>
        <v>0</v>
      </c>
      <c r="AK269" s="137"/>
      <c r="AL269" s="132" t="n">
        <f aca="false">CHOOSE($G$3,AC269-AD269,AD269-AC269)</f>
        <v>0</v>
      </c>
      <c r="AM269" s="132" t="n">
        <f aca="false">CHOOSE($G$3,AF269-AG269,AG269-AF269)</f>
        <v>0</v>
      </c>
      <c r="AN269" s="132" t="n">
        <f aca="false">CHOOSE($G$3,AI269-AJ269,AJ269-AI269)</f>
        <v>0</v>
      </c>
      <c r="AO269" s="148" t="n">
        <f aca="false">SUM(AL269:AN269)</f>
        <v>0</v>
      </c>
      <c r="AQ269" s="132" t="n">
        <f aca="false">CHOOSE($G$3,AB269-AC269,AC269-AB269)</f>
        <v>0</v>
      </c>
      <c r="AR269" s="132" t="n">
        <f aca="false">CHOOSE($G$3,AE269-AF269,AF269-AE269)</f>
        <v>0</v>
      </c>
      <c r="AS269" s="132" t="n">
        <f aca="false">CHOOSE($G$3,AH269-AI269,AI269-AH269)</f>
        <v>0</v>
      </c>
      <c r="AT269" s="148" t="n">
        <f aca="false">AQ269+AR269+AS269</f>
        <v>0</v>
      </c>
      <c r="AU269" s="148"/>
      <c r="AV269" s="133" t="n">
        <f aca="false">AT269+AO269</f>
        <v>0</v>
      </c>
      <c r="AX269" s="133" t="n">
        <f aca="false">AJ269+AG269+AD269</f>
        <v>0</v>
      </c>
      <c r="AY269" s="149"/>
      <c r="AZ269" s="76" t="n">
        <f aca="false">R269*E269</f>
        <v>0</v>
      </c>
    </row>
    <row r="270" customFormat="false" ht="12" hidden="false" customHeight="true" outlineLevel="0" collapsed="false">
      <c r="A270" s="138" t="n">
        <f aca="false">EDATE(A269,1)</f>
        <v>44896</v>
      </c>
      <c r="B270" s="139" t="n">
        <f aca="false">VLOOKUP($A270,Table2,MATCH(I$3,Curves2,0))</f>
        <v>0</v>
      </c>
      <c r="C270" s="140"/>
      <c r="D270" s="141" t="n">
        <f aca="false">B270+C270</f>
        <v>0</v>
      </c>
      <c r="E270" s="126" t="n">
        <f aca="false">IF(Y270=0,0,IF(AND(Y270=1,$H$3=1),D270*T270,IF($H$3=2,D270,"N/A")))</f>
        <v>0</v>
      </c>
      <c r="F270" s="126" t="n">
        <f aca="false">E270*X270</f>
        <v>0</v>
      </c>
      <c r="G270" s="142" t="n">
        <f aca="false">VLOOKUP($A270,Table,MATCH(G$4,Curves,0))</f>
        <v>3.987</v>
      </c>
      <c r="H270" s="143" t="n">
        <f aca="false">G270</f>
        <v>3.987</v>
      </c>
      <c r="I270" s="142" t="n">
        <f aca="false">VLOOKUP($A270,Table1,MATCH(I$3,Curves1,0))</f>
        <v>0</v>
      </c>
      <c r="J270" s="142" t="n">
        <f aca="false">VLOOKUP($A270,Table,MATCH(J$4,Curves,0))</f>
        <v>-0.0305</v>
      </c>
      <c r="K270" s="143" t="n">
        <f aca="false">J270</f>
        <v>-0.0305</v>
      </c>
      <c r="L270" s="144" t="n">
        <v>0</v>
      </c>
      <c r="M270" s="142" t="n">
        <f aca="false">VLOOKUP($A270,Table,MATCH(M$4,Curves,0))</f>
        <v>0.0087</v>
      </c>
      <c r="N270" s="143" t="n">
        <f aca="false">M270</f>
        <v>0.0087</v>
      </c>
      <c r="O270" s="144" t="n">
        <v>0</v>
      </c>
      <c r="P270" s="145"/>
      <c r="Q270" s="144" t="n">
        <f aca="false">M270+J270+G270</f>
        <v>3.9652</v>
      </c>
      <c r="R270" s="144" t="n">
        <f aca="false">O270+L270+I270</f>
        <v>0</v>
      </c>
      <c r="S270" s="145"/>
      <c r="T270" s="71" t="n">
        <f aca="false">A271-A270</f>
        <v>31</v>
      </c>
      <c r="U270" s="146" t="n">
        <f aca="false">CHOOSE(F$3,A271+24,A270)</f>
        <v>44951</v>
      </c>
      <c r="V270" s="71" t="n">
        <f aca="false">U270-C$3</f>
        <v>8063</v>
      </c>
      <c r="W270" s="142" t="n">
        <f aca="false">VLOOKUP($A270,Table,MATCH(W$4,Curves,0))</f>
        <v>0.058966861357273</v>
      </c>
      <c r="X270" s="147" t="n">
        <f aca="false">1/(1+CHOOSE(F$3,(W271+($K$3/10000))/2,(W270+($K$3/10000))/2))^(2*V270/365.25)</f>
        <v>0.277234876518105</v>
      </c>
      <c r="Y270" s="71" t="n">
        <f aca="false">IF(AND(mthbeg&lt;=A270,mthend&gt;=A270),1,0)</f>
        <v>0</v>
      </c>
      <c r="Z270" s="71" t="n">
        <f aca="false">T270*Y270</f>
        <v>0</v>
      </c>
      <c r="AB270" s="132" t="n">
        <f aca="false">F270*G270</f>
        <v>0</v>
      </c>
      <c r="AC270" s="132" t="n">
        <f aca="false">$F270*H270</f>
        <v>0</v>
      </c>
      <c r="AD270" s="132" t="n">
        <f aca="false">$F270*I270</f>
        <v>0</v>
      </c>
      <c r="AE270" s="132" t="n">
        <f aca="false">$F270*J270</f>
        <v>-0</v>
      </c>
      <c r="AF270" s="132" t="n">
        <f aca="false">$F270*K270</f>
        <v>-0</v>
      </c>
      <c r="AG270" s="132" t="n">
        <f aca="false">$F270*L270</f>
        <v>0</v>
      </c>
      <c r="AH270" s="132" t="n">
        <f aca="false">$F270*M270</f>
        <v>0</v>
      </c>
      <c r="AI270" s="132" t="n">
        <f aca="false">$F270*N270</f>
        <v>0</v>
      </c>
      <c r="AJ270" s="132" t="n">
        <f aca="false">F270*O270</f>
        <v>0</v>
      </c>
      <c r="AK270" s="137"/>
      <c r="AL270" s="132" t="n">
        <f aca="false">CHOOSE($G$3,AC270-AD270,AD270-AC270)</f>
        <v>0</v>
      </c>
      <c r="AM270" s="132" t="n">
        <f aca="false">CHOOSE($G$3,AF270-AG270,AG270-AF270)</f>
        <v>0</v>
      </c>
      <c r="AN270" s="132" t="n">
        <f aca="false">CHOOSE($G$3,AI270-AJ270,AJ270-AI270)</f>
        <v>0</v>
      </c>
      <c r="AO270" s="148" t="n">
        <f aca="false">SUM(AL270:AN270)</f>
        <v>0</v>
      </c>
      <c r="AQ270" s="132" t="n">
        <f aca="false">CHOOSE($G$3,AB270-AC270,AC270-AB270)</f>
        <v>0</v>
      </c>
      <c r="AR270" s="132" t="n">
        <f aca="false">CHOOSE($G$3,AE270-AF270,AF270-AE270)</f>
        <v>0</v>
      </c>
      <c r="AS270" s="132" t="n">
        <f aca="false">CHOOSE($G$3,AH270-AI270,AI270-AH270)</f>
        <v>0</v>
      </c>
      <c r="AT270" s="148" t="n">
        <f aca="false">AQ270+AR270+AS270</f>
        <v>0</v>
      </c>
      <c r="AU270" s="148"/>
      <c r="AV270" s="133" t="n">
        <f aca="false">AT270+AO270</f>
        <v>0</v>
      </c>
      <c r="AX270" s="133" t="n">
        <f aca="false">AJ270+AG270+AD270</f>
        <v>0</v>
      </c>
      <c r="AY270" s="149"/>
      <c r="AZ270" s="76" t="n">
        <f aca="false">R270*E270</f>
        <v>0</v>
      </c>
    </row>
    <row r="271" customFormat="false" ht="12" hidden="false" customHeight="true" outlineLevel="0" collapsed="false">
      <c r="A271" s="138" t="n">
        <f aca="false">EDATE(A270,1)</f>
        <v>44927</v>
      </c>
      <c r="B271" s="139" t="n">
        <f aca="false">VLOOKUP($A271,Table2,MATCH(I$3,Curves2,0))</f>
        <v>0</v>
      </c>
      <c r="C271" s="140"/>
      <c r="D271" s="141" t="n">
        <f aca="false">B271+C271</f>
        <v>0</v>
      </c>
      <c r="E271" s="126" t="n">
        <f aca="false">IF(Y271=0,0,IF(AND(Y271=1,$H$3=1),D271*T271,IF($H$3=2,D271,"N/A")))</f>
        <v>0</v>
      </c>
      <c r="F271" s="126" t="n">
        <f aca="false">E271*X271</f>
        <v>0</v>
      </c>
      <c r="G271" s="142" t="n">
        <f aca="false">VLOOKUP($A271,Table,MATCH(G$4,Curves,0))</f>
        <v>3.987</v>
      </c>
      <c r="H271" s="143" t="n">
        <f aca="false">G271</f>
        <v>3.987</v>
      </c>
      <c r="I271" s="142" t="n">
        <f aca="false">VLOOKUP($A271,Table1,MATCH(I$3,Curves1,0))</f>
        <v>0</v>
      </c>
      <c r="J271" s="142" t="n">
        <f aca="false">VLOOKUP($A271,Table,MATCH(J$4,Curves,0))</f>
        <v>-0.0305</v>
      </c>
      <c r="K271" s="143" t="n">
        <f aca="false">J271</f>
        <v>-0.0305</v>
      </c>
      <c r="L271" s="144" t="n">
        <v>0</v>
      </c>
      <c r="M271" s="142" t="n">
        <f aca="false">VLOOKUP($A271,Table,MATCH(M$4,Curves,0))</f>
        <v>0.0087</v>
      </c>
      <c r="N271" s="143" t="n">
        <f aca="false">M271</f>
        <v>0.0087</v>
      </c>
      <c r="O271" s="144" t="n">
        <v>0</v>
      </c>
      <c r="P271" s="145"/>
      <c r="Q271" s="144" t="n">
        <f aca="false">M271+J271+G271</f>
        <v>3.9652</v>
      </c>
      <c r="R271" s="144" t="n">
        <f aca="false">O271+L271+I271</f>
        <v>0</v>
      </c>
      <c r="S271" s="145"/>
      <c r="T271" s="71" t="n">
        <f aca="false">A272-A271</f>
        <v>31</v>
      </c>
      <c r="U271" s="146" t="n">
        <f aca="false">CHOOSE(F$3,A272+24,A271)</f>
        <v>44982</v>
      </c>
      <c r="V271" s="71" t="n">
        <f aca="false">U271-C$3</f>
        <v>8094</v>
      </c>
      <c r="W271" s="142" t="n">
        <f aca="false">VLOOKUP($A271,Table,MATCH(W$4,Curves,0))</f>
        <v>0.058966861357273</v>
      </c>
      <c r="X271" s="147" t="n">
        <f aca="false">1/(1+CHOOSE(F$3,(W272+($K$3/10000))/2,(W271+($K$3/10000))/2))^(2*V271/365.25)</f>
        <v>0.275870821840808</v>
      </c>
      <c r="Y271" s="71" t="n">
        <f aca="false">IF(AND(mthbeg&lt;=A271,mthend&gt;=A271),1,0)</f>
        <v>0</v>
      </c>
      <c r="Z271" s="71" t="n">
        <f aca="false">T271*Y271</f>
        <v>0</v>
      </c>
      <c r="AB271" s="132" t="n">
        <f aca="false">F271*G271</f>
        <v>0</v>
      </c>
      <c r="AC271" s="132" t="n">
        <f aca="false">$F271*H271</f>
        <v>0</v>
      </c>
      <c r="AD271" s="132" t="n">
        <f aca="false">$F271*I271</f>
        <v>0</v>
      </c>
      <c r="AE271" s="132" t="n">
        <f aca="false">$F271*J271</f>
        <v>-0</v>
      </c>
      <c r="AF271" s="132" t="n">
        <f aca="false">$F271*K271</f>
        <v>-0</v>
      </c>
      <c r="AG271" s="132" t="n">
        <f aca="false">$F271*L271</f>
        <v>0</v>
      </c>
      <c r="AH271" s="132" t="n">
        <f aca="false">$F271*M271</f>
        <v>0</v>
      </c>
      <c r="AI271" s="132" t="n">
        <f aca="false">$F271*N271</f>
        <v>0</v>
      </c>
      <c r="AJ271" s="132" t="n">
        <f aca="false">F271*O271</f>
        <v>0</v>
      </c>
      <c r="AK271" s="137"/>
      <c r="AL271" s="132" t="n">
        <f aca="false">CHOOSE($G$3,AC271-AD271,AD271-AC271)</f>
        <v>0</v>
      </c>
      <c r="AM271" s="132" t="n">
        <f aca="false">CHOOSE($G$3,AF271-AG271,AG271-AF271)</f>
        <v>0</v>
      </c>
      <c r="AN271" s="132" t="n">
        <f aca="false">CHOOSE($G$3,AI271-AJ271,AJ271-AI271)</f>
        <v>0</v>
      </c>
      <c r="AO271" s="148" t="n">
        <f aca="false">SUM(AL271:AN271)</f>
        <v>0</v>
      </c>
      <c r="AQ271" s="132" t="n">
        <f aca="false">CHOOSE($G$3,AB271-AC271,AC271-AB271)</f>
        <v>0</v>
      </c>
      <c r="AR271" s="132" t="n">
        <f aca="false">CHOOSE($G$3,AE271-AF271,AF271-AE271)</f>
        <v>0</v>
      </c>
      <c r="AS271" s="132" t="n">
        <f aca="false">CHOOSE($G$3,AH271-AI271,AI271-AH271)</f>
        <v>0</v>
      </c>
      <c r="AT271" s="148" t="n">
        <f aca="false">AQ271+AR271+AS271</f>
        <v>0</v>
      </c>
      <c r="AU271" s="148"/>
      <c r="AV271" s="133" t="n">
        <f aca="false">AT271+AO271</f>
        <v>0</v>
      </c>
      <c r="AX271" s="133" t="n">
        <f aca="false">AJ271+AG271+AD271</f>
        <v>0</v>
      </c>
      <c r="AY271" s="149"/>
      <c r="AZ271" s="76" t="n">
        <f aca="false">R271*E271</f>
        <v>0</v>
      </c>
    </row>
    <row r="272" customFormat="false" ht="12" hidden="false" customHeight="true" outlineLevel="0" collapsed="false">
      <c r="A272" s="138" t="n">
        <f aca="false">EDATE(A271,1)</f>
        <v>44958</v>
      </c>
      <c r="B272" s="139" t="n">
        <f aca="false">VLOOKUP($A272,Table2,MATCH(I$3,Curves2,0))</f>
        <v>0</v>
      </c>
      <c r="C272" s="140"/>
      <c r="D272" s="141" t="n">
        <f aca="false">B272+C272</f>
        <v>0</v>
      </c>
      <c r="E272" s="126" t="n">
        <f aca="false">IF(Y272=0,0,IF(AND(Y272=1,$H$3=1),D272*T272,IF($H$3=2,D272,"N/A")))</f>
        <v>0</v>
      </c>
      <c r="F272" s="126" t="n">
        <f aca="false">E272*X272</f>
        <v>0</v>
      </c>
      <c r="G272" s="142" t="n">
        <f aca="false">VLOOKUP($A272,Table,MATCH(G$4,Curves,0))</f>
        <v>3.987</v>
      </c>
      <c r="H272" s="143" t="n">
        <f aca="false">G272</f>
        <v>3.987</v>
      </c>
      <c r="I272" s="142" t="n">
        <f aca="false">VLOOKUP($A272,Table1,MATCH(I$3,Curves1,0))</f>
        <v>0</v>
      </c>
      <c r="J272" s="142" t="n">
        <f aca="false">VLOOKUP($A272,Table,MATCH(J$4,Curves,0))</f>
        <v>-0.0305</v>
      </c>
      <c r="K272" s="143" t="n">
        <f aca="false">J272</f>
        <v>-0.0305</v>
      </c>
      <c r="L272" s="144" t="n">
        <v>0</v>
      </c>
      <c r="M272" s="142" t="n">
        <f aca="false">VLOOKUP($A272,Table,MATCH(M$4,Curves,0))</f>
        <v>0.0087</v>
      </c>
      <c r="N272" s="143" t="n">
        <f aca="false">M272</f>
        <v>0.0087</v>
      </c>
      <c r="O272" s="144" t="n">
        <v>0</v>
      </c>
      <c r="P272" s="145"/>
      <c r="Q272" s="144" t="n">
        <f aca="false">M272+J272+G272</f>
        <v>3.9652</v>
      </c>
      <c r="R272" s="144" t="n">
        <f aca="false">O272+L272+I272</f>
        <v>0</v>
      </c>
      <c r="S272" s="145"/>
      <c r="T272" s="71" t="n">
        <f aca="false">A273-A272</f>
        <v>28</v>
      </c>
      <c r="U272" s="146" t="n">
        <f aca="false">CHOOSE(F$3,A273+24,A272)</f>
        <v>45010</v>
      </c>
      <c r="V272" s="71" t="n">
        <f aca="false">U272-C$3</f>
        <v>8122</v>
      </c>
      <c r="W272" s="142" t="n">
        <f aca="false">VLOOKUP($A272,Table,MATCH(W$4,Curves,0))</f>
        <v>0.058966861357273</v>
      </c>
      <c r="X272" s="147" t="n">
        <f aca="false">1/(1+CHOOSE(F$3,(W273+($K$3/10000))/2,(W272+($K$3/10000))/2))^(2*V272/365.25)</f>
        <v>0.274644541997286</v>
      </c>
      <c r="Y272" s="71" t="n">
        <f aca="false">IF(AND(mthbeg&lt;=A272,mthend&gt;=A272),1,0)</f>
        <v>0</v>
      </c>
      <c r="Z272" s="71" t="n">
        <f aca="false">T272*Y272</f>
        <v>0</v>
      </c>
      <c r="AB272" s="132" t="n">
        <f aca="false">F272*G272</f>
        <v>0</v>
      </c>
      <c r="AC272" s="132" t="n">
        <f aca="false">$F272*H272</f>
        <v>0</v>
      </c>
      <c r="AD272" s="132" t="n">
        <f aca="false">$F272*I272</f>
        <v>0</v>
      </c>
      <c r="AE272" s="132" t="n">
        <f aca="false">$F272*J272</f>
        <v>-0</v>
      </c>
      <c r="AF272" s="132" t="n">
        <f aca="false">$F272*K272</f>
        <v>-0</v>
      </c>
      <c r="AG272" s="132" t="n">
        <f aca="false">$F272*L272</f>
        <v>0</v>
      </c>
      <c r="AH272" s="132" t="n">
        <f aca="false">$F272*M272</f>
        <v>0</v>
      </c>
      <c r="AI272" s="132" t="n">
        <f aca="false">$F272*N272</f>
        <v>0</v>
      </c>
      <c r="AJ272" s="132" t="n">
        <f aca="false">F272*O272</f>
        <v>0</v>
      </c>
      <c r="AK272" s="137"/>
      <c r="AL272" s="132" t="n">
        <f aca="false">CHOOSE($G$3,AC272-AD272,AD272-AC272)</f>
        <v>0</v>
      </c>
      <c r="AM272" s="132" t="n">
        <f aca="false">CHOOSE($G$3,AF272-AG272,AG272-AF272)</f>
        <v>0</v>
      </c>
      <c r="AN272" s="132" t="n">
        <f aca="false">CHOOSE($G$3,AI272-AJ272,AJ272-AI272)</f>
        <v>0</v>
      </c>
      <c r="AO272" s="148" t="n">
        <f aca="false">SUM(AL272:AN272)</f>
        <v>0</v>
      </c>
      <c r="AQ272" s="132" t="n">
        <f aca="false">CHOOSE($G$3,AB272-AC272,AC272-AB272)</f>
        <v>0</v>
      </c>
      <c r="AR272" s="132" t="n">
        <f aca="false">CHOOSE($G$3,AE272-AF272,AF272-AE272)</f>
        <v>0</v>
      </c>
      <c r="AS272" s="132" t="n">
        <f aca="false">CHOOSE($G$3,AH272-AI272,AI272-AH272)</f>
        <v>0</v>
      </c>
      <c r="AT272" s="148" t="n">
        <f aca="false">AQ272+AR272+AS272</f>
        <v>0</v>
      </c>
      <c r="AU272" s="148"/>
      <c r="AV272" s="133" t="n">
        <f aca="false">AT272+AO272</f>
        <v>0</v>
      </c>
      <c r="AX272" s="133" t="n">
        <f aca="false">AJ272+AG272+AD272</f>
        <v>0</v>
      </c>
      <c r="AY272" s="149"/>
      <c r="AZ272" s="76" t="n">
        <f aca="false">R272*E272</f>
        <v>0</v>
      </c>
    </row>
    <row r="273" customFormat="false" ht="12" hidden="false" customHeight="true" outlineLevel="0" collapsed="false">
      <c r="A273" s="138" t="n">
        <f aca="false">EDATE(A272,1)</f>
        <v>44986</v>
      </c>
      <c r="B273" s="139" t="n">
        <f aca="false">VLOOKUP($A273,Table2,MATCH(I$3,Curves2,0))</f>
        <v>0</v>
      </c>
      <c r="C273" s="140"/>
      <c r="D273" s="141" t="n">
        <f aca="false">B273+C273</f>
        <v>0</v>
      </c>
      <c r="E273" s="126" t="n">
        <f aca="false">IF(Y273=0,0,IF(AND(Y273=1,$H$3=1),D273*T273,IF($H$3=2,D273,"N/A")))</f>
        <v>0</v>
      </c>
      <c r="F273" s="126" t="n">
        <f aca="false">E273*X273</f>
        <v>0</v>
      </c>
      <c r="G273" s="142" t="n">
        <f aca="false">VLOOKUP($A273,Table,MATCH(G$4,Curves,0))</f>
        <v>3.987</v>
      </c>
      <c r="H273" s="143" t="n">
        <f aca="false">G273</f>
        <v>3.987</v>
      </c>
      <c r="I273" s="142" t="n">
        <f aca="false">VLOOKUP($A273,Table1,MATCH(I$3,Curves1,0))</f>
        <v>0</v>
      </c>
      <c r="J273" s="142" t="n">
        <f aca="false">VLOOKUP($A273,Table,MATCH(J$4,Curves,0))</f>
        <v>-0.0305</v>
      </c>
      <c r="K273" s="143" t="n">
        <f aca="false">J273</f>
        <v>-0.0305</v>
      </c>
      <c r="L273" s="144" t="n">
        <v>0</v>
      </c>
      <c r="M273" s="142" t="n">
        <f aca="false">VLOOKUP($A273,Table,MATCH(M$4,Curves,0))</f>
        <v>0.0087</v>
      </c>
      <c r="N273" s="143" t="n">
        <f aca="false">M273</f>
        <v>0.0087</v>
      </c>
      <c r="O273" s="144" t="n">
        <v>0</v>
      </c>
      <c r="P273" s="145"/>
      <c r="Q273" s="144" t="n">
        <f aca="false">M273+J273+G273</f>
        <v>3.9652</v>
      </c>
      <c r="R273" s="144" t="n">
        <f aca="false">O273+L273+I273</f>
        <v>0</v>
      </c>
      <c r="S273" s="145"/>
      <c r="T273" s="71" t="n">
        <f aca="false">A274-A273</f>
        <v>31</v>
      </c>
      <c r="U273" s="146" t="n">
        <f aca="false">CHOOSE(F$3,A274+24,A273)</f>
        <v>45041</v>
      </c>
      <c r="V273" s="71" t="n">
        <f aca="false">U273-C$3</f>
        <v>8153</v>
      </c>
      <c r="W273" s="142" t="n">
        <f aca="false">VLOOKUP($A273,Table,MATCH(W$4,Curves,0))</f>
        <v>0.058966861357273</v>
      </c>
      <c r="X273" s="147" t="n">
        <f aca="false">1/(1+CHOOSE(F$3,(W274+($K$3/10000))/2,(W273+($K$3/10000))/2))^(2*V273/365.25)</f>
        <v>0.273293232317889</v>
      </c>
      <c r="Y273" s="71" t="n">
        <f aca="false">IF(AND(mthbeg&lt;=A273,mthend&gt;=A273),1,0)</f>
        <v>0</v>
      </c>
      <c r="Z273" s="71" t="n">
        <f aca="false">T273*Y273</f>
        <v>0</v>
      </c>
      <c r="AB273" s="132" t="n">
        <f aca="false">F273*G273</f>
        <v>0</v>
      </c>
      <c r="AC273" s="132" t="n">
        <f aca="false">$F273*H273</f>
        <v>0</v>
      </c>
      <c r="AD273" s="132" t="n">
        <f aca="false">$F273*I273</f>
        <v>0</v>
      </c>
      <c r="AE273" s="132" t="n">
        <f aca="false">$F273*J273</f>
        <v>-0</v>
      </c>
      <c r="AF273" s="132" t="n">
        <f aca="false">$F273*K273</f>
        <v>-0</v>
      </c>
      <c r="AG273" s="132" t="n">
        <f aca="false">$F273*L273</f>
        <v>0</v>
      </c>
      <c r="AH273" s="132" t="n">
        <f aca="false">$F273*M273</f>
        <v>0</v>
      </c>
      <c r="AI273" s="132" t="n">
        <f aca="false">$F273*N273</f>
        <v>0</v>
      </c>
      <c r="AJ273" s="132" t="n">
        <f aca="false">F273*O273</f>
        <v>0</v>
      </c>
      <c r="AK273" s="137"/>
      <c r="AL273" s="132" t="n">
        <f aca="false">CHOOSE($G$3,AC273-AD273,AD273-AC273)</f>
        <v>0</v>
      </c>
      <c r="AM273" s="132" t="n">
        <f aca="false">CHOOSE($G$3,AF273-AG273,AG273-AF273)</f>
        <v>0</v>
      </c>
      <c r="AN273" s="132" t="n">
        <f aca="false">CHOOSE($G$3,AI273-AJ273,AJ273-AI273)</f>
        <v>0</v>
      </c>
      <c r="AO273" s="148" t="n">
        <f aca="false">SUM(AL273:AN273)</f>
        <v>0</v>
      </c>
      <c r="AQ273" s="132" t="n">
        <f aca="false">CHOOSE($G$3,AB273-AC273,AC273-AB273)</f>
        <v>0</v>
      </c>
      <c r="AR273" s="132" t="n">
        <f aca="false">CHOOSE($G$3,AE273-AF273,AF273-AE273)</f>
        <v>0</v>
      </c>
      <c r="AS273" s="132" t="n">
        <f aca="false">CHOOSE($G$3,AH273-AI273,AI273-AH273)</f>
        <v>0</v>
      </c>
      <c r="AT273" s="148" t="n">
        <f aca="false">AQ273+AR273+AS273</f>
        <v>0</v>
      </c>
      <c r="AU273" s="148"/>
      <c r="AV273" s="133" t="n">
        <f aca="false">AT273+AO273</f>
        <v>0</v>
      </c>
      <c r="AX273" s="133" t="n">
        <f aca="false">AJ273+AG273+AD273</f>
        <v>0</v>
      </c>
      <c r="AY273" s="149"/>
      <c r="AZ273" s="76" t="n">
        <f aca="false">R273*E273</f>
        <v>0</v>
      </c>
    </row>
    <row r="274" customFormat="false" ht="12" hidden="false" customHeight="true" outlineLevel="0" collapsed="false">
      <c r="A274" s="138" t="n">
        <f aca="false">EDATE(A273,1)</f>
        <v>45017</v>
      </c>
      <c r="B274" s="139" t="n">
        <f aca="false">VLOOKUP($A274,Table2,MATCH(I$3,Curves2,0))</f>
        <v>0</v>
      </c>
      <c r="C274" s="140"/>
      <c r="D274" s="141" t="n">
        <f aca="false">B274+C274</f>
        <v>0</v>
      </c>
      <c r="E274" s="126" t="n">
        <f aca="false">IF(Y274=0,0,IF(AND(Y274=1,$H$3=1),D274*T274,IF($H$3=2,D274,"N/A")))</f>
        <v>0</v>
      </c>
      <c r="F274" s="126" t="n">
        <f aca="false">E274*X274</f>
        <v>0</v>
      </c>
      <c r="G274" s="142" t="n">
        <f aca="false">VLOOKUP($A274,Table,MATCH(G$4,Curves,0))</f>
        <v>3.987</v>
      </c>
      <c r="H274" s="143" t="n">
        <f aca="false">G274</f>
        <v>3.987</v>
      </c>
      <c r="I274" s="142" t="n">
        <f aca="false">VLOOKUP($A274,Table1,MATCH(I$3,Curves1,0))</f>
        <v>0</v>
      </c>
      <c r="J274" s="142" t="n">
        <f aca="false">VLOOKUP($A274,Table,MATCH(J$4,Curves,0))</f>
        <v>-0.0305</v>
      </c>
      <c r="K274" s="143" t="n">
        <f aca="false">J274</f>
        <v>-0.0305</v>
      </c>
      <c r="L274" s="144" t="n">
        <v>0</v>
      </c>
      <c r="M274" s="142" t="n">
        <f aca="false">VLOOKUP($A274,Table,MATCH(M$4,Curves,0))</f>
        <v>0.0087</v>
      </c>
      <c r="N274" s="143" t="n">
        <f aca="false">M274</f>
        <v>0.0087</v>
      </c>
      <c r="O274" s="144" t="n">
        <v>0</v>
      </c>
      <c r="P274" s="145"/>
      <c r="Q274" s="144" t="n">
        <f aca="false">M274+J274+G274</f>
        <v>3.9652</v>
      </c>
      <c r="R274" s="144" t="n">
        <f aca="false">O274+L274+I274</f>
        <v>0</v>
      </c>
      <c r="S274" s="145"/>
      <c r="T274" s="71" t="n">
        <f aca="false">A275-A274</f>
        <v>30</v>
      </c>
      <c r="U274" s="146" t="n">
        <f aca="false">CHOOSE(F$3,A275+24,A274)</f>
        <v>45071</v>
      </c>
      <c r="V274" s="71" t="n">
        <f aca="false">U274-C$3</f>
        <v>8183</v>
      </c>
      <c r="W274" s="142" t="n">
        <f aca="false">VLOOKUP($A274,Table,MATCH(W$4,Curves,0))</f>
        <v>0.058966861357273</v>
      </c>
      <c r="X274" s="147" t="n">
        <f aca="false">1/(1+CHOOSE(F$3,(W275+($K$3/10000))/2,(W274+($K$3/10000))/2))^(2*V274/365.25)</f>
        <v>0.271991844086728</v>
      </c>
      <c r="Y274" s="71" t="n">
        <f aca="false">IF(AND(mthbeg&lt;=A274,mthend&gt;=A274),1,0)</f>
        <v>0</v>
      </c>
      <c r="Z274" s="71" t="n">
        <f aca="false">T274*Y274</f>
        <v>0</v>
      </c>
      <c r="AB274" s="132" t="n">
        <f aca="false">F274*G274</f>
        <v>0</v>
      </c>
      <c r="AC274" s="132" t="n">
        <f aca="false">$F274*H274</f>
        <v>0</v>
      </c>
      <c r="AD274" s="132" t="n">
        <f aca="false">$F274*I274</f>
        <v>0</v>
      </c>
      <c r="AE274" s="132" t="n">
        <f aca="false">$F274*J274</f>
        <v>-0</v>
      </c>
      <c r="AF274" s="132" t="n">
        <f aca="false">$F274*K274</f>
        <v>-0</v>
      </c>
      <c r="AG274" s="132" t="n">
        <f aca="false">$F274*L274</f>
        <v>0</v>
      </c>
      <c r="AH274" s="132" t="n">
        <f aca="false">$F274*M274</f>
        <v>0</v>
      </c>
      <c r="AI274" s="132" t="n">
        <f aca="false">$F274*N274</f>
        <v>0</v>
      </c>
      <c r="AJ274" s="132" t="n">
        <f aca="false">F274*O274</f>
        <v>0</v>
      </c>
      <c r="AK274" s="137"/>
      <c r="AL274" s="132" t="n">
        <f aca="false">CHOOSE($G$3,AC274-AD274,AD274-AC274)</f>
        <v>0</v>
      </c>
      <c r="AM274" s="132" t="n">
        <f aca="false">CHOOSE($G$3,AF274-AG274,AG274-AF274)</f>
        <v>0</v>
      </c>
      <c r="AN274" s="132" t="n">
        <f aca="false">CHOOSE($G$3,AI274-AJ274,AJ274-AI274)</f>
        <v>0</v>
      </c>
      <c r="AO274" s="148" t="n">
        <f aca="false">SUM(AL274:AN274)</f>
        <v>0</v>
      </c>
      <c r="AQ274" s="132" t="n">
        <f aca="false">CHOOSE($G$3,AB274-AC274,AC274-AB274)</f>
        <v>0</v>
      </c>
      <c r="AR274" s="132" t="n">
        <f aca="false">CHOOSE($G$3,AE274-AF274,AF274-AE274)</f>
        <v>0</v>
      </c>
      <c r="AS274" s="132" t="n">
        <f aca="false">CHOOSE($G$3,AH274-AI274,AI274-AH274)</f>
        <v>0</v>
      </c>
      <c r="AT274" s="148" t="n">
        <f aca="false">AQ274+AR274+AS274</f>
        <v>0</v>
      </c>
      <c r="AU274" s="148"/>
      <c r="AV274" s="133" t="n">
        <f aca="false">AT274+AO274</f>
        <v>0</v>
      </c>
      <c r="AX274" s="133" t="n">
        <f aca="false">AJ274+AG274+AD274</f>
        <v>0</v>
      </c>
      <c r="AY274" s="149"/>
      <c r="AZ274" s="76" t="n">
        <f aca="false">R274*E274</f>
        <v>0</v>
      </c>
    </row>
    <row r="275" customFormat="false" ht="12" hidden="false" customHeight="true" outlineLevel="0" collapsed="false">
      <c r="A275" s="138" t="n">
        <f aca="false">EDATE(A274,1)</f>
        <v>45047</v>
      </c>
      <c r="B275" s="139" t="n">
        <f aca="false">VLOOKUP($A275,Table2,MATCH(I$3,Curves2,0))</f>
        <v>0</v>
      </c>
      <c r="C275" s="140"/>
      <c r="D275" s="141" t="n">
        <f aca="false">B275+C275</f>
        <v>0</v>
      </c>
      <c r="E275" s="126" t="n">
        <f aca="false">IF(Y275=0,0,IF(AND(Y275=1,$H$3=1),D275*T275,IF($H$3=2,D275,"N/A")))</f>
        <v>0</v>
      </c>
      <c r="F275" s="126" t="n">
        <f aca="false">E275*X275</f>
        <v>0</v>
      </c>
      <c r="G275" s="142" t="n">
        <f aca="false">VLOOKUP($A275,Table,MATCH(G$4,Curves,0))</f>
        <v>3.987</v>
      </c>
      <c r="H275" s="143" t="n">
        <f aca="false">G275</f>
        <v>3.987</v>
      </c>
      <c r="I275" s="142" t="n">
        <f aca="false">VLOOKUP($A275,Table1,MATCH(I$3,Curves1,0))</f>
        <v>0</v>
      </c>
      <c r="J275" s="142" t="n">
        <f aca="false">VLOOKUP($A275,Table,MATCH(J$4,Curves,0))</f>
        <v>-0.0305</v>
      </c>
      <c r="K275" s="143" t="n">
        <f aca="false">J275</f>
        <v>-0.0305</v>
      </c>
      <c r="L275" s="144" t="n">
        <v>0</v>
      </c>
      <c r="M275" s="142" t="n">
        <f aca="false">VLOOKUP($A275,Table,MATCH(M$4,Curves,0))</f>
        <v>0.0087</v>
      </c>
      <c r="N275" s="143" t="n">
        <f aca="false">M275</f>
        <v>0.0087</v>
      </c>
      <c r="O275" s="144" t="n">
        <v>0</v>
      </c>
      <c r="P275" s="145"/>
      <c r="Q275" s="144" t="n">
        <f aca="false">M275+J275+G275</f>
        <v>3.9652</v>
      </c>
      <c r="R275" s="144" t="n">
        <f aca="false">O275+L275+I275</f>
        <v>0</v>
      </c>
      <c r="S275" s="145"/>
      <c r="T275" s="71" t="n">
        <f aca="false">A276-A275</f>
        <v>31</v>
      </c>
      <c r="U275" s="146" t="n">
        <f aca="false">CHOOSE(F$3,A276+24,A275)</f>
        <v>45102</v>
      </c>
      <c r="V275" s="71" t="n">
        <f aca="false">U275-C$3</f>
        <v>8214</v>
      </c>
      <c r="W275" s="142" t="n">
        <f aca="false">VLOOKUP($A275,Table,MATCH(W$4,Curves,0))</f>
        <v>0.058966861357273</v>
      </c>
      <c r="X275" s="147" t="n">
        <f aca="false">1/(1+CHOOSE(F$3,(W276+($K$3/10000))/2,(W275+($K$3/10000))/2))^(2*V275/365.25)</f>
        <v>0.270653586246399</v>
      </c>
      <c r="Y275" s="71" t="n">
        <f aca="false">IF(AND(mthbeg&lt;=A275,mthend&gt;=A275),1,0)</f>
        <v>0</v>
      </c>
      <c r="Z275" s="71" t="n">
        <f aca="false">T275*Y275</f>
        <v>0</v>
      </c>
      <c r="AB275" s="132" t="n">
        <f aca="false">F275*G275</f>
        <v>0</v>
      </c>
      <c r="AC275" s="132" t="n">
        <f aca="false">$F275*H275</f>
        <v>0</v>
      </c>
      <c r="AD275" s="132" t="n">
        <f aca="false">$F275*I275</f>
        <v>0</v>
      </c>
      <c r="AE275" s="132" t="n">
        <f aca="false">$F275*J275</f>
        <v>-0</v>
      </c>
      <c r="AF275" s="132" t="n">
        <f aca="false">$F275*K275</f>
        <v>-0</v>
      </c>
      <c r="AG275" s="132" t="n">
        <f aca="false">$F275*L275</f>
        <v>0</v>
      </c>
      <c r="AH275" s="132" t="n">
        <f aca="false">$F275*M275</f>
        <v>0</v>
      </c>
      <c r="AI275" s="132" t="n">
        <f aca="false">$F275*N275</f>
        <v>0</v>
      </c>
      <c r="AJ275" s="132" t="n">
        <f aca="false">F275*O275</f>
        <v>0</v>
      </c>
      <c r="AK275" s="137"/>
      <c r="AL275" s="132" t="n">
        <f aca="false">CHOOSE($G$3,AC275-AD275,AD275-AC275)</f>
        <v>0</v>
      </c>
      <c r="AM275" s="132" t="n">
        <f aca="false">CHOOSE($G$3,AF275-AG275,AG275-AF275)</f>
        <v>0</v>
      </c>
      <c r="AN275" s="132" t="n">
        <f aca="false">CHOOSE($G$3,AI275-AJ275,AJ275-AI275)</f>
        <v>0</v>
      </c>
      <c r="AO275" s="148" t="n">
        <f aca="false">SUM(AL275:AN275)</f>
        <v>0</v>
      </c>
      <c r="AQ275" s="132" t="n">
        <f aca="false">CHOOSE($G$3,AB275-AC275,AC275-AB275)</f>
        <v>0</v>
      </c>
      <c r="AR275" s="132" t="n">
        <f aca="false">CHOOSE($G$3,AE275-AF275,AF275-AE275)</f>
        <v>0</v>
      </c>
      <c r="AS275" s="132" t="n">
        <f aca="false">CHOOSE($G$3,AH275-AI275,AI275-AH275)</f>
        <v>0</v>
      </c>
      <c r="AT275" s="148" t="n">
        <f aca="false">AQ275+AR275+AS275</f>
        <v>0</v>
      </c>
      <c r="AU275" s="148"/>
      <c r="AV275" s="133" t="n">
        <f aca="false">AT275+AO275</f>
        <v>0</v>
      </c>
      <c r="AX275" s="133" t="n">
        <f aca="false">AJ275+AG275+AD275</f>
        <v>0</v>
      </c>
      <c r="AY275" s="149"/>
      <c r="AZ275" s="76" t="n">
        <f aca="false">R275*E275</f>
        <v>0</v>
      </c>
    </row>
    <row r="276" customFormat="false" ht="12" hidden="false" customHeight="true" outlineLevel="0" collapsed="false">
      <c r="A276" s="138" t="n">
        <f aca="false">EDATE(A275,1)</f>
        <v>45078</v>
      </c>
      <c r="B276" s="139" t="n">
        <f aca="false">VLOOKUP($A276,Table2,MATCH(I$3,Curves2,0))</f>
        <v>0</v>
      </c>
      <c r="C276" s="140"/>
      <c r="D276" s="141" t="n">
        <f aca="false">B276+C276</f>
        <v>0</v>
      </c>
      <c r="E276" s="126" t="n">
        <f aca="false">IF(Y276=0,0,IF(AND(Y276=1,$H$3=1),D276*T276,IF($H$3=2,D276,"N/A")))</f>
        <v>0</v>
      </c>
      <c r="F276" s="126" t="n">
        <f aca="false">E276*X276</f>
        <v>0</v>
      </c>
      <c r="G276" s="142" t="n">
        <f aca="false">VLOOKUP($A276,Table,MATCH(G$4,Curves,0))</f>
        <v>3.987</v>
      </c>
      <c r="H276" s="143" t="n">
        <f aca="false">G276</f>
        <v>3.987</v>
      </c>
      <c r="I276" s="142" t="n">
        <f aca="false">VLOOKUP($A276,Table1,MATCH(I$3,Curves1,0))</f>
        <v>0</v>
      </c>
      <c r="J276" s="142" t="n">
        <f aca="false">VLOOKUP($A276,Table,MATCH(J$4,Curves,0))</f>
        <v>-0.0305</v>
      </c>
      <c r="K276" s="143" t="n">
        <f aca="false">J276</f>
        <v>-0.0305</v>
      </c>
      <c r="L276" s="144" t="n">
        <v>0</v>
      </c>
      <c r="M276" s="142" t="n">
        <f aca="false">VLOOKUP($A276,Table,MATCH(M$4,Curves,0))</f>
        <v>0.0087</v>
      </c>
      <c r="N276" s="143" t="n">
        <f aca="false">M276</f>
        <v>0.0087</v>
      </c>
      <c r="O276" s="144" t="n">
        <v>0</v>
      </c>
      <c r="P276" s="145"/>
      <c r="Q276" s="144" t="n">
        <f aca="false">M276+J276+G276</f>
        <v>3.9652</v>
      </c>
      <c r="R276" s="144" t="n">
        <f aca="false">O276+L276+I276</f>
        <v>0</v>
      </c>
      <c r="S276" s="145"/>
      <c r="T276" s="71" t="n">
        <f aca="false">A277-A276</f>
        <v>30</v>
      </c>
      <c r="U276" s="146" t="n">
        <f aca="false">CHOOSE(F$3,A277+24,A276)</f>
        <v>45132</v>
      </c>
      <c r="V276" s="71" t="n">
        <f aca="false">U276-C$3</f>
        <v>8244</v>
      </c>
      <c r="W276" s="142" t="n">
        <f aca="false">VLOOKUP($A276,Table,MATCH(W$4,Curves,0))</f>
        <v>0.058966861357273</v>
      </c>
      <c r="X276" s="147" t="n">
        <f aca="false">1/(1+CHOOSE(F$3,(W277+($K$3/10000))/2,(W276+($K$3/10000))/2))^(2*V276/365.25)</f>
        <v>0.269364767680073</v>
      </c>
      <c r="Y276" s="71" t="n">
        <f aca="false">IF(AND(mthbeg&lt;=A276,mthend&gt;=A276),1,0)</f>
        <v>0</v>
      </c>
      <c r="Z276" s="71" t="n">
        <f aca="false">T276*Y276</f>
        <v>0</v>
      </c>
      <c r="AB276" s="132" t="n">
        <f aca="false">F276*G276</f>
        <v>0</v>
      </c>
      <c r="AC276" s="132" t="n">
        <f aca="false">$F276*H276</f>
        <v>0</v>
      </c>
      <c r="AD276" s="132" t="n">
        <f aca="false">$F276*I276</f>
        <v>0</v>
      </c>
      <c r="AE276" s="132" t="n">
        <f aca="false">$F276*J276</f>
        <v>-0</v>
      </c>
      <c r="AF276" s="132" t="n">
        <f aca="false">$F276*K276</f>
        <v>-0</v>
      </c>
      <c r="AG276" s="132" t="n">
        <f aca="false">$F276*L276</f>
        <v>0</v>
      </c>
      <c r="AH276" s="132" t="n">
        <f aca="false">$F276*M276</f>
        <v>0</v>
      </c>
      <c r="AI276" s="132" t="n">
        <f aca="false">$F276*N276</f>
        <v>0</v>
      </c>
      <c r="AJ276" s="132" t="n">
        <f aca="false">F276*O276</f>
        <v>0</v>
      </c>
      <c r="AK276" s="137"/>
      <c r="AL276" s="132" t="n">
        <f aca="false">CHOOSE($G$3,AC276-AD276,AD276-AC276)</f>
        <v>0</v>
      </c>
      <c r="AM276" s="132" t="n">
        <f aca="false">CHOOSE($G$3,AF276-AG276,AG276-AF276)</f>
        <v>0</v>
      </c>
      <c r="AN276" s="132" t="n">
        <f aca="false">CHOOSE($G$3,AI276-AJ276,AJ276-AI276)</f>
        <v>0</v>
      </c>
      <c r="AO276" s="148" t="n">
        <f aca="false">SUM(AL276:AN276)</f>
        <v>0</v>
      </c>
      <c r="AQ276" s="132" t="n">
        <f aca="false">CHOOSE($G$3,AB276-AC276,AC276-AB276)</f>
        <v>0</v>
      </c>
      <c r="AR276" s="132" t="n">
        <f aca="false">CHOOSE($G$3,AE276-AF276,AF276-AE276)</f>
        <v>0</v>
      </c>
      <c r="AS276" s="132" t="n">
        <f aca="false">CHOOSE($G$3,AH276-AI276,AI276-AH276)</f>
        <v>0</v>
      </c>
      <c r="AT276" s="148" t="n">
        <f aca="false">AQ276+AR276+AS276</f>
        <v>0</v>
      </c>
      <c r="AU276" s="148"/>
      <c r="AV276" s="133" t="n">
        <f aca="false">AT276+AO276</f>
        <v>0</v>
      </c>
      <c r="AX276" s="133" t="n">
        <f aca="false">AJ276+AG276+AD276</f>
        <v>0</v>
      </c>
      <c r="AY276" s="149"/>
      <c r="AZ276" s="76" t="n">
        <f aca="false">R276*E276</f>
        <v>0</v>
      </c>
    </row>
    <row r="277" customFormat="false" ht="12" hidden="false" customHeight="true" outlineLevel="0" collapsed="false">
      <c r="A277" s="138" t="n">
        <f aca="false">EDATE(A276,1)</f>
        <v>45108</v>
      </c>
      <c r="B277" s="139" t="n">
        <f aca="false">VLOOKUP($A277,Table2,MATCH(I$3,Curves2,0))</f>
        <v>0</v>
      </c>
      <c r="C277" s="140"/>
      <c r="D277" s="141" t="n">
        <f aca="false">B277+C277</f>
        <v>0</v>
      </c>
      <c r="E277" s="126" t="n">
        <f aca="false">IF(Y277=0,0,IF(AND(Y277=1,$H$3=1),D277*T277,IF($H$3=2,D277,"N/A")))</f>
        <v>0</v>
      </c>
      <c r="F277" s="126" t="n">
        <f aca="false">E277*X277</f>
        <v>0</v>
      </c>
      <c r="G277" s="142" t="n">
        <f aca="false">VLOOKUP($A277,Table,MATCH(G$4,Curves,0))</f>
        <v>3.987</v>
      </c>
      <c r="H277" s="143" t="n">
        <f aca="false">G277</f>
        <v>3.987</v>
      </c>
      <c r="I277" s="142" t="n">
        <f aca="false">VLOOKUP($A277,Table1,MATCH(I$3,Curves1,0))</f>
        <v>0</v>
      </c>
      <c r="J277" s="142" t="n">
        <f aca="false">VLOOKUP($A277,Table,MATCH(J$4,Curves,0))</f>
        <v>-0.0305</v>
      </c>
      <c r="K277" s="143" t="n">
        <f aca="false">J277</f>
        <v>-0.0305</v>
      </c>
      <c r="L277" s="144" t="n">
        <v>0</v>
      </c>
      <c r="M277" s="142" t="n">
        <f aca="false">VLOOKUP($A277,Table,MATCH(M$4,Curves,0))</f>
        <v>0.0087</v>
      </c>
      <c r="N277" s="143" t="n">
        <f aca="false">M277</f>
        <v>0.0087</v>
      </c>
      <c r="O277" s="144" t="n">
        <v>0</v>
      </c>
      <c r="P277" s="145"/>
      <c r="Q277" s="144" t="n">
        <f aca="false">M277+J277+G277</f>
        <v>3.9652</v>
      </c>
      <c r="R277" s="144" t="n">
        <f aca="false">O277+L277+I277</f>
        <v>0</v>
      </c>
      <c r="S277" s="145"/>
      <c r="T277" s="71" t="n">
        <f aca="false">A278-A277</f>
        <v>31</v>
      </c>
      <c r="U277" s="146" t="n">
        <f aca="false">CHOOSE(F$3,A278+24,A277)</f>
        <v>45163</v>
      </c>
      <c r="V277" s="71" t="n">
        <f aca="false">U277-C$3</f>
        <v>8275</v>
      </c>
      <c r="W277" s="142" t="n">
        <f aca="false">VLOOKUP($A277,Table,MATCH(W$4,Curves,0))</f>
        <v>0.058966861357273</v>
      </c>
      <c r="X277" s="147" t="n">
        <f aca="false">1/(1+CHOOSE(F$3,(W278+($K$3/10000))/2,(W277+($K$3/10000))/2))^(2*V277/365.25)</f>
        <v>0.268039435615552</v>
      </c>
      <c r="Y277" s="71" t="n">
        <f aca="false">IF(AND(mthbeg&lt;=A277,mthend&gt;=A277),1,0)</f>
        <v>0</v>
      </c>
      <c r="Z277" s="71" t="n">
        <f aca="false">T277*Y277</f>
        <v>0</v>
      </c>
      <c r="AB277" s="132" t="n">
        <f aca="false">F277*G277</f>
        <v>0</v>
      </c>
      <c r="AC277" s="132" t="n">
        <f aca="false">$F277*H277</f>
        <v>0</v>
      </c>
      <c r="AD277" s="132" t="n">
        <f aca="false">$F277*I277</f>
        <v>0</v>
      </c>
      <c r="AE277" s="132" t="n">
        <f aca="false">$F277*J277</f>
        <v>-0</v>
      </c>
      <c r="AF277" s="132" t="n">
        <f aca="false">$F277*K277</f>
        <v>-0</v>
      </c>
      <c r="AG277" s="132" t="n">
        <f aca="false">$F277*L277</f>
        <v>0</v>
      </c>
      <c r="AH277" s="132" t="n">
        <f aca="false">$F277*M277</f>
        <v>0</v>
      </c>
      <c r="AI277" s="132" t="n">
        <f aca="false">$F277*N277</f>
        <v>0</v>
      </c>
      <c r="AJ277" s="132" t="n">
        <f aca="false">F277*O277</f>
        <v>0</v>
      </c>
      <c r="AK277" s="137"/>
      <c r="AL277" s="132" t="n">
        <f aca="false">CHOOSE($G$3,AC277-AD277,AD277-AC277)</f>
        <v>0</v>
      </c>
      <c r="AM277" s="132" t="n">
        <f aca="false">CHOOSE($G$3,AF277-AG277,AG277-AF277)</f>
        <v>0</v>
      </c>
      <c r="AN277" s="132" t="n">
        <f aca="false">CHOOSE($G$3,AI277-AJ277,AJ277-AI277)</f>
        <v>0</v>
      </c>
      <c r="AO277" s="148" t="n">
        <f aca="false">SUM(AL277:AN277)</f>
        <v>0</v>
      </c>
      <c r="AQ277" s="132" t="n">
        <f aca="false">CHOOSE($G$3,AB277-AC277,AC277-AB277)</f>
        <v>0</v>
      </c>
      <c r="AR277" s="132" t="n">
        <f aca="false">CHOOSE($G$3,AE277-AF277,AF277-AE277)</f>
        <v>0</v>
      </c>
      <c r="AS277" s="132" t="n">
        <f aca="false">CHOOSE($G$3,AH277-AI277,AI277-AH277)</f>
        <v>0</v>
      </c>
      <c r="AT277" s="148" t="n">
        <f aca="false">AQ277+AR277+AS277</f>
        <v>0</v>
      </c>
      <c r="AU277" s="148"/>
      <c r="AV277" s="133" t="n">
        <f aca="false">AT277+AO277</f>
        <v>0</v>
      </c>
      <c r="AX277" s="133" t="n">
        <f aca="false">AJ277+AG277+AD277</f>
        <v>0</v>
      </c>
      <c r="AY277" s="149"/>
      <c r="AZ277" s="76" t="n">
        <f aca="false">R277*E277</f>
        <v>0</v>
      </c>
    </row>
    <row r="278" customFormat="false" ht="12" hidden="false" customHeight="true" outlineLevel="0" collapsed="false">
      <c r="A278" s="138" t="n">
        <f aca="false">EDATE(A277,1)</f>
        <v>45139</v>
      </c>
      <c r="B278" s="139" t="n">
        <f aca="false">VLOOKUP($A278,Table2,MATCH(I$3,Curves2,0))</f>
        <v>0</v>
      </c>
      <c r="C278" s="140"/>
      <c r="D278" s="141" t="n">
        <f aca="false">B278+C278</f>
        <v>0</v>
      </c>
      <c r="E278" s="126" t="n">
        <f aca="false">IF(Y278=0,0,IF(AND(Y278=1,$H$3=1),D278*T278,IF($H$3=2,D278,"N/A")))</f>
        <v>0</v>
      </c>
      <c r="F278" s="126" t="n">
        <f aca="false">E278*X278</f>
        <v>0</v>
      </c>
      <c r="G278" s="142" t="n">
        <f aca="false">VLOOKUP($A278,Table,MATCH(G$4,Curves,0))</f>
        <v>3.987</v>
      </c>
      <c r="H278" s="143" t="n">
        <f aca="false">G278</f>
        <v>3.987</v>
      </c>
      <c r="I278" s="142" t="n">
        <f aca="false">VLOOKUP($A278,Table1,MATCH(I$3,Curves1,0))</f>
        <v>0</v>
      </c>
      <c r="J278" s="142" t="n">
        <f aca="false">VLOOKUP($A278,Table,MATCH(J$4,Curves,0))</f>
        <v>-0.0305</v>
      </c>
      <c r="K278" s="143" t="n">
        <f aca="false">J278</f>
        <v>-0.0305</v>
      </c>
      <c r="L278" s="144" t="n">
        <v>0</v>
      </c>
      <c r="M278" s="142" t="n">
        <f aca="false">VLOOKUP($A278,Table,MATCH(M$4,Curves,0))</f>
        <v>0.0087</v>
      </c>
      <c r="N278" s="143" t="n">
        <f aca="false">M278</f>
        <v>0.0087</v>
      </c>
      <c r="O278" s="144" t="n">
        <v>0</v>
      </c>
      <c r="P278" s="145"/>
      <c r="Q278" s="144" t="n">
        <f aca="false">M278+J278+G278</f>
        <v>3.9652</v>
      </c>
      <c r="R278" s="144" t="n">
        <f aca="false">O278+L278+I278</f>
        <v>0</v>
      </c>
      <c r="S278" s="145"/>
      <c r="T278" s="71" t="n">
        <f aca="false">A279-A278</f>
        <v>31</v>
      </c>
      <c r="U278" s="146" t="n">
        <f aca="false">CHOOSE(F$3,A279+24,A278)</f>
        <v>45194</v>
      </c>
      <c r="V278" s="71" t="n">
        <f aca="false">U278-C$3</f>
        <v>8306</v>
      </c>
      <c r="W278" s="142" t="n">
        <f aca="false">VLOOKUP($A278,Table,MATCH(W$4,Curves,0))</f>
        <v>0.058966861357273</v>
      </c>
      <c r="X278" s="147" t="n">
        <f aca="false">1/(1+CHOOSE(F$3,(W279+($K$3/10000))/2,(W278+($K$3/10000))/2))^(2*V278/365.25)</f>
        <v>0.266720624467246</v>
      </c>
      <c r="Y278" s="71" t="n">
        <f aca="false">IF(AND(mthbeg&lt;=A278,mthend&gt;=A278),1,0)</f>
        <v>0</v>
      </c>
      <c r="Z278" s="71" t="n">
        <f aca="false">T278*Y278</f>
        <v>0</v>
      </c>
      <c r="AB278" s="132" t="n">
        <f aca="false">F278*G278</f>
        <v>0</v>
      </c>
      <c r="AC278" s="132" t="n">
        <f aca="false">$F278*H278</f>
        <v>0</v>
      </c>
      <c r="AD278" s="132" t="n">
        <f aca="false">$F278*I278</f>
        <v>0</v>
      </c>
      <c r="AE278" s="132" t="n">
        <f aca="false">$F278*J278</f>
        <v>-0</v>
      </c>
      <c r="AF278" s="132" t="n">
        <f aca="false">$F278*K278</f>
        <v>-0</v>
      </c>
      <c r="AG278" s="132" t="n">
        <f aca="false">$F278*L278</f>
        <v>0</v>
      </c>
      <c r="AH278" s="132" t="n">
        <f aca="false">$F278*M278</f>
        <v>0</v>
      </c>
      <c r="AI278" s="132" t="n">
        <f aca="false">$F278*N278</f>
        <v>0</v>
      </c>
      <c r="AJ278" s="132" t="n">
        <f aca="false">F278*O278</f>
        <v>0</v>
      </c>
      <c r="AK278" s="137"/>
      <c r="AL278" s="132" t="n">
        <f aca="false">CHOOSE($G$3,AC278-AD278,AD278-AC278)</f>
        <v>0</v>
      </c>
      <c r="AM278" s="132" t="n">
        <f aca="false">CHOOSE($G$3,AF278-AG278,AG278-AF278)</f>
        <v>0</v>
      </c>
      <c r="AN278" s="132" t="n">
        <f aca="false">CHOOSE($G$3,AI278-AJ278,AJ278-AI278)</f>
        <v>0</v>
      </c>
      <c r="AO278" s="148" t="n">
        <f aca="false">SUM(AL278:AN278)</f>
        <v>0</v>
      </c>
      <c r="AQ278" s="132" t="n">
        <f aca="false">CHOOSE($G$3,AB278-AC278,AC278-AB278)</f>
        <v>0</v>
      </c>
      <c r="AR278" s="132" t="n">
        <f aca="false">CHOOSE($G$3,AE278-AF278,AF278-AE278)</f>
        <v>0</v>
      </c>
      <c r="AS278" s="132" t="n">
        <f aca="false">CHOOSE($G$3,AH278-AI278,AI278-AH278)</f>
        <v>0</v>
      </c>
      <c r="AT278" s="148" t="n">
        <f aca="false">AQ278+AR278+AS278</f>
        <v>0</v>
      </c>
      <c r="AU278" s="148"/>
      <c r="AV278" s="133" t="n">
        <f aca="false">AT278+AO278</f>
        <v>0</v>
      </c>
      <c r="AX278" s="133" t="n">
        <f aca="false">AJ278+AG278+AD278</f>
        <v>0</v>
      </c>
      <c r="AY278" s="149"/>
      <c r="AZ278" s="76" t="n">
        <f aca="false">R278*E278</f>
        <v>0</v>
      </c>
    </row>
    <row r="279" customFormat="false" ht="12" hidden="false" customHeight="true" outlineLevel="0" collapsed="false">
      <c r="A279" s="138" t="n">
        <f aca="false">EDATE(A278,1)</f>
        <v>45170</v>
      </c>
      <c r="B279" s="139" t="n">
        <f aca="false">VLOOKUP($A279,Table2,MATCH(I$3,Curves2,0))</f>
        <v>0</v>
      </c>
      <c r="C279" s="140"/>
      <c r="D279" s="141" t="n">
        <f aca="false">B279+C279</f>
        <v>0</v>
      </c>
      <c r="E279" s="126" t="n">
        <f aca="false">IF(Y279=0,0,IF(AND(Y279=1,$H$3=1),D279*T279,IF($H$3=2,D279,"N/A")))</f>
        <v>0</v>
      </c>
      <c r="F279" s="126" t="n">
        <f aca="false">E279*X279</f>
        <v>0</v>
      </c>
      <c r="G279" s="142" t="n">
        <f aca="false">VLOOKUP($A279,Table,MATCH(G$4,Curves,0))</f>
        <v>3.987</v>
      </c>
      <c r="H279" s="143" t="n">
        <f aca="false">G279</f>
        <v>3.987</v>
      </c>
      <c r="I279" s="142" t="n">
        <f aca="false">VLOOKUP($A279,Table1,MATCH(I$3,Curves1,0))</f>
        <v>0</v>
      </c>
      <c r="J279" s="142" t="n">
        <f aca="false">VLOOKUP($A279,Table,MATCH(J$4,Curves,0))</f>
        <v>-0.0305</v>
      </c>
      <c r="K279" s="143" t="n">
        <f aca="false">J279</f>
        <v>-0.0305</v>
      </c>
      <c r="L279" s="144" t="n">
        <v>0</v>
      </c>
      <c r="M279" s="142" t="n">
        <f aca="false">VLOOKUP($A279,Table,MATCH(M$4,Curves,0))</f>
        <v>0.0087</v>
      </c>
      <c r="N279" s="143" t="n">
        <f aca="false">M279</f>
        <v>0.0087</v>
      </c>
      <c r="O279" s="144" t="n">
        <v>0</v>
      </c>
      <c r="P279" s="145"/>
      <c r="Q279" s="144" t="n">
        <f aca="false">M279+J279+G279</f>
        <v>3.9652</v>
      </c>
      <c r="R279" s="144" t="n">
        <f aca="false">O279+L279+I279</f>
        <v>0</v>
      </c>
      <c r="S279" s="145"/>
      <c r="T279" s="71" t="n">
        <f aca="false">A280-A279</f>
        <v>30</v>
      </c>
      <c r="U279" s="146" t="n">
        <f aca="false">CHOOSE(F$3,A280+24,A279)</f>
        <v>45224</v>
      </c>
      <c r="V279" s="71" t="n">
        <f aca="false">U279-C$3</f>
        <v>8336</v>
      </c>
      <c r="W279" s="142" t="n">
        <f aca="false">VLOOKUP($A279,Table,MATCH(W$4,Curves,0))</f>
        <v>0.058966861357273</v>
      </c>
      <c r="X279" s="147" t="n">
        <f aca="false">1/(1+CHOOSE(F$3,(W280+($K$3/10000))/2,(W279+($K$3/10000))/2))^(2*V279/365.25)</f>
        <v>0.265450534173588</v>
      </c>
      <c r="Y279" s="71" t="n">
        <f aca="false">IF(AND(mthbeg&lt;=A279,mthend&gt;=A279),1,0)</f>
        <v>0</v>
      </c>
      <c r="Z279" s="71" t="n">
        <f aca="false">T279*Y279</f>
        <v>0</v>
      </c>
      <c r="AB279" s="132" t="n">
        <f aca="false">F279*G279</f>
        <v>0</v>
      </c>
      <c r="AC279" s="132" t="n">
        <f aca="false">$F279*H279</f>
        <v>0</v>
      </c>
      <c r="AD279" s="132" t="n">
        <f aca="false">$F279*I279</f>
        <v>0</v>
      </c>
      <c r="AE279" s="132" t="n">
        <f aca="false">$F279*J279</f>
        <v>-0</v>
      </c>
      <c r="AF279" s="132" t="n">
        <f aca="false">$F279*K279</f>
        <v>-0</v>
      </c>
      <c r="AG279" s="132" t="n">
        <f aca="false">$F279*L279</f>
        <v>0</v>
      </c>
      <c r="AH279" s="132" t="n">
        <f aca="false">$F279*M279</f>
        <v>0</v>
      </c>
      <c r="AI279" s="132" t="n">
        <f aca="false">$F279*N279</f>
        <v>0</v>
      </c>
      <c r="AJ279" s="132" t="n">
        <f aca="false">F279*O279</f>
        <v>0</v>
      </c>
      <c r="AK279" s="137"/>
      <c r="AL279" s="132" t="n">
        <f aca="false">CHOOSE($G$3,AC279-AD279,AD279-AC279)</f>
        <v>0</v>
      </c>
      <c r="AM279" s="132" t="n">
        <f aca="false">CHOOSE($G$3,AF279-AG279,AG279-AF279)</f>
        <v>0</v>
      </c>
      <c r="AN279" s="132" t="n">
        <f aca="false">CHOOSE($G$3,AI279-AJ279,AJ279-AI279)</f>
        <v>0</v>
      </c>
      <c r="AO279" s="148" t="n">
        <f aca="false">SUM(AL279:AN279)</f>
        <v>0</v>
      </c>
      <c r="AQ279" s="132" t="n">
        <f aca="false">CHOOSE($G$3,AB279-AC279,AC279-AB279)</f>
        <v>0</v>
      </c>
      <c r="AR279" s="132" t="n">
        <f aca="false">CHOOSE($G$3,AE279-AF279,AF279-AE279)</f>
        <v>0</v>
      </c>
      <c r="AS279" s="132" t="n">
        <f aca="false">CHOOSE($G$3,AH279-AI279,AI279-AH279)</f>
        <v>0</v>
      </c>
      <c r="AT279" s="148" t="n">
        <f aca="false">AQ279+AR279+AS279</f>
        <v>0</v>
      </c>
      <c r="AU279" s="148"/>
      <c r="AV279" s="133" t="n">
        <f aca="false">AT279+AO279</f>
        <v>0</v>
      </c>
      <c r="AX279" s="133" t="n">
        <f aca="false">AJ279+AG279+AD279</f>
        <v>0</v>
      </c>
      <c r="AY279" s="149"/>
      <c r="AZ279" s="76" t="n">
        <f aca="false">R279*E279</f>
        <v>0</v>
      </c>
    </row>
    <row r="280" customFormat="false" ht="12" hidden="false" customHeight="true" outlineLevel="0" collapsed="false">
      <c r="A280" s="138" t="n">
        <f aca="false">EDATE(A279,1)</f>
        <v>45200</v>
      </c>
      <c r="B280" s="139" t="n">
        <f aca="false">VLOOKUP($A280,Table2,MATCH(I$3,Curves2,0))</f>
        <v>0</v>
      </c>
      <c r="C280" s="140"/>
      <c r="D280" s="141" t="n">
        <f aca="false">B280+C280</f>
        <v>0</v>
      </c>
      <c r="E280" s="126" t="n">
        <f aca="false">IF(Y280=0,0,IF(AND(Y280=1,$H$3=1),D280*T280,IF($H$3=2,D280,"N/A")))</f>
        <v>0</v>
      </c>
      <c r="F280" s="126" t="n">
        <f aca="false">E280*X280</f>
        <v>0</v>
      </c>
      <c r="G280" s="142" t="n">
        <f aca="false">VLOOKUP($A280,Table,MATCH(G$4,Curves,0))</f>
        <v>3.987</v>
      </c>
      <c r="H280" s="143" t="n">
        <f aca="false">G280</f>
        <v>3.987</v>
      </c>
      <c r="I280" s="142" t="n">
        <f aca="false">VLOOKUP($A280,Table1,MATCH(I$3,Curves1,0))</f>
        <v>0</v>
      </c>
      <c r="J280" s="142" t="n">
        <f aca="false">VLOOKUP($A280,Table,MATCH(J$4,Curves,0))</f>
        <v>-0.0305</v>
      </c>
      <c r="K280" s="143" t="n">
        <f aca="false">J280</f>
        <v>-0.0305</v>
      </c>
      <c r="L280" s="144" t="n">
        <v>0</v>
      </c>
      <c r="M280" s="142" t="n">
        <f aca="false">VLOOKUP($A280,Table,MATCH(M$4,Curves,0))</f>
        <v>0.0087</v>
      </c>
      <c r="N280" s="143" t="n">
        <f aca="false">M280</f>
        <v>0.0087</v>
      </c>
      <c r="O280" s="144" t="n">
        <v>0</v>
      </c>
      <c r="P280" s="145"/>
      <c r="Q280" s="144" t="n">
        <f aca="false">M280+J280+G280</f>
        <v>3.9652</v>
      </c>
      <c r="R280" s="144" t="n">
        <f aca="false">O280+L280+I280</f>
        <v>0</v>
      </c>
      <c r="S280" s="145"/>
      <c r="T280" s="71" t="n">
        <f aca="false">A281-A280</f>
        <v>31</v>
      </c>
      <c r="U280" s="146" t="n">
        <f aca="false">CHOOSE(F$3,A281+24,A280)</f>
        <v>45255</v>
      </c>
      <c r="V280" s="71" t="n">
        <f aca="false">U280-C$3</f>
        <v>8367</v>
      </c>
      <c r="W280" s="142" t="n">
        <f aca="false">VLOOKUP($A280,Table,MATCH(W$4,Curves,0))</f>
        <v>0.058966861357273</v>
      </c>
      <c r="X280" s="147" t="n">
        <f aca="false">1/(1+CHOOSE(F$3,(W281+($K$3/10000))/2,(W280+($K$3/10000))/2))^(2*V280/365.25)</f>
        <v>0.264144460972127</v>
      </c>
      <c r="Y280" s="71" t="n">
        <f aca="false">IF(AND(mthbeg&lt;=A280,mthend&gt;=A280),1,0)</f>
        <v>0</v>
      </c>
      <c r="Z280" s="71" t="n">
        <f aca="false">T280*Y280</f>
        <v>0</v>
      </c>
      <c r="AB280" s="132" t="n">
        <f aca="false">F280*G280</f>
        <v>0</v>
      </c>
      <c r="AC280" s="132" t="n">
        <f aca="false">$F280*H280</f>
        <v>0</v>
      </c>
      <c r="AD280" s="132" t="n">
        <f aca="false">$F280*I280</f>
        <v>0</v>
      </c>
      <c r="AE280" s="132" t="n">
        <f aca="false">$F280*J280</f>
        <v>-0</v>
      </c>
      <c r="AF280" s="132" t="n">
        <f aca="false">$F280*K280</f>
        <v>-0</v>
      </c>
      <c r="AG280" s="132" t="n">
        <f aca="false">$F280*L280</f>
        <v>0</v>
      </c>
      <c r="AH280" s="132" t="n">
        <f aca="false">$F280*M280</f>
        <v>0</v>
      </c>
      <c r="AI280" s="132" t="n">
        <f aca="false">$F280*N280</f>
        <v>0</v>
      </c>
      <c r="AJ280" s="132" t="n">
        <f aca="false">F280*O280</f>
        <v>0</v>
      </c>
      <c r="AK280" s="137"/>
      <c r="AL280" s="132" t="n">
        <f aca="false">CHOOSE($G$3,AC280-AD280,AD280-AC280)</f>
        <v>0</v>
      </c>
      <c r="AM280" s="132" t="n">
        <f aca="false">CHOOSE($G$3,AF280-AG280,AG280-AF280)</f>
        <v>0</v>
      </c>
      <c r="AN280" s="132" t="n">
        <f aca="false">CHOOSE($G$3,AI280-AJ280,AJ280-AI280)</f>
        <v>0</v>
      </c>
      <c r="AO280" s="148" t="n">
        <f aca="false">SUM(AL280:AN280)</f>
        <v>0</v>
      </c>
      <c r="AQ280" s="132" t="n">
        <f aca="false">CHOOSE($G$3,AB280-AC280,AC280-AB280)</f>
        <v>0</v>
      </c>
      <c r="AR280" s="132" t="n">
        <f aca="false">CHOOSE($G$3,AE280-AF280,AF280-AE280)</f>
        <v>0</v>
      </c>
      <c r="AS280" s="132" t="n">
        <f aca="false">CHOOSE($G$3,AH280-AI280,AI280-AH280)</f>
        <v>0</v>
      </c>
      <c r="AT280" s="148" t="n">
        <f aca="false">AQ280+AR280+AS280</f>
        <v>0</v>
      </c>
      <c r="AU280" s="148"/>
      <c r="AV280" s="133" t="n">
        <f aca="false">AT280+AO280</f>
        <v>0</v>
      </c>
      <c r="AX280" s="133" t="n">
        <f aca="false">AJ280+AG280+AD280</f>
        <v>0</v>
      </c>
      <c r="AY280" s="149"/>
      <c r="AZ280" s="76" t="n">
        <f aca="false">R280*E280</f>
        <v>0</v>
      </c>
    </row>
    <row r="281" customFormat="false" ht="12" hidden="false" customHeight="true" outlineLevel="0" collapsed="false">
      <c r="A281" s="138" t="n">
        <f aca="false">EDATE(A280,1)</f>
        <v>45231</v>
      </c>
      <c r="B281" s="139" t="n">
        <f aca="false">VLOOKUP($A281,Table2,MATCH(I$3,Curves2,0))</f>
        <v>0</v>
      </c>
      <c r="C281" s="140"/>
      <c r="D281" s="141" t="n">
        <f aca="false">B281+C281</f>
        <v>0</v>
      </c>
      <c r="E281" s="126" t="n">
        <f aca="false">IF(Y281=0,0,IF(AND(Y281=1,$H$3=1),D281*T281,IF($H$3=2,D281,"N/A")))</f>
        <v>0</v>
      </c>
      <c r="F281" s="126" t="n">
        <f aca="false">E281*X281</f>
        <v>0</v>
      </c>
      <c r="G281" s="142" t="n">
        <f aca="false">VLOOKUP($A281,Table,MATCH(G$4,Curves,0))</f>
        <v>3.987</v>
      </c>
      <c r="H281" s="143" t="n">
        <f aca="false">G281</f>
        <v>3.987</v>
      </c>
      <c r="I281" s="142" t="n">
        <f aca="false">VLOOKUP($A281,Table1,MATCH(I$3,Curves1,0))</f>
        <v>0</v>
      </c>
      <c r="J281" s="142" t="n">
        <f aca="false">VLOOKUP($A281,Table,MATCH(J$4,Curves,0))</f>
        <v>-0.0305</v>
      </c>
      <c r="K281" s="143" t="n">
        <f aca="false">J281</f>
        <v>-0.0305</v>
      </c>
      <c r="L281" s="144" t="n">
        <v>0</v>
      </c>
      <c r="M281" s="142" t="n">
        <f aca="false">VLOOKUP($A281,Table,MATCH(M$4,Curves,0))</f>
        <v>0.0087</v>
      </c>
      <c r="N281" s="143" t="n">
        <f aca="false">M281</f>
        <v>0.0087</v>
      </c>
      <c r="O281" s="144" t="n">
        <v>0</v>
      </c>
      <c r="P281" s="145"/>
      <c r="Q281" s="144" t="n">
        <f aca="false">M281+J281+G281</f>
        <v>3.9652</v>
      </c>
      <c r="R281" s="144" t="n">
        <f aca="false">O281+L281+I281</f>
        <v>0</v>
      </c>
      <c r="S281" s="145"/>
      <c r="T281" s="71" t="n">
        <f aca="false">A282-A281</f>
        <v>30</v>
      </c>
      <c r="U281" s="146" t="n">
        <f aca="false">CHOOSE(F$3,A282+24,A281)</f>
        <v>45285</v>
      </c>
      <c r="V281" s="71" t="n">
        <f aca="false">U281-C$3</f>
        <v>8397</v>
      </c>
      <c r="W281" s="142" t="n">
        <f aca="false">VLOOKUP($A281,Table,MATCH(W$4,Curves,0))</f>
        <v>0.058966861357273</v>
      </c>
      <c r="X281" s="147" t="n">
        <f aca="false">1/(1+CHOOSE(F$3,(W282+($K$3/10000))/2,(W281+($K$3/10000))/2))^(2*V281/365.25)</f>
        <v>0.262886638047206</v>
      </c>
      <c r="Y281" s="71" t="n">
        <f aca="false">IF(AND(mthbeg&lt;=A281,mthend&gt;=A281),1,0)</f>
        <v>0</v>
      </c>
      <c r="Z281" s="71" t="n">
        <f aca="false">T281*Y281</f>
        <v>0</v>
      </c>
      <c r="AB281" s="132" t="n">
        <f aca="false">F281*G281</f>
        <v>0</v>
      </c>
      <c r="AC281" s="132" t="n">
        <f aca="false">$F281*H281</f>
        <v>0</v>
      </c>
      <c r="AD281" s="132" t="n">
        <f aca="false">$F281*I281</f>
        <v>0</v>
      </c>
      <c r="AE281" s="132" t="n">
        <f aca="false">$F281*J281</f>
        <v>-0</v>
      </c>
      <c r="AF281" s="132" t="n">
        <f aca="false">$F281*K281</f>
        <v>-0</v>
      </c>
      <c r="AG281" s="132" t="n">
        <f aca="false">$F281*L281</f>
        <v>0</v>
      </c>
      <c r="AH281" s="132" t="n">
        <f aca="false">$F281*M281</f>
        <v>0</v>
      </c>
      <c r="AI281" s="132" t="n">
        <f aca="false">$F281*N281</f>
        <v>0</v>
      </c>
      <c r="AJ281" s="132" t="n">
        <f aca="false">F281*O281</f>
        <v>0</v>
      </c>
      <c r="AK281" s="137"/>
      <c r="AL281" s="132" t="n">
        <f aca="false">CHOOSE($G$3,AC281-AD281,AD281-AC281)</f>
        <v>0</v>
      </c>
      <c r="AM281" s="132" t="n">
        <f aca="false">CHOOSE($G$3,AF281-AG281,AG281-AF281)</f>
        <v>0</v>
      </c>
      <c r="AN281" s="132" t="n">
        <f aca="false">CHOOSE($G$3,AI281-AJ281,AJ281-AI281)</f>
        <v>0</v>
      </c>
      <c r="AO281" s="148" t="n">
        <f aca="false">SUM(AL281:AN281)</f>
        <v>0</v>
      </c>
      <c r="AQ281" s="132" t="n">
        <f aca="false">CHOOSE($G$3,AB281-AC281,AC281-AB281)</f>
        <v>0</v>
      </c>
      <c r="AR281" s="132" t="n">
        <f aca="false">CHOOSE($G$3,AE281-AF281,AF281-AE281)</f>
        <v>0</v>
      </c>
      <c r="AS281" s="132" t="n">
        <f aca="false">CHOOSE($G$3,AH281-AI281,AI281-AH281)</f>
        <v>0</v>
      </c>
      <c r="AT281" s="148" t="n">
        <f aca="false">AQ281+AR281+AS281</f>
        <v>0</v>
      </c>
      <c r="AU281" s="148"/>
      <c r="AV281" s="133" t="n">
        <f aca="false">AT281+AO281</f>
        <v>0</v>
      </c>
      <c r="AX281" s="133" t="n">
        <f aca="false">AJ281+AG281+AD281</f>
        <v>0</v>
      </c>
      <c r="AY281" s="149"/>
      <c r="AZ281" s="76" t="n">
        <f aca="false">R281*E281</f>
        <v>0</v>
      </c>
    </row>
    <row r="282" customFormat="false" ht="12" hidden="false" customHeight="true" outlineLevel="0" collapsed="false">
      <c r="A282" s="138" t="n">
        <f aca="false">EDATE(A281,1)</f>
        <v>45261</v>
      </c>
      <c r="B282" s="139" t="n">
        <f aca="false">VLOOKUP($A282,Table2,MATCH(I$3,Curves2,0))</f>
        <v>0</v>
      </c>
      <c r="C282" s="140"/>
      <c r="D282" s="141" t="n">
        <f aca="false">B282+C282</f>
        <v>0</v>
      </c>
      <c r="E282" s="126" t="n">
        <f aca="false">IF(Y282=0,0,IF(AND(Y282=1,$H$3=1),D282*T282,IF($H$3=2,D282,"N/A")))</f>
        <v>0</v>
      </c>
      <c r="F282" s="126" t="n">
        <f aca="false">E282*X282</f>
        <v>0</v>
      </c>
      <c r="G282" s="142" t="n">
        <f aca="false">VLOOKUP($A282,Table,MATCH(G$4,Curves,0))</f>
        <v>3.987</v>
      </c>
      <c r="H282" s="143" t="n">
        <f aca="false">G282</f>
        <v>3.987</v>
      </c>
      <c r="I282" s="142" t="n">
        <f aca="false">VLOOKUP($A282,Table1,MATCH(I$3,Curves1,0))</f>
        <v>0</v>
      </c>
      <c r="J282" s="142" t="n">
        <f aca="false">VLOOKUP($A282,Table,MATCH(J$4,Curves,0))</f>
        <v>-0.0305</v>
      </c>
      <c r="K282" s="143" t="n">
        <f aca="false">J282</f>
        <v>-0.0305</v>
      </c>
      <c r="L282" s="144" t="n">
        <v>0</v>
      </c>
      <c r="M282" s="142" t="n">
        <f aca="false">VLOOKUP($A282,Table,MATCH(M$4,Curves,0))</f>
        <v>0.0087</v>
      </c>
      <c r="N282" s="143" t="n">
        <f aca="false">M282</f>
        <v>0.0087</v>
      </c>
      <c r="O282" s="144" t="n">
        <v>0</v>
      </c>
      <c r="P282" s="145"/>
      <c r="Q282" s="144" t="n">
        <f aca="false">M282+J282+G282</f>
        <v>3.9652</v>
      </c>
      <c r="R282" s="144" t="n">
        <f aca="false">O282+L282+I282</f>
        <v>0</v>
      </c>
      <c r="S282" s="145"/>
      <c r="T282" s="71" t="n">
        <f aca="false">A283-A282</f>
        <v>31</v>
      </c>
      <c r="U282" s="146" t="n">
        <f aca="false">CHOOSE(F$3,A283+24,A282)</f>
        <v>45316</v>
      </c>
      <c r="V282" s="71" t="n">
        <f aca="false">U282-C$3</f>
        <v>8428</v>
      </c>
      <c r="W282" s="142" t="n">
        <f aca="false">VLOOKUP($A282,Table,MATCH(W$4,Curves,0))</f>
        <v>0.058966861357273</v>
      </c>
      <c r="X282" s="147" t="n">
        <f aca="false">1/(1+CHOOSE(F$3,(W283+($K$3/10000))/2,(W282+($K$3/10000))/2))^(2*V282/365.25)</f>
        <v>0.26159317976111</v>
      </c>
      <c r="Y282" s="71" t="n">
        <f aca="false">IF(AND(mthbeg&lt;=A282,mthend&gt;=A282),1,0)</f>
        <v>0</v>
      </c>
      <c r="Z282" s="71" t="n">
        <f aca="false">T282*Y282</f>
        <v>0</v>
      </c>
      <c r="AB282" s="132" t="n">
        <f aca="false">F282*G282</f>
        <v>0</v>
      </c>
      <c r="AC282" s="132" t="n">
        <f aca="false">$F282*H282</f>
        <v>0</v>
      </c>
      <c r="AD282" s="132" t="n">
        <f aca="false">$F282*I282</f>
        <v>0</v>
      </c>
      <c r="AE282" s="132" t="n">
        <f aca="false">$F282*J282</f>
        <v>-0</v>
      </c>
      <c r="AF282" s="132" t="n">
        <f aca="false">$F282*K282</f>
        <v>-0</v>
      </c>
      <c r="AG282" s="132" t="n">
        <f aca="false">$F282*L282</f>
        <v>0</v>
      </c>
      <c r="AH282" s="132" t="n">
        <f aca="false">$F282*M282</f>
        <v>0</v>
      </c>
      <c r="AI282" s="132" t="n">
        <f aca="false">$F282*N282</f>
        <v>0</v>
      </c>
      <c r="AJ282" s="132" t="n">
        <f aca="false">F282*O282</f>
        <v>0</v>
      </c>
      <c r="AK282" s="137"/>
      <c r="AL282" s="132" t="n">
        <f aca="false">CHOOSE($G$3,AC282-AD282,AD282-AC282)</f>
        <v>0</v>
      </c>
      <c r="AM282" s="132" t="n">
        <f aca="false">CHOOSE($G$3,AF282-AG282,AG282-AF282)</f>
        <v>0</v>
      </c>
      <c r="AN282" s="132" t="n">
        <f aca="false">CHOOSE($G$3,AI282-AJ282,AJ282-AI282)</f>
        <v>0</v>
      </c>
      <c r="AO282" s="148" t="n">
        <f aca="false">SUM(AL282:AN282)</f>
        <v>0</v>
      </c>
      <c r="AQ282" s="132" t="n">
        <f aca="false">CHOOSE($G$3,AB282-AC282,AC282-AB282)</f>
        <v>0</v>
      </c>
      <c r="AR282" s="132" t="n">
        <f aca="false">CHOOSE($G$3,AE282-AF282,AF282-AE282)</f>
        <v>0</v>
      </c>
      <c r="AS282" s="132" t="n">
        <f aca="false">CHOOSE($G$3,AH282-AI282,AI282-AH282)</f>
        <v>0</v>
      </c>
      <c r="AT282" s="148" t="n">
        <f aca="false">AQ282+AR282+AS282</f>
        <v>0</v>
      </c>
      <c r="AU282" s="148"/>
      <c r="AV282" s="133" t="n">
        <f aca="false">AT282+AO282</f>
        <v>0</v>
      </c>
      <c r="AX282" s="133" t="n">
        <f aca="false">AJ282+AG282+AD282</f>
        <v>0</v>
      </c>
      <c r="AY282" s="149"/>
      <c r="AZ282" s="76" t="n">
        <f aca="false">R282*E282</f>
        <v>0</v>
      </c>
    </row>
    <row r="283" customFormat="false" ht="12" hidden="false" customHeight="true" outlineLevel="0" collapsed="false">
      <c r="A283" s="138" t="n">
        <f aca="false">EDATE(A282,1)</f>
        <v>45292</v>
      </c>
      <c r="B283" s="139" t="n">
        <f aca="false">VLOOKUP($A283,Table2,MATCH(I$3,Curves2,0))</f>
        <v>0</v>
      </c>
      <c r="C283" s="140"/>
      <c r="D283" s="141" t="n">
        <f aca="false">B283+C283</f>
        <v>0</v>
      </c>
      <c r="E283" s="126" t="n">
        <f aca="false">IF(Y283=0,0,IF(AND(Y283=1,$H$3=1),D283*T283,IF($H$3=2,D283,"N/A")))</f>
        <v>0</v>
      </c>
      <c r="F283" s="126" t="n">
        <f aca="false">E283*X283</f>
        <v>0</v>
      </c>
      <c r="G283" s="142" t="n">
        <f aca="false">VLOOKUP($A283,Table,MATCH(G$4,Curves,0))</f>
        <v>3.987</v>
      </c>
      <c r="H283" s="143" t="n">
        <f aca="false">G283</f>
        <v>3.987</v>
      </c>
      <c r="I283" s="142" t="n">
        <f aca="false">VLOOKUP($A283,Table1,MATCH(I$3,Curves1,0))</f>
        <v>0</v>
      </c>
      <c r="J283" s="142" t="n">
        <f aca="false">VLOOKUP($A283,Table,MATCH(J$4,Curves,0))</f>
        <v>-0.0305</v>
      </c>
      <c r="K283" s="143" t="n">
        <f aca="false">J283</f>
        <v>-0.0305</v>
      </c>
      <c r="L283" s="144" t="n">
        <v>0</v>
      </c>
      <c r="M283" s="142" t="n">
        <f aca="false">VLOOKUP($A283,Table,MATCH(M$4,Curves,0))</f>
        <v>0.0087</v>
      </c>
      <c r="N283" s="143" t="n">
        <f aca="false">M283</f>
        <v>0.0087</v>
      </c>
      <c r="O283" s="144" t="n">
        <v>0</v>
      </c>
      <c r="P283" s="145"/>
      <c r="Q283" s="144" t="n">
        <f aca="false">M283+J283+G283</f>
        <v>3.9652</v>
      </c>
      <c r="R283" s="144" t="n">
        <f aca="false">O283+L283+I283</f>
        <v>0</v>
      </c>
      <c r="S283" s="145"/>
      <c r="T283" s="71" t="n">
        <f aca="false">A284-A283</f>
        <v>31</v>
      </c>
      <c r="U283" s="146" t="n">
        <f aca="false">CHOOSE(F$3,A284+24,A283)</f>
        <v>45347</v>
      </c>
      <c r="V283" s="71" t="n">
        <f aca="false">U283-C$3</f>
        <v>8459</v>
      </c>
      <c r="W283" s="142" t="n">
        <f aca="false">VLOOKUP($A283,Table,MATCH(W$4,Curves,0))</f>
        <v>0.058966861357273</v>
      </c>
      <c r="X283" s="147" t="n">
        <f aca="false">1/(1+CHOOSE(F$3,(W284+($K$3/10000))/2,(W283+($K$3/10000))/2))^(2*V283/365.25)</f>
        <v>0.260306085565446</v>
      </c>
      <c r="Y283" s="71" t="n">
        <f aca="false">IF(AND(mthbeg&lt;=A283,mthend&gt;=A283),1,0)</f>
        <v>0</v>
      </c>
      <c r="Z283" s="71" t="n">
        <f aca="false">T283*Y283</f>
        <v>0</v>
      </c>
      <c r="AB283" s="132" t="n">
        <f aca="false">F283*G283</f>
        <v>0</v>
      </c>
      <c r="AC283" s="132" t="n">
        <f aca="false">$F283*H283</f>
        <v>0</v>
      </c>
      <c r="AD283" s="132" t="n">
        <f aca="false">$F283*I283</f>
        <v>0</v>
      </c>
      <c r="AE283" s="132" t="n">
        <f aca="false">$F283*J283</f>
        <v>-0</v>
      </c>
      <c r="AF283" s="132" t="n">
        <f aca="false">$F283*K283</f>
        <v>-0</v>
      </c>
      <c r="AG283" s="132" t="n">
        <f aca="false">$F283*L283</f>
        <v>0</v>
      </c>
      <c r="AH283" s="132" t="n">
        <f aca="false">$F283*M283</f>
        <v>0</v>
      </c>
      <c r="AI283" s="132" t="n">
        <f aca="false">$F283*N283</f>
        <v>0</v>
      </c>
      <c r="AJ283" s="132" t="n">
        <f aca="false">F283*O283</f>
        <v>0</v>
      </c>
      <c r="AK283" s="137"/>
      <c r="AL283" s="132" t="n">
        <f aca="false">CHOOSE($G$3,AC283-AD283,AD283-AC283)</f>
        <v>0</v>
      </c>
      <c r="AM283" s="132" t="n">
        <f aca="false">CHOOSE($G$3,AF283-AG283,AG283-AF283)</f>
        <v>0</v>
      </c>
      <c r="AN283" s="132" t="n">
        <f aca="false">CHOOSE($G$3,AI283-AJ283,AJ283-AI283)</f>
        <v>0</v>
      </c>
      <c r="AO283" s="148" t="n">
        <f aca="false">SUM(AL283:AN283)</f>
        <v>0</v>
      </c>
      <c r="AQ283" s="132" t="n">
        <f aca="false">CHOOSE($G$3,AB283-AC283,AC283-AB283)</f>
        <v>0</v>
      </c>
      <c r="AR283" s="132" t="n">
        <f aca="false">CHOOSE($G$3,AE283-AF283,AF283-AE283)</f>
        <v>0</v>
      </c>
      <c r="AS283" s="132" t="n">
        <f aca="false">CHOOSE($G$3,AH283-AI283,AI283-AH283)</f>
        <v>0</v>
      </c>
      <c r="AT283" s="148" t="n">
        <f aca="false">AQ283+AR283+AS283</f>
        <v>0</v>
      </c>
      <c r="AU283" s="148"/>
      <c r="AV283" s="133" t="n">
        <f aca="false">AT283+AO283</f>
        <v>0</v>
      </c>
      <c r="AX283" s="133" t="n">
        <f aca="false">AJ283+AG283+AD283</f>
        <v>0</v>
      </c>
      <c r="AY283" s="149"/>
      <c r="AZ283" s="76" t="n">
        <f aca="false">R283*E283</f>
        <v>0</v>
      </c>
    </row>
    <row r="284" customFormat="false" ht="12" hidden="false" customHeight="true" outlineLevel="0" collapsed="false">
      <c r="A284" s="138" t="n">
        <f aca="false">EDATE(A283,1)</f>
        <v>45323</v>
      </c>
      <c r="B284" s="139" t="n">
        <f aca="false">VLOOKUP($A284,Table2,MATCH(I$3,Curves2,0))</f>
        <v>0</v>
      </c>
      <c r="C284" s="140"/>
      <c r="D284" s="141" t="n">
        <f aca="false">B284+C284</f>
        <v>0</v>
      </c>
      <c r="E284" s="126" t="n">
        <f aca="false">IF(Y284=0,0,IF(AND(Y284=1,$H$3=1),D284*T284,IF($H$3=2,D284,"N/A")))</f>
        <v>0</v>
      </c>
      <c r="F284" s="126" t="n">
        <f aca="false">E284*X284</f>
        <v>0</v>
      </c>
      <c r="G284" s="142" t="n">
        <f aca="false">VLOOKUP($A284,Table,MATCH(G$4,Curves,0))</f>
        <v>3.987</v>
      </c>
      <c r="H284" s="143" t="n">
        <f aca="false">G284</f>
        <v>3.987</v>
      </c>
      <c r="I284" s="142" t="n">
        <f aca="false">VLOOKUP($A284,Table1,MATCH(I$3,Curves1,0))</f>
        <v>0</v>
      </c>
      <c r="J284" s="142" t="n">
        <f aca="false">VLOOKUP($A284,Table,MATCH(J$4,Curves,0))</f>
        <v>-0.0305</v>
      </c>
      <c r="K284" s="143" t="n">
        <f aca="false">J284</f>
        <v>-0.0305</v>
      </c>
      <c r="L284" s="144" t="n">
        <v>0</v>
      </c>
      <c r="M284" s="142" t="n">
        <f aca="false">VLOOKUP($A284,Table,MATCH(M$4,Curves,0))</f>
        <v>0.0087</v>
      </c>
      <c r="N284" s="143" t="n">
        <f aca="false">M284</f>
        <v>0.0087</v>
      </c>
      <c r="O284" s="144" t="n">
        <v>0</v>
      </c>
      <c r="P284" s="145"/>
      <c r="Q284" s="144" t="n">
        <f aca="false">M284+J284+G284</f>
        <v>3.9652</v>
      </c>
      <c r="R284" s="144" t="n">
        <f aca="false">O284+L284+I284</f>
        <v>0</v>
      </c>
      <c r="S284" s="145"/>
      <c r="T284" s="71" t="n">
        <f aca="false">A285-A284</f>
        <v>29</v>
      </c>
      <c r="U284" s="146" t="n">
        <f aca="false">CHOOSE(F$3,A285+24,A284)</f>
        <v>45376</v>
      </c>
      <c r="V284" s="71" t="n">
        <f aca="false">U284-C$3</f>
        <v>8488</v>
      </c>
      <c r="W284" s="142" t="n">
        <f aca="false">VLOOKUP($A284,Table,MATCH(W$4,Curves,0))</f>
        <v>0.058966861357273</v>
      </c>
      <c r="X284" s="147" t="n">
        <f aca="false">1/(1+CHOOSE(F$3,(W285+($K$3/10000))/2,(W284+($K$3/10000))/2))^(2*V284/365.25)</f>
        <v>0.259107763420257</v>
      </c>
      <c r="Y284" s="71" t="n">
        <f aca="false">IF(AND(mthbeg&lt;=A284,mthend&gt;=A284),1,0)</f>
        <v>0</v>
      </c>
      <c r="Z284" s="71" t="n">
        <f aca="false">T284*Y284</f>
        <v>0</v>
      </c>
      <c r="AB284" s="132" t="n">
        <f aca="false">F284*G284</f>
        <v>0</v>
      </c>
      <c r="AC284" s="132" t="n">
        <f aca="false">$F284*H284</f>
        <v>0</v>
      </c>
      <c r="AD284" s="132" t="n">
        <f aca="false">$F284*I284</f>
        <v>0</v>
      </c>
      <c r="AE284" s="132" t="n">
        <f aca="false">$F284*J284</f>
        <v>-0</v>
      </c>
      <c r="AF284" s="132" t="n">
        <f aca="false">$F284*K284</f>
        <v>-0</v>
      </c>
      <c r="AG284" s="132" t="n">
        <f aca="false">$F284*L284</f>
        <v>0</v>
      </c>
      <c r="AH284" s="132" t="n">
        <f aca="false">$F284*M284</f>
        <v>0</v>
      </c>
      <c r="AI284" s="132" t="n">
        <f aca="false">$F284*N284</f>
        <v>0</v>
      </c>
      <c r="AJ284" s="132" t="n">
        <f aca="false">F284*O284</f>
        <v>0</v>
      </c>
      <c r="AK284" s="137"/>
      <c r="AL284" s="132" t="n">
        <f aca="false">CHOOSE($G$3,AC284-AD284,AD284-AC284)</f>
        <v>0</v>
      </c>
      <c r="AM284" s="132" t="n">
        <f aca="false">CHOOSE($G$3,AF284-AG284,AG284-AF284)</f>
        <v>0</v>
      </c>
      <c r="AN284" s="132" t="n">
        <f aca="false">CHOOSE($G$3,AI284-AJ284,AJ284-AI284)</f>
        <v>0</v>
      </c>
      <c r="AO284" s="148" t="n">
        <f aca="false">SUM(AL284:AN284)</f>
        <v>0</v>
      </c>
      <c r="AQ284" s="132" t="n">
        <f aca="false">CHOOSE($G$3,AB284-AC284,AC284-AB284)</f>
        <v>0</v>
      </c>
      <c r="AR284" s="132" t="n">
        <f aca="false">CHOOSE($G$3,AE284-AF284,AF284-AE284)</f>
        <v>0</v>
      </c>
      <c r="AS284" s="132" t="n">
        <f aca="false">CHOOSE($G$3,AH284-AI284,AI284-AH284)</f>
        <v>0</v>
      </c>
      <c r="AT284" s="148" t="n">
        <f aca="false">AQ284+AR284+AS284</f>
        <v>0</v>
      </c>
      <c r="AU284" s="148"/>
      <c r="AV284" s="133" t="n">
        <f aca="false">AT284+AO284</f>
        <v>0</v>
      </c>
      <c r="AX284" s="133" t="n">
        <f aca="false">AJ284+AG284+AD284</f>
        <v>0</v>
      </c>
      <c r="AY284" s="149"/>
      <c r="AZ284" s="76" t="n">
        <f aca="false">R284*E284</f>
        <v>0</v>
      </c>
    </row>
    <row r="285" customFormat="false" ht="12" hidden="false" customHeight="true" outlineLevel="0" collapsed="false">
      <c r="A285" s="138" t="n">
        <f aca="false">EDATE(A284,1)</f>
        <v>45352</v>
      </c>
      <c r="B285" s="139" t="n">
        <f aca="false">VLOOKUP($A285,Table2,MATCH(I$3,Curves2,0))</f>
        <v>0</v>
      </c>
      <c r="C285" s="140"/>
      <c r="D285" s="141" t="n">
        <f aca="false">B285+C285</f>
        <v>0</v>
      </c>
      <c r="E285" s="126" t="n">
        <f aca="false">IF(Y285=0,0,IF(AND(Y285=1,$H$3=1),D285*T285,IF($H$3=2,D285,"N/A")))</f>
        <v>0</v>
      </c>
      <c r="F285" s="126" t="n">
        <f aca="false">E285*X285</f>
        <v>0</v>
      </c>
      <c r="G285" s="142" t="n">
        <f aca="false">VLOOKUP($A285,Table,MATCH(G$4,Curves,0))</f>
        <v>3.987</v>
      </c>
      <c r="H285" s="143" t="n">
        <f aca="false">G285</f>
        <v>3.987</v>
      </c>
      <c r="I285" s="142" t="n">
        <f aca="false">VLOOKUP($A285,Table1,MATCH(I$3,Curves1,0))</f>
        <v>0</v>
      </c>
      <c r="J285" s="142" t="n">
        <f aca="false">VLOOKUP($A285,Table,MATCH(J$4,Curves,0))</f>
        <v>-0.0305</v>
      </c>
      <c r="K285" s="143" t="n">
        <f aca="false">J285</f>
        <v>-0.0305</v>
      </c>
      <c r="L285" s="144" t="n">
        <v>0</v>
      </c>
      <c r="M285" s="142" t="n">
        <f aca="false">VLOOKUP($A285,Table,MATCH(M$4,Curves,0))</f>
        <v>0.0087</v>
      </c>
      <c r="N285" s="143" t="n">
        <f aca="false">M285</f>
        <v>0.0087</v>
      </c>
      <c r="O285" s="144" t="n">
        <v>0</v>
      </c>
      <c r="P285" s="145"/>
      <c r="Q285" s="144" t="n">
        <f aca="false">M285+J285+G285</f>
        <v>3.9652</v>
      </c>
      <c r="R285" s="144" t="n">
        <f aca="false">O285+L285+I285</f>
        <v>0</v>
      </c>
      <c r="S285" s="145"/>
      <c r="T285" s="71" t="n">
        <f aca="false">A286-A285</f>
        <v>31</v>
      </c>
      <c r="U285" s="146" t="n">
        <f aca="false">CHOOSE(F$3,A286+24,A285)</f>
        <v>45407</v>
      </c>
      <c r="V285" s="71" t="n">
        <f aca="false">U285-C$3</f>
        <v>8519</v>
      </c>
      <c r="W285" s="142" t="n">
        <f aca="false">VLOOKUP($A285,Table,MATCH(W$4,Curves,0))</f>
        <v>0.058966861357273</v>
      </c>
      <c r="X285" s="147" t="n">
        <f aca="false">1/(1+CHOOSE(F$3,(W286+($K$3/10000))/2,(W285+($K$3/10000))/2))^(2*V285/365.25)</f>
        <v>0.257832898002687</v>
      </c>
      <c r="Y285" s="71" t="n">
        <f aca="false">IF(AND(mthbeg&lt;=A285,mthend&gt;=A285),1,0)</f>
        <v>0</v>
      </c>
      <c r="Z285" s="71" t="n">
        <f aca="false">T285*Y285</f>
        <v>0</v>
      </c>
      <c r="AB285" s="132" t="n">
        <f aca="false">F285*G285</f>
        <v>0</v>
      </c>
      <c r="AC285" s="132" t="n">
        <f aca="false">$F285*H285</f>
        <v>0</v>
      </c>
      <c r="AD285" s="132" t="n">
        <f aca="false">$F285*I285</f>
        <v>0</v>
      </c>
      <c r="AE285" s="132" t="n">
        <f aca="false">$F285*J285</f>
        <v>-0</v>
      </c>
      <c r="AF285" s="132" t="n">
        <f aca="false">$F285*K285</f>
        <v>-0</v>
      </c>
      <c r="AG285" s="132" t="n">
        <f aca="false">$F285*L285</f>
        <v>0</v>
      </c>
      <c r="AH285" s="132" t="n">
        <f aca="false">$F285*M285</f>
        <v>0</v>
      </c>
      <c r="AI285" s="132" t="n">
        <f aca="false">$F285*N285</f>
        <v>0</v>
      </c>
      <c r="AJ285" s="132" t="n">
        <f aca="false">F285*O285</f>
        <v>0</v>
      </c>
      <c r="AK285" s="137"/>
      <c r="AL285" s="132" t="n">
        <f aca="false">CHOOSE($G$3,AC285-AD285,AD285-AC285)</f>
        <v>0</v>
      </c>
      <c r="AM285" s="132" t="n">
        <f aca="false">CHOOSE($G$3,AF285-AG285,AG285-AF285)</f>
        <v>0</v>
      </c>
      <c r="AN285" s="132" t="n">
        <f aca="false">CHOOSE($G$3,AI285-AJ285,AJ285-AI285)</f>
        <v>0</v>
      </c>
      <c r="AO285" s="148" t="n">
        <f aca="false">SUM(AL285:AN285)</f>
        <v>0</v>
      </c>
      <c r="AQ285" s="132" t="n">
        <f aca="false">CHOOSE($G$3,AB285-AC285,AC285-AB285)</f>
        <v>0</v>
      </c>
      <c r="AR285" s="132" t="n">
        <f aca="false">CHOOSE($G$3,AE285-AF285,AF285-AE285)</f>
        <v>0</v>
      </c>
      <c r="AS285" s="132" t="n">
        <f aca="false">CHOOSE($G$3,AH285-AI285,AI285-AH285)</f>
        <v>0</v>
      </c>
      <c r="AT285" s="148" t="n">
        <f aca="false">AQ285+AR285+AS285</f>
        <v>0</v>
      </c>
      <c r="AU285" s="148"/>
      <c r="AV285" s="133" t="n">
        <f aca="false">AT285+AO285</f>
        <v>0</v>
      </c>
      <c r="AX285" s="133" t="n">
        <f aca="false">AJ285+AG285+AD285</f>
        <v>0</v>
      </c>
      <c r="AY285" s="149"/>
      <c r="AZ285" s="76" t="n">
        <f aca="false">R285*E285</f>
        <v>0</v>
      </c>
    </row>
    <row r="286" customFormat="false" ht="12" hidden="false" customHeight="true" outlineLevel="0" collapsed="false">
      <c r="A286" s="138" t="n">
        <f aca="false">EDATE(A285,1)</f>
        <v>45383</v>
      </c>
      <c r="B286" s="139" t="n">
        <f aca="false">VLOOKUP($A286,Table2,MATCH(I$3,Curves2,0))</f>
        <v>0</v>
      </c>
      <c r="C286" s="140"/>
      <c r="D286" s="141" t="n">
        <f aca="false">B286+C286</f>
        <v>0</v>
      </c>
      <c r="E286" s="126" t="n">
        <f aca="false">IF(Y286=0,0,IF(AND(Y286=1,$H$3=1),D286*T286,IF($H$3=2,D286,"N/A")))</f>
        <v>0</v>
      </c>
      <c r="F286" s="126" t="n">
        <f aca="false">E286*X286</f>
        <v>0</v>
      </c>
      <c r="G286" s="142" t="n">
        <f aca="false">VLOOKUP($A286,Table,MATCH(G$4,Curves,0))</f>
        <v>3.987</v>
      </c>
      <c r="H286" s="143" t="n">
        <f aca="false">G286</f>
        <v>3.987</v>
      </c>
      <c r="I286" s="142" t="n">
        <f aca="false">VLOOKUP($A286,Table1,MATCH(I$3,Curves1,0))</f>
        <v>0</v>
      </c>
      <c r="J286" s="142" t="n">
        <f aca="false">VLOOKUP($A286,Table,MATCH(J$4,Curves,0))</f>
        <v>-0.0305</v>
      </c>
      <c r="K286" s="143" t="n">
        <f aca="false">J286</f>
        <v>-0.0305</v>
      </c>
      <c r="L286" s="144" t="n">
        <v>0</v>
      </c>
      <c r="M286" s="142" t="n">
        <f aca="false">VLOOKUP($A286,Table,MATCH(M$4,Curves,0))</f>
        <v>0.0087</v>
      </c>
      <c r="N286" s="143" t="n">
        <f aca="false">M286</f>
        <v>0.0087</v>
      </c>
      <c r="O286" s="144" t="n">
        <v>0</v>
      </c>
      <c r="P286" s="145"/>
      <c r="Q286" s="144" t="n">
        <f aca="false">M286+J286+G286</f>
        <v>3.9652</v>
      </c>
      <c r="R286" s="144" t="n">
        <f aca="false">O286+L286+I286</f>
        <v>0</v>
      </c>
      <c r="S286" s="145"/>
      <c r="T286" s="71" t="n">
        <f aca="false">A287-A286</f>
        <v>30</v>
      </c>
      <c r="U286" s="146" t="n">
        <f aca="false">CHOOSE(F$3,A287+24,A286)</f>
        <v>45437</v>
      </c>
      <c r="V286" s="71" t="n">
        <f aca="false">U286-C$3</f>
        <v>8549</v>
      </c>
      <c r="W286" s="142" t="n">
        <f aca="false">VLOOKUP($A286,Table,MATCH(W$4,Curves,0))</f>
        <v>0.058966861357273</v>
      </c>
      <c r="X286" s="147" t="n">
        <f aca="false">1/(1+CHOOSE(F$3,(W287+($K$3/10000))/2,(W286+($K$3/10000))/2))^(2*V286/365.25)</f>
        <v>0.256605129952154</v>
      </c>
      <c r="Y286" s="71" t="n">
        <f aca="false">IF(AND(mthbeg&lt;=A286,mthend&gt;=A286),1,0)</f>
        <v>0</v>
      </c>
      <c r="Z286" s="71" t="n">
        <f aca="false">T286*Y286</f>
        <v>0</v>
      </c>
      <c r="AB286" s="132" t="n">
        <f aca="false">F286*G286</f>
        <v>0</v>
      </c>
      <c r="AC286" s="132" t="n">
        <f aca="false">$F286*H286</f>
        <v>0</v>
      </c>
      <c r="AD286" s="132" t="n">
        <f aca="false">$F286*I286</f>
        <v>0</v>
      </c>
      <c r="AE286" s="132" t="n">
        <f aca="false">$F286*J286</f>
        <v>-0</v>
      </c>
      <c r="AF286" s="132" t="n">
        <f aca="false">$F286*K286</f>
        <v>-0</v>
      </c>
      <c r="AG286" s="132" t="n">
        <f aca="false">$F286*L286</f>
        <v>0</v>
      </c>
      <c r="AH286" s="132" t="n">
        <f aca="false">$F286*M286</f>
        <v>0</v>
      </c>
      <c r="AI286" s="132" t="n">
        <f aca="false">$F286*N286</f>
        <v>0</v>
      </c>
      <c r="AJ286" s="132" t="n">
        <f aca="false">F286*O286</f>
        <v>0</v>
      </c>
      <c r="AK286" s="137"/>
      <c r="AL286" s="132" t="n">
        <f aca="false">CHOOSE($G$3,AC286-AD286,AD286-AC286)</f>
        <v>0</v>
      </c>
      <c r="AM286" s="132" t="n">
        <f aca="false">CHOOSE($G$3,AF286-AG286,AG286-AF286)</f>
        <v>0</v>
      </c>
      <c r="AN286" s="132" t="n">
        <f aca="false">CHOOSE($G$3,AI286-AJ286,AJ286-AI286)</f>
        <v>0</v>
      </c>
      <c r="AO286" s="148" t="n">
        <f aca="false">SUM(AL286:AN286)</f>
        <v>0</v>
      </c>
      <c r="AQ286" s="132" t="n">
        <f aca="false">CHOOSE($G$3,AB286-AC286,AC286-AB286)</f>
        <v>0</v>
      </c>
      <c r="AR286" s="132" t="n">
        <f aca="false">CHOOSE($G$3,AE286-AF286,AF286-AE286)</f>
        <v>0</v>
      </c>
      <c r="AS286" s="132" t="n">
        <f aca="false">CHOOSE($G$3,AH286-AI286,AI286-AH286)</f>
        <v>0</v>
      </c>
      <c r="AT286" s="148" t="n">
        <f aca="false">AQ286+AR286+AS286</f>
        <v>0</v>
      </c>
      <c r="AU286" s="148"/>
      <c r="AV286" s="133" t="n">
        <f aca="false">AT286+AO286</f>
        <v>0</v>
      </c>
      <c r="AX286" s="133" t="n">
        <f aca="false">AJ286+AG286+AD286</f>
        <v>0</v>
      </c>
      <c r="AY286" s="149"/>
      <c r="AZ286" s="76" t="n">
        <f aca="false">R286*E286</f>
        <v>0</v>
      </c>
    </row>
    <row r="287" customFormat="false" ht="12" hidden="false" customHeight="true" outlineLevel="0" collapsed="false">
      <c r="A287" s="138" t="n">
        <f aca="false">EDATE(A286,1)</f>
        <v>45413</v>
      </c>
      <c r="B287" s="139" t="n">
        <f aca="false">VLOOKUP($A287,Table2,MATCH(I$3,Curves2,0))</f>
        <v>0</v>
      </c>
      <c r="C287" s="140"/>
      <c r="D287" s="141" t="n">
        <f aca="false">B287+C287</f>
        <v>0</v>
      </c>
      <c r="E287" s="126" t="n">
        <f aca="false">IF(Y287=0,0,IF(AND(Y287=1,$H$3=1),D287*T287,IF($H$3=2,D287,"N/A")))</f>
        <v>0</v>
      </c>
      <c r="F287" s="126" t="n">
        <f aca="false">E287*X287</f>
        <v>0</v>
      </c>
      <c r="G287" s="142" t="n">
        <f aca="false">VLOOKUP($A287,Table,MATCH(G$4,Curves,0))</f>
        <v>3.987</v>
      </c>
      <c r="H287" s="143" t="n">
        <f aca="false">G287</f>
        <v>3.987</v>
      </c>
      <c r="I287" s="142" t="n">
        <f aca="false">VLOOKUP($A287,Table1,MATCH(I$3,Curves1,0))</f>
        <v>0</v>
      </c>
      <c r="J287" s="142" t="n">
        <f aca="false">VLOOKUP($A287,Table,MATCH(J$4,Curves,0))</f>
        <v>-0.0305</v>
      </c>
      <c r="K287" s="143" t="n">
        <f aca="false">J287</f>
        <v>-0.0305</v>
      </c>
      <c r="L287" s="144" t="n">
        <v>0</v>
      </c>
      <c r="M287" s="142" t="n">
        <f aca="false">VLOOKUP($A287,Table,MATCH(M$4,Curves,0))</f>
        <v>0.0087</v>
      </c>
      <c r="N287" s="143" t="n">
        <f aca="false">M287</f>
        <v>0.0087</v>
      </c>
      <c r="O287" s="144" t="n">
        <v>0</v>
      </c>
      <c r="P287" s="145"/>
      <c r="Q287" s="144" t="n">
        <f aca="false">M287+J287+G287</f>
        <v>3.9652</v>
      </c>
      <c r="R287" s="144" t="n">
        <f aca="false">O287+L287+I287</f>
        <v>0</v>
      </c>
      <c r="S287" s="145"/>
      <c r="T287" s="71" t="n">
        <f aca="false">A288-A287</f>
        <v>31</v>
      </c>
      <c r="U287" s="146" t="n">
        <f aca="false">CHOOSE(F$3,A288+24,A287)</f>
        <v>45468</v>
      </c>
      <c r="V287" s="71" t="n">
        <f aca="false">U287-C$3</f>
        <v>8580</v>
      </c>
      <c r="W287" s="142" t="n">
        <f aca="false">VLOOKUP($A287,Table,MATCH(W$4,Curves,0))</f>
        <v>0.058966861357273</v>
      </c>
      <c r="X287" s="147" t="n">
        <f aca="false">1/(1+CHOOSE(F$3,(W288+($K$3/10000))/2,(W287+($K$3/10000))/2))^(2*V287/365.25)</f>
        <v>0.255342578024613</v>
      </c>
      <c r="Y287" s="71" t="n">
        <f aca="false">IF(AND(mthbeg&lt;=A287,mthend&gt;=A287),1,0)</f>
        <v>0</v>
      </c>
      <c r="Z287" s="71" t="n">
        <f aca="false">T287*Y287</f>
        <v>0</v>
      </c>
      <c r="AB287" s="132" t="n">
        <f aca="false">F287*G287</f>
        <v>0</v>
      </c>
      <c r="AC287" s="132" t="n">
        <f aca="false">$F287*H287</f>
        <v>0</v>
      </c>
      <c r="AD287" s="132" t="n">
        <f aca="false">$F287*I287</f>
        <v>0</v>
      </c>
      <c r="AE287" s="132" t="n">
        <f aca="false">$F287*J287</f>
        <v>-0</v>
      </c>
      <c r="AF287" s="132" t="n">
        <f aca="false">$F287*K287</f>
        <v>-0</v>
      </c>
      <c r="AG287" s="132" t="n">
        <f aca="false">$F287*L287</f>
        <v>0</v>
      </c>
      <c r="AH287" s="132" t="n">
        <f aca="false">$F287*M287</f>
        <v>0</v>
      </c>
      <c r="AI287" s="132" t="n">
        <f aca="false">$F287*N287</f>
        <v>0</v>
      </c>
      <c r="AJ287" s="132" t="n">
        <f aca="false">F287*O287</f>
        <v>0</v>
      </c>
      <c r="AK287" s="137"/>
      <c r="AL287" s="132" t="n">
        <f aca="false">CHOOSE($G$3,AC287-AD287,AD287-AC287)</f>
        <v>0</v>
      </c>
      <c r="AM287" s="132" t="n">
        <f aca="false">CHOOSE($G$3,AF287-AG287,AG287-AF287)</f>
        <v>0</v>
      </c>
      <c r="AN287" s="132" t="n">
        <f aca="false">CHOOSE($G$3,AI287-AJ287,AJ287-AI287)</f>
        <v>0</v>
      </c>
      <c r="AO287" s="148" t="n">
        <f aca="false">SUM(AL287:AN287)</f>
        <v>0</v>
      </c>
      <c r="AQ287" s="132" t="n">
        <f aca="false">CHOOSE($G$3,AB287-AC287,AC287-AB287)</f>
        <v>0</v>
      </c>
      <c r="AR287" s="132" t="n">
        <f aca="false">CHOOSE($G$3,AE287-AF287,AF287-AE287)</f>
        <v>0</v>
      </c>
      <c r="AS287" s="132" t="n">
        <f aca="false">CHOOSE($G$3,AH287-AI287,AI287-AH287)</f>
        <v>0</v>
      </c>
      <c r="AT287" s="148" t="n">
        <f aca="false">AQ287+AR287+AS287</f>
        <v>0</v>
      </c>
      <c r="AU287" s="148"/>
      <c r="AV287" s="133" t="n">
        <f aca="false">AT287+AO287</f>
        <v>0</v>
      </c>
      <c r="AX287" s="133" t="n">
        <f aca="false">AJ287+AG287+AD287</f>
        <v>0</v>
      </c>
      <c r="AY287" s="149"/>
      <c r="AZ287" s="76" t="n">
        <f aca="false">R287*E287</f>
        <v>0</v>
      </c>
    </row>
    <row r="288" customFormat="false" ht="12" hidden="false" customHeight="true" outlineLevel="0" collapsed="false">
      <c r="A288" s="138" t="n">
        <f aca="false">EDATE(A287,1)</f>
        <v>45444</v>
      </c>
      <c r="B288" s="139" t="n">
        <f aca="false">VLOOKUP($A288,Table2,MATCH(I$3,Curves2,0))</f>
        <v>0</v>
      </c>
      <c r="C288" s="140"/>
      <c r="D288" s="141" t="n">
        <f aca="false">B288+C288</f>
        <v>0</v>
      </c>
      <c r="E288" s="126" t="n">
        <f aca="false">IF(Y288=0,0,IF(AND(Y288=1,$H$3=1),D288*T288,IF($H$3=2,D288,"N/A")))</f>
        <v>0</v>
      </c>
      <c r="F288" s="126" t="n">
        <f aca="false">E288*X288</f>
        <v>0</v>
      </c>
      <c r="G288" s="142" t="n">
        <f aca="false">VLOOKUP($A288,Table,MATCH(G$4,Curves,0))</f>
        <v>3.987</v>
      </c>
      <c r="H288" s="143" t="n">
        <f aca="false">G288</f>
        <v>3.987</v>
      </c>
      <c r="I288" s="142" t="n">
        <f aca="false">VLOOKUP($A288,Table1,MATCH(I$3,Curves1,0))</f>
        <v>0</v>
      </c>
      <c r="J288" s="142" t="n">
        <f aca="false">VLOOKUP($A288,Table,MATCH(J$4,Curves,0))</f>
        <v>-0.0305</v>
      </c>
      <c r="K288" s="143" t="n">
        <f aca="false">J288</f>
        <v>-0.0305</v>
      </c>
      <c r="L288" s="144" t="n">
        <v>0</v>
      </c>
      <c r="M288" s="142" t="n">
        <f aca="false">VLOOKUP($A288,Table,MATCH(M$4,Curves,0))</f>
        <v>0.0087</v>
      </c>
      <c r="N288" s="143" t="n">
        <f aca="false">M288</f>
        <v>0.0087</v>
      </c>
      <c r="O288" s="144" t="n">
        <v>0</v>
      </c>
      <c r="P288" s="145"/>
      <c r="Q288" s="144" t="n">
        <f aca="false">M288+J288+G288</f>
        <v>3.9652</v>
      </c>
      <c r="R288" s="144" t="n">
        <f aca="false">O288+L288+I288</f>
        <v>0</v>
      </c>
      <c r="S288" s="145"/>
      <c r="T288" s="71" t="n">
        <f aca="false">A289-A288</f>
        <v>30</v>
      </c>
      <c r="U288" s="146" t="n">
        <f aca="false">CHOOSE(F$3,A289+24,A288)</f>
        <v>45498</v>
      </c>
      <c r="V288" s="71" t="n">
        <f aca="false">U288-C$3</f>
        <v>8610</v>
      </c>
      <c r="W288" s="142" t="n">
        <f aca="false">VLOOKUP($A288,Table,MATCH(W$4,Curves,0))</f>
        <v>0.058966861357273</v>
      </c>
      <c r="X288" s="147" t="n">
        <f aca="false">1/(1+CHOOSE(F$3,(W289+($K$3/10000))/2,(W288+($K$3/10000))/2))^(2*V288/365.25)</f>
        <v>0.254126668566712</v>
      </c>
      <c r="Y288" s="71" t="n">
        <f aca="false">IF(AND(mthbeg&lt;=A288,mthend&gt;=A288),1,0)</f>
        <v>0</v>
      </c>
      <c r="Z288" s="71" t="n">
        <f aca="false">T288*Y288</f>
        <v>0</v>
      </c>
      <c r="AB288" s="132" t="n">
        <f aca="false">F288*G288</f>
        <v>0</v>
      </c>
      <c r="AC288" s="132" t="n">
        <f aca="false">$F288*H288</f>
        <v>0</v>
      </c>
      <c r="AD288" s="132" t="n">
        <f aca="false">$F288*I288</f>
        <v>0</v>
      </c>
      <c r="AE288" s="132" t="n">
        <f aca="false">$F288*J288</f>
        <v>-0</v>
      </c>
      <c r="AF288" s="132" t="n">
        <f aca="false">$F288*K288</f>
        <v>-0</v>
      </c>
      <c r="AG288" s="132" t="n">
        <f aca="false">$F288*L288</f>
        <v>0</v>
      </c>
      <c r="AH288" s="132" t="n">
        <f aca="false">$F288*M288</f>
        <v>0</v>
      </c>
      <c r="AI288" s="132" t="n">
        <f aca="false">$F288*N288</f>
        <v>0</v>
      </c>
      <c r="AJ288" s="132" t="n">
        <f aca="false">F288*O288</f>
        <v>0</v>
      </c>
      <c r="AK288" s="137"/>
      <c r="AL288" s="132" t="n">
        <f aca="false">CHOOSE($G$3,AC288-AD288,AD288-AC288)</f>
        <v>0</v>
      </c>
      <c r="AM288" s="132" t="n">
        <f aca="false">CHOOSE($G$3,AF288-AG288,AG288-AF288)</f>
        <v>0</v>
      </c>
      <c r="AN288" s="132" t="n">
        <f aca="false">CHOOSE($G$3,AI288-AJ288,AJ288-AI288)</f>
        <v>0</v>
      </c>
      <c r="AO288" s="148" t="n">
        <f aca="false">SUM(AL288:AN288)</f>
        <v>0</v>
      </c>
      <c r="AQ288" s="132" t="n">
        <f aca="false">CHOOSE($G$3,AB288-AC288,AC288-AB288)</f>
        <v>0</v>
      </c>
      <c r="AR288" s="132" t="n">
        <f aca="false">CHOOSE($G$3,AE288-AF288,AF288-AE288)</f>
        <v>0</v>
      </c>
      <c r="AS288" s="132" t="n">
        <f aca="false">CHOOSE($G$3,AH288-AI288,AI288-AH288)</f>
        <v>0</v>
      </c>
      <c r="AT288" s="148" t="n">
        <f aca="false">AQ288+AR288+AS288</f>
        <v>0</v>
      </c>
      <c r="AU288" s="148"/>
      <c r="AV288" s="133" t="n">
        <f aca="false">AT288+AO288</f>
        <v>0</v>
      </c>
      <c r="AX288" s="133" t="n">
        <f aca="false">AJ288+AG288+AD288</f>
        <v>0</v>
      </c>
      <c r="AY288" s="149"/>
      <c r="AZ288" s="76" t="n">
        <f aca="false">R288*E288</f>
        <v>0</v>
      </c>
    </row>
    <row r="289" customFormat="false" ht="12" hidden="false" customHeight="true" outlineLevel="0" collapsed="false">
      <c r="A289" s="138" t="n">
        <f aca="false">EDATE(A288,1)</f>
        <v>45474</v>
      </c>
      <c r="B289" s="139" t="n">
        <f aca="false">VLOOKUP($A289,Table2,MATCH(I$3,Curves2,0))</f>
        <v>0</v>
      </c>
      <c r="C289" s="140"/>
      <c r="D289" s="141" t="n">
        <f aca="false">B289+C289</f>
        <v>0</v>
      </c>
      <c r="E289" s="126" t="n">
        <f aca="false">IF(Y289=0,0,IF(AND(Y289=1,$H$3=1),D289*T289,IF($H$3=2,D289,"N/A")))</f>
        <v>0</v>
      </c>
      <c r="F289" s="126" t="n">
        <f aca="false">E289*X289</f>
        <v>0</v>
      </c>
      <c r="G289" s="142" t="n">
        <f aca="false">VLOOKUP($A289,Table,MATCH(G$4,Curves,0))</f>
        <v>3.987</v>
      </c>
      <c r="H289" s="143" t="n">
        <f aca="false">G289</f>
        <v>3.987</v>
      </c>
      <c r="I289" s="142" t="n">
        <f aca="false">VLOOKUP($A289,Table1,MATCH(I$3,Curves1,0))</f>
        <v>0</v>
      </c>
      <c r="J289" s="142" t="n">
        <f aca="false">VLOOKUP($A289,Table,MATCH(J$4,Curves,0))</f>
        <v>-0.0305</v>
      </c>
      <c r="K289" s="143" t="n">
        <f aca="false">J289</f>
        <v>-0.0305</v>
      </c>
      <c r="L289" s="144" t="n">
        <v>0</v>
      </c>
      <c r="M289" s="142" t="n">
        <f aca="false">VLOOKUP($A289,Table,MATCH(M$4,Curves,0))</f>
        <v>0.0087</v>
      </c>
      <c r="N289" s="143" t="n">
        <f aca="false">M289</f>
        <v>0.0087</v>
      </c>
      <c r="O289" s="144" t="n">
        <v>0</v>
      </c>
      <c r="P289" s="145"/>
      <c r="Q289" s="144" t="n">
        <f aca="false">M289+J289+G289</f>
        <v>3.9652</v>
      </c>
      <c r="R289" s="144" t="n">
        <f aca="false">O289+L289+I289</f>
        <v>0</v>
      </c>
      <c r="S289" s="145"/>
      <c r="T289" s="71" t="n">
        <f aca="false">A290-A289</f>
        <v>31</v>
      </c>
      <c r="U289" s="146" t="n">
        <f aca="false">CHOOSE(F$3,A290+24,A289)</f>
        <v>45529</v>
      </c>
      <c r="V289" s="71" t="n">
        <f aca="false">U289-C$3</f>
        <v>8641</v>
      </c>
      <c r="W289" s="142" t="n">
        <f aca="false">VLOOKUP($A289,Table,MATCH(W$4,Curves,0))</f>
        <v>0.058966861357273</v>
      </c>
      <c r="X289" s="147" t="n">
        <f aca="false">1/(1+CHOOSE(F$3,(W290+($K$3/10000))/2,(W289+($K$3/10000))/2))^(2*V289/365.25)</f>
        <v>0.252876311197402</v>
      </c>
      <c r="Y289" s="71" t="n">
        <f aca="false">IF(AND(mthbeg&lt;=A289,mthend&gt;=A289),1,0)</f>
        <v>0</v>
      </c>
      <c r="Z289" s="71" t="n">
        <f aca="false">T289*Y289</f>
        <v>0</v>
      </c>
      <c r="AB289" s="132" t="n">
        <f aca="false">F289*G289</f>
        <v>0</v>
      </c>
      <c r="AC289" s="132" t="n">
        <f aca="false">$F289*H289</f>
        <v>0</v>
      </c>
      <c r="AD289" s="132" t="n">
        <f aca="false">$F289*I289</f>
        <v>0</v>
      </c>
      <c r="AE289" s="132" t="n">
        <f aca="false">$F289*J289</f>
        <v>-0</v>
      </c>
      <c r="AF289" s="132" t="n">
        <f aca="false">$F289*K289</f>
        <v>-0</v>
      </c>
      <c r="AG289" s="132" t="n">
        <f aca="false">$F289*L289</f>
        <v>0</v>
      </c>
      <c r="AH289" s="132" t="n">
        <f aca="false">$F289*M289</f>
        <v>0</v>
      </c>
      <c r="AI289" s="132" t="n">
        <f aca="false">$F289*N289</f>
        <v>0</v>
      </c>
      <c r="AJ289" s="132" t="n">
        <f aca="false">F289*O289</f>
        <v>0</v>
      </c>
      <c r="AK289" s="137"/>
      <c r="AL289" s="132" t="n">
        <f aca="false">CHOOSE($G$3,AC289-AD289,AD289-AC289)</f>
        <v>0</v>
      </c>
      <c r="AM289" s="132" t="n">
        <f aca="false">CHOOSE($G$3,AF289-AG289,AG289-AF289)</f>
        <v>0</v>
      </c>
      <c r="AN289" s="132" t="n">
        <f aca="false">CHOOSE($G$3,AI289-AJ289,AJ289-AI289)</f>
        <v>0</v>
      </c>
      <c r="AO289" s="148" t="n">
        <f aca="false">SUM(AL289:AN289)</f>
        <v>0</v>
      </c>
      <c r="AQ289" s="132" t="n">
        <f aca="false">CHOOSE($G$3,AB289-AC289,AC289-AB289)</f>
        <v>0</v>
      </c>
      <c r="AR289" s="132" t="n">
        <f aca="false">CHOOSE($G$3,AE289-AF289,AF289-AE289)</f>
        <v>0</v>
      </c>
      <c r="AS289" s="132" t="n">
        <f aca="false">CHOOSE($G$3,AH289-AI289,AI289-AH289)</f>
        <v>0</v>
      </c>
      <c r="AT289" s="148" t="n">
        <f aca="false">AQ289+AR289+AS289</f>
        <v>0</v>
      </c>
      <c r="AU289" s="148"/>
      <c r="AV289" s="133" t="n">
        <f aca="false">AT289+AO289</f>
        <v>0</v>
      </c>
      <c r="AX289" s="133" t="n">
        <f aca="false">AJ289+AG289+AD289</f>
        <v>0</v>
      </c>
      <c r="AY289" s="149"/>
      <c r="AZ289" s="76" t="n">
        <f aca="false">R289*E289</f>
        <v>0</v>
      </c>
    </row>
    <row r="290" customFormat="false" ht="12" hidden="false" customHeight="true" outlineLevel="0" collapsed="false">
      <c r="A290" s="138" t="n">
        <f aca="false">EDATE(A289,1)</f>
        <v>45505</v>
      </c>
      <c r="B290" s="139" t="n">
        <f aca="false">VLOOKUP($A290,Table2,MATCH(I$3,Curves2,0))</f>
        <v>0</v>
      </c>
      <c r="C290" s="140"/>
      <c r="D290" s="141" t="n">
        <f aca="false">B290+C290</f>
        <v>0</v>
      </c>
      <c r="E290" s="126" t="n">
        <f aca="false">IF(Y290=0,0,IF(AND(Y290=1,$H$3=1),D290*T290,IF($H$3=2,D290,"N/A")))</f>
        <v>0</v>
      </c>
      <c r="F290" s="126" t="n">
        <f aca="false">E290*X290</f>
        <v>0</v>
      </c>
      <c r="G290" s="142" t="n">
        <f aca="false">VLOOKUP($A290,Table,MATCH(G$4,Curves,0))</f>
        <v>3.987</v>
      </c>
      <c r="H290" s="143" t="n">
        <f aca="false">G290</f>
        <v>3.987</v>
      </c>
      <c r="I290" s="142" t="n">
        <f aca="false">VLOOKUP($A290,Table1,MATCH(I$3,Curves1,0))</f>
        <v>0</v>
      </c>
      <c r="J290" s="142" t="n">
        <f aca="false">VLOOKUP($A290,Table,MATCH(J$4,Curves,0))</f>
        <v>-0.0305</v>
      </c>
      <c r="K290" s="143" t="n">
        <f aca="false">J290</f>
        <v>-0.0305</v>
      </c>
      <c r="L290" s="144" t="n">
        <v>0</v>
      </c>
      <c r="M290" s="142" t="n">
        <f aca="false">VLOOKUP($A290,Table,MATCH(M$4,Curves,0))</f>
        <v>0.0087</v>
      </c>
      <c r="N290" s="143" t="n">
        <f aca="false">M290</f>
        <v>0.0087</v>
      </c>
      <c r="O290" s="144" t="n">
        <v>0</v>
      </c>
      <c r="P290" s="145"/>
      <c r="Q290" s="144" t="n">
        <f aca="false">M290+J290+G290</f>
        <v>3.9652</v>
      </c>
      <c r="R290" s="144" t="n">
        <f aca="false">O290+L290+I290</f>
        <v>0</v>
      </c>
      <c r="S290" s="145"/>
      <c r="T290" s="71" t="n">
        <f aca="false">A291-A290</f>
        <v>31</v>
      </c>
      <c r="U290" s="146" t="n">
        <f aca="false">CHOOSE(F$3,A291+24,A290)</f>
        <v>45560</v>
      </c>
      <c r="V290" s="71" t="n">
        <f aca="false">U290-C$3</f>
        <v>8672</v>
      </c>
      <c r="W290" s="142" t="n">
        <f aca="false">VLOOKUP($A290,Table,MATCH(W$4,Curves,0))</f>
        <v>0.058966861357273</v>
      </c>
      <c r="X290" s="147" t="n">
        <f aca="false">1/(1+CHOOSE(F$3,(W291+($K$3/10000))/2,(W290+($K$3/10000))/2))^(2*V290/365.25)</f>
        <v>0.251632105852827</v>
      </c>
      <c r="Y290" s="71" t="n">
        <f aca="false">IF(AND(mthbeg&lt;=A290,mthend&gt;=A290),1,0)</f>
        <v>0</v>
      </c>
      <c r="Z290" s="71" t="n">
        <f aca="false">T290*Y290</f>
        <v>0</v>
      </c>
      <c r="AB290" s="132" t="n">
        <f aca="false">F290*G290</f>
        <v>0</v>
      </c>
      <c r="AC290" s="132" t="n">
        <f aca="false">$F290*H290</f>
        <v>0</v>
      </c>
      <c r="AD290" s="132" t="n">
        <f aca="false">$F290*I290</f>
        <v>0</v>
      </c>
      <c r="AE290" s="132" t="n">
        <f aca="false">$F290*J290</f>
        <v>-0</v>
      </c>
      <c r="AF290" s="132" t="n">
        <f aca="false">$F290*K290</f>
        <v>-0</v>
      </c>
      <c r="AG290" s="132" t="n">
        <f aca="false">$F290*L290</f>
        <v>0</v>
      </c>
      <c r="AH290" s="132" t="n">
        <f aca="false">$F290*M290</f>
        <v>0</v>
      </c>
      <c r="AI290" s="132" t="n">
        <f aca="false">$F290*N290</f>
        <v>0</v>
      </c>
      <c r="AJ290" s="132" t="n">
        <f aca="false">F290*O290</f>
        <v>0</v>
      </c>
      <c r="AK290" s="137"/>
      <c r="AL290" s="132" t="n">
        <f aca="false">CHOOSE($G$3,AC290-AD290,AD290-AC290)</f>
        <v>0</v>
      </c>
      <c r="AM290" s="132" t="n">
        <f aca="false">CHOOSE($G$3,AF290-AG290,AG290-AF290)</f>
        <v>0</v>
      </c>
      <c r="AN290" s="132" t="n">
        <f aca="false">CHOOSE($G$3,AI290-AJ290,AJ290-AI290)</f>
        <v>0</v>
      </c>
      <c r="AO290" s="148" t="n">
        <f aca="false">SUM(AL290:AN290)</f>
        <v>0</v>
      </c>
      <c r="AQ290" s="132" t="n">
        <f aca="false">CHOOSE($G$3,AB290-AC290,AC290-AB290)</f>
        <v>0</v>
      </c>
      <c r="AR290" s="132" t="n">
        <f aca="false">CHOOSE($G$3,AE290-AF290,AF290-AE290)</f>
        <v>0</v>
      </c>
      <c r="AS290" s="132" t="n">
        <f aca="false">CHOOSE($G$3,AH290-AI290,AI290-AH290)</f>
        <v>0</v>
      </c>
      <c r="AT290" s="148" t="n">
        <f aca="false">AQ290+AR290+AS290</f>
        <v>0</v>
      </c>
      <c r="AU290" s="148"/>
      <c r="AV290" s="133" t="n">
        <f aca="false">AT290+AO290</f>
        <v>0</v>
      </c>
      <c r="AX290" s="133" t="n">
        <f aca="false">AJ290+AG290+AD290</f>
        <v>0</v>
      </c>
      <c r="AY290" s="149"/>
      <c r="AZ290" s="76" t="n">
        <f aca="false">R290*E290</f>
        <v>0</v>
      </c>
    </row>
    <row r="291" customFormat="false" ht="12" hidden="false" customHeight="true" outlineLevel="0" collapsed="false">
      <c r="A291" s="138" t="n">
        <f aca="false">EDATE(A290,1)</f>
        <v>45536</v>
      </c>
      <c r="B291" s="139" t="n">
        <f aca="false">VLOOKUP($A291,Table2,MATCH(I$3,Curves2,0))</f>
        <v>0</v>
      </c>
      <c r="C291" s="140"/>
      <c r="D291" s="141" t="n">
        <f aca="false">B291+C291</f>
        <v>0</v>
      </c>
      <c r="E291" s="126" t="n">
        <f aca="false">IF(Y291=0,0,IF(AND(Y291=1,$H$3=1),D291*T291,IF($H$3=2,D291,"N/A")))</f>
        <v>0</v>
      </c>
      <c r="F291" s="126" t="n">
        <f aca="false">E291*X291</f>
        <v>0</v>
      </c>
      <c r="G291" s="142" t="n">
        <f aca="false">VLOOKUP($A291,Table,MATCH(G$4,Curves,0))</f>
        <v>3.987</v>
      </c>
      <c r="H291" s="143" t="n">
        <f aca="false">G291</f>
        <v>3.987</v>
      </c>
      <c r="I291" s="142" t="n">
        <f aca="false">VLOOKUP($A291,Table1,MATCH(I$3,Curves1,0))</f>
        <v>0</v>
      </c>
      <c r="J291" s="142" t="n">
        <f aca="false">VLOOKUP($A291,Table,MATCH(J$4,Curves,0))</f>
        <v>-0.0305</v>
      </c>
      <c r="K291" s="143" t="n">
        <f aca="false">J291</f>
        <v>-0.0305</v>
      </c>
      <c r="L291" s="144" t="n">
        <v>0</v>
      </c>
      <c r="M291" s="142" t="n">
        <f aca="false">VLOOKUP($A291,Table,MATCH(M$4,Curves,0))</f>
        <v>0.0087</v>
      </c>
      <c r="N291" s="143" t="n">
        <f aca="false">M291</f>
        <v>0.0087</v>
      </c>
      <c r="O291" s="144" t="n">
        <v>0</v>
      </c>
      <c r="P291" s="145"/>
      <c r="Q291" s="144" t="n">
        <f aca="false">M291+J291+G291</f>
        <v>3.9652</v>
      </c>
      <c r="R291" s="144" t="n">
        <f aca="false">O291+L291+I291</f>
        <v>0</v>
      </c>
      <c r="S291" s="145"/>
      <c r="T291" s="71" t="n">
        <f aca="false">A292-A291</f>
        <v>30</v>
      </c>
      <c r="U291" s="146" t="n">
        <f aca="false">CHOOSE(F$3,A292+24,A291)</f>
        <v>45590</v>
      </c>
      <c r="V291" s="71" t="n">
        <f aca="false">U291-C$3</f>
        <v>8702</v>
      </c>
      <c r="W291" s="142" t="n">
        <f aca="false">VLOOKUP($A291,Table,MATCH(W$4,Curves,0))</f>
        <v>0.058966861357273</v>
      </c>
      <c r="X291" s="147" t="n">
        <f aca="false">1/(1+CHOOSE(F$3,(W292+($K$3/10000))/2,(W291+($K$3/10000))/2))^(2*V291/365.25)</f>
        <v>0.250433865199879</v>
      </c>
      <c r="Y291" s="71" t="n">
        <f aca="false">IF(AND(mthbeg&lt;=A291,mthend&gt;=A291),1,0)</f>
        <v>0</v>
      </c>
      <c r="Z291" s="71" t="n">
        <f aca="false">T291*Y291</f>
        <v>0</v>
      </c>
      <c r="AB291" s="132" t="n">
        <f aca="false">F291*G291</f>
        <v>0</v>
      </c>
      <c r="AC291" s="132" t="n">
        <f aca="false">$F291*H291</f>
        <v>0</v>
      </c>
      <c r="AD291" s="132" t="n">
        <f aca="false">$F291*I291</f>
        <v>0</v>
      </c>
      <c r="AE291" s="132" t="n">
        <f aca="false">$F291*J291</f>
        <v>-0</v>
      </c>
      <c r="AF291" s="132" t="n">
        <f aca="false">$F291*K291</f>
        <v>-0</v>
      </c>
      <c r="AG291" s="132" t="n">
        <f aca="false">$F291*L291</f>
        <v>0</v>
      </c>
      <c r="AH291" s="132" t="n">
        <f aca="false">$F291*M291</f>
        <v>0</v>
      </c>
      <c r="AI291" s="132" t="n">
        <f aca="false">$F291*N291</f>
        <v>0</v>
      </c>
      <c r="AJ291" s="132" t="n">
        <f aca="false">F291*O291</f>
        <v>0</v>
      </c>
      <c r="AK291" s="137"/>
      <c r="AL291" s="132" t="n">
        <f aca="false">CHOOSE($G$3,AC291-AD291,AD291-AC291)</f>
        <v>0</v>
      </c>
      <c r="AM291" s="132" t="n">
        <f aca="false">CHOOSE($G$3,AF291-AG291,AG291-AF291)</f>
        <v>0</v>
      </c>
      <c r="AN291" s="132" t="n">
        <f aca="false">CHOOSE($G$3,AI291-AJ291,AJ291-AI291)</f>
        <v>0</v>
      </c>
      <c r="AO291" s="148" t="n">
        <f aca="false">SUM(AL291:AN291)</f>
        <v>0</v>
      </c>
      <c r="AQ291" s="132" t="n">
        <f aca="false">CHOOSE($G$3,AB291-AC291,AC291-AB291)</f>
        <v>0</v>
      </c>
      <c r="AR291" s="132" t="n">
        <f aca="false">CHOOSE($G$3,AE291-AF291,AF291-AE291)</f>
        <v>0</v>
      </c>
      <c r="AS291" s="132" t="n">
        <f aca="false">CHOOSE($G$3,AH291-AI291,AI291-AH291)</f>
        <v>0</v>
      </c>
      <c r="AT291" s="148" t="n">
        <f aca="false">AQ291+AR291+AS291</f>
        <v>0</v>
      </c>
      <c r="AU291" s="148"/>
      <c r="AV291" s="133" t="n">
        <f aca="false">AT291+AO291</f>
        <v>0</v>
      </c>
      <c r="AX291" s="133" t="n">
        <f aca="false">AJ291+AG291+AD291</f>
        <v>0</v>
      </c>
      <c r="AY291" s="149"/>
      <c r="AZ291" s="76" t="n">
        <f aca="false">R291*E291</f>
        <v>0</v>
      </c>
    </row>
    <row r="292" customFormat="false" ht="12" hidden="false" customHeight="true" outlineLevel="0" collapsed="false">
      <c r="A292" s="138" t="n">
        <f aca="false">EDATE(A291,1)</f>
        <v>45566</v>
      </c>
      <c r="B292" s="139" t="n">
        <f aca="false">VLOOKUP($A292,Table2,MATCH(I$3,Curves2,0))</f>
        <v>0</v>
      </c>
      <c r="C292" s="140"/>
      <c r="D292" s="141" t="n">
        <f aca="false">B292+C292</f>
        <v>0</v>
      </c>
      <c r="E292" s="126" t="n">
        <f aca="false">IF(Y292=0,0,IF(AND(Y292=1,$H$3=1),D292*T292,IF($H$3=2,D292,"N/A")))</f>
        <v>0</v>
      </c>
      <c r="F292" s="126" t="n">
        <f aca="false">E292*X292</f>
        <v>0</v>
      </c>
      <c r="G292" s="142" t="n">
        <f aca="false">VLOOKUP($A292,Table,MATCH(G$4,Curves,0))</f>
        <v>3.987</v>
      </c>
      <c r="H292" s="143" t="n">
        <f aca="false">G292</f>
        <v>3.987</v>
      </c>
      <c r="I292" s="142" t="n">
        <f aca="false">VLOOKUP($A292,Table1,MATCH(I$3,Curves1,0))</f>
        <v>0</v>
      </c>
      <c r="J292" s="142" t="n">
        <f aca="false">VLOOKUP($A292,Table,MATCH(J$4,Curves,0))</f>
        <v>-0.0305</v>
      </c>
      <c r="K292" s="143" t="n">
        <f aca="false">J292</f>
        <v>-0.0305</v>
      </c>
      <c r="L292" s="144" t="n">
        <v>0</v>
      </c>
      <c r="M292" s="142" t="n">
        <f aca="false">VLOOKUP($A292,Table,MATCH(M$4,Curves,0))</f>
        <v>0.0087</v>
      </c>
      <c r="N292" s="143" t="n">
        <f aca="false">M292</f>
        <v>0.0087</v>
      </c>
      <c r="O292" s="144" t="n">
        <v>0</v>
      </c>
      <c r="P292" s="145"/>
      <c r="Q292" s="144" t="n">
        <f aca="false">M292+J292+G292</f>
        <v>3.9652</v>
      </c>
      <c r="R292" s="144" t="n">
        <f aca="false">O292+L292+I292</f>
        <v>0</v>
      </c>
      <c r="S292" s="145"/>
      <c r="T292" s="71" t="n">
        <f aca="false">A293-A292</f>
        <v>31</v>
      </c>
      <c r="U292" s="146" t="n">
        <f aca="false">CHOOSE(F$3,A293+24,A292)</f>
        <v>45621</v>
      </c>
      <c r="V292" s="71" t="n">
        <f aca="false">U292-C$3</f>
        <v>8733</v>
      </c>
      <c r="W292" s="142" t="n">
        <f aca="false">VLOOKUP($A292,Table,MATCH(W$4,Curves,0))</f>
        <v>0.058966861357273</v>
      </c>
      <c r="X292" s="147" t="n">
        <f aca="false">1/(1+CHOOSE(F$3,(W293+($K$3/10000))/2,(W292+($K$3/10000))/2))^(2*V292/365.25)</f>
        <v>0.24920167721015</v>
      </c>
      <c r="Y292" s="71" t="n">
        <f aca="false">IF(AND(mthbeg&lt;=A292,mthend&gt;=A292),1,0)</f>
        <v>0</v>
      </c>
      <c r="Z292" s="71" t="n">
        <f aca="false">T292*Y292</f>
        <v>0</v>
      </c>
      <c r="AB292" s="132" t="n">
        <f aca="false">F292*G292</f>
        <v>0</v>
      </c>
      <c r="AC292" s="132" t="n">
        <f aca="false">$F292*H292</f>
        <v>0</v>
      </c>
      <c r="AD292" s="132" t="n">
        <f aca="false">$F292*I292</f>
        <v>0</v>
      </c>
      <c r="AE292" s="132" t="n">
        <f aca="false">$F292*J292</f>
        <v>-0</v>
      </c>
      <c r="AF292" s="132" t="n">
        <f aca="false">$F292*K292</f>
        <v>-0</v>
      </c>
      <c r="AG292" s="132" t="n">
        <f aca="false">$F292*L292</f>
        <v>0</v>
      </c>
      <c r="AH292" s="132" t="n">
        <f aca="false">$F292*M292</f>
        <v>0</v>
      </c>
      <c r="AI292" s="132" t="n">
        <f aca="false">$F292*N292</f>
        <v>0</v>
      </c>
      <c r="AJ292" s="132" t="n">
        <f aca="false">F292*O292</f>
        <v>0</v>
      </c>
      <c r="AK292" s="137"/>
      <c r="AL292" s="132" t="n">
        <f aca="false">CHOOSE($G$3,AC292-AD292,AD292-AC292)</f>
        <v>0</v>
      </c>
      <c r="AM292" s="132" t="n">
        <f aca="false">CHOOSE($G$3,AF292-AG292,AG292-AF292)</f>
        <v>0</v>
      </c>
      <c r="AN292" s="132" t="n">
        <f aca="false">CHOOSE($G$3,AI292-AJ292,AJ292-AI292)</f>
        <v>0</v>
      </c>
      <c r="AO292" s="148" t="n">
        <f aca="false">SUM(AL292:AN292)</f>
        <v>0</v>
      </c>
      <c r="AQ292" s="132" t="n">
        <f aca="false">CHOOSE($G$3,AB292-AC292,AC292-AB292)</f>
        <v>0</v>
      </c>
      <c r="AR292" s="132" t="n">
        <f aca="false">CHOOSE($G$3,AE292-AF292,AF292-AE292)</f>
        <v>0</v>
      </c>
      <c r="AS292" s="132" t="n">
        <f aca="false">CHOOSE($G$3,AH292-AI292,AI292-AH292)</f>
        <v>0</v>
      </c>
      <c r="AT292" s="148" t="n">
        <f aca="false">AQ292+AR292+AS292</f>
        <v>0</v>
      </c>
      <c r="AU292" s="148"/>
      <c r="AV292" s="133" t="n">
        <f aca="false">AT292+AO292</f>
        <v>0</v>
      </c>
      <c r="AX292" s="133" t="n">
        <f aca="false">AJ292+AG292+AD292</f>
        <v>0</v>
      </c>
      <c r="AY292" s="149"/>
      <c r="AZ292" s="76" t="n">
        <f aca="false">R292*E292</f>
        <v>0</v>
      </c>
    </row>
    <row r="293" customFormat="false" ht="12" hidden="false" customHeight="true" outlineLevel="0" collapsed="false">
      <c r="A293" s="138" t="n">
        <f aca="false">EDATE(A292,1)</f>
        <v>45597</v>
      </c>
      <c r="B293" s="139" t="n">
        <f aca="false">VLOOKUP($A293,Table2,MATCH(I$3,Curves2,0))</f>
        <v>0</v>
      </c>
      <c r="C293" s="140"/>
      <c r="D293" s="141" t="n">
        <f aca="false">B293+C293</f>
        <v>0</v>
      </c>
      <c r="E293" s="126" t="n">
        <f aca="false">IF(Y293=0,0,IF(AND(Y293=1,$H$3=1),D293*T293,IF($H$3=2,D293,"N/A")))</f>
        <v>0</v>
      </c>
      <c r="F293" s="126" t="n">
        <f aca="false">E293*X293</f>
        <v>0</v>
      </c>
      <c r="G293" s="142" t="n">
        <f aca="false">VLOOKUP($A293,Table,MATCH(G$4,Curves,0))</f>
        <v>3.987</v>
      </c>
      <c r="H293" s="143" t="n">
        <f aca="false">G293</f>
        <v>3.987</v>
      </c>
      <c r="I293" s="142" t="n">
        <f aca="false">VLOOKUP($A293,Table1,MATCH(I$3,Curves1,0))</f>
        <v>0</v>
      </c>
      <c r="J293" s="142" t="n">
        <f aca="false">VLOOKUP($A293,Table,MATCH(J$4,Curves,0))</f>
        <v>-0.0305</v>
      </c>
      <c r="K293" s="143" t="n">
        <f aca="false">J293</f>
        <v>-0.0305</v>
      </c>
      <c r="L293" s="144" t="n">
        <v>0</v>
      </c>
      <c r="M293" s="142" t="n">
        <f aca="false">VLOOKUP($A293,Table,MATCH(M$4,Curves,0))</f>
        <v>0.0087</v>
      </c>
      <c r="N293" s="143" t="n">
        <f aca="false">M293</f>
        <v>0.0087</v>
      </c>
      <c r="O293" s="144" t="n">
        <v>0</v>
      </c>
      <c r="P293" s="145"/>
      <c r="Q293" s="144" t="n">
        <f aca="false">M293+J293+G293</f>
        <v>3.9652</v>
      </c>
      <c r="R293" s="144" t="n">
        <f aca="false">O293+L293+I293</f>
        <v>0</v>
      </c>
      <c r="S293" s="145"/>
      <c r="T293" s="71" t="n">
        <f aca="false">A294-A293</f>
        <v>30</v>
      </c>
      <c r="U293" s="146" t="n">
        <f aca="false">CHOOSE(F$3,A294+24,A293)</f>
        <v>45651</v>
      </c>
      <c r="V293" s="71" t="n">
        <f aca="false">U293-C$3</f>
        <v>8763</v>
      </c>
      <c r="W293" s="142" t="n">
        <f aca="false">VLOOKUP($A293,Table,MATCH(W$4,Curves,0))</f>
        <v>0.058966861357273</v>
      </c>
      <c r="X293" s="147" t="n">
        <f aca="false">1/(1+CHOOSE(F$3,(W294+($K$3/10000))/2,(W293+($K$3/10000))/2))^(2*V293/365.25)</f>
        <v>0.248015009954777</v>
      </c>
      <c r="Y293" s="71" t="n">
        <f aca="false">IF(AND(mthbeg&lt;=A293,mthend&gt;=A293),1,0)</f>
        <v>0</v>
      </c>
      <c r="Z293" s="71" t="n">
        <f aca="false">T293*Y293</f>
        <v>0</v>
      </c>
      <c r="AB293" s="132" t="n">
        <f aca="false">F293*G293</f>
        <v>0</v>
      </c>
      <c r="AC293" s="132" t="n">
        <f aca="false">$F293*H293</f>
        <v>0</v>
      </c>
      <c r="AD293" s="132" t="n">
        <f aca="false">$F293*I293</f>
        <v>0</v>
      </c>
      <c r="AE293" s="132" t="n">
        <f aca="false">$F293*J293</f>
        <v>-0</v>
      </c>
      <c r="AF293" s="132" t="n">
        <f aca="false">$F293*K293</f>
        <v>-0</v>
      </c>
      <c r="AG293" s="132" t="n">
        <f aca="false">$F293*L293</f>
        <v>0</v>
      </c>
      <c r="AH293" s="132" t="n">
        <f aca="false">$F293*M293</f>
        <v>0</v>
      </c>
      <c r="AI293" s="132" t="n">
        <f aca="false">$F293*N293</f>
        <v>0</v>
      </c>
      <c r="AJ293" s="132" t="n">
        <f aca="false">F293*O293</f>
        <v>0</v>
      </c>
      <c r="AK293" s="137"/>
      <c r="AL293" s="132" t="n">
        <f aca="false">CHOOSE($G$3,AC293-AD293,AD293-AC293)</f>
        <v>0</v>
      </c>
      <c r="AM293" s="132" t="n">
        <f aca="false">CHOOSE($G$3,AF293-AG293,AG293-AF293)</f>
        <v>0</v>
      </c>
      <c r="AN293" s="132" t="n">
        <f aca="false">CHOOSE($G$3,AI293-AJ293,AJ293-AI293)</f>
        <v>0</v>
      </c>
      <c r="AO293" s="148" t="n">
        <f aca="false">SUM(AL293:AN293)</f>
        <v>0</v>
      </c>
      <c r="AQ293" s="132" t="n">
        <f aca="false">CHOOSE($G$3,AB293-AC293,AC293-AB293)</f>
        <v>0</v>
      </c>
      <c r="AR293" s="132" t="n">
        <f aca="false">CHOOSE($G$3,AE293-AF293,AF293-AE293)</f>
        <v>0</v>
      </c>
      <c r="AS293" s="132" t="n">
        <f aca="false">CHOOSE($G$3,AH293-AI293,AI293-AH293)</f>
        <v>0</v>
      </c>
      <c r="AT293" s="148" t="n">
        <f aca="false">AQ293+AR293+AS293</f>
        <v>0</v>
      </c>
      <c r="AU293" s="148"/>
      <c r="AV293" s="133" t="n">
        <f aca="false">AT293+AO293</f>
        <v>0</v>
      </c>
      <c r="AX293" s="133" t="n">
        <f aca="false">AJ293+AG293+AD293</f>
        <v>0</v>
      </c>
      <c r="AY293" s="149"/>
      <c r="AZ293" s="76" t="n">
        <f aca="false">R293*E293</f>
        <v>0</v>
      </c>
    </row>
    <row r="294" customFormat="false" ht="12" hidden="false" customHeight="true" outlineLevel="0" collapsed="false">
      <c r="A294" s="138" t="n">
        <f aca="false">EDATE(A293,1)</f>
        <v>45627</v>
      </c>
      <c r="B294" s="139" t="n">
        <f aca="false">VLOOKUP($A294,Table2,MATCH(I$3,Curves2,0))</f>
        <v>0</v>
      </c>
      <c r="C294" s="140"/>
      <c r="D294" s="141" t="n">
        <f aca="false">B294+C294</f>
        <v>0</v>
      </c>
      <c r="E294" s="126" t="n">
        <f aca="false">IF(Y294=0,0,IF(AND(Y294=1,$H$3=1),D294*T294,IF($H$3=2,D294,"N/A")))</f>
        <v>0</v>
      </c>
      <c r="F294" s="126" t="n">
        <f aca="false">E294*X294</f>
        <v>0</v>
      </c>
      <c r="G294" s="142" t="n">
        <f aca="false">VLOOKUP($A294,Table,MATCH(G$4,Curves,0))</f>
        <v>3.987</v>
      </c>
      <c r="H294" s="143" t="n">
        <f aca="false">G294</f>
        <v>3.987</v>
      </c>
      <c r="I294" s="142" t="n">
        <f aca="false">VLOOKUP($A294,Table1,MATCH(I$3,Curves1,0))</f>
        <v>0</v>
      </c>
      <c r="J294" s="142" t="n">
        <f aca="false">VLOOKUP($A294,Table,MATCH(J$4,Curves,0))</f>
        <v>-0.0305</v>
      </c>
      <c r="K294" s="143" t="n">
        <f aca="false">J294</f>
        <v>-0.0305</v>
      </c>
      <c r="L294" s="144" t="n">
        <v>0</v>
      </c>
      <c r="M294" s="142" t="n">
        <f aca="false">VLOOKUP($A294,Table,MATCH(M$4,Curves,0))</f>
        <v>0.0087</v>
      </c>
      <c r="N294" s="143" t="n">
        <f aca="false">M294</f>
        <v>0.0087</v>
      </c>
      <c r="O294" s="144" t="n">
        <v>0</v>
      </c>
      <c r="P294" s="145"/>
      <c r="Q294" s="144" t="n">
        <f aca="false">M294+J294+G294</f>
        <v>3.9652</v>
      </c>
      <c r="R294" s="144" t="n">
        <f aca="false">O294+L294+I294</f>
        <v>0</v>
      </c>
      <c r="S294" s="145"/>
      <c r="T294" s="71" t="n">
        <f aca="false">A295-A294</f>
        <v>31</v>
      </c>
      <c r="U294" s="146" t="n">
        <f aca="false">CHOOSE(F$3,A295+24,A294)</f>
        <v>45682</v>
      </c>
      <c r="V294" s="71" t="n">
        <f aca="false">U294-C$3</f>
        <v>8794</v>
      </c>
      <c r="W294" s="142" t="n">
        <f aca="false">VLOOKUP($A294,Table,MATCH(W$4,Curves,0))</f>
        <v>0.058966861357273</v>
      </c>
      <c r="X294" s="147" t="n">
        <f aca="false">1/(1+CHOOSE(F$3,(W295+($K$3/10000))/2,(W294+($K$3/10000))/2))^(2*V294/365.25)</f>
        <v>0.246794723248366</v>
      </c>
      <c r="Y294" s="71" t="n">
        <f aca="false">IF(AND(mthbeg&lt;=A294,mthend&gt;=A294),1,0)</f>
        <v>0</v>
      </c>
      <c r="Z294" s="71" t="n">
        <f aca="false">T294*Y294</f>
        <v>0</v>
      </c>
      <c r="AB294" s="132" t="n">
        <f aca="false">F294*G294</f>
        <v>0</v>
      </c>
      <c r="AC294" s="132" t="n">
        <f aca="false">$F294*H294</f>
        <v>0</v>
      </c>
      <c r="AD294" s="132" t="n">
        <f aca="false">$F294*I294</f>
        <v>0</v>
      </c>
      <c r="AE294" s="132" t="n">
        <f aca="false">$F294*J294</f>
        <v>-0</v>
      </c>
      <c r="AF294" s="132" t="n">
        <f aca="false">$F294*K294</f>
        <v>-0</v>
      </c>
      <c r="AG294" s="132" t="n">
        <f aca="false">$F294*L294</f>
        <v>0</v>
      </c>
      <c r="AH294" s="132" t="n">
        <f aca="false">$F294*M294</f>
        <v>0</v>
      </c>
      <c r="AI294" s="132" t="n">
        <f aca="false">$F294*N294</f>
        <v>0</v>
      </c>
      <c r="AJ294" s="132" t="n">
        <f aca="false">F294*O294</f>
        <v>0</v>
      </c>
      <c r="AK294" s="137"/>
      <c r="AL294" s="132" t="n">
        <f aca="false">CHOOSE($G$3,AC294-AD294,AD294-AC294)</f>
        <v>0</v>
      </c>
      <c r="AM294" s="132" t="n">
        <f aca="false">CHOOSE($G$3,AF294-AG294,AG294-AF294)</f>
        <v>0</v>
      </c>
      <c r="AN294" s="132" t="n">
        <f aca="false">CHOOSE($G$3,AI294-AJ294,AJ294-AI294)</f>
        <v>0</v>
      </c>
      <c r="AO294" s="148" t="n">
        <f aca="false">SUM(AL294:AN294)</f>
        <v>0</v>
      </c>
      <c r="AQ294" s="132" t="n">
        <f aca="false">CHOOSE($G$3,AB294-AC294,AC294-AB294)</f>
        <v>0</v>
      </c>
      <c r="AR294" s="132" t="n">
        <f aca="false">CHOOSE($G$3,AE294-AF294,AF294-AE294)</f>
        <v>0</v>
      </c>
      <c r="AS294" s="132" t="n">
        <f aca="false">CHOOSE($G$3,AH294-AI294,AI294-AH294)</f>
        <v>0</v>
      </c>
      <c r="AT294" s="148" t="n">
        <f aca="false">AQ294+AR294+AS294</f>
        <v>0</v>
      </c>
      <c r="AU294" s="148"/>
      <c r="AV294" s="133" t="n">
        <f aca="false">AT294+AO294</f>
        <v>0</v>
      </c>
      <c r="AX294" s="133" t="n">
        <f aca="false">AJ294+AG294+AD294</f>
        <v>0</v>
      </c>
      <c r="AY294" s="149"/>
      <c r="AZ294" s="76" t="n">
        <f aca="false">R294*E294</f>
        <v>0</v>
      </c>
    </row>
    <row r="295" customFormat="false" ht="12" hidden="false" customHeight="true" outlineLevel="0" collapsed="false">
      <c r="A295" s="138" t="n">
        <f aca="false">EDATE(A294,1)</f>
        <v>45658</v>
      </c>
      <c r="B295" s="139" t="n">
        <f aca="false">VLOOKUP($A295,Table2,MATCH(I$3,Curves2,0))</f>
        <v>0</v>
      </c>
      <c r="C295" s="140"/>
      <c r="D295" s="141" t="n">
        <f aca="false">B295+C295</f>
        <v>0</v>
      </c>
      <c r="E295" s="126" t="n">
        <f aca="false">IF(Y295=0,0,IF(AND(Y295=1,$H$3=1),D295*T295,IF($H$3=2,D295,"N/A")))</f>
        <v>0</v>
      </c>
      <c r="F295" s="126" t="n">
        <f aca="false">E295*X295</f>
        <v>0</v>
      </c>
      <c r="G295" s="142" t="n">
        <f aca="false">VLOOKUP($A295,Table,MATCH(G$4,Curves,0))</f>
        <v>3.987</v>
      </c>
      <c r="H295" s="143" t="n">
        <f aca="false">G295</f>
        <v>3.987</v>
      </c>
      <c r="I295" s="142" t="n">
        <f aca="false">VLOOKUP($A295,Table1,MATCH(I$3,Curves1,0))</f>
        <v>0</v>
      </c>
      <c r="J295" s="142" t="n">
        <f aca="false">VLOOKUP($A295,Table,MATCH(J$4,Curves,0))</f>
        <v>-0.0305</v>
      </c>
      <c r="K295" s="143" t="n">
        <f aca="false">J295</f>
        <v>-0.0305</v>
      </c>
      <c r="L295" s="144" t="n">
        <v>0</v>
      </c>
      <c r="M295" s="142" t="n">
        <f aca="false">VLOOKUP($A295,Table,MATCH(M$4,Curves,0))</f>
        <v>0.0087</v>
      </c>
      <c r="N295" s="143" t="n">
        <f aca="false">M295</f>
        <v>0.0087</v>
      </c>
      <c r="O295" s="144" t="n">
        <v>0</v>
      </c>
      <c r="P295" s="145"/>
      <c r="Q295" s="144" t="n">
        <f aca="false">M295+J295+G295</f>
        <v>3.9652</v>
      </c>
      <c r="R295" s="144" t="n">
        <f aca="false">O295+L295+I295</f>
        <v>0</v>
      </c>
      <c r="S295" s="145"/>
      <c r="T295" s="71" t="n">
        <f aca="false">A296-A295</f>
        <v>31</v>
      </c>
      <c r="U295" s="146" t="n">
        <f aca="false">CHOOSE(F$3,A296+24,A295)</f>
        <v>45713</v>
      </c>
      <c r="V295" s="71" t="n">
        <f aca="false">U295-C$3</f>
        <v>8825</v>
      </c>
      <c r="W295" s="142" t="n">
        <f aca="false">VLOOKUP($A295,Table,MATCH(W$4,Curves,0))</f>
        <v>0.058966861357273</v>
      </c>
      <c r="X295" s="147" t="n">
        <f aca="false">1/(1+CHOOSE(F$3,(W296+($K$3/10000))/2,(W295+($K$3/10000))/2))^(2*V295/365.25)</f>
        <v>0.24558044061262</v>
      </c>
      <c r="Y295" s="71" t="n">
        <f aca="false">IF(AND(mthbeg&lt;=A295,mthend&gt;=A295),1,0)</f>
        <v>0</v>
      </c>
      <c r="Z295" s="71" t="n">
        <f aca="false">T295*Y295</f>
        <v>0</v>
      </c>
      <c r="AB295" s="132" t="n">
        <f aca="false">F295*G295</f>
        <v>0</v>
      </c>
      <c r="AC295" s="132" t="n">
        <f aca="false">$F295*H295</f>
        <v>0</v>
      </c>
      <c r="AD295" s="132" t="n">
        <f aca="false">$F295*I295</f>
        <v>0</v>
      </c>
      <c r="AE295" s="132" t="n">
        <f aca="false">$F295*J295</f>
        <v>-0</v>
      </c>
      <c r="AF295" s="132" t="n">
        <f aca="false">$F295*K295</f>
        <v>-0</v>
      </c>
      <c r="AG295" s="132" t="n">
        <f aca="false">$F295*L295</f>
        <v>0</v>
      </c>
      <c r="AH295" s="132" t="n">
        <f aca="false">$F295*M295</f>
        <v>0</v>
      </c>
      <c r="AI295" s="132" t="n">
        <f aca="false">$F295*N295</f>
        <v>0</v>
      </c>
      <c r="AJ295" s="132" t="n">
        <f aca="false">F295*O295</f>
        <v>0</v>
      </c>
      <c r="AK295" s="137"/>
      <c r="AL295" s="132" t="n">
        <f aca="false">CHOOSE($G$3,AC295-AD295,AD295-AC295)</f>
        <v>0</v>
      </c>
      <c r="AM295" s="132" t="n">
        <f aca="false">CHOOSE($G$3,AF295-AG295,AG295-AF295)</f>
        <v>0</v>
      </c>
      <c r="AN295" s="132" t="n">
        <f aca="false">CHOOSE($G$3,AI295-AJ295,AJ295-AI295)</f>
        <v>0</v>
      </c>
      <c r="AO295" s="148" t="n">
        <f aca="false">SUM(AL295:AN295)</f>
        <v>0</v>
      </c>
      <c r="AQ295" s="132" t="n">
        <f aca="false">CHOOSE($G$3,AB295-AC295,AC295-AB295)</f>
        <v>0</v>
      </c>
      <c r="AR295" s="132" t="n">
        <f aca="false">CHOOSE($G$3,AE295-AF295,AF295-AE295)</f>
        <v>0</v>
      </c>
      <c r="AS295" s="132" t="n">
        <f aca="false">CHOOSE($G$3,AH295-AI295,AI295-AH295)</f>
        <v>0</v>
      </c>
      <c r="AT295" s="148" t="n">
        <f aca="false">AQ295+AR295+AS295</f>
        <v>0</v>
      </c>
      <c r="AU295" s="148"/>
      <c r="AV295" s="133" t="n">
        <f aca="false">AT295+AO295</f>
        <v>0</v>
      </c>
      <c r="AX295" s="133" t="n">
        <f aca="false">AJ295+AG295+AD295</f>
        <v>0</v>
      </c>
      <c r="AY295" s="149"/>
      <c r="AZ295" s="76" t="n">
        <f aca="false">R295*E295</f>
        <v>0</v>
      </c>
    </row>
    <row r="296" customFormat="false" ht="12" hidden="false" customHeight="true" outlineLevel="0" collapsed="false">
      <c r="A296" s="138" t="n">
        <f aca="false">EDATE(A295,1)</f>
        <v>45689</v>
      </c>
      <c r="B296" s="139" t="n">
        <f aca="false">VLOOKUP($A296,Table2,MATCH(I$3,Curves2,0))</f>
        <v>0</v>
      </c>
      <c r="C296" s="140"/>
      <c r="D296" s="141" t="n">
        <f aca="false">B296+C296</f>
        <v>0</v>
      </c>
      <c r="E296" s="126" t="n">
        <f aca="false">IF(Y296=0,0,IF(AND(Y296=1,$H$3=1),D296*T296,IF($H$3=2,D296,"N/A")))</f>
        <v>0</v>
      </c>
      <c r="F296" s="126" t="n">
        <f aca="false">E296*X296</f>
        <v>0</v>
      </c>
      <c r="G296" s="142" t="n">
        <f aca="false">VLOOKUP($A296,Table,MATCH(G$4,Curves,0))</f>
        <v>3.987</v>
      </c>
      <c r="H296" s="143" t="n">
        <f aca="false">G296</f>
        <v>3.987</v>
      </c>
      <c r="I296" s="142" t="n">
        <f aca="false">VLOOKUP($A296,Table1,MATCH(I$3,Curves1,0))</f>
        <v>0</v>
      </c>
      <c r="J296" s="142" t="n">
        <f aca="false">VLOOKUP($A296,Table,MATCH(J$4,Curves,0))</f>
        <v>-0.0305</v>
      </c>
      <c r="K296" s="143" t="n">
        <f aca="false">J296</f>
        <v>-0.0305</v>
      </c>
      <c r="L296" s="144" t="n">
        <v>0</v>
      </c>
      <c r="M296" s="142" t="n">
        <f aca="false">VLOOKUP($A296,Table,MATCH(M$4,Curves,0))</f>
        <v>0.0087</v>
      </c>
      <c r="N296" s="143" t="n">
        <f aca="false">M296</f>
        <v>0.0087</v>
      </c>
      <c r="O296" s="144" t="n">
        <v>0</v>
      </c>
      <c r="P296" s="145"/>
      <c r="Q296" s="144" t="n">
        <f aca="false">M296+J296+G296</f>
        <v>3.9652</v>
      </c>
      <c r="R296" s="144" t="n">
        <f aca="false">O296+L296+I296</f>
        <v>0</v>
      </c>
      <c r="S296" s="145"/>
      <c r="T296" s="71" t="n">
        <f aca="false">A297-A296</f>
        <v>28</v>
      </c>
      <c r="U296" s="146" t="n">
        <f aca="false">CHOOSE(F$3,A297+24,A296)</f>
        <v>45741</v>
      </c>
      <c r="V296" s="71" t="n">
        <f aca="false">U296-C$3</f>
        <v>8853</v>
      </c>
      <c r="W296" s="142" t="n">
        <f aca="false">VLOOKUP($A296,Table,MATCH(W$4,Curves,0))</f>
        <v>0.058966861357273</v>
      </c>
      <c r="X296" s="147" t="n">
        <f aca="false">1/(1+CHOOSE(F$3,(W297+($K$3/10000))/2,(W296+($K$3/10000))/2))^(2*V296/365.25)</f>
        <v>0.244488805251268</v>
      </c>
      <c r="Y296" s="71" t="n">
        <f aca="false">IF(AND(mthbeg&lt;=A296,mthend&gt;=A296),1,0)</f>
        <v>0</v>
      </c>
      <c r="Z296" s="71" t="n">
        <f aca="false">T296*Y296</f>
        <v>0</v>
      </c>
      <c r="AB296" s="132" t="n">
        <f aca="false">F296*G296</f>
        <v>0</v>
      </c>
      <c r="AC296" s="132" t="n">
        <f aca="false">$F296*H296</f>
        <v>0</v>
      </c>
      <c r="AD296" s="132" t="n">
        <f aca="false">$F296*I296</f>
        <v>0</v>
      </c>
      <c r="AE296" s="132" t="n">
        <f aca="false">$F296*J296</f>
        <v>-0</v>
      </c>
      <c r="AF296" s="132" t="n">
        <f aca="false">$F296*K296</f>
        <v>-0</v>
      </c>
      <c r="AG296" s="132" t="n">
        <f aca="false">$F296*L296</f>
        <v>0</v>
      </c>
      <c r="AH296" s="132" t="n">
        <f aca="false">$F296*M296</f>
        <v>0</v>
      </c>
      <c r="AI296" s="132" t="n">
        <f aca="false">$F296*N296</f>
        <v>0</v>
      </c>
      <c r="AJ296" s="132" t="n">
        <f aca="false">F296*O296</f>
        <v>0</v>
      </c>
      <c r="AK296" s="137"/>
      <c r="AL296" s="132" t="n">
        <f aca="false">CHOOSE($G$3,AC296-AD296,AD296-AC296)</f>
        <v>0</v>
      </c>
      <c r="AM296" s="132" t="n">
        <f aca="false">CHOOSE($G$3,AF296-AG296,AG296-AF296)</f>
        <v>0</v>
      </c>
      <c r="AN296" s="132" t="n">
        <f aca="false">CHOOSE($G$3,AI296-AJ296,AJ296-AI296)</f>
        <v>0</v>
      </c>
      <c r="AO296" s="148" t="n">
        <f aca="false">SUM(AL296:AN296)</f>
        <v>0</v>
      </c>
      <c r="AQ296" s="132" t="n">
        <f aca="false">CHOOSE($G$3,AB296-AC296,AC296-AB296)</f>
        <v>0</v>
      </c>
      <c r="AR296" s="132" t="n">
        <f aca="false">CHOOSE($G$3,AE296-AF296,AF296-AE296)</f>
        <v>0</v>
      </c>
      <c r="AS296" s="132" t="n">
        <f aca="false">CHOOSE($G$3,AH296-AI296,AI296-AH296)</f>
        <v>0</v>
      </c>
      <c r="AT296" s="148" t="n">
        <f aca="false">AQ296+AR296+AS296</f>
        <v>0</v>
      </c>
      <c r="AU296" s="148"/>
      <c r="AV296" s="133" t="n">
        <f aca="false">AT296+AO296</f>
        <v>0</v>
      </c>
      <c r="AX296" s="133" t="n">
        <f aca="false">AJ296+AG296+AD296</f>
        <v>0</v>
      </c>
      <c r="AY296" s="149"/>
      <c r="AZ296" s="76" t="n">
        <f aca="false">R296*E296</f>
        <v>0</v>
      </c>
    </row>
    <row r="297" customFormat="false" ht="12" hidden="false" customHeight="true" outlineLevel="0" collapsed="false">
      <c r="A297" s="138" t="n">
        <f aca="false">EDATE(A296,1)</f>
        <v>45717</v>
      </c>
      <c r="B297" s="139" t="n">
        <f aca="false">VLOOKUP($A297,Table2,MATCH(I$3,Curves2,0))</f>
        <v>0</v>
      </c>
      <c r="C297" s="140"/>
      <c r="D297" s="141" t="n">
        <f aca="false">B297+C297</f>
        <v>0</v>
      </c>
      <c r="E297" s="126" t="n">
        <f aca="false">IF(Y297=0,0,IF(AND(Y297=1,$H$3=1),D297*T297,IF($H$3=2,D297,"N/A")))</f>
        <v>0</v>
      </c>
      <c r="F297" s="126" t="n">
        <f aca="false">E297*X297</f>
        <v>0</v>
      </c>
      <c r="G297" s="142" t="n">
        <f aca="false">VLOOKUP($A297,Table,MATCH(G$4,Curves,0))</f>
        <v>3.987</v>
      </c>
      <c r="H297" s="143" t="n">
        <f aca="false">G297</f>
        <v>3.987</v>
      </c>
      <c r="I297" s="142" t="n">
        <f aca="false">VLOOKUP($A297,Table1,MATCH(I$3,Curves1,0))</f>
        <v>0</v>
      </c>
      <c r="J297" s="142" t="n">
        <f aca="false">VLOOKUP($A297,Table,MATCH(J$4,Curves,0))</f>
        <v>-0.0305</v>
      </c>
      <c r="K297" s="143" t="n">
        <f aca="false">J297</f>
        <v>-0.0305</v>
      </c>
      <c r="L297" s="144" t="n">
        <v>0</v>
      </c>
      <c r="M297" s="142" t="n">
        <f aca="false">VLOOKUP($A297,Table,MATCH(M$4,Curves,0))</f>
        <v>0.0087</v>
      </c>
      <c r="N297" s="143" t="n">
        <f aca="false">M297</f>
        <v>0.0087</v>
      </c>
      <c r="O297" s="144" t="n">
        <v>0</v>
      </c>
      <c r="P297" s="145"/>
      <c r="Q297" s="144" t="n">
        <f aca="false">M297+J297+G297</f>
        <v>3.9652</v>
      </c>
      <c r="R297" s="144" t="n">
        <f aca="false">O297+L297+I297</f>
        <v>0</v>
      </c>
      <c r="S297" s="145"/>
      <c r="T297" s="71" t="n">
        <f aca="false">A298-A297</f>
        <v>31</v>
      </c>
      <c r="U297" s="146" t="n">
        <f aca="false">CHOOSE(F$3,A298+24,A297)</f>
        <v>45772</v>
      </c>
      <c r="V297" s="71" t="n">
        <f aca="false">U297-C$3</f>
        <v>8884</v>
      </c>
      <c r="W297" s="142" t="n">
        <f aca="false">VLOOKUP($A297,Table,MATCH(W$4,Curves,0))</f>
        <v>0.058966861357273</v>
      </c>
      <c r="X297" s="147" t="n">
        <f aca="false">1/(1+CHOOSE(F$3,(W298+($K$3/10000))/2,(W297+($K$3/10000))/2))^(2*V297/365.25)</f>
        <v>0.24328586822351</v>
      </c>
      <c r="Y297" s="71" t="n">
        <f aca="false">IF(AND(mthbeg&lt;=A297,mthend&gt;=A297),1,0)</f>
        <v>0</v>
      </c>
      <c r="Z297" s="71" t="n">
        <f aca="false">T297*Y297</f>
        <v>0</v>
      </c>
      <c r="AB297" s="132" t="n">
        <f aca="false">F297*G297</f>
        <v>0</v>
      </c>
      <c r="AC297" s="132" t="n">
        <f aca="false">$F297*H297</f>
        <v>0</v>
      </c>
      <c r="AD297" s="132" t="n">
        <f aca="false">$F297*I297</f>
        <v>0</v>
      </c>
      <c r="AE297" s="132" t="n">
        <f aca="false">$F297*J297</f>
        <v>-0</v>
      </c>
      <c r="AF297" s="132" t="n">
        <f aca="false">$F297*K297</f>
        <v>-0</v>
      </c>
      <c r="AG297" s="132" t="n">
        <f aca="false">$F297*L297</f>
        <v>0</v>
      </c>
      <c r="AH297" s="132" t="n">
        <f aca="false">$F297*M297</f>
        <v>0</v>
      </c>
      <c r="AI297" s="132" t="n">
        <f aca="false">$F297*N297</f>
        <v>0</v>
      </c>
      <c r="AJ297" s="132" t="n">
        <f aca="false">F297*O297</f>
        <v>0</v>
      </c>
      <c r="AK297" s="137"/>
      <c r="AL297" s="132" t="n">
        <f aca="false">CHOOSE($G$3,AC297-AD297,AD297-AC297)</f>
        <v>0</v>
      </c>
      <c r="AM297" s="132" t="n">
        <f aca="false">CHOOSE($G$3,AF297-AG297,AG297-AF297)</f>
        <v>0</v>
      </c>
      <c r="AN297" s="132" t="n">
        <f aca="false">CHOOSE($G$3,AI297-AJ297,AJ297-AI297)</f>
        <v>0</v>
      </c>
      <c r="AO297" s="148" t="n">
        <f aca="false">SUM(AL297:AN297)</f>
        <v>0</v>
      </c>
      <c r="AQ297" s="132" t="n">
        <f aca="false">CHOOSE($G$3,AB297-AC297,AC297-AB297)</f>
        <v>0</v>
      </c>
      <c r="AR297" s="132" t="n">
        <f aca="false">CHOOSE($G$3,AE297-AF297,AF297-AE297)</f>
        <v>0</v>
      </c>
      <c r="AS297" s="132" t="n">
        <f aca="false">CHOOSE($G$3,AH297-AI297,AI297-AH297)</f>
        <v>0</v>
      </c>
      <c r="AT297" s="148" t="n">
        <f aca="false">AQ297+AR297+AS297</f>
        <v>0</v>
      </c>
      <c r="AU297" s="148"/>
      <c r="AV297" s="133" t="n">
        <f aca="false">AT297+AO297</f>
        <v>0</v>
      </c>
      <c r="AX297" s="133" t="n">
        <f aca="false">AJ297+AG297+AD297</f>
        <v>0</v>
      </c>
      <c r="AY297" s="149"/>
      <c r="AZ297" s="76" t="n">
        <f aca="false">R297*E297</f>
        <v>0</v>
      </c>
    </row>
    <row r="298" customFormat="false" ht="12" hidden="false" customHeight="true" outlineLevel="0" collapsed="false">
      <c r="A298" s="138" t="n">
        <f aca="false">EDATE(A297,1)</f>
        <v>45748</v>
      </c>
      <c r="B298" s="139" t="n">
        <f aca="false">VLOOKUP($A298,Table2,MATCH(I$3,Curves2,0))</f>
        <v>0</v>
      </c>
      <c r="C298" s="140"/>
      <c r="D298" s="141" t="n">
        <f aca="false">B298+C298</f>
        <v>0</v>
      </c>
      <c r="E298" s="126" t="n">
        <f aca="false">IF(Y298=0,0,IF(AND(Y298=1,$H$3=1),D298*T298,IF($H$3=2,D298,"N/A")))</f>
        <v>0</v>
      </c>
      <c r="F298" s="126" t="n">
        <f aca="false">E298*X298</f>
        <v>0</v>
      </c>
      <c r="G298" s="142" t="n">
        <f aca="false">VLOOKUP($A298,Table,MATCH(G$4,Curves,0))</f>
        <v>3.987</v>
      </c>
      <c r="H298" s="143" t="n">
        <f aca="false">G298</f>
        <v>3.987</v>
      </c>
      <c r="I298" s="142" t="n">
        <f aca="false">VLOOKUP($A298,Table1,MATCH(I$3,Curves1,0))</f>
        <v>0</v>
      </c>
      <c r="J298" s="142" t="n">
        <f aca="false">VLOOKUP($A298,Table,MATCH(J$4,Curves,0))</f>
        <v>-0.0305</v>
      </c>
      <c r="K298" s="143" t="n">
        <f aca="false">J298</f>
        <v>-0.0305</v>
      </c>
      <c r="L298" s="144" t="n">
        <v>0</v>
      </c>
      <c r="M298" s="142" t="n">
        <f aca="false">VLOOKUP($A298,Table,MATCH(M$4,Curves,0))</f>
        <v>0.0087</v>
      </c>
      <c r="N298" s="143" t="n">
        <f aca="false">M298</f>
        <v>0.0087</v>
      </c>
      <c r="O298" s="144" t="n">
        <v>0</v>
      </c>
      <c r="P298" s="145"/>
      <c r="Q298" s="144" t="n">
        <f aca="false">M298+J298+G298</f>
        <v>3.9652</v>
      </c>
      <c r="R298" s="144" t="n">
        <f aca="false">O298+L298+I298</f>
        <v>0</v>
      </c>
      <c r="S298" s="145"/>
      <c r="T298" s="71" t="n">
        <f aca="false">A299-A298</f>
        <v>30</v>
      </c>
      <c r="U298" s="146" t="n">
        <f aca="false">CHOOSE(F$3,A299+24,A298)</f>
        <v>45802</v>
      </c>
      <c r="V298" s="71" t="n">
        <f aca="false">U298-C$3</f>
        <v>8914</v>
      </c>
      <c r="W298" s="142" t="n">
        <f aca="false">VLOOKUP($A298,Table,MATCH(W$4,Curves,0))</f>
        <v>0.058966861357273</v>
      </c>
      <c r="X298" s="147" t="n">
        <f aca="false">1/(1+CHOOSE(F$3,(W299+($K$3/10000))/2,(W298+($K$3/10000))/2))^(2*V298/365.25)</f>
        <v>0.242127371311499</v>
      </c>
      <c r="Y298" s="71" t="n">
        <f aca="false">IF(AND(mthbeg&lt;=A298,mthend&gt;=A298),1,0)</f>
        <v>0</v>
      </c>
      <c r="Z298" s="71" t="n">
        <f aca="false">T298*Y298</f>
        <v>0</v>
      </c>
      <c r="AB298" s="132" t="n">
        <f aca="false">F298*G298</f>
        <v>0</v>
      </c>
      <c r="AC298" s="132" t="n">
        <f aca="false">$F298*H298</f>
        <v>0</v>
      </c>
      <c r="AD298" s="132" t="n">
        <f aca="false">$F298*I298</f>
        <v>0</v>
      </c>
      <c r="AE298" s="132" t="n">
        <f aca="false">$F298*J298</f>
        <v>-0</v>
      </c>
      <c r="AF298" s="132" t="n">
        <f aca="false">$F298*K298</f>
        <v>-0</v>
      </c>
      <c r="AG298" s="132" t="n">
        <f aca="false">$F298*L298</f>
        <v>0</v>
      </c>
      <c r="AH298" s="132" t="n">
        <f aca="false">$F298*M298</f>
        <v>0</v>
      </c>
      <c r="AI298" s="132" t="n">
        <f aca="false">$F298*N298</f>
        <v>0</v>
      </c>
      <c r="AJ298" s="132" t="n">
        <f aca="false">F298*O298</f>
        <v>0</v>
      </c>
      <c r="AK298" s="137"/>
      <c r="AL298" s="132" t="n">
        <f aca="false">CHOOSE($G$3,AC298-AD298,AD298-AC298)</f>
        <v>0</v>
      </c>
      <c r="AM298" s="132" t="n">
        <f aca="false">CHOOSE($G$3,AF298-AG298,AG298-AF298)</f>
        <v>0</v>
      </c>
      <c r="AN298" s="132" t="n">
        <f aca="false">CHOOSE($G$3,AI298-AJ298,AJ298-AI298)</f>
        <v>0</v>
      </c>
      <c r="AO298" s="148" t="n">
        <f aca="false">SUM(AL298:AN298)</f>
        <v>0</v>
      </c>
      <c r="AQ298" s="132" t="n">
        <f aca="false">CHOOSE($G$3,AB298-AC298,AC298-AB298)</f>
        <v>0</v>
      </c>
      <c r="AR298" s="132" t="n">
        <f aca="false">CHOOSE($G$3,AE298-AF298,AF298-AE298)</f>
        <v>0</v>
      </c>
      <c r="AS298" s="132" t="n">
        <f aca="false">CHOOSE($G$3,AH298-AI298,AI298-AH298)</f>
        <v>0</v>
      </c>
      <c r="AT298" s="148" t="n">
        <f aca="false">AQ298+AR298+AS298</f>
        <v>0</v>
      </c>
      <c r="AU298" s="148"/>
      <c r="AV298" s="133" t="n">
        <f aca="false">AT298+AO298</f>
        <v>0</v>
      </c>
      <c r="AX298" s="133" t="n">
        <f aca="false">AJ298+AG298+AD298</f>
        <v>0</v>
      </c>
      <c r="AY298" s="149"/>
      <c r="AZ298" s="76" t="n">
        <f aca="false">R298*E298</f>
        <v>0</v>
      </c>
    </row>
    <row r="299" customFormat="false" ht="12" hidden="false" customHeight="true" outlineLevel="0" collapsed="false">
      <c r="A299" s="138" t="n">
        <f aca="false">EDATE(A298,1)</f>
        <v>45778</v>
      </c>
      <c r="B299" s="139" t="n">
        <f aca="false">VLOOKUP($A299,Table2,MATCH(I$3,Curves2,0))</f>
        <v>0</v>
      </c>
      <c r="C299" s="140"/>
      <c r="D299" s="141" t="n">
        <f aca="false">B299+C299</f>
        <v>0</v>
      </c>
      <c r="E299" s="126" t="n">
        <f aca="false">IF(Y299=0,0,IF(AND(Y299=1,$H$3=1),D299*T299,IF($H$3=2,D299,"N/A")))</f>
        <v>0</v>
      </c>
      <c r="F299" s="126" t="n">
        <f aca="false">E299*X299</f>
        <v>0</v>
      </c>
      <c r="G299" s="142" t="n">
        <f aca="false">VLOOKUP($A299,Table,MATCH(G$4,Curves,0))</f>
        <v>3.987</v>
      </c>
      <c r="H299" s="143" t="n">
        <f aca="false">G299</f>
        <v>3.987</v>
      </c>
      <c r="I299" s="142" t="n">
        <f aca="false">VLOOKUP($A299,Table1,MATCH(I$3,Curves1,0))</f>
        <v>0</v>
      </c>
      <c r="J299" s="142" t="n">
        <f aca="false">VLOOKUP($A299,Table,MATCH(J$4,Curves,0))</f>
        <v>-0.0305</v>
      </c>
      <c r="K299" s="143" t="n">
        <f aca="false">J299</f>
        <v>-0.0305</v>
      </c>
      <c r="L299" s="144" t="n">
        <v>0</v>
      </c>
      <c r="M299" s="142" t="n">
        <f aca="false">VLOOKUP($A299,Table,MATCH(M$4,Curves,0))</f>
        <v>0.0087</v>
      </c>
      <c r="N299" s="143" t="n">
        <f aca="false">M299</f>
        <v>0.0087</v>
      </c>
      <c r="O299" s="144" t="n">
        <v>0</v>
      </c>
      <c r="P299" s="145"/>
      <c r="Q299" s="144" t="n">
        <f aca="false">M299+J299+G299</f>
        <v>3.9652</v>
      </c>
      <c r="R299" s="144" t="n">
        <f aca="false">O299+L299+I299</f>
        <v>0</v>
      </c>
      <c r="S299" s="145"/>
      <c r="T299" s="71" t="n">
        <f aca="false">A300-A299</f>
        <v>31</v>
      </c>
      <c r="U299" s="146" t="n">
        <f aca="false">CHOOSE(F$3,A300+24,A299)</f>
        <v>45833</v>
      </c>
      <c r="V299" s="71" t="n">
        <f aca="false">U299-C$3</f>
        <v>8945</v>
      </c>
      <c r="W299" s="142" t="n">
        <f aca="false">VLOOKUP($A299,Table,MATCH(W$4,Curves,0))</f>
        <v>0.058966861357273</v>
      </c>
      <c r="X299" s="147" t="n">
        <f aca="false">1/(1+CHOOSE(F$3,(W300+($K$3/10000))/2,(W299+($K$3/10000))/2))^(2*V299/365.25)</f>
        <v>0.240936053041997</v>
      </c>
      <c r="Y299" s="71" t="n">
        <f aca="false">IF(AND(mthbeg&lt;=A299,mthend&gt;=A299),1,0)</f>
        <v>0</v>
      </c>
      <c r="Z299" s="71" t="n">
        <f aca="false">T299*Y299</f>
        <v>0</v>
      </c>
      <c r="AB299" s="132" t="n">
        <f aca="false">F299*G299</f>
        <v>0</v>
      </c>
      <c r="AC299" s="132" t="n">
        <f aca="false">$F299*H299</f>
        <v>0</v>
      </c>
      <c r="AD299" s="132" t="n">
        <f aca="false">$F299*I299</f>
        <v>0</v>
      </c>
      <c r="AE299" s="132" t="n">
        <f aca="false">$F299*J299</f>
        <v>-0</v>
      </c>
      <c r="AF299" s="132" t="n">
        <f aca="false">$F299*K299</f>
        <v>-0</v>
      </c>
      <c r="AG299" s="132" t="n">
        <f aca="false">$F299*L299</f>
        <v>0</v>
      </c>
      <c r="AH299" s="132" t="n">
        <f aca="false">$F299*M299</f>
        <v>0</v>
      </c>
      <c r="AI299" s="132" t="n">
        <f aca="false">$F299*N299</f>
        <v>0</v>
      </c>
      <c r="AJ299" s="132" t="n">
        <f aca="false">F299*O299</f>
        <v>0</v>
      </c>
      <c r="AK299" s="137"/>
      <c r="AL299" s="132" t="n">
        <f aca="false">CHOOSE($G$3,AC299-AD299,AD299-AC299)</f>
        <v>0</v>
      </c>
      <c r="AM299" s="132" t="n">
        <f aca="false">CHOOSE($G$3,AF299-AG299,AG299-AF299)</f>
        <v>0</v>
      </c>
      <c r="AN299" s="132" t="n">
        <f aca="false">CHOOSE($G$3,AI299-AJ299,AJ299-AI299)</f>
        <v>0</v>
      </c>
      <c r="AO299" s="148" t="n">
        <f aca="false">SUM(AL299:AN299)</f>
        <v>0</v>
      </c>
      <c r="AQ299" s="132" t="n">
        <f aca="false">CHOOSE($G$3,AB299-AC299,AC299-AB299)</f>
        <v>0</v>
      </c>
      <c r="AR299" s="132" t="n">
        <f aca="false">CHOOSE($G$3,AE299-AF299,AF299-AE299)</f>
        <v>0</v>
      </c>
      <c r="AS299" s="132" t="n">
        <f aca="false">CHOOSE($G$3,AH299-AI299,AI299-AH299)</f>
        <v>0</v>
      </c>
      <c r="AT299" s="148" t="n">
        <f aca="false">AQ299+AR299+AS299</f>
        <v>0</v>
      </c>
      <c r="AU299" s="148"/>
      <c r="AV299" s="133" t="n">
        <f aca="false">AT299+AO299</f>
        <v>0</v>
      </c>
      <c r="AX299" s="133" t="n">
        <f aca="false">AJ299+AG299+AD299</f>
        <v>0</v>
      </c>
      <c r="AY299" s="149"/>
      <c r="AZ299" s="76" t="n">
        <f aca="false">R299*E299</f>
        <v>0</v>
      </c>
    </row>
    <row r="300" customFormat="false" ht="12" hidden="false" customHeight="true" outlineLevel="0" collapsed="false">
      <c r="A300" s="138" t="n">
        <f aca="false">EDATE(A299,1)</f>
        <v>45809</v>
      </c>
      <c r="B300" s="139" t="n">
        <f aca="false">VLOOKUP($A300,Table2,MATCH(I$3,Curves2,0))</f>
        <v>0</v>
      </c>
      <c r="C300" s="140"/>
      <c r="D300" s="141" t="n">
        <f aca="false">B300+C300</f>
        <v>0</v>
      </c>
      <c r="E300" s="126" t="n">
        <f aca="false">IF(Y300=0,0,IF(AND(Y300=1,$H$3=1),D300*T300,IF($H$3=2,D300,"N/A")))</f>
        <v>0</v>
      </c>
      <c r="F300" s="126" t="n">
        <f aca="false">E300*X300</f>
        <v>0</v>
      </c>
      <c r="G300" s="142" t="n">
        <f aca="false">VLOOKUP($A300,Table,MATCH(G$4,Curves,0))</f>
        <v>3.987</v>
      </c>
      <c r="H300" s="143" t="n">
        <f aca="false">G300</f>
        <v>3.987</v>
      </c>
      <c r="I300" s="142" t="n">
        <f aca="false">VLOOKUP($A300,Table1,MATCH(I$3,Curves1,0))</f>
        <v>0</v>
      </c>
      <c r="J300" s="142" t="n">
        <f aca="false">VLOOKUP($A300,Table,MATCH(J$4,Curves,0))</f>
        <v>-0.0305</v>
      </c>
      <c r="K300" s="143" t="n">
        <f aca="false">J300</f>
        <v>-0.0305</v>
      </c>
      <c r="L300" s="144" t="n">
        <v>0</v>
      </c>
      <c r="M300" s="142" t="n">
        <f aca="false">VLOOKUP($A300,Table,MATCH(M$4,Curves,0))</f>
        <v>0.0087</v>
      </c>
      <c r="N300" s="143" t="n">
        <f aca="false">M300</f>
        <v>0.0087</v>
      </c>
      <c r="O300" s="144" t="n">
        <v>0</v>
      </c>
      <c r="P300" s="145"/>
      <c r="Q300" s="144" t="n">
        <f aca="false">M300+J300+G300</f>
        <v>3.9652</v>
      </c>
      <c r="R300" s="144" t="n">
        <f aca="false">O300+L300+I300</f>
        <v>0</v>
      </c>
      <c r="S300" s="145"/>
      <c r="T300" s="71" t="n">
        <f aca="false">A301-A300</f>
        <v>30</v>
      </c>
      <c r="U300" s="146" t="n">
        <f aca="false">CHOOSE(F$3,A301+24,A300)</f>
        <v>45863</v>
      </c>
      <c r="V300" s="71" t="n">
        <f aca="false">U300-C$3</f>
        <v>8975</v>
      </c>
      <c r="W300" s="142" t="n">
        <f aca="false">VLOOKUP($A300,Table,MATCH(W$4,Curves,0))</f>
        <v>0.058966861357273</v>
      </c>
      <c r="X300" s="147" t="n">
        <f aca="false">1/(1+CHOOSE(F$3,(W301+($K$3/10000))/2,(W300+($K$3/10000))/2))^(2*V300/365.25)</f>
        <v>0.23978874565633</v>
      </c>
      <c r="Y300" s="71" t="n">
        <f aca="false">IF(AND(mthbeg&lt;=A300,mthend&gt;=A300),1,0)</f>
        <v>0</v>
      </c>
      <c r="Z300" s="71" t="n">
        <f aca="false">T300*Y300</f>
        <v>0</v>
      </c>
      <c r="AB300" s="132" t="n">
        <f aca="false">F300*G300</f>
        <v>0</v>
      </c>
      <c r="AC300" s="132" t="n">
        <f aca="false">$F300*H300</f>
        <v>0</v>
      </c>
      <c r="AD300" s="132" t="n">
        <f aca="false">$F300*I300</f>
        <v>0</v>
      </c>
      <c r="AE300" s="132" t="n">
        <f aca="false">$F300*J300</f>
        <v>-0</v>
      </c>
      <c r="AF300" s="132" t="n">
        <f aca="false">$F300*K300</f>
        <v>-0</v>
      </c>
      <c r="AG300" s="132" t="n">
        <f aca="false">$F300*L300</f>
        <v>0</v>
      </c>
      <c r="AH300" s="132" t="n">
        <f aca="false">$F300*M300</f>
        <v>0</v>
      </c>
      <c r="AI300" s="132" t="n">
        <f aca="false">$F300*N300</f>
        <v>0</v>
      </c>
      <c r="AJ300" s="132" t="n">
        <f aca="false">F300*O300</f>
        <v>0</v>
      </c>
      <c r="AK300" s="137"/>
      <c r="AL300" s="132" t="n">
        <f aca="false">CHOOSE($G$3,AC300-AD300,AD300-AC300)</f>
        <v>0</v>
      </c>
      <c r="AM300" s="132" t="n">
        <f aca="false">CHOOSE($G$3,AF300-AG300,AG300-AF300)</f>
        <v>0</v>
      </c>
      <c r="AN300" s="132" t="n">
        <f aca="false">CHOOSE($G$3,AI300-AJ300,AJ300-AI300)</f>
        <v>0</v>
      </c>
      <c r="AO300" s="148" t="n">
        <f aca="false">SUM(AL300:AN300)</f>
        <v>0</v>
      </c>
      <c r="AQ300" s="132" t="n">
        <f aca="false">CHOOSE($G$3,AB300-AC300,AC300-AB300)</f>
        <v>0</v>
      </c>
      <c r="AR300" s="132" t="n">
        <f aca="false">CHOOSE($G$3,AE300-AF300,AF300-AE300)</f>
        <v>0</v>
      </c>
      <c r="AS300" s="132" t="n">
        <f aca="false">CHOOSE($G$3,AH300-AI300,AI300-AH300)</f>
        <v>0</v>
      </c>
      <c r="AT300" s="148" t="n">
        <f aca="false">AQ300+AR300+AS300</f>
        <v>0</v>
      </c>
      <c r="AU300" s="148"/>
      <c r="AV300" s="133" t="n">
        <f aca="false">AT300+AO300</f>
        <v>0</v>
      </c>
      <c r="AX300" s="133" t="n">
        <f aca="false">AJ300+AG300+AD300</f>
        <v>0</v>
      </c>
      <c r="AY300" s="149"/>
      <c r="AZ300" s="76" t="n">
        <f aca="false">R300*E300</f>
        <v>0</v>
      </c>
    </row>
    <row r="301" customFormat="false" ht="12" hidden="false" customHeight="true" outlineLevel="0" collapsed="false">
      <c r="A301" s="138" t="n">
        <f aca="false">EDATE(A300,1)</f>
        <v>45839</v>
      </c>
      <c r="B301" s="139" t="n">
        <f aca="false">VLOOKUP($A301,Table2,MATCH(I$3,Curves2,0))</f>
        <v>0</v>
      </c>
      <c r="C301" s="140"/>
      <c r="D301" s="141" t="n">
        <f aca="false">B301+C301</f>
        <v>0</v>
      </c>
      <c r="E301" s="126" t="n">
        <f aca="false">IF(Y301=0,0,IF(AND(Y301=1,$H$3=1),D301*T301,IF($H$3=2,D301,"N/A")))</f>
        <v>0</v>
      </c>
      <c r="F301" s="126" t="n">
        <f aca="false">E301*X301</f>
        <v>0</v>
      </c>
      <c r="G301" s="142" t="n">
        <f aca="false">VLOOKUP($A301,Table,MATCH(G$4,Curves,0))</f>
        <v>3.987</v>
      </c>
      <c r="H301" s="143" t="n">
        <f aca="false">G301</f>
        <v>3.987</v>
      </c>
      <c r="I301" s="142" t="n">
        <f aca="false">VLOOKUP($A301,Table1,MATCH(I$3,Curves1,0))</f>
        <v>0</v>
      </c>
      <c r="J301" s="142" t="n">
        <f aca="false">VLOOKUP($A301,Table,MATCH(J$4,Curves,0))</f>
        <v>-0.0305</v>
      </c>
      <c r="K301" s="143" t="n">
        <f aca="false">J301</f>
        <v>-0.0305</v>
      </c>
      <c r="L301" s="144" t="n">
        <v>0</v>
      </c>
      <c r="M301" s="142" t="n">
        <f aca="false">VLOOKUP($A301,Table,MATCH(M$4,Curves,0))</f>
        <v>0.0087</v>
      </c>
      <c r="N301" s="143" t="n">
        <f aca="false">M301</f>
        <v>0.0087</v>
      </c>
      <c r="O301" s="144" t="n">
        <v>0</v>
      </c>
      <c r="P301" s="145"/>
      <c r="Q301" s="144" t="n">
        <f aca="false">M301+J301+G301</f>
        <v>3.9652</v>
      </c>
      <c r="R301" s="144" t="n">
        <f aca="false">O301+L301+I301</f>
        <v>0</v>
      </c>
      <c r="S301" s="145"/>
      <c r="T301" s="71" t="n">
        <f aca="false">A302-A301</f>
        <v>31</v>
      </c>
      <c r="U301" s="146" t="n">
        <f aca="false">CHOOSE(F$3,A302+24,A301)</f>
        <v>45894</v>
      </c>
      <c r="V301" s="71" t="n">
        <f aca="false">U301-C$3</f>
        <v>9006</v>
      </c>
      <c r="W301" s="142" t="n">
        <f aca="false">VLOOKUP($A301,Table,MATCH(W$4,Curves,0))</f>
        <v>0.058966861357273</v>
      </c>
      <c r="X301" s="147" t="n">
        <f aca="false">1/(1+CHOOSE(F$3,(W302+($K$3/10000))/2,(W301+($K$3/10000))/2))^(2*V301/365.25)</f>
        <v>0.238608933923464</v>
      </c>
      <c r="Y301" s="71" t="n">
        <f aca="false">IF(AND(mthbeg&lt;=A301,mthend&gt;=A301),1,0)</f>
        <v>0</v>
      </c>
      <c r="Z301" s="71" t="n">
        <f aca="false">T301*Y301</f>
        <v>0</v>
      </c>
      <c r="AB301" s="132" t="n">
        <f aca="false">F301*G301</f>
        <v>0</v>
      </c>
      <c r="AC301" s="132" t="n">
        <f aca="false">$F301*H301</f>
        <v>0</v>
      </c>
      <c r="AD301" s="132" t="n">
        <f aca="false">$F301*I301</f>
        <v>0</v>
      </c>
      <c r="AE301" s="132" t="n">
        <f aca="false">$F301*J301</f>
        <v>-0</v>
      </c>
      <c r="AF301" s="132" t="n">
        <f aca="false">$F301*K301</f>
        <v>-0</v>
      </c>
      <c r="AG301" s="132" t="n">
        <f aca="false">$F301*L301</f>
        <v>0</v>
      </c>
      <c r="AH301" s="132" t="n">
        <f aca="false">$F301*M301</f>
        <v>0</v>
      </c>
      <c r="AI301" s="132" t="n">
        <f aca="false">$F301*N301</f>
        <v>0</v>
      </c>
      <c r="AJ301" s="132" t="n">
        <f aca="false">F301*O301</f>
        <v>0</v>
      </c>
      <c r="AK301" s="137"/>
      <c r="AL301" s="132" t="n">
        <f aca="false">CHOOSE($G$3,AC301-AD301,AD301-AC301)</f>
        <v>0</v>
      </c>
      <c r="AM301" s="132" t="n">
        <f aca="false">CHOOSE($G$3,AF301-AG301,AG301-AF301)</f>
        <v>0</v>
      </c>
      <c r="AN301" s="132" t="n">
        <f aca="false">CHOOSE($G$3,AI301-AJ301,AJ301-AI301)</f>
        <v>0</v>
      </c>
      <c r="AO301" s="148" t="n">
        <f aca="false">SUM(AL301:AN301)</f>
        <v>0</v>
      </c>
      <c r="AQ301" s="132" t="n">
        <f aca="false">CHOOSE($G$3,AB301-AC301,AC301-AB301)</f>
        <v>0</v>
      </c>
      <c r="AR301" s="132" t="n">
        <f aca="false">CHOOSE($G$3,AE301-AF301,AF301-AE301)</f>
        <v>0</v>
      </c>
      <c r="AS301" s="132" t="n">
        <f aca="false">CHOOSE($G$3,AH301-AI301,AI301-AH301)</f>
        <v>0</v>
      </c>
      <c r="AT301" s="148" t="n">
        <f aca="false">AQ301+AR301+AS301</f>
        <v>0</v>
      </c>
      <c r="AU301" s="148"/>
      <c r="AV301" s="133" t="n">
        <f aca="false">AT301+AO301</f>
        <v>0</v>
      </c>
      <c r="AX301" s="133" t="n">
        <f aca="false">AJ301+AG301+AD301</f>
        <v>0</v>
      </c>
      <c r="AY301" s="149"/>
      <c r="AZ301" s="76" t="n">
        <f aca="false">R301*E301</f>
        <v>0</v>
      </c>
    </row>
    <row r="302" customFormat="false" ht="12" hidden="false" customHeight="true" outlineLevel="0" collapsed="false">
      <c r="A302" s="138" t="n">
        <f aca="false">EDATE(A301,1)</f>
        <v>45870</v>
      </c>
      <c r="B302" s="139" t="n">
        <f aca="false">VLOOKUP($A302,Table2,MATCH(I$3,Curves2,0))</f>
        <v>0</v>
      </c>
      <c r="C302" s="140"/>
      <c r="D302" s="141" t="n">
        <f aca="false">B302+C302</f>
        <v>0</v>
      </c>
      <c r="E302" s="126" t="n">
        <f aca="false">IF(Y302=0,0,IF(AND(Y302=1,$H$3=1),D302*T302,IF($H$3=2,D302,"N/A")))</f>
        <v>0</v>
      </c>
      <c r="F302" s="126" t="n">
        <f aca="false">E302*X302</f>
        <v>0</v>
      </c>
      <c r="G302" s="142" t="n">
        <f aca="false">VLOOKUP($A302,Table,MATCH(G$4,Curves,0))</f>
        <v>3.987</v>
      </c>
      <c r="H302" s="143" t="n">
        <f aca="false">G302</f>
        <v>3.987</v>
      </c>
      <c r="I302" s="142" t="n">
        <f aca="false">VLOOKUP($A302,Table1,MATCH(I$3,Curves1,0))</f>
        <v>0</v>
      </c>
      <c r="J302" s="142" t="n">
        <f aca="false">VLOOKUP($A302,Table,MATCH(J$4,Curves,0))</f>
        <v>-0.0305</v>
      </c>
      <c r="K302" s="143" t="n">
        <f aca="false">J302</f>
        <v>-0.0305</v>
      </c>
      <c r="L302" s="144" t="n">
        <v>0</v>
      </c>
      <c r="M302" s="142" t="n">
        <f aca="false">VLOOKUP($A302,Table,MATCH(M$4,Curves,0))</f>
        <v>0.0087</v>
      </c>
      <c r="N302" s="143" t="n">
        <f aca="false">M302</f>
        <v>0.0087</v>
      </c>
      <c r="O302" s="144" t="n">
        <v>0</v>
      </c>
      <c r="P302" s="145"/>
      <c r="Q302" s="144" t="n">
        <f aca="false">M302+J302+G302</f>
        <v>3.9652</v>
      </c>
      <c r="R302" s="144" t="n">
        <f aca="false">O302+L302+I302</f>
        <v>0</v>
      </c>
      <c r="S302" s="145"/>
      <c r="T302" s="71" t="n">
        <f aca="false">A303-A302</f>
        <v>31</v>
      </c>
      <c r="U302" s="146" t="n">
        <f aca="false">CHOOSE(F$3,A303+24,A302)</f>
        <v>45925</v>
      </c>
      <c r="V302" s="71" t="n">
        <f aca="false">U302-C$3</f>
        <v>9037</v>
      </c>
      <c r="W302" s="142" t="n">
        <f aca="false">VLOOKUP($A302,Table,MATCH(W$4,Curves,0))</f>
        <v>0.058966861357273</v>
      </c>
      <c r="X302" s="147" t="n">
        <f aca="false">1/(1+CHOOSE(F$3,(W303+($K$3/10000))/2,(W302+($K$3/10000))/2))^(2*V302/365.25)</f>
        <v>0.237434927115768</v>
      </c>
      <c r="Y302" s="71" t="n">
        <f aca="false">IF(AND(mthbeg&lt;=A302,mthend&gt;=A302),1,0)</f>
        <v>0</v>
      </c>
      <c r="Z302" s="71" t="n">
        <f aca="false">T302*Y302</f>
        <v>0</v>
      </c>
      <c r="AB302" s="132" t="n">
        <f aca="false">F302*G302</f>
        <v>0</v>
      </c>
      <c r="AC302" s="132" t="n">
        <f aca="false">$F302*H302</f>
        <v>0</v>
      </c>
      <c r="AD302" s="132" t="n">
        <f aca="false">$F302*I302</f>
        <v>0</v>
      </c>
      <c r="AE302" s="132" t="n">
        <f aca="false">$F302*J302</f>
        <v>-0</v>
      </c>
      <c r="AF302" s="132" t="n">
        <f aca="false">$F302*K302</f>
        <v>-0</v>
      </c>
      <c r="AG302" s="132" t="n">
        <f aca="false">$F302*L302</f>
        <v>0</v>
      </c>
      <c r="AH302" s="132" t="n">
        <f aca="false">$F302*M302</f>
        <v>0</v>
      </c>
      <c r="AI302" s="132" t="n">
        <f aca="false">$F302*N302</f>
        <v>0</v>
      </c>
      <c r="AJ302" s="132" t="n">
        <f aca="false">F302*O302</f>
        <v>0</v>
      </c>
      <c r="AK302" s="137"/>
      <c r="AL302" s="132" t="n">
        <f aca="false">CHOOSE($G$3,AC302-AD302,AD302-AC302)</f>
        <v>0</v>
      </c>
      <c r="AM302" s="132" t="n">
        <f aca="false">CHOOSE($G$3,AF302-AG302,AG302-AF302)</f>
        <v>0</v>
      </c>
      <c r="AN302" s="132" t="n">
        <f aca="false">CHOOSE($G$3,AI302-AJ302,AJ302-AI302)</f>
        <v>0</v>
      </c>
      <c r="AO302" s="148" t="n">
        <f aca="false">SUM(AL302:AN302)</f>
        <v>0</v>
      </c>
      <c r="AQ302" s="132" t="n">
        <f aca="false">CHOOSE($G$3,AB302-AC302,AC302-AB302)</f>
        <v>0</v>
      </c>
      <c r="AR302" s="132" t="n">
        <f aca="false">CHOOSE($G$3,AE302-AF302,AF302-AE302)</f>
        <v>0</v>
      </c>
      <c r="AS302" s="132" t="n">
        <f aca="false">CHOOSE($G$3,AH302-AI302,AI302-AH302)</f>
        <v>0</v>
      </c>
      <c r="AT302" s="148" t="n">
        <f aca="false">AQ302+AR302+AS302</f>
        <v>0</v>
      </c>
      <c r="AU302" s="148"/>
      <c r="AV302" s="133" t="n">
        <f aca="false">AT302+AO302</f>
        <v>0</v>
      </c>
      <c r="AX302" s="133" t="n">
        <f aca="false">AJ302+AG302+AD302</f>
        <v>0</v>
      </c>
      <c r="AY302" s="149"/>
      <c r="AZ302" s="76" t="n">
        <f aca="false">R302*E302</f>
        <v>0</v>
      </c>
    </row>
    <row r="303" customFormat="false" ht="12" hidden="false" customHeight="true" outlineLevel="0" collapsed="false">
      <c r="A303" s="138" t="n">
        <f aca="false">EDATE(A302,1)</f>
        <v>45901</v>
      </c>
      <c r="B303" s="139" t="n">
        <f aca="false">VLOOKUP($A303,Table2,MATCH(I$3,Curves2,0))</f>
        <v>0</v>
      </c>
      <c r="C303" s="140"/>
      <c r="D303" s="141" t="n">
        <f aca="false">B303+C303</f>
        <v>0</v>
      </c>
      <c r="E303" s="126" t="n">
        <f aca="false">IF(Y303=0,0,IF(AND(Y303=1,$H$3=1),D303*T303,IF($H$3=2,D303,"N/A")))</f>
        <v>0</v>
      </c>
      <c r="F303" s="126" t="n">
        <f aca="false">E303*X303</f>
        <v>0</v>
      </c>
      <c r="G303" s="142" t="n">
        <f aca="false">VLOOKUP($A303,Table,MATCH(G$4,Curves,0))</f>
        <v>3.987</v>
      </c>
      <c r="H303" s="143" t="n">
        <f aca="false">G303</f>
        <v>3.987</v>
      </c>
      <c r="I303" s="142" t="n">
        <f aca="false">VLOOKUP($A303,Table1,MATCH(I$3,Curves1,0))</f>
        <v>0</v>
      </c>
      <c r="J303" s="142" t="n">
        <f aca="false">VLOOKUP($A303,Table,MATCH(J$4,Curves,0))</f>
        <v>-0.0305</v>
      </c>
      <c r="K303" s="143" t="n">
        <f aca="false">J303</f>
        <v>-0.0305</v>
      </c>
      <c r="L303" s="144" t="n">
        <v>0</v>
      </c>
      <c r="M303" s="142" t="n">
        <f aca="false">VLOOKUP($A303,Table,MATCH(M$4,Curves,0))</f>
        <v>0.0087</v>
      </c>
      <c r="N303" s="143" t="n">
        <f aca="false">M303</f>
        <v>0.0087</v>
      </c>
      <c r="O303" s="144" t="n">
        <v>0</v>
      </c>
      <c r="P303" s="145"/>
      <c r="Q303" s="144" t="n">
        <f aca="false">M303+J303+G303</f>
        <v>3.9652</v>
      </c>
      <c r="R303" s="144" t="n">
        <f aca="false">O303+L303+I303</f>
        <v>0</v>
      </c>
      <c r="S303" s="145"/>
      <c r="T303" s="71" t="n">
        <f aca="false">A304-A303</f>
        <v>30</v>
      </c>
      <c r="U303" s="146" t="n">
        <f aca="false">CHOOSE(F$3,A304+24,A303)</f>
        <v>45955</v>
      </c>
      <c r="V303" s="71" t="n">
        <f aca="false">U303-C$3</f>
        <v>9067</v>
      </c>
      <c r="W303" s="142" t="n">
        <f aca="false">VLOOKUP($A303,Table,MATCH(W$4,Curves,0))</f>
        <v>0.058966861357273</v>
      </c>
      <c r="X303" s="147" t="n">
        <f aca="false">1/(1+CHOOSE(F$3,(W304+($K$3/10000))/2,(W303+($K$3/10000))/2))^(2*V303/365.25)</f>
        <v>0.236304291654384</v>
      </c>
      <c r="Y303" s="71" t="n">
        <f aca="false">IF(AND(mthbeg&lt;=A303,mthend&gt;=A303),1,0)</f>
        <v>0</v>
      </c>
      <c r="Z303" s="71" t="n">
        <f aca="false">T303*Y303</f>
        <v>0</v>
      </c>
      <c r="AB303" s="132" t="n">
        <f aca="false">F303*G303</f>
        <v>0</v>
      </c>
      <c r="AC303" s="132" t="n">
        <f aca="false">$F303*H303</f>
        <v>0</v>
      </c>
      <c r="AD303" s="132" t="n">
        <f aca="false">$F303*I303</f>
        <v>0</v>
      </c>
      <c r="AE303" s="132" t="n">
        <f aca="false">$F303*J303</f>
        <v>-0</v>
      </c>
      <c r="AF303" s="132" t="n">
        <f aca="false">$F303*K303</f>
        <v>-0</v>
      </c>
      <c r="AG303" s="132" t="n">
        <f aca="false">$F303*L303</f>
        <v>0</v>
      </c>
      <c r="AH303" s="132" t="n">
        <f aca="false">$F303*M303</f>
        <v>0</v>
      </c>
      <c r="AI303" s="132" t="n">
        <f aca="false">$F303*N303</f>
        <v>0</v>
      </c>
      <c r="AJ303" s="132" t="n">
        <f aca="false">F303*O303</f>
        <v>0</v>
      </c>
      <c r="AK303" s="137"/>
      <c r="AL303" s="132" t="n">
        <f aca="false">CHOOSE($G$3,AC303-AD303,AD303-AC303)</f>
        <v>0</v>
      </c>
      <c r="AM303" s="132" t="n">
        <f aca="false">CHOOSE($G$3,AF303-AG303,AG303-AF303)</f>
        <v>0</v>
      </c>
      <c r="AN303" s="132" t="n">
        <f aca="false">CHOOSE($G$3,AI303-AJ303,AJ303-AI303)</f>
        <v>0</v>
      </c>
      <c r="AO303" s="148" t="n">
        <f aca="false">SUM(AL303:AN303)</f>
        <v>0</v>
      </c>
      <c r="AQ303" s="132" t="n">
        <f aca="false">CHOOSE($G$3,AB303-AC303,AC303-AB303)</f>
        <v>0</v>
      </c>
      <c r="AR303" s="132" t="n">
        <f aca="false">CHOOSE($G$3,AE303-AF303,AF303-AE303)</f>
        <v>0</v>
      </c>
      <c r="AS303" s="132" t="n">
        <f aca="false">CHOOSE($G$3,AH303-AI303,AI303-AH303)</f>
        <v>0</v>
      </c>
      <c r="AT303" s="148" t="n">
        <f aca="false">AQ303+AR303+AS303</f>
        <v>0</v>
      </c>
      <c r="AU303" s="148"/>
      <c r="AV303" s="133" t="n">
        <f aca="false">AT303+AO303</f>
        <v>0</v>
      </c>
      <c r="AX303" s="133" t="n">
        <f aca="false">AJ303+AG303+AD303</f>
        <v>0</v>
      </c>
      <c r="AY303" s="149"/>
      <c r="AZ303" s="76" t="n">
        <f aca="false">R303*E303</f>
        <v>0</v>
      </c>
    </row>
    <row r="304" customFormat="false" ht="12" hidden="false" customHeight="true" outlineLevel="0" collapsed="false">
      <c r="A304" s="138" t="n">
        <f aca="false">EDATE(A303,1)</f>
        <v>45931</v>
      </c>
      <c r="B304" s="139" t="n">
        <f aca="false">VLOOKUP($A304,Table2,MATCH(I$3,Curves2,0))</f>
        <v>0</v>
      </c>
      <c r="C304" s="140"/>
      <c r="D304" s="141" t="n">
        <f aca="false">B304+C304</f>
        <v>0</v>
      </c>
      <c r="E304" s="126" t="n">
        <f aca="false">IF(Y304=0,0,IF(AND(Y304=1,$H$3=1),D304*T304,IF($H$3=2,D304,"N/A")))</f>
        <v>0</v>
      </c>
      <c r="F304" s="126" t="n">
        <f aca="false">E304*X304</f>
        <v>0</v>
      </c>
      <c r="G304" s="142" t="n">
        <f aca="false">VLOOKUP($A304,Table,MATCH(G$4,Curves,0))</f>
        <v>3.987</v>
      </c>
      <c r="H304" s="143" t="n">
        <f aca="false">G304</f>
        <v>3.987</v>
      </c>
      <c r="I304" s="142" t="n">
        <f aca="false">VLOOKUP($A304,Table1,MATCH(I$3,Curves1,0))</f>
        <v>0</v>
      </c>
      <c r="J304" s="142" t="n">
        <f aca="false">VLOOKUP($A304,Table,MATCH(J$4,Curves,0))</f>
        <v>-0.0305</v>
      </c>
      <c r="K304" s="143" t="n">
        <f aca="false">J304</f>
        <v>-0.0305</v>
      </c>
      <c r="L304" s="144" t="n">
        <v>0</v>
      </c>
      <c r="M304" s="142" t="n">
        <f aca="false">VLOOKUP($A304,Table,MATCH(M$4,Curves,0))</f>
        <v>0.0087</v>
      </c>
      <c r="N304" s="143" t="n">
        <f aca="false">M304</f>
        <v>0.0087</v>
      </c>
      <c r="O304" s="144" t="n">
        <v>0</v>
      </c>
      <c r="P304" s="145"/>
      <c r="Q304" s="144" t="n">
        <f aca="false">M304+J304+G304</f>
        <v>3.9652</v>
      </c>
      <c r="R304" s="144" t="n">
        <f aca="false">O304+L304+I304</f>
        <v>0</v>
      </c>
      <c r="S304" s="145"/>
      <c r="T304" s="71" t="n">
        <f aca="false">A305-A304</f>
        <v>31</v>
      </c>
      <c r="U304" s="146" t="n">
        <f aca="false">CHOOSE(F$3,A305+24,A304)</f>
        <v>45986</v>
      </c>
      <c r="V304" s="71" t="n">
        <f aca="false">U304-C$3</f>
        <v>9098</v>
      </c>
      <c r="W304" s="142" t="n">
        <f aca="false">VLOOKUP($A304,Table,MATCH(W$4,Curves,0))</f>
        <v>0.058966861357273</v>
      </c>
      <c r="X304" s="147" t="n">
        <f aca="false">1/(1+CHOOSE(F$3,(W305+($K$3/10000))/2,(W304+($K$3/10000))/2))^(2*V304/365.25)</f>
        <v>0.235141624177821</v>
      </c>
      <c r="Y304" s="71" t="n">
        <f aca="false">IF(AND(mthbeg&lt;=A304,mthend&gt;=A304),1,0)</f>
        <v>0</v>
      </c>
      <c r="Z304" s="71" t="n">
        <f aca="false">T304*Y304</f>
        <v>0</v>
      </c>
      <c r="AB304" s="132" t="n">
        <f aca="false">F304*G304</f>
        <v>0</v>
      </c>
      <c r="AC304" s="132" t="n">
        <f aca="false">$F304*H304</f>
        <v>0</v>
      </c>
      <c r="AD304" s="132" t="n">
        <f aca="false">$F304*I304</f>
        <v>0</v>
      </c>
      <c r="AE304" s="132" t="n">
        <f aca="false">$F304*J304</f>
        <v>-0</v>
      </c>
      <c r="AF304" s="132" t="n">
        <f aca="false">$F304*K304</f>
        <v>-0</v>
      </c>
      <c r="AG304" s="132" t="n">
        <f aca="false">$F304*L304</f>
        <v>0</v>
      </c>
      <c r="AH304" s="132" t="n">
        <f aca="false">$F304*M304</f>
        <v>0</v>
      </c>
      <c r="AI304" s="132" t="n">
        <f aca="false">$F304*N304</f>
        <v>0</v>
      </c>
      <c r="AJ304" s="132" t="n">
        <f aca="false">F304*O304</f>
        <v>0</v>
      </c>
      <c r="AK304" s="137"/>
      <c r="AL304" s="132" t="n">
        <f aca="false">CHOOSE($G$3,AC304-AD304,AD304-AC304)</f>
        <v>0</v>
      </c>
      <c r="AM304" s="132" t="n">
        <f aca="false">CHOOSE($G$3,AF304-AG304,AG304-AF304)</f>
        <v>0</v>
      </c>
      <c r="AN304" s="132" t="n">
        <f aca="false">CHOOSE($G$3,AI304-AJ304,AJ304-AI304)</f>
        <v>0</v>
      </c>
      <c r="AO304" s="148" t="n">
        <f aca="false">SUM(AL304:AN304)</f>
        <v>0</v>
      </c>
      <c r="AQ304" s="132" t="n">
        <f aca="false">CHOOSE($G$3,AB304-AC304,AC304-AB304)</f>
        <v>0</v>
      </c>
      <c r="AR304" s="132" t="n">
        <f aca="false">CHOOSE($G$3,AE304-AF304,AF304-AE304)</f>
        <v>0</v>
      </c>
      <c r="AS304" s="132" t="n">
        <f aca="false">CHOOSE($G$3,AH304-AI304,AI304-AH304)</f>
        <v>0</v>
      </c>
      <c r="AT304" s="148" t="n">
        <f aca="false">AQ304+AR304+AS304</f>
        <v>0</v>
      </c>
      <c r="AU304" s="148"/>
      <c r="AV304" s="133" t="n">
        <f aca="false">AT304+AO304</f>
        <v>0</v>
      </c>
      <c r="AX304" s="133" t="n">
        <f aca="false">AJ304+AG304+AD304</f>
        <v>0</v>
      </c>
      <c r="AY304" s="149"/>
      <c r="AZ304" s="76" t="n">
        <f aca="false">R304*E304</f>
        <v>0</v>
      </c>
    </row>
    <row r="305" customFormat="false" ht="12" hidden="false" customHeight="true" outlineLevel="0" collapsed="false">
      <c r="A305" s="138" t="n">
        <f aca="false">EDATE(A304,1)</f>
        <v>45962</v>
      </c>
      <c r="B305" s="139" t="n">
        <f aca="false">VLOOKUP($A305,Table2,MATCH(I$3,Curves2,0))</f>
        <v>0</v>
      </c>
      <c r="C305" s="140"/>
      <c r="D305" s="141" t="n">
        <f aca="false">B305+C305</f>
        <v>0</v>
      </c>
      <c r="E305" s="126" t="n">
        <f aca="false">IF(Y305=0,0,IF(AND(Y305=1,$H$3=1),D305*T305,IF($H$3=2,D305,"N/A")))</f>
        <v>0</v>
      </c>
      <c r="F305" s="126" t="n">
        <f aca="false">E305*X305</f>
        <v>0</v>
      </c>
      <c r="G305" s="142" t="n">
        <f aca="false">VLOOKUP($A305,Table,MATCH(G$4,Curves,0))</f>
        <v>3.987</v>
      </c>
      <c r="H305" s="143" t="n">
        <f aca="false">G305</f>
        <v>3.987</v>
      </c>
      <c r="I305" s="142" t="n">
        <f aca="false">VLOOKUP($A305,Table1,MATCH(I$3,Curves1,0))</f>
        <v>0</v>
      </c>
      <c r="J305" s="142" t="n">
        <f aca="false">VLOOKUP($A305,Table,MATCH(J$4,Curves,0))</f>
        <v>-0.0305</v>
      </c>
      <c r="K305" s="143" t="n">
        <f aca="false">J305</f>
        <v>-0.0305</v>
      </c>
      <c r="L305" s="144" t="n">
        <v>0</v>
      </c>
      <c r="M305" s="142" t="n">
        <f aca="false">VLOOKUP($A305,Table,MATCH(M$4,Curves,0))</f>
        <v>0.0087</v>
      </c>
      <c r="N305" s="143" t="n">
        <f aca="false">M305</f>
        <v>0.0087</v>
      </c>
      <c r="O305" s="144" t="n">
        <v>0</v>
      </c>
      <c r="P305" s="145"/>
      <c r="Q305" s="144" t="n">
        <f aca="false">M305+J305+G305</f>
        <v>3.9652</v>
      </c>
      <c r="R305" s="144" t="n">
        <f aca="false">O305+L305+I305</f>
        <v>0</v>
      </c>
      <c r="S305" s="145"/>
      <c r="T305" s="71" t="n">
        <f aca="false">A306-A305</f>
        <v>30</v>
      </c>
      <c r="U305" s="146" t="n">
        <f aca="false">CHOOSE(F$3,A306+24,A305)</f>
        <v>46016</v>
      </c>
      <c r="V305" s="71" t="n">
        <f aca="false">U305-C$3</f>
        <v>9128</v>
      </c>
      <c r="W305" s="142" t="n">
        <f aca="false">VLOOKUP($A305,Table,MATCH(W$4,Curves,0))</f>
        <v>0.058966861357273</v>
      </c>
      <c r="X305" s="147" t="n">
        <f aca="false">1/(1+CHOOSE(F$3,(W306+($K$3/10000))/2,(W305+($K$3/10000))/2))^(2*V305/365.25)</f>
        <v>0.234021909138536</v>
      </c>
      <c r="Y305" s="71" t="n">
        <f aca="false">IF(AND(mthbeg&lt;=A305,mthend&gt;=A305),1,0)</f>
        <v>0</v>
      </c>
      <c r="Z305" s="71" t="n">
        <f aca="false">T305*Y305</f>
        <v>0</v>
      </c>
      <c r="AB305" s="132" t="n">
        <f aca="false">F305*G305</f>
        <v>0</v>
      </c>
      <c r="AC305" s="132" t="n">
        <f aca="false">$F305*H305</f>
        <v>0</v>
      </c>
      <c r="AD305" s="132" t="n">
        <f aca="false">$F305*I305</f>
        <v>0</v>
      </c>
      <c r="AE305" s="132" t="n">
        <f aca="false">$F305*J305</f>
        <v>-0</v>
      </c>
      <c r="AF305" s="132" t="n">
        <f aca="false">$F305*K305</f>
        <v>-0</v>
      </c>
      <c r="AG305" s="132" t="n">
        <f aca="false">$F305*L305</f>
        <v>0</v>
      </c>
      <c r="AH305" s="132" t="n">
        <f aca="false">$F305*M305</f>
        <v>0</v>
      </c>
      <c r="AI305" s="132" t="n">
        <f aca="false">$F305*N305</f>
        <v>0</v>
      </c>
      <c r="AJ305" s="132" t="n">
        <f aca="false">F305*O305</f>
        <v>0</v>
      </c>
      <c r="AK305" s="137"/>
      <c r="AL305" s="132" t="n">
        <f aca="false">CHOOSE($G$3,AC305-AD305,AD305-AC305)</f>
        <v>0</v>
      </c>
      <c r="AM305" s="132" t="n">
        <f aca="false">CHOOSE($G$3,AF305-AG305,AG305-AF305)</f>
        <v>0</v>
      </c>
      <c r="AN305" s="132" t="n">
        <f aca="false">CHOOSE($G$3,AI305-AJ305,AJ305-AI305)</f>
        <v>0</v>
      </c>
      <c r="AO305" s="148" t="n">
        <f aca="false">SUM(AL305:AN305)</f>
        <v>0</v>
      </c>
      <c r="AQ305" s="132" t="n">
        <f aca="false">CHOOSE($G$3,AB305-AC305,AC305-AB305)</f>
        <v>0</v>
      </c>
      <c r="AR305" s="132" t="n">
        <f aca="false">CHOOSE($G$3,AE305-AF305,AF305-AE305)</f>
        <v>0</v>
      </c>
      <c r="AS305" s="132" t="n">
        <f aca="false">CHOOSE($G$3,AH305-AI305,AI305-AH305)</f>
        <v>0</v>
      </c>
      <c r="AT305" s="148" t="n">
        <f aca="false">AQ305+AR305+AS305</f>
        <v>0</v>
      </c>
      <c r="AU305" s="148"/>
      <c r="AV305" s="133" t="n">
        <f aca="false">AT305+AO305</f>
        <v>0</v>
      </c>
      <c r="AX305" s="133" t="n">
        <f aca="false">AJ305+AG305+AD305</f>
        <v>0</v>
      </c>
      <c r="AY305" s="149"/>
      <c r="AZ305" s="76" t="n">
        <f aca="false">R305*E305</f>
        <v>0</v>
      </c>
    </row>
    <row r="306" customFormat="false" ht="12" hidden="false" customHeight="true" outlineLevel="0" collapsed="false">
      <c r="A306" s="138" t="n">
        <f aca="false">EDATE(A305,1)</f>
        <v>45992</v>
      </c>
      <c r="B306" s="139" t="n">
        <f aca="false">VLOOKUP($A306,Table2,MATCH(I$3,Curves2,0))</f>
        <v>0</v>
      </c>
      <c r="C306" s="140"/>
      <c r="D306" s="141" t="n">
        <f aca="false">B306+C306</f>
        <v>0</v>
      </c>
      <c r="E306" s="126" t="n">
        <f aca="false">IF(Y306=0,0,IF(AND(Y306=1,$H$3=1),D306*T306,IF($H$3=2,D306,"N/A")))</f>
        <v>0</v>
      </c>
      <c r="F306" s="126" t="n">
        <f aca="false">E306*X306</f>
        <v>0</v>
      </c>
      <c r="G306" s="142" t="n">
        <f aca="false">VLOOKUP($A306,Table,MATCH(G$4,Curves,0))</f>
        <v>3.987</v>
      </c>
      <c r="H306" s="143" t="n">
        <f aca="false">G306</f>
        <v>3.987</v>
      </c>
      <c r="I306" s="142" t="n">
        <f aca="false">VLOOKUP($A306,Table1,MATCH(I$3,Curves1,0))</f>
        <v>0</v>
      </c>
      <c r="J306" s="142" t="n">
        <f aca="false">VLOOKUP($A306,Table,MATCH(J$4,Curves,0))</f>
        <v>-0.0305</v>
      </c>
      <c r="K306" s="143" t="n">
        <f aca="false">J306</f>
        <v>-0.0305</v>
      </c>
      <c r="L306" s="144" t="n">
        <v>0</v>
      </c>
      <c r="M306" s="142" t="n">
        <f aca="false">VLOOKUP($A306,Table,MATCH(M$4,Curves,0))</f>
        <v>0.0087</v>
      </c>
      <c r="N306" s="143" t="n">
        <f aca="false">M306</f>
        <v>0.0087</v>
      </c>
      <c r="O306" s="144" t="n">
        <v>0</v>
      </c>
      <c r="P306" s="145"/>
      <c r="Q306" s="144" t="n">
        <f aca="false">M306+J306+G306</f>
        <v>3.9652</v>
      </c>
      <c r="R306" s="144" t="n">
        <f aca="false">O306+L306+I306</f>
        <v>0</v>
      </c>
      <c r="S306" s="145"/>
      <c r="T306" s="71" t="n">
        <f aca="false">A307-A306</f>
        <v>31</v>
      </c>
      <c r="U306" s="146" t="n">
        <f aca="false">CHOOSE(F$3,A307+24,A306)</f>
        <v>46047</v>
      </c>
      <c r="V306" s="71" t="n">
        <f aca="false">U306-C$3</f>
        <v>9159</v>
      </c>
      <c r="W306" s="142" t="n">
        <f aca="false">VLOOKUP($A306,Table,MATCH(W$4,Curves,0))</f>
        <v>0.058966861357273</v>
      </c>
      <c r="X306" s="147" t="n">
        <f aca="false">1/(1+CHOOSE(F$3,(W307+($K$3/10000))/2,(W306+($K$3/10000))/2))^(2*V306/365.25)</f>
        <v>0.232870471470377</v>
      </c>
      <c r="Y306" s="71" t="n">
        <f aca="false">IF(AND(mthbeg&lt;=A306,mthend&gt;=A306),1,0)</f>
        <v>0</v>
      </c>
      <c r="Z306" s="71" t="n">
        <f aca="false">T306*Y306</f>
        <v>0</v>
      </c>
      <c r="AB306" s="132" t="n">
        <f aca="false">F306*G306</f>
        <v>0</v>
      </c>
      <c r="AC306" s="132" t="n">
        <f aca="false">$F306*H306</f>
        <v>0</v>
      </c>
      <c r="AD306" s="132" t="n">
        <f aca="false">$F306*I306</f>
        <v>0</v>
      </c>
      <c r="AE306" s="132" t="n">
        <f aca="false">$F306*J306</f>
        <v>-0</v>
      </c>
      <c r="AF306" s="132" t="n">
        <f aca="false">$F306*K306</f>
        <v>-0</v>
      </c>
      <c r="AG306" s="132" t="n">
        <f aca="false">$F306*L306</f>
        <v>0</v>
      </c>
      <c r="AH306" s="132" t="n">
        <f aca="false">$F306*M306</f>
        <v>0</v>
      </c>
      <c r="AI306" s="132" t="n">
        <f aca="false">$F306*N306</f>
        <v>0</v>
      </c>
      <c r="AJ306" s="132" t="n">
        <f aca="false">F306*O306</f>
        <v>0</v>
      </c>
      <c r="AK306" s="137"/>
      <c r="AL306" s="132" t="n">
        <f aca="false">CHOOSE($G$3,AC306-AD306,AD306-AC306)</f>
        <v>0</v>
      </c>
      <c r="AM306" s="132" t="n">
        <f aca="false">CHOOSE($G$3,AF306-AG306,AG306-AF306)</f>
        <v>0</v>
      </c>
      <c r="AN306" s="132" t="n">
        <f aca="false">CHOOSE($G$3,AI306-AJ306,AJ306-AI306)</f>
        <v>0</v>
      </c>
      <c r="AO306" s="148" t="n">
        <f aca="false">SUM(AL306:AN306)</f>
        <v>0</v>
      </c>
      <c r="AQ306" s="132" t="n">
        <f aca="false">CHOOSE($G$3,AB306-AC306,AC306-AB306)</f>
        <v>0</v>
      </c>
      <c r="AR306" s="132" t="n">
        <f aca="false">CHOOSE($G$3,AE306-AF306,AF306-AE306)</f>
        <v>0</v>
      </c>
      <c r="AS306" s="132" t="n">
        <f aca="false">CHOOSE($G$3,AH306-AI306,AI306-AH306)</f>
        <v>0</v>
      </c>
      <c r="AT306" s="148" t="n">
        <f aca="false">AQ306+AR306+AS306</f>
        <v>0</v>
      </c>
      <c r="AU306" s="148"/>
      <c r="AV306" s="133" t="n">
        <f aca="false">AT306+AO306</f>
        <v>0</v>
      </c>
      <c r="AX306" s="133" t="n">
        <f aca="false">AJ306+AG306+AD306</f>
        <v>0</v>
      </c>
      <c r="AY306" s="149"/>
      <c r="AZ306" s="76" t="n">
        <f aca="false">R306*E306</f>
        <v>0</v>
      </c>
    </row>
    <row r="307" customFormat="false" ht="12" hidden="false" customHeight="true" outlineLevel="0" collapsed="false">
      <c r="A307" s="138" t="n">
        <f aca="false">EDATE(A306,1)</f>
        <v>46023</v>
      </c>
      <c r="B307" s="139" t="n">
        <f aca="false">VLOOKUP($A307,Table2,MATCH(I$3,Curves2,0))</f>
        <v>0</v>
      </c>
      <c r="C307" s="140"/>
      <c r="D307" s="141" t="n">
        <f aca="false">B307+C307</f>
        <v>0</v>
      </c>
      <c r="E307" s="126" t="n">
        <f aca="false">IF(Y307=0,0,IF(AND(Y307=1,$H$3=1),D307*T307,IF($H$3=2,D307,"N/A")))</f>
        <v>0</v>
      </c>
      <c r="F307" s="126" t="n">
        <f aca="false">E307*X307</f>
        <v>0</v>
      </c>
      <c r="G307" s="142" t="n">
        <f aca="false">VLOOKUP($A307,Table,MATCH(G$4,Curves,0))</f>
        <v>3.987</v>
      </c>
      <c r="H307" s="143" t="n">
        <f aca="false">G307</f>
        <v>3.987</v>
      </c>
      <c r="I307" s="142" t="n">
        <f aca="false">VLOOKUP($A307,Table1,MATCH(I$3,Curves1,0))</f>
        <v>0</v>
      </c>
      <c r="J307" s="142" t="n">
        <f aca="false">VLOOKUP($A307,Table,MATCH(J$4,Curves,0))</f>
        <v>-0.0305</v>
      </c>
      <c r="K307" s="143" t="n">
        <f aca="false">J307</f>
        <v>-0.0305</v>
      </c>
      <c r="L307" s="144" t="n">
        <v>0</v>
      </c>
      <c r="M307" s="142" t="n">
        <f aca="false">VLOOKUP($A307,Table,MATCH(M$4,Curves,0))</f>
        <v>0.0087</v>
      </c>
      <c r="N307" s="143" t="n">
        <f aca="false">M307</f>
        <v>0.0087</v>
      </c>
      <c r="O307" s="144" t="n">
        <v>0</v>
      </c>
      <c r="P307" s="145"/>
      <c r="Q307" s="144" t="n">
        <f aca="false">M307+J307+G307</f>
        <v>3.9652</v>
      </c>
      <c r="R307" s="144" t="n">
        <f aca="false">O307+L307+I307</f>
        <v>0</v>
      </c>
      <c r="S307" s="145"/>
      <c r="T307" s="71" t="n">
        <f aca="false">A308-A307</f>
        <v>31</v>
      </c>
      <c r="U307" s="146" t="n">
        <f aca="false">CHOOSE(F$3,A308+24,A307)</f>
        <v>46078</v>
      </c>
      <c r="V307" s="71" t="n">
        <f aca="false">U307-C$3</f>
        <v>9190</v>
      </c>
      <c r="W307" s="142" t="n">
        <f aca="false">VLOOKUP($A307,Table,MATCH(W$4,Curves,0))</f>
        <v>0.058966861357273</v>
      </c>
      <c r="X307" s="147" t="n">
        <f aca="false">1/(1+CHOOSE(F$3,(W308+($K$3/10000))/2,(W307+($K$3/10000))/2))^(2*V307/365.25)</f>
        <v>0.231724699120942</v>
      </c>
      <c r="Y307" s="71" t="n">
        <f aca="false">IF(AND(mthbeg&lt;=A307,mthend&gt;=A307),1,0)</f>
        <v>0</v>
      </c>
      <c r="Z307" s="71" t="n">
        <f aca="false">T307*Y307</f>
        <v>0</v>
      </c>
      <c r="AB307" s="132" t="n">
        <f aca="false">F307*G307</f>
        <v>0</v>
      </c>
      <c r="AC307" s="132" t="n">
        <f aca="false">$F307*H307</f>
        <v>0</v>
      </c>
      <c r="AD307" s="132" t="n">
        <f aca="false">$F307*I307</f>
        <v>0</v>
      </c>
      <c r="AE307" s="132" t="n">
        <f aca="false">$F307*J307</f>
        <v>-0</v>
      </c>
      <c r="AF307" s="132" t="n">
        <f aca="false">$F307*K307</f>
        <v>-0</v>
      </c>
      <c r="AG307" s="132" t="n">
        <f aca="false">$F307*L307</f>
        <v>0</v>
      </c>
      <c r="AH307" s="132" t="n">
        <f aca="false">$F307*M307</f>
        <v>0</v>
      </c>
      <c r="AI307" s="132" t="n">
        <f aca="false">$F307*N307</f>
        <v>0</v>
      </c>
      <c r="AJ307" s="132" t="n">
        <f aca="false">F307*O307</f>
        <v>0</v>
      </c>
      <c r="AK307" s="137"/>
      <c r="AL307" s="132" t="n">
        <f aca="false">CHOOSE($G$3,AC307-AD307,AD307-AC307)</f>
        <v>0</v>
      </c>
      <c r="AM307" s="132" t="n">
        <f aca="false">CHOOSE($G$3,AF307-AG307,AG307-AF307)</f>
        <v>0</v>
      </c>
      <c r="AN307" s="132" t="n">
        <f aca="false">CHOOSE($G$3,AI307-AJ307,AJ307-AI307)</f>
        <v>0</v>
      </c>
      <c r="AO307" s="148" t="n">
        <f aca="false">SUM(AL307:AN307)</f>
        <v>0</v>
      </c>
      <c r="AQ307" s="132" t="n">
        <f aca="false">CHOOSE($G$3,AB307-AC307,AC307-AB307)</f>
        <v>0</v>
      </c>
      <c r="AR307" s="132" t="n">
        <f aca="false">CHOOSE($G$3,AE307-AF307,AF307-AE307)</f>
        <v>0</v>
      </c>
      <c r="AS307" s="132" t="n">
        <f aca="false">CHOOSE($G$3,AH307-AI307,AI307-AH307)</f>
        <v>0</v>
      </c>
      <c r="AT307" s="148" t="n">
        <f aca="false">AQ307+AR307+AS307</f>
        <v>0</v>
      </c>
      <c r="AU307" s="148"/>
      <c r="AV307" s="133" t="n">
        <f aca="false">AT307+AO307</f>
        <v>0</v>
      </c>
      <c r="AX307" s="133" t="n">
        <f aca="false">AJ307+AG307+AD307</f>
        <v>0</v>
      </c>
      <c r="AY307" s="149"/>
      <c r="AZ307" s="76" t="n">
        <f aca="false">R307*E307</f>
        <v>0</v>
      </c>
    </row>
    <row r="308" customFormat="false" ht="12" hidden="false" customHeight="true" outlineLevel="0" collapsed="false">
      <c r="A308" s="138" t="n">
        <f aca="false">EDATE(A307,1)</f>
        <v>46054</v>
      </c>
      <c r="B308" s="139" t="n">
        <f aca="false">VLOOKUP($A308,Table2,MATCH(I$3,Curves2,0))</f>
        <v>0</v>
      </c>
      <c r="C308" s="140"/>
      <c r="D308" s="141" t="n">
        <f aca="false">B308+C308</f>
        <v>0</v>
      </c>
      <c r="E308" s="126" t="n">
        <f aca="false">IF(Y308=0,0,IF(AND(Y308=1,$H$3=1),D308*T308,IF($H$3=2,D308,"N/A")))</f>
        <v>0</v>
      </c>
      <c r="F308" s="126" t="n">
        <f aca="false">E308*X308</f>
        <v>0</v>
      </c>
      <c r="G308" s="142" t="n">
        <f aca="false">VLOOKUP($A308,Table,MATCH(G$4,Curves,0))</f>
        <v>3.987</v>
      </c>
      <c r="H308" s="143" t="n">
        <f aca="false">G308</f>
        <v>3.987</v>
      </c>
      <c r="I308" s="142" t="n">
        <f aca="false">VLOOKUP($A308,Table1,MATCH(I$3,Curves1,0))</f>
        <v>0</v>
      </c>
      <c r="J308" s="142" t="n">
        <f aca="false">VLOOKUP($A308,Table,MATCH(J$4,Curves,0))</f>
        <v>-0.0305</v>
      </c>
      <c r="K308" s="143" t="n">
        <f aca="false">J308</f>
        <v>-0.0305</v>
      </c>
      <c r="L308" s="144" t="n">
        <v>0</v>
      </c>
      <c r="M308" s="142" t="n">
        <f aca="false">VLOOKUP($A308,Table,MATCH(M$4,Curves,0))</f>
        <v>0.0087</v>
      </c>
      <c r="N308" s="143" t="n">
        <f aca="false">M308</f>
        <v>0.0087</v>
      </c>
      <c r="O308" s="144" t="n">
        <v>0</v>
      </c>
      <c r="P308" s="145"/>
      <c r="Q308" s="144" t="n">
        <f aca="false">M308+J308+G308</f>
        <v>3.9652</v>
      </c>
      <c r="R308" s="144" t="n">
        <f aca="false">O308+L308+I308</f>
        <v>0</v>
      </c>
      <c r="S308" s="145"/>
      <c r="T308" s="71" t="n">
        <f aca="false">A309-A308</f>
        <v>28</v>
      </c>
      <c r="U308" s="146" t="n">
        <f aca="false">CHOOSE(F$3,A309+24,A308)</f>
        <v>46106</v>
      </c>
      <c r="V308" s="71" t="n">
        <f aca="false">U308-C$3</f>
        <v>9218</v>
      </c>
      <c r="W308" s="142" t="n">
        <f aca="false">VLOOKUP($A308,Table,MATCH(W$4,Curves,0))</f>
        <v>0.058966861357273</v>
      </c>
      <c r="X308" s="147" t="n">
        <f aca="false">1/(1+CHOOSE(F$3,(W309+($K$3/10000))/2,(W308+($K$3/10000))/2))^(2*V308/365.25)</f>
        <v>0.230694654240219</v>
      </c>
      <c r="Y308" s="71" t="n">
        <f aca="false">IF(AND(mthbeg&lt;=A308,mthend&gt;=A308),1,0)</f>
        <v>0</v>
      </c>
      <c r="Z308" s="71" t="n">
        <f aca="false">T308*Y308</f>
        <v>0</v>
      </c>
      <c r="AB308" s="132" t="n">
        <f aca="false">F308*G308</f>
        <v>0</v>
      </c>
      <c r="AC308" s="132" t="n">
        <f aca="false">$F308*H308</f>
        <v>0</v>
      </c>
      <c r="AD308" s="132" t="n">
        <f aca="false">$F308*I308</f>
        <v>0</v>
      </c>
      <c r="AE308" s="132" t="n">
        <f aca="false">$F308*J308</f>
        <v>-0</v>
      </c>
      <c r="AF308" s="132" t="n">
        <f aca="false">$F308*K308</f>
        <v>-0</v>
      </c>
      <c r="AG308" s="132" t="n">
        <f aca="false">$F308*L308</f>
        <v>0</v>
      </c>
      <c r="AH308" s="132" t="n">
        <f aca="false">$F308*M308</f>
        <v>0</v>
      </c>
      <c r="AI308" s="132" t="n">
        <f aca="false">$F308*N308</f>
        <v>0</v>
      </c>
      <c r="AJ308" s="132" t="n">
        <f aca="false">F308*O308</f>
        <v>0</v>
      </c>
      <c r="AK308" s="137"/>
      <c r="AL308" s="132" t="n">
        <f aca="false">CHOOSE($G$3,AC308-AD308,AD308-AC308)</f>
        <v>0</v>
      </c>
      <c r="AM308" s="132" t="n">
        <f aca="false">CHOOSE($G$3,AF308-AG308,AG308-AF308)</f>
        <v>0</v>
      </c>
      <c r="AN308" s="132" t="n">
        <f aca="false">CHOOSE($G$3,AI308-AJ308,AJ308-AI308)</f>
        <v>0</v>
      </c>
      <c r="AO308" s="148" t="n">
        <f aca="false">SUM(AL308:AN308)</f>
        <v>0</v>
      </c>
      <c r="AQ308" s="132" t="n">
        <f aca="false">CHOOSE($G$3,AB308-AC308,AC308-AB308)</f>
        <v>0</v>
      </c>
      <c r="AR308" s="132" t="n">
        <f aca="false">CHOOSE($G$3,AE308-AF308,AF308-AE308)</f>
        <v>0</v>
      </c>
      <c r="AS308" s="132" t="n">
        <f aca="false">CHOOSE($G$3,AH308-AI308,AI308-AH308)</f>
        <v>0</v>
      </c>
      <c r="AT308" s="148" t="n">
        <f aca="false">AQ308+AR308+AS308</f>
        <v>0</v>
      </c>
      <c r="AU308" s="148"/>
      <c r="AV308" s="133" t="n">
        <f aca="false">AT308+AO308</f>
        <v>0</v>
      </c>
      <c r="AX308" s="133" t="n">
        <f aca="false">AJ308+AG308+AD308</f>
        <v>0</v>
      </c>
      <c r="AY308" s="149"/>
      <c r="AZ308" s="76" t="n">
        <f aca="false">R308*E308</f>
        <v>0</v>
      </c>
    </row>
    <row r="309" customFormat="false" ht="12" hidden="false" customHeight="true" outlineLevel="0" collapsed="false">
      <c r="A309" s="138" t="n">
        <f aca="false">EDATE(A308,1)</f>
        <v>46082</v>
      </c>
      <c r="B309" s="139" t="n">
        <f aca="false">VLOOKUP($A309,Table2,MATCH(I$3,Curves2,0))</f>
        <v>0</v>
      </c>
      <c r="C309" s="140"/>
      <c r="D309" s="141" t="n">
        <f aca="false">B309+C309</f>
        <v>0</v>
      </c>
      <c r="E309" s="126" t="n">
        <f aca="false">IF(Y309=0,0,IF(AND(Y309=1,$H$3=1),D309*T309,IF($H$3=2,D309,"N/A")))</f>
        <v>0</v>
      </c>
      <c r="F309" s="126" t="n">
        <f aca="false">E309*X309</f>
        <v>0</v>
      </c>
      <c r="G309" s="142" t="n">
        <f aca="false">VLOOKUP($A309,Table,MATCH(G$4,Curves,0))</f>
        <v>3.987</v>
      </c>
      <c r="H309" s="143" t="n">
        <f aca="false">G309</f>
        <v>3.987</v>
      </c>
      <c r="I309" s="142" t="n">
        <f aca="false">VLOOKUP($A309,Table1,MATCH(I$3,Curves1,0))</f>
        <v>0</v>
      </c>
      <c r="J309" s="142" t="n">
        <f aca="false">VLOOKUP($A309,Table,MATCH(J$4,Curves,0))</f>
        <v>-0.0305</v>
      </c>
      <c r="K309" s="143" t="n">
        <f aca="false">J309</f>
        <v>-0.0305</v>
      </c>
      <c r="L309" s="144" t="n">
        <v>0</v>
      </c>
      <c r="M309" s="142" t="n">
        <f aca="false">VLOOKUP($A309,Table,MATCH(M$4,Curves,0))</f>
        <v>0.0087</v>
      </c>
      <c r="N309" s="143" t="n">
        <f aca="false">M309</f>
        <v>0.0087</v>
      </c>
      <c r="O309" s="144" t="n">
        <v>0</v>
      </c>
      <c r="P309" s="145"/>
      <c r="Q309" s="144" t="n">
        <f aca="false">M309+J309+G309</f>
        <v>3.9652</v>
      </c>
      <c r="R309" s="144" t="n">
        <f aca="false">O309+L309+I309</f>
        <v>0</v>
      </c>
      <c r="S309" s="145"/>
      <c r="T309" s="71" t="n">
        <f aca="false">A310-A309</f>
        <v>31</v>
      </c>
      <c r="U309" s="146" t="n">
        <f aca="false">CHOOSE(F$3,A310+24,A309)</f>
        <v>46137</v>
      </c>
      <c r="V309" s="71" t="n">
        <f aca="false">U309-C$3</f>
        <v>9249</v>
      </c>
      <c r="W309" s="142" t="n">
        <f aca="false">VLOOKUP($A309,Table,MATCH(W$4,Curves,0))</f>
        <v>0.058966861357273</v>
      </c>
      <c r="X309" s="147" t="n">
        <f aca="false">1/(1+CHOOSE(F$3,(W310+($K$3/10000))/2,(W309+($K$3/10000))/2))^(2*V309/365.25)</f>
        <v>0.22955958737527</v>
      </c>
      <c r="Y309" s="71" t="n">
        <f aca="false">IF(AND(mthbeg&lt;=A309,mthend&gt;=A309),1,0)</f>
        <v>0</v>
      </c>
      <c r="Z309" s="71" t="n">
        <f aca="false">T309*Y309</f>
        <v>0</v>
      </c>
      <c r="AB309" s="132" t="n">
        <f aca="false">F309*G309</f>
        <v>0</v>
      </c>
      <c r="AC309" s="132" t="n">
        <f aca="false">$F309*H309</f>
        <v>0</v>
      </c>
      <c r="AD309" s="132" t="n">
        <f aca="false">$F309*I309</f>
        <v>0</v>
      </c>
      <c r="AE309" s="132" t="n">
        <f aca="false">$F309*J309</f>
        <v>-0</v>
      </c>
      <c r="AF309" s="132" t="n">
        <f aca="false">$F309*K309</f>
        <v>-0</v>
      </c>
      <c r="AG309" s="132" t="n">
        <f aca="false">$F309*L309</f>
        <v>0</v>
      </c>
      <c r="AH309" s="132" t="n">
        <f aca="false">$F309*M309</f>
        <v>0</v>
      </c>
      <c r="AI309" s="132" t="n">
        <f aca="false">$F309*N309</f>
        <v>0</v>
      </c>
      <c r="AJ309" s="132" t="n">
        <f aca="false">F309*O309</f>
        <v>0</v>
      </c>
      <c r="AK309" s="137"/>
      <c r="AL309" s="132" t="n">
        <f aca="false">CHOOSE($G$3,AC309-AD309,AD309-AC309)</f>
        <v>0</v>
      </c>
      <c r="AM309" s="132" t="n">
        <f aca="false">CHOOSE($G$3,AF309-AG309,AG309-AF309)</f>
        <v>0</v>
      </c>
      <c r="AN309" s="132" t="n">
        <f aca="false">CHOOSE($G$3,AI309-AJ309,AJ309-AI309)</f>
        <v>0</v>
      </c>
      <c r="AO309" s="148" t="n">
        <f aca="false">SUM(AL309:AN309)</f>
        <v>0</v>
      </c>
      <c r="AQ309" s="132" t="n">
        <f aca="false">CHOOSE($G$3,AB309-AC309,AC309-AB309)</f>
        <v>0</v>
      </c>
      <c r="AR309" s="132" t="n">
        <f aca="false">CHOOSE($G$3,AE309-AF309,AF309-AE309)</f>
        <v>0</v>
      </c>
      <c r="AS309" s="132" t="n">
        <f aca="false">CHOOSE($G$3,AH309-AI309,AI309-AH309)</f>
        <v>0</v>
      </c>
      <c r="AT309" s="148" t="n">
        <f aca="false">AQ309+AR309+AS309</f>
        <v>0</v>
      </c>
      <c r="AU309" s="148"/>
      <c r="AV309" s="133" t="n">
        <f aca="false">AT309+AO309</f>
        <v>0</v>
      </c>
      <c r="AX309" s="133" t="n">
        <f aca="false">AJ309+AG309+AD309</f>
        <v>0</v>
      </c>
      <c r="AY309" s="149"/>
      <c r="AZ309" s="76" t="n">
        <f aca="false">R309*E309</f>
        <v>0</v>
      </c>
    </row>
    <row r="310" customFormat="false" ht="12" hidden="false" customHeight="true" outlineLevel="0" collapsed="false">
      <c r="A310" s="138" t="n">
        <f aca="false">EDATE(A309,1)</f>
        <v>46113</v>
      </c>
      <c r="B310" s="139" t="n">
        <f aca="false">VLOOKUP($A310,Table2,MATCH(I$3,Curves2,0))</f>
        <v>0</v>
      </c>
      <c r="C310" s="140"/>
      <c r="D310" s="141" t="n">
        <f aca="false">B310+C310</f>
        <v>0</v>
      </c>
      <c r="E310" s="126" t="n">
        <f aca="false">IF(Y310=0,0,IF(AND(Y310=1,$H$3=1),D310*T310,IF($H$3=2,D310,"N/A")))</f>
        <v>0</v>
      </c>
      <c r="F310" s="126" t="n">
        <f aca="false">E310*X310</f>
        <v>0</v>
      </c>
      <c r="G310" s="142" t="n">
        <f aca="false">VLOOKUP($A310,Table,MATCH(G$4,Curves,0))</f>
        <v>3.987</v>
      </c>
      <c r="H310" s="143" t="n">
        <f aca="false">G310</f>
        <v>3.987</v>
      </c>
      <c r="I310" s="142" t="n">
        <f aca="false">VLOOKUP($A310,Table1,MATCH(I$3,Curves1,0))</f>
        <v>0</v>
      </c>
      <c r="J310" s="142" t="n">
        <f aca="false">VLOOKUP($A310,Table,MATCH(J$4,Curves,0))</f>
        <v>-0.0305</v>
      </c>
      <c r="K310" s="143" t="n">
        <f aca="false">J310</f>
        <v>-0.0305</v>
      </c>
      <c r="L310" s="144" t="n">
        <v>0</v>
      </c>
      <c r="M310" s="142" t="n">
        <f aca="false">VLOOKUP($A310,Table,MATCH(M$4,Curves,0))</f>
        <v>0.0087</v>
      </c>
      <c r="N310" s="143" t="n">
        <f aca="false">M310</f>
        <v>0.0087</v>
      </c>
      <c r="O310" s="144" t="n">
        <v>0</v>
      </c>
      <c r="P310" s="145"/>
      <c r="Q310" s="144" t="n">
        <f aca="false">M310+J310+G310</f>
        <v>3.9652</v>
      </c>
      <c r="R310" s="144" t="n">
        <f aca="false">O310+L310+I310</f>
        <v>0</v>
      </c>
      <c r="S310" s="145"/>
      <c r="T310" s="71" t="n">
        <f aca="false">A311-A310</f>
        <v>30</v>
      </c>
      <c r="U310" s="146" t="n">
        <f aca="false">CHOOSE(F$3,A311+24,A310)</f>
        <v>46167</v>
      </c>
      <c r="V310" s="71" t="n">
        <f aca="false">U310-C$3</f>
        <v>9279</v>
      </c>
      <c r="W310" s="142" t="n">
        <f aca="false">VLOOKUP($A310,Table,MATCH(W$4,Curves,0))</f>
        <v>0.058966861357273</v>
      </c>
      <c r="X310" s="147" t="n">
        <f aca="false">1/(1+CHOOSE(F$3,(W311+($K$3/10000))/2,(W310+($K$3/10000))/2))^(2*V310/365.25)</f>
        <v>0.228466453297904</v>
      </c>
      <c r="Y310" s="71" t="n">
        <f aca="false">IF(AND(mthbeg&lt;=A310,mthend&gt;=A310),1,0)</f>
        <v>0</v>
      </c>
      <c r="Z310" s="71" t="n">
        <f aca="false">T310*Y310</f>
        <v>0</v>
      </c>
      <c r="AB310" s="132" t="n">
        <f aca="false">F310*G310</f>
        <v>0</v>
      </c>
      <c r="AC310" s="132" t="n">
        <f aca="false">$F310*H310</f>
        <v>0</v>
      </c>
      <c r="AD310" s="132" t="n">
        <f aca="false">$F310*I310</f>
        <v>0</v>
      </c>
      <c r="AE310" s="132" t="n">
        <f aca="false">$F310*J310</f>
        <v>-0</v>
      </c>
      <c r="AF310" s="132" t="n">
        <f aca="false">$F310*K310</f>
        <v>-0</v>
      </c>
      <c r="AG310" s="132" t="n">
        <f aca="false">$F310*L310</f>
        <v>0</v>
      </c>
      <c r="AH310" s="132" t="n">
        <f aca="false">$F310*M310</f>
        <v>0</v>
      </c>
      <c r="AI310" s="132" t="n">
        <f aca="false">$F310*N310</f>
        <v>0</v>
      </c>
      <c r="AJ310" s="132" t="n">
        <f aca="false">F310*O310</f>
        <v>0</v>
      </c>
      <c r="AK310" s="137"/>
      <c r="AL310" s="132" t="n">
        <f aca="false">CHOOSE($G$3,AC310-AD310,AD310-AC310)</f>
        <v>0</v>
      </c>
      <c r="AM310" s="132" t="n">
        <f aca="false">CHOOSE($G$3,AF310-AG310,AG310-AF310)</f>
        <v>0</v>
      </c>
      <c r="AN310" s="132" t="n">
        <f aca="false">CHOOSE($G$3,AI310-AJ310,AJ310-AI310)</f>
        <v>0</v>
      </c>
      <c r="AO310" s="148" t="n">
        <f aca="false">SUM(AL310:AN310)</f>
        <v>0</v>
      </c>
      <c r="AQ310" s="132" t="n">
        <f aca="false">CHOOSE($G$3,AB310-AC310,AC310-AB310)</f>
        <v>0</v>
      </c>
      <c r="AR310" s="132" t="n">
        <f aca="false">CHOOSE($G$3,AE310-AF310,AF310-AE310)</f>
        <v>0</v>
      </c>
      <c r="AS310" s="132" t="n">
        <f aca="false">CHOOSE($G$3,AH310-AI310,AI310-AH310)</f>
        <v>0</v>
      </c>
      <c r="AT310" s="148" t="n">
        <f aca="false">AQ310+AR310+AS310</f>
        <v>0</v>
      </c>
      <c r="AU310" s="148"/>
      <c r="AV310" s="133" t="n">
        <f aca="false">AT310+AO310</f>
        <v>0</v>
      </c>
      <c r="AX310" s="133" t="n">
        <f aca="false">AJ310+AG310+AD310</f>
        <v>0</v>
      </c>
      <c r="AY310" s="149"/>
      <c r="AZ310" s="76" t="n">
        <f aca="false">R310*E310</f>
        <v>0</v>
      </c>
    </row>
    <row r="311" customFormat="false" ht="12" hidden="false" customHeight="true" outlineLevel="0" collapsed="false">
      <c r="A311" s="138" t="n">
        <f aca="false">EDATE(A310,1)</f>
        <v>46143</v>
      </c>
      <c r="B311" s="139" t="n">
        <f aca="false">VLOOKUP($A311,Table2,MATCH(I$3,Curves2,0))</f>
        <v>0</v>
      </c>
      <c r="C311" s="140"/>
      <c r="D311" s="141" t="n">
        <f aca="false">B311+C311</f>
        <v>0</v>
      </c>
      <c r="E311" s="126" t="n">
        <f aca="false">IF(Y311=0,0,IF(AND(Y311=1,$H$3=1),D311*T311,IF($H$3=2,D311,"N/A")))</f>
        <v>0</v>
      </c>
      <c r="F311" s="126" t="n">
        <f aca="false">E311*X311</f>
        <v>0</v>
      </c>
      <c r="G311" s="142" t="n">
        <f aca="false">VLOOKUP($A311,Table,MATCH(G$4,Curves,0))</f>
        <v>3.987</v>
      </c>
      <c r="H311" s="143" t="n">
        <f aca="false">G311</f>
        <v>3.987</v>
      </c>
      <c r="I311" s="142" t="n">
        <f aca="false">VLOOKUP($A311,Table1,MATCH(I$3,Curves1,0))</f>
        <v>0</v>
      </c>
      <c r="J311" s="142" t="n">
        <f aca="false">VLOOKUP($A311,Table,MATCH(J$4,Curves,0))</f>
        <v>-0.0305</v>
      </c>
      <c r="K311" s="143" t="n">
        <f aca="false">J311</f>
        <v>-0.0305</v>
      </c>
      <c r="L311" s="144" t="n">
        <v>0</v>
      </c>
      <c r="M311" s="142" t="n">
        <f aca="false">VLOOKUP($A311,Table,MATCH(M$4,Curves,0))</f>
        <v>0.0087</v>
      </c>
      <c r="N311" s="143" t="n">
        <f aca="false">M311</f>
        <v>0.0087</v>
      </c>
      <c r="O311" s="144" t="n">
        <v>0</v>
      </c>
      <c r="P311" s="145"/>
      <c r="Q311" s="144" t="n">
        <f aca="false">M311+J311+G311</f>
        <v>3.9652</v>
      </c>
      <c r="R311" s="144" t="n">
        <f aca="false">O311+L311+I311</f>
        <v>0</v>
      </c>
      <c r="S311" s="145"/>
      <c r="T311" s="71" t="n">
        <f aca="false">A312-A311</f>
        <v>31</v>
      </c>
      <c r="U311" s="146" t="n">
        <f aca="false">CHOOSE(F$3,A312+24,A311)</f>
        <v>46198</v>
      </c>
      <c r="V311" s="71" t="n">
        <f aca="false">U311-C$3</f>
        <v>9310</v>
      </c>
      <c r="W311" s="142" t="n">
        <f aca="false">VLOOKUP($A311,Table,MATCH(W$4,Curves,0))</f>
        <v>0.058966861357273</v>
      </c>
      <c r="X311" s="147" t="n">
        <f aca="false">1/(1+CHOOSE(F$3,(W312+($K$3/10000))/2,(W311+($K$3/10000))/2))^(2*V311/365.25)</f>
        <v>0.22734234965647</v>
      </c>
      <c r="Y311" s="71" t="n">
        <f aca="false">IF(AND(mthbeg&lt;=A311,mthend&gt;=A311),1,0)</f>
        <v>0</v>
      </c>
      <c r="Z311" s="71" t="n">
        <f aca="false">T311*Y311</f>
        <v>0</v>
      </c>
      <c r="AB311" s="132" t="n">
        <f aca="false">F311*G311</f>
        <v>0</v>
      </c>
      <c r="AC311" s="132" t="n">
        <f aca="false">$F311*H311</f>
        <v>0</v>
      </c>
      <c r="AD311" s="132" t="n">
        <f aca="false">$F311*I311</f>
        <v>0</v>
      </c>
      <c r="AE311" s="132" t="n">
        <f aca="false">$F311*J311</f>
        <v>-0</v>
      </c>
      <c r="AF311" s="132" t="n">
        <f aca="false">$F311*K311</f>
        <v>-0</v>
      </c>
      <c r="AG311" s="132" t="n">
        <f aca="false">$F311*L311</f>
        <v>0</v>
      </c>
      <c r="AH311" s="132" t="n">
        <f aca="false">$F311*M311</f>
        <v>0</v>
      </c>
      <c r="AI311" s="132" t="n">
        <f aca="false">$F311*N311</f>
        <v>0</v>
      </c>
      <c r="AJ311" s="132" t="n">
        <f aca="false">F311*O311</f>
        <v>0</v>
      </c>
      <c r="AK311" s="137"/>
      <c r="AL311" s="132" t="n">
        <f aca="false">CHOOSE($G$3,AC311-AD311,AD311-AC311)</f>
        <v>0</v>
      </c>
      <c r="AM311" s="132" t="n">
        <f aca="false">CHOOSE($G$3,AF311-AG311,AG311-AF311)</f>
        <v>0</v>
      </c>
      <c r="AN311" s="132" t="n">
        <f aca="false">CHOOSE($G$3,AI311-AJ311,AJ311-AI311)</f>
        <v>0</v>
      </c>
      <c r="AO311" s="148" t="n">
        <f aca="false">SUM(AL311:AN311)</f>
        <v>0</v>
      </c>
      <c r="AQ311" s="132" t="n">
        <f aca="false">CHOOSE($G$3,AB311-AC311,AC311-AB311)</f>
        <v>0</v>
      </c>
      <c r="AR311" s="132" t="n">
        <f aca="false">CHOOSE($G$3,AE311-AF311,AF311-AE311)</f>
        <v>0</v>
      </c>
      <c r="AS311" s="132" t="n">
        <f aca="false">CHOOSE($G$3,AH311-AI311,AI311-AH311)</f>
        <v>0</v>
      </c>
      <c r="AT311" s="148" t="n">
        <f aca="false">AQ311+AR311+AS311</f>
        <v>0</v>
      </c>
      <c r="AU311" s="148"/>
      <c r="AV311" s="133" t="n">
        <f aca="false">AT311+AO311</f>
        <v>0</v>
      </c>
      <c r="AX311" s="133" t="n">
        <f aca="false">AJ311+AG311+AD311</f>
        <v>0</v>
      </c>
      <c r="AY311" s="149"/>
      <c r="AZ311" s="76" t="n">
        <f aca="false">R311*E311</f>
        <v>0</v>
      </c>
    </row>
    <row r="312" customFormat="false" ht="12" hidden="false" customHeight="true" outlineLevel="0" collapsed="false">
      <c r="A312" s="138" t="n">
        <f aca="false">EDATE(A311,1)</f>
        <v>46174</v>
      </c>
      <c r="B312" s="139" t="n">
        <f aca="false">VLOOKUP($A312,Table2,MATCH(I$3,Curves2,0))</f>
        <v>0</v>
      </c>
      <c r="C312" s="140"/>
      <c r="D312" s="141" t="n">
        <f aca="false">B312+C312</f>
        <v>0</v>
      </c>
      <c r="E312" s="126" t="n">
        <f aca="false">IF(Y312=0,0,IF(AND(Y312=1,$H$3=1),D312*T312,IF($H$3=2,D312,"N/A")))</f>
        <v>0</v>
      </c>
      <c r="F312" s="126" t="n">
        <f aca="false">E312*X312</f>
        <v>0</v>
      </c>
      <c r="G312" s="142" t="n">
        <f aca="false">VLOOKUP($A312,Table,MATCH(G$4,Curves,0))</f>
        <v>3.987</v>
      </c>
      <c r="H312" s="143" t="n">
        <f aca="false">G312</f>
        <v>3.987</v>
      </c>
      <c r="I312" s="142" t="n">
        <f aca="false">VLOOKUP($A312,Table1,MATCH(I$3,Curves1,0))</f>
        <v>0</v>
      </c>
      <c r="J312" s="142" t="n">
        <f aca="false">VLOOKUP($A312,Table,MATCH(J$4,Curves,0))</f>
        <v>-0.0305</v>
      </c>
      <c r="K312" s="143" t="n">
        <f aca="false">J312</f>
        <v>-0.0305</v>
      </c>
      <c r="L312" s="144" t="n">
        <v>0</v>
      </c>
      <c r="M312" s="142" t="n">
        <f aca="false">VLOOKUP($A312,Table,MATCH(M$4,Curves,0))</f>
        <v>0.0087</v>
      </c>
      <c r="N312" s="143" t="n">
        <f aca="false">M312</f>
        <v>0.0087</v>
      </c>
      <c r="O312" s="144" t="n">
        <v>0</v>
      </c>
      <c r="P312" s="145"/>
      <c r="Q312" s="144" t="n">
        <f aca="false">M312+J312+G312</f>
        <v>3.9652</v>
      </c>
      <c r="R312" s="144" t="n">
        <f aca="false">O312+L312+I312</f>
        <v>0</v>
      </c>
      <c r="S312" s="145"/>
      <c r="T312" s="71" t="n">
        <f aca="false">A313-A312</f>
        <v>30</v>
      </c>
      <c r="U312" s="146" t="n">
        <f aca="false">CHOOSE(F$3,A313+24,A312)</f>
        <v>46228</v>
      </c>
      <c r="V312" s="71" t="n">
        <f aca="false">U312-C$3</f>
        <v>9340</v>
      </c>
      <c r="W312" s="142" t="n">
        <f aca="false">VLOOKUP($A312,Table,MATCH(W$4,Curves,0))</f>
        <v>0.058966861357273</v>
      </c>
      <c r="X312" s="147" t="n">
        <f aca="false">1/(1+CHOOSE(F$3,(W313+($K$3/10000))/2,(W312+($K$3/10000))/2))^(2*V312/365.25)</f>
        <v>0.226259773788133</v>
      </c>
      <c r="Y312" s="71" t="n">
        <f aca="false">IF(AND(mthbeg&lt;=A312,mthend&gt;=A312),1,0)</f>
        <v>0</v>
      </c>
      <c r="Z312" s="71" t="n">
        <f aca="false">T312*Y312</f>
        <v>0</v>
      </c>
      <c r="AB312" s="132" t="n">
        <f aca="false">F312*G312</f>
        <v>0</v>
      </c>
      <c r="AC312" s="132" t="n">
        <f aca="false">$F312*H312</f>
        <v>0</v>
      </c>
      <c r="AD312" s="132" t="n">
        <f aca="false">$F312*I312</f>
        <v>0</v>
      </c>
      <c r="AE312" s="132" t="n">
        <f aca="false">$F312*J312</f>
        <v>-0</v>
      </c>
      <c r="AF312" s="132" t="n">
        <f aca="false">$F312*K312</f>
        <v>-0</v>
      </c>
      <c r="AG312" s="132" t="n">
        <f aca="false">$F312*L312</f>
        <v>0</v>
      </c>
      <c r="AH312" s="132" t="n">
        <f aca="false">$F312*M312</f>
        <v>0</v>
      </c>
      <c r="AI312" s="132" t="n">
        <f aca="false">$F312*N312</f>
        <v>0</v>
      </c>
      <c r="AJ312" s="132" t="n">
        <f aca="false">F312*O312</f>
        <v>0</v>
      </c>
      <c r="AK312" s="137"/>
      <c r="AL312" s="132" t="n">
        <f aca="false">CHOOSE($G$3,AC312-AD312,AD312-AC312)</f>
        <v>0</v>
      </c>
      <c r="AM312" s="132" t="n">
        <f aca="false">CHOOSE($G$3,AF312-AG312,AG312-AF312)</f>
        <v>0</v>
      </c>
      <c r="AN312" s="132" t="n">
        <f aca="false">CHOOSE($G$3,AI312-AJ312,AJ312-AI312)</f>
        <v>0</v>
      </c>
      <c r="AO312" s="148" t="n">
        <f aca="false">SUM(AL312:AN312)</f>
        <v>0</v>
      </c>
      <c r="AQ312" s="132" t="n">
        <f aca="false">CHOOSE($G$3,AB312-AC312,AC312-AB312)</f>
        <v>0</v>
      </c>
      <c r="AR312" s="132" t="n">
        <f aca="false">CHOOSE($G$3,AE312-AF312,AF312-AE312)</f>
        <v>0</v>
      </c>
      <c r="AS312" s="132" t="n">
        <f aca="false">CHOOSE($G$3,AH312-AI312,AI312-AH312)</f>
        <v>0</v>
      </c>
      <c r="AT312" s="148" t="n">
        <f aca="false">AQ312+AR312+AS312</f>
        <v>0</v>
      </c>
      <c r="AU312" s="148"/>
      <c r="AV312" s="133" t="n">
        <f aca="false">AT312+AO312</f>
        <v>0</v>
      </c>
      <c r="AX312" s="133" t="n">
        <f aca="false">AJ312+AG312+AD312</f>
        <v>0</v>
      </c>
      <c r="AY312" s="149"/>
      <c r="AZ312" s="76" t="n">
        <f aca="false">R312*E312</f>
        <v>0</v>
      </c>
    </row>
    <row r="313" customFormat="false" ht="12" hidden="false" customHeight="true" outlineLevel="0" collapsed="false">
      <c r="A313" s="138" t="n">
        <f aca="false">EDATE(A312,1)</f>
        <v>46204</v>
      </c>
      <c r="B313" s="139" t="n">
        <f aca="false">VLOOKUP($A313,Table2,MATCH(I$3,Curves2,0))</f>
        <v>0</v>
      </c>
      <c r="C313" s="140"/>
      <c r="D313" s="141" t="n">
        <f aca="false">B313+C313</f>
        <v>0</v>
      </c>
      <c r="E313" s="126" t="n">
        <f aca="false">IF(Y313=0,0,IF(AND(Y313=1,$H$3=1),D313*T313,IF($H$3=2,D313,"N/A")))</f>
        <v>0</v>
      </c>
      <c r="F313" s="126" t="n">
        <f aca="false">E313*X313</f>
        <v>0</v>
      </c>
      <c r="G313" s="142" t="n">
        <f aca="false">VLOOKUP($A313,Table,MATCH(G$4,Curves,0))</f>
        <v>3.987</v>
      </c>
      <c r="H313" s="143" t="n">
        <f aca="false">G313</f>
        <v>3.987</v>
      </c>
      <c r="I313" s="142" t="n">
        <f aca="false">VLOOKUP($A313,Table1,MATCH(I$3,Curves1,0))</f>
        <v>0</v>
      </c>
      <c r="J313" s="142" t="n">
        <f aca="false">VLOOKUP($A313,Table,MATCH(J$4,Curves,0))</f>
        <v>-0.0305</v>
      </c>
      <c r="K313" s="143" t="n">
        <f aca="false">J313</f>
        <v>-0.0305</v>
      </c>
      <c r="L313" s="144" t="n">
        <v>0</v>
      </c>
      <c r="M313" s="142" t="n">
        <f aca="false">VLOOKUP($A313,Table,MATCH(M$4,Curves,0))</f>
        <v>0.0087</v>
      </c>
      <c r="N313" s="143" t="n">
        <f aca="false">M313</f>
        <v>0.0087</v>
      </c>
      <c r="O313" s="144" t="n">
        <v>0</v>
      </c>
      <c r="P313" s="145"/>
      <c r="Q313" s="144" t="n">
        <f aca="false">M313+J313+G313</f>
        <v>3.9652</v>
      </c>
      <c r="R313" s="144" t="n">
        <f aca="false">O313+L313+I313</f>
        <v>0</v>
      </c>
      <c r="S313" s="145"/>
      <c r="T313" s="71" t="n">
        <f aca="false">A314-A313</f>
        <v>31</v>
      </c>
      <c r="U313" s="146" t="n">
        <f aca="false">CHOOSE(F$3,A314+24,A313)</f>
        <v>46259</v>
      </c>
      <c r="V313" s="71" t="n">
        <f aca="false">U313-C$3</f>
        <v>9371</v>
      </c>
      <c r="W313" s="142" t="n">
        <f aca="false">VLOOKUP($A313,Table,MATCH(W$4,Curves,0))</f>
        <v>0.058966861357273</v>
      </c>
      <c r="X313" s="147" t="n">
        <f aca="false">1/(1+CHOOSE(F$3,(W314+($K$3/10000))/2,(W313+($K$3/10000))/2))^(2*V313/365.25)</f>
        <v>0.225146527480179</v>
      </c>
      <c r="Y313" s="71" t="n">
        <f aca="false">IF(AND(mthbeg&lt;=A313,mthend&gt;=A313),1,0)</f>
        <v>0</v>
      </c>
      <c r="Z313" s="71" t="n">
        <f aca="false">T313*Y313</f>
        <v>0</v>
      </c>
      <c r="AB313" s="132" t="n">
        <f aca="false">F313*G313</f>
        <v>0</v>
      </c>
      <c r="AC313" s="132" t="n">
        <f aca="false">$F313*H313</f>
        <v>0</v>
      </c>
      <c r="AD313" s="132" t="n">
        <f aca="false">$F313*I313</f>
        <v>0</v>
      </c>
      <c r="AE313" s="132" t="n">
        <f aca="false">$F313*J313</f>
        <v>-0</v>
      </c>
      <c r="AF313" s="132" t="n">
        <f aca="false">$F313*K313</f>
        <v>-0</v>
      </c>
      <c r="AG313" s="132" t="n">
        <f aca="false">$F313*L313</f>
        <v>0</v>
      </c>
      <c r="AH313" s="132" t="n">
        <f aca="false">$F313*M313</f>
        <v>0</v>
      </c>
      <c r="AI313" s="132" t="n">
        <f aca="false">$F313*N313</f>
        <v>0</v>
      </c>
      <c r="AJ313" s="132" t="n">
        <f aca="false">F313*O313</f>
        <v>0</v>
      </c>
      <c r="AK313" s="137"/>
      <c r="AL313" s="132" t="n">
        <f aca="false">CHOOSE($G$3,AC313-AD313,AD313-AC313)</f>
        <v>0</v>
      </c>
      <c r="AM313" s="132" t="n">
        <f aca="false">CHOOSE($G$3,AF313-AG313,AG313-AF313)</f>
        <v>0</v>
      </c>
      <c r="AN313" s="132" t="n">
        <f aca="false">CHOOSE($G$3,AI313-AJ313,AJ313-AI313)</f>
        <v>0</v>
      </c>
      <c r="AO313" s="148" t="n">
        <f aca="false">SUM(AL313:AN313)</f>
        <v>0</v>
      </c>
      <c r="AQ313" s="132" t="n">
        <f aca="false">CHOOSE($G$3,AB313-AC313,AC313-AB313)</f>
        <v>0</v>
      </c>
      <c r="AR313" s="132" t="n">
        <f aca="false">CHOOSE($G$3,AE313-AF313,AF313-AE313)</f>
        <v>0</v>
      </c>
      <c r="AS313" s="132" t="n">
        <f aca="false">CHOOSE($G$3,AH313-AI313,AI313-AH313)</f>
        <v>0</v>
      </c>
      <c r="AT313" s="148" t="n">
        <f aca="false">AQ313+AR313+AS313</f>
        <v>0</v>
      </c>
      <c r="AU313" s="148"/>
      <c r="AV313" s="133" t="n">
        <f aca="false">AT313+AO313</f>
        <v>0</v>
      </c>
      <c r="AX313" s="133" t="n">
        <f aca="false">AJ313+AG313+AD313</f>
        <v>0</v>
      </c>
      <c r="AY313" s="149"/>
      <c r="AZ313" s="76" t="n">
        <f aca="false">R313*E313</f>
        <v>0</v>
      </c>
    </row>
    <row r="314" customFormat="false" ht="12" hidden="false" customHeight="true" outlineLevel="0" collapsed="false">
      <c r="A314" s="138" t="n">
        <f aca="false">EDATE(A313,1)</f>
        <v>46235</v>
      </c>
      <c r="B314" s="139" t="n">
        <f aca="false">VLOOKUP($A314,Table2,MATCH(I$3,Curves2,0))</f>
        <v>0</v>
      </c>
      <c r="C314" s="140"/>
      <c r="D314" s="141" t="n">
        <f aca="false">B314+C314</f>
        <v>0</v>
      </c>
      <c r="E314" s="126" t="n">
        <f aca="false">IF(Y314=0,0,IF(AND(Y314=1,$H$3=1),D314*T314,IF($H$3=2,D314,"N/A")))</f>
        <v>0</v>
      </c>
      <c r="F314" s="126" t="n">
        <f aca="false">E314*X314</f>
        <v>0</v>
      </c>
      <c r="G314" s="142" t="n">
        <f aca="false">VLOOKUP($A314,Table,MATCH(G$4,Curves,0))</f>
        <v>3.987</v>
      </c>
      <c r="H314" s="143" t="n">
        <f aca="false">G314</f>
        <v>3.987</v>
      </c>
      <c r="I314" s="142" t="n">
        <f aca="false">VLOOKUP($A314,Table1,MATCH(I$3,Curves1,0))</f>
        <v>0</v>
      </c>
      <c r="J314" s="142" t="n">
        <f aca="false">VLOOKUP($A314,Table,MATCH(J$4,Curves,0))</f>
        <v>-0.0305</v>
      </c>
      <c r="K314" s="143" t="n">
        <f aca="false">J314</f>
        <v>-0.0305</v>
      </c>
      <c r="L314" s="144" t="n">
        <v>0</v>
      </c>
      <c r="M314" s="142" t="n">
        <f aca="false">VLOOKUP($A314,Table,MATCH(M$4,Curves,0))</f>
        <v>0.0087</v>
      </c>
      <c r="N314" s="143" t="n">
        <f aca="false">M314</f>
        <v>0.0087</v>
      </c>
      <c r="O314" s="144" t="n">
        <v>0</v>
      </c>
      <c r="P314" s="145"/>
      <c r="Q314" s="144" t="n">
        <f aca="false">M314+J314+G314</f>
        <v>3.9652</v>
      </c>
      <c r="R314" s="144" t="n">
        <f aca="false">O314+L314+I314</f>
        <v>0</v>
      </c>
      <c r="S314" s="145"/>
      <c r="T314" s="71" t="n">
        <f aca="false">A315-A314</f>
        <v>31</v>
      </c>
      <c r="U314" s="146" t="n">
        <f aca="false">CHOOSE(F$3,A315+24,A314)</f>
        <v>46290</v>
      </c>
      <c r="V314" s="71" t="n">
        <f aca="false">U314-C$3</f>
        <v>9402</v>
      </c>
      <c r="W314" s="142" t="n">
        <f aca="false">VLOOKUP($A314,Table,MATCH(W$4,Curves,0))</f>
        <v>0.058966861357273</v>
      </c>
      <c r="X314" s="147" t="n">
        <f aca="false">1/(1+CHOOSE(F$3,(W315+($K$3/10000))/2,(W314+($K$3/10000))/2))^(2*V314/365.25)</f>
        <v>0.224038758581317</v>
      </c>
      <c r="Y314" s="71" t="n">
        <f aca="false">IF(AND(mthbeg&lt;=A314,mthend&gt;=A314),1,0)</f>
        <v>0</v>
      </c>
      <c r="Z314" s="71" t="n">
        <f aca="false">T314*Y314</f>
        <v>0</v>
      </c>
      <c r="AB314" s="132" t="n">
        <f aca="false">F314*G314</f>
        <v>0</v>
      </c>
      <c r="AC314" s="132" t="n">
        <f aca="false">$F314*H314</f>
        <v>0</v>
      </c>
      <c r="AD314" s="132" t="n">
        <f aca="false">$F314*I314</f>
        <v>0</v>
      </c>
      <c r="AE314" s="132" t="n">
        <f aca="false">$F314*J314</f>
        <v>-0</v>
      </c>
      <c r="AF314" s="132" t="n">
        <f aca="false">$F314*K314</f>
        <v>-0</v>
      </c>
      <c r="AG314" s="132" t="n">
        <f aca="false">$F314*L314</f>
        <v>0</v>
      </c>
      <c r="AH314" s="132" t="n">
        <f aca="false">$F314*M314</f>
        <v>0</v>
      </c>
      <c r="AI314" s="132" t="n">
        <f aca="false">$F314*N314</f>
        <v>0</v>
      </c>
      <c r="AJ314" s="132" t="n">
        <f aca="false">F314*O314</f>
        <v>0</v>
      </c>
      <c r="AK314" s="137"/>
      <c r="AL314" s="132" t="n">
        <f aca="false">CHOOSE($G$3,AC314-AD314,AD314-AC314)</f>
        <v>0</v>
      </c>
      <c r="AM314" s="132" t="n">
        <f aca="false">CHOOSE($G$3,AF314-AG314,AG314-AF314)</f>
        <v>0</v>
      </c>
      <c r="AN314" s="132" t="n">
        <f aca="false">CHOOSE($G$3,AI314-AJ314,AJ314-AI314)</f>
        <v>0</v>
      </c>
      <c r="AO314" s="148" t="n">
        <f aca="false">SUM(AL314:AN314)</f>
        <v>0</v>
      </c>
      <c r="AQ314" s="132" t="n">
        <f aca="false">CHOOSE($G$3,AB314-AC314,AC314-AB314)</f>
        <v>0</v>
      </c>
      <c r="AR314" s="132" t="n">
        <f aca="false">CHOOSE($G$3,AE314-AF314,AF314-AE314)</f>
        <v>0</v>
      </c>
      <c r="AS314" s="132" t="n">
        <f aca="false">CHOOSE($G$3,AH314-AI314,AI314-AH314)</f>
        <v>0</v>
      </c>
      <c r="AT314" s="148" t="n">
        <f aca="false">AQ314+AR314+AS314</f>
        <v>0</v>
      </c>
      <c r="AU314" s="148"/>
      <c r="AV314" s="133" t="n">
        <f aca="false">AT314+AO314</f>
        <v>0</v>
      </c>
      <c r="AX314" s="133" t="n">
        <f aca="false">AJ314+AG314+AD314</f>
        <v>0</v>
      </c>
      <c r="AY314" s="149"/>
      <c r="AZ314" s="76" t="n">
        <f aca="false">R314*E314</f>
        <v>0</v>
      </c>
    </row>
    <row r="315" customFormat="false" ht="12" hidden="false" customHeight="true" outlineLevel="0" collapsed="false">
      <c r="A315" s="138" t="n">
        <f aca="false">EDATE(A314,1)</f>
        <v>46266</v>
      </c>
      <c r="B315" s="139" t="n">
        <f aca="false">VLOOKUP($A315,Table2,MATCH(I$3,Curves2,0))</f>
        <v>0</v>
      </c>
      <c r="C315" s="140"/>
      <c r="D315" s="141" t="n">
        <f aca="false">B315+C315</f>
        <v>0</v>
      </c>
      <c r="E315" s="126" t="n">
        <f aca="false">IF(Y315=0,0,IF(AND(Y315=1,$H$3=1),D315*T315,IF($H$3=2,D315,"N/A")))</f>
        <v>0</v>
      </c>
      <c r="F315" s="126" t="n">
        <f aca="false">E315*X315</f>
        <v>0</v>
      </c>
      <c r="G315" s="142" t="n">
        <f aca="false">VLOOKUP($A315,Table,MATCH(G$4,Curves,0))</f>
        <v>3.987</v>
      </c>
      <c r="H315" s="143" t="n">
        <f aca="false">G315</f>
        <v>3.987</v>
      </c>
      <c r="I315" s="142" t="n">
        <f aca="false">VLOOKUP($A315,Table1,MATCH(I$3,Curves1,0))</f>
        <v>0</v>
      </c>
      <c r="J315" s="142" t="n">
        <f aca="false">VLOOKUP($A315,Table,MATCH(J$4,Curves,0))</f>
        <v>-0.0305</v>
      </c>
      <c r="K315" s="143" t="n">
        <f aca="false">J315</f>
        <v>-0.0305</v>
      </c>
      <c r="L315" s="144" t="n">
        <v>0</v>
      </c>
      <c r="M315" s="142" t="n">
        <f aca="false">VLOOKUP($A315,Table,MATCH(M$4,Curves,0))</f>
        <v>0.0087</v>
      </c>
      <c r="N315" s="143" t="n">
        <f aca="false">M315</f>
        <v>0.0087</v>
      </c>
      <c r="O315" s="144" t="n">
        <v>0</v>
      </c>
      <c r="P315" s="145"/>
      <c r="Q315" s="144" t="n">
        <f aca="false">M315+J315+G315</f>
        <v>3.9652</v>
      </c>
      <c r="R315" s="144" t="n">
        <f aca="false">O315+L315+I315</f>
        <v>0</v>
      </c>
      <c r="S315" s="145"/>
      <c r="T315" s="71" t="n">
        <f aca="false">A316-A315</f>
        <v>30</v>
      </c>
      <c r="U315" s="146" t="n">
        <f aca="false">CHOOSE(F$3,A316+24,A315)</f>
        <v>46320</v>
      </c>
      <c r="V315" s="71" t="n">
        <f aca="false">U315-C$3</f>
        <v>9432</v>
      </c>
      <c r="W315" s="142" t="n">
        <f aca="false">VLOOKUP($A315,Table,MATCH(W$4,Curves,0))</f>
        <v>0.058966861357273</v>
      </c>
      <c r="X315" s="147" t="n">
        <f aca="false">1/(1+CHOOSE(F$3,(W316+($K$3/10000))/2,(W315+($K$3/10000))/2))^(2*V315/365.25)</f>
        <v>0.222971914000979</v>
      </c>
      <c r="Y315" s="71" t="n">
        <f aca="false">IF(AND(mthbeg&lt;=A315,mthend&gt;=A315),1,0)</f>
        <v>0</v>
      </c>
      <c r="Z315" s="71" t="n">
        <f aca="false">T315*Y315</f>
        <v>0</v>
      </c>
      <c r="AB315" s="132" t="n">
        <f aca="false">F315*G315</f>
        <v>0</v>
      </c>
      <c r="AC315" s="132" t="n">
        <f aca="false">$F315*H315</f>
        <v>0</v>
      </c>
      <c r="AD315" s="132" t="n">
        <f aca="false">$F315*I315</f>
        <v>0</v>
      </c>
      <c r="AE315" s="132" t="n">
        <f aca="false">$F315*J315</f>
        <v>-0</v>
      </c>
      <c r="AF315" s="132" t="n">
        <f aca="false">$F315*K315</f>
        <v>-0</v>
      </c>
      <c r="AG315" s="132" t="n">
        <f aca="false">$F315*L315</f>
        <v>0</v>
      </c>
      <c r="AH315" s="132" t="n">
        <f aca="false">$F315*M315</f>
        <v>0</v>
      </c>
      <c r="AI315" s="132" t="n">
        <f aca="false">$F315*N315</f>
        <v>0</v>
      </c>
      <c r="AJ315" s="132" t="n">
        <f aca="false">F315*O315</f>
        <v>0</v>
      </c>
      <c r="AK315" s="137"/>
      <c r="AL315" s="132" t="n">
        <f aca="false">CHOOSE($G$3,AC315-AD315,AD315-AC315)</f>
        <v>0</v>
      </c>
      <c r="AM315" s="132" t="n">
        <f aca="false">CHOOSE($G$3,AF315-AG315,AG315-AF315)</f>
        <v>0</v>
      </c>
      <c r="AN315" s="132" t="n">
        <f aca="false">CHOOSE($G$3,AI315-AJ315,AJ315-AI315)</f>
        <v>0</v>
      </c>
      <c r="AO315" s="148" t="n">
        <f aca="false">SUM(AL315:AN315)</f>
        <v>0</v>
      </c>
      <c r="AQ315" s="132" t="n">
        <f aca="false">CHOOSE($G$3,AB315-AC315,AC315-AB315)</f>
        <v>0</v>
      </c>
      <c r="AR315" s="132" t="n">
        <f aca="false">CHOOSE($G$3,AE315-AF315,AF315-AE315)</f>
        <v>0</v>
      </c>
      <c r="AS315" s="132" t="n">
        <f aca="false">CHOOSE($G$3,AH315-AI315,AI315-AH315)</f>
        <v>0</v>
      </c>
      <c r="AT315" s="148" t="n">
        <f aca="false">AQ315+AR315+AS315</f>
        <v>0</v>
      </c>
      <c r="AU315" s="148"/>
      <c r="AV315" s="133" t="n">
        <f aca="false">AT315+AO315</f>
        <v>0</v>
      </c>
      <c r="AX315" s="133" t="n">
        <f aca="false">AJ315+AG315+AD315</f>
        <v>0</v>
      </c>
      <c r="AY315" s="149"/>
      <c r="AZ315" s="76" t="n">
        <f aca="false">R315*E315</f>
        <v>0</v>
      </c>
    </row>
    <row r="316" customFormat="false" ht="12" hidden="false" customHeight="true" outlineLevel="0" collapsed="false">
      <c r="A316" s="138" t="n">
        <f aca="false">EDATE(A315,1)</f>
        <v>46296</v>
      </c>
      <c r="B316" s="139" t="n">
        <f aca="false">VLOOKUP($A316,Table2,MATCH(I$3,Curves2,0))</f>
        <v>0</v>
      </c>
      <c r="C316" s="140"/>
      <c r="D316" s="141" t="n">
        <f aca="false">B316+C316</f>
        <v>0</v>
      </c>
      <c r="E316" s="126" t="n">
        <f aca="false">IF(Y316=0,0,IF(AND(Y316=1,$H$3=1),D316*T316,IF($H$3=2,D316,"N/A")))</f>
        <v>0</v>
      </c>
      <c r="F316" s="126" t="n">
        <f aca="false">E316*X316</f>
        <v>0</v>
      </c>
      <c r="G316" s="142" t="n">
        <f aca="false">VLOOKUP($A316,Table,MATCH(G$4,Curves,0))</f>
        <v>3.987</v>
      </c>
      <c r="H316" s="143" t="n">
        <f aca="false">G316</f>
        <v>3.987</v>
      </c>
      <c r="I316" s="142" t="n">
        <f aca="false">VLOOKUP($A316,Table1,MATCH(I$3,Curves1,0))</f>
        <v>0</v>
      </c>
      <c r="J316" s="142" t="n">
        <f aca="false">VLOOKUP($A316,Table,MATCH(J$4,Curves,0))</f>
        <v>-0.0305</v>
      </c>
      <c r="K316" s="143" t="n">
        <f aca="false">J316</f>
        <v>-0.0305</v>
      </c>
      <c r="L316" s="144" t="n">
        <v>0</v>
      </c>
      <c r="M316" s="142" t="n">
        <f aca="false">VLOOKUP($A316,Table,MATCH(M$4,Curves,0))</f>
        <v>0.0087</v>
      </c>
      <c r="N316" s="143" t="n">
        <f aca="false">M316</f>
        <v>0.0087</v>
      </c>
      <c r="O316" s="144" t="n">
        <v>0</v>
      </c>
      <c r="P316" s="145"/>
      <c r="Q316" s="144" t="n">
        <f aca="false">M316+J316+G316</f>
        <v>3.9652</v>
      </c>
      <c r="R316" s="144" t="n">
        <f aca="false">O316+L316+I316</f>
        <v>0</v>
      </c>
      <c r="S316" s="145"/>
      <c r="T316" s="71" t="n">
        <f aca="false">A317-A316</f>
        <v>31</v>
      </c>
      <c r="U316" s="146" t="n">
        <f aca="false">CHOOSE(F$3,A317+24,A316)</f>
        <v>46351</v>
      </c>
      <c r="V316" s="71" t="n">
        <f aca="false">U316-C$3</f>
        <v>9463</v>
      </c>
      <c r="W316" s="142" t="n">
        <f aca="false">VLOOKUP($A316,Table,MATCH(W$4,Curves,0))</f>
        <v>0.058966861357273</v>
      </c>
      <c r="X316" s="147" t="n">
        <f aca="false">1/(1+CHOOSE(F$3,(W317+($K$3/10000))/2,(W316+($K$3/10000))/2))^(2*V316/365.25)</f>
        <v>0.221874844663893</v>
      </c>
      <c r="Y316" s="71" t="n">
        <f aca="false">IF(AND(mthbeg&lt;=A316,mthend&gt;=A316),1,0)</f>
        <v>0</v>
      </c>
      <c r="Z316" s="71" t="n">
        <f aca="false">T316*Y316</f>
        <v>0</v>
      </c>
      <c r="AB316" s="132" t="n">
        <f aca="false">F316*G316</f>
        <v>0</v>
      </c>
      <c r="AC316" s="132" t="n">
        <f aca="false">$F316*H316</f>
        <v>0</v>
      </c>
      <c r="AD316" s="132" t="n">
        <f aca="false">$F316*I316</f>
        <v>0</v>
      </c>
      <c r="AE316" s="132" t="n">
        <f aca="false">$F316*J316</f>
        <v>-0</v>
      </c>
      <c r="AF316" s="132" t="n">
        <f aca="false">$F316*K316</f>
        <v>-0</v>
      </c>
      <c r="AG316" s="132" t="n">
        <f aca="false">$F316*L316</f>
        <v>0</v>
      </c>
      <c r="AH316" s="132" t="n">
        <f aca="false">$F316*M316</f>
        <v>0</v>
      </c>
      <c r="AI316" s="132" t="n">
        <f aca="false">$F316*N316</f>
        <v>0</v>
      </c>
      <c r="AJ316" s="132" t="n">
        <f aca="false">F316*O316</f>
        <v>0</v>
      </c>
      <c r="AK316" s="137"/>
      <c r="AL316" s="132" t="n">
        <f aca="false">CHOOSE($G$3,AC316-AD316,AD316-AC316)</f>
        <v>0</v>
      </c>
      <c r="AM316" s="132" t="n">
        <f aca="false">CHOOSE($G$3,AF316-AG316,AG316-AF316)</f>
        <v>0</v>
      </c>
      <c r="AN316" s="132" t="n">
        <f aca="false">CHOOSE($G$3,AI316-AJ316,AJ316-AI316)</f>
        <v>0</v>
      </c>
      <c r="AO316" s="148" t="n">
        <f aca="false">SUM(AL316:AN316)</f>
        <v>0</v>
      </c>
      <c r="AQ316" s="132" t="n">
        <f aca="false">CHOOSE($G$3,AB316-AC316,AC316-AB316)</f>
        <v>0</v>
      </c>
      <c r="AR316" s="132" t="n">
        <f aca="false">CHOOSE($G$3,AE316-AF316,AF316-AE316)</f>
        <v>0</v>
      </c>
      <c r="AS316" s="132" t="n">
        <f aca="false">CHOOSE($G$3,AH316-AI316,AI316-AH316)</f>
        <v>0</v>
      </c>
      <c r="AT316" s="148" t="n">
        <f aca="false">AQ316+AR316+AS316</f>
        <v>0</v>
      </c>
      <c r="AU316" s="148"/>
      <c r="AV316" s="133" t="n">
        <f aca="false">AT316+AO316</f>
        <v>0</v>
      </c>
      <c r="AX316" s="133" t="n">
        <f aca="false">AJ316+AG316+AD316</f>
        <v>0</v>
      </c>
      <c r="AY316" s="149"/>
      <c r="AZ316" s="76" t="n">
        <f aca="false">R316*E316</f>
        <v>0</v>
      </c>
    </row>
    <row r="317" customFormat="false" ht="12" hidden="false" customHeight="true" outlineLevel="0" collapsed="false">
      <c r="A317" s="138" t="n">
        <f aca="false">EDATE(A316,1)</f>
        <v>46327</v>
      </c>
      <c r="B317" s="139" t="n">
        <f aca="false">VLOOKUP($A317,Table2,MATCH(I$3,Curves2,0))</f>
        <v>0</v>
      </c>
      <c r="C317" s="140"/>
      <c r="D317" s="141" t="n">
        <f aca="false">B317+C317</f>
        <v>0</v>
      </c>
      <c r="E317" s="126" t="n">
        <f aca="false">IF(Y317=0,0,IF(AND(Y317=1,$H$3=1),D317*T317,IF($H$3=2,D317,"N/A")))</f>
        <v>0</v>
      </c>
      <c r="F317" s="126" t="n">
        <f aca="false">E317*X317</f>
        <v>0</v>
      </c>
      <c r="G317" s="142" t="n">
        <f aca="false">VLOOKUP($A317,Table,MATCH(G$4,Curves,0))</f>
        <v>3.987</v>
      </c>
      <c r="H317" s="143" t="n">
        <f aca="false">G317</f>
        <v>3.987</v>
      </c>
      <c r="I317" s="142" t="n">
        <f aca="false">VLOOKUP($A317,Table1,MATCH(I$3,Curves1,0))</f>
        <v>0</v>
      </c>
      <c r="J317" s="142" t="n">
        <f aca="false">VLOOKUP($A317,Table,MATCH(J$4,Curves,0))</f>
        <v>-0.0305</v>
      </c>
      <c r="K317" s="143" t="n">
        <f aca="false">J317</f>
        <v>-0.0305</v>
      </c>
      <c r="L317" s="144" t="n">
        <v>0</v>
      </c>
      <c r="M317" s="142" t="n">
        <f aca="false">VLOOKUP($A317,Table,MATCH(M$4,Curves,0))</f>
        <v>0.0087</v>
      </c>
      <c r="N317" s="143" t="n">
        <f aca="false">M317</f>
        <v>0.0087</v>
      </c>
      <c r="O317" s="144" t="n">
        <v>0</v>
      </c>
      <c r="P317" s="145"/>
      <c r="Q317" s="144" t="n">
        <f aca="false">M317+J317+G317</f>
        <v>3.9652</v>
      </c>
      <c r="R317" s="144" t="n">
        <f aca="false">O317+L317+I317</f>
        <v>0</v>
      </c>
      <c r="S317" s="145"/>
      <c r="T317" s="71" t="n">
        <f aca="false">A318-A317</f>
        <v>30</v>
      </c>
      <c r="U317" s="146" t="n">
        <f aca="false">CHOOSE(F$3,A318+24,A317)</f>
        <v>46381</v>
      </c>
      <c r="V317" s="71" t="n">
        <f aca="false">U317-C$3</f>
        <v>9493</v>
      </c>
      <c r="W317" s="142" t="n">
        <f aca="false">VLOOKUP($A317,Table,MATCH(W$4,Curves,0))</f>
        <v>0.058966861357273</v>
      </c>
      <c r="X317" s="147" t="n">
        <f aca="false">1/(1+CHOOSE(F$3,(W318+($K$3/10000))/2,(W317+($K$3/10000))/2))^(2*V317/365.25)</f>
        <v>0.220818304371302</v>
      </c>
      <c r="Y317" s="71" t="n">
        <f aca="false">IF(AND(mthbeg&lt;=A317,mthend&gt;=A317),1,0)</f>
        <v>0</v>
      </c>
      <c r="Z317" s="71" t="n">
        <f aca="false">T317*Y317</f>
        <v>0</v>
      </c>
      <c r="AB317" s="132" t="n">
        <f aca="false">F317*G317</f>
        <v>0</v>
      </c>
      <c r="AC317" s="132" t="n">
        <f aca="false">$F317*H317</f>
        <v>0</v>
      </c>
      <c r="AD317" s="132" t="n">
        <f aca="false">$F317*I317</f>
        <v>0</v>
      </c>
      <c r="AE317" s="132" t="n">
        <f aca="false">$F317*J317</f>
        <v>-0</v>
      </c>
      <c r="AF317" s="132" t="n">
        <f aca="false">$F317*K317</f>
        <v>-0</v>
      </c>
      <c r="AG317" s="132" t="n">
        <f aca="false">$F317*L317</f>
        <v>0</v>
      </c>
      <c r="AH317" s="132" t="n">
        <f aca="false">$F317*M317</f>
        <v>0</v>
      </c>
      <c r="AI317" s="132" t="n">
        <f aca="false">$F317*N317</f>
        <v>0</v>
      </c>
      <c r="AJ317" s="132" t="n">
        <f aca="false">F317*O317</f>
        <v>0</v>
      </c>
      <c r="AK317" s="137"/>
      <c r="AL317" s="132" t="n">
        <f aca="false">CHOOSE($G$3,AC317-AD317,AD317-AC317)</f>
        <v>0</v>
      </c>
      <c r="AM317" s="132" t="n">
        <f aca="false">CHOOSE($G$3,AF317-AG317,AG317-AF317)</f>
        <v>0</v>
      </c>
      <c r="AN317" s="132" t="n">
        <f aca="false">CHOOSE($G$3,AI317-AJ317,AJ317-AI317)</f>
        <v>0</v>
      </c>
      <c r="AO317" s="148" t="n">
        <f aca="false">SUM(AL317:AN317)</f>
        <v>0</v>
      </c>
      <c r="AQ317" s="132" t="n">
        <f aca="false">CHOOSE($G$3,AB317-AC317,AC317-AB317)</f>
        <v>0</v>
      </c>
      <c r="AR317" s="132" t="n">
        <f aca="false">CHOOSE($G$3,AE317-AF317,AF317-AE317)</f>
        <v>0</v>
      </c>
      <c r="AS317" s="132" t="n">
        <f aca="false">CHOOSE($G$3,AH317-AI317,AI317-AH317)</f>
        <v>0</v>
      </c>
      <c r="AT317" s="148" t="n">
        <f aca="false">AQ317+AR317+AS317</f>
        <v>0</v>
      </c>
      <c r="AU317" s="148"/>
      <c r="AV317" s="133" t="n">
        <f aca="false">AT317+AO317</f>
        <v>0</v>
      </c>
      <c r="AX317" s="133" t="n">
        <f aca="false">AJ317+AG317+AD317</f>
        <v>0</v>
      </c>
      <c r="AY317" s="149"/>
      <c r="AZ317" s="76" t="n">
        <f aca="false">R317*E317</f>
        <v>0</v>
      </c>
    </row>
    <row r="318" customFormat="false" ht="12" hidden="false" customHeight="true" outlineLevel="0" collapsed="false">
      <c r="A318" s="138" t="n">
        <f aca="false">EDATE(A317,1)</f>
        <v>46357</v>
      </c>
      <c r="B318" s="139" t="n">
        <f aca="false">VLOOKUP($A318,Table2,MATCH(I$3,Curves2,0))</f>
        <v>0</v>
      </c>
      <c r="C318" s="140"/>
      <c r="D318" s="141" t="n">
        <f aca="false">B318+C318</f>
        <v>0</v>
      </c>
      <c r="E318" s="126" t="n">
        <f aca="false">IF(Y318=0,0,IF(AND(Y318=1,$H$3=1),D318*T318,IF($H$3=2,D318,"N/A")))</f>
        <v>0</v>
      </c>
      <c r="F318" s="126" t="n">
        <f aca="false">E318*X318</f>
        <v>0</v>
      </c>
      <c r="G318" s="142" t="n">
        <f aca="false">VLOOKUP($A318,Table,MATCH(G$4,Curves,0))</f>
        <v>3.987</v>
      </c>
      <c r="H318" s="143" t="n">
        <f aca="false">G318</f>
        <v>3.987</v>
      </c>
      <c r="I318" s="142" t="n">
        <f aca="false">VLOOKUP($A318,Table1,MATCH(I$3,Curves1,0))</f>
        <v>0</v>
      </c>
      <c r="J318" s="142" t="n">
        <f aca="false">VLOOKUP($A318,Table,MATCH(J$4,Curves,0))</f>
        <v>-0.0305</v>
      </c>
      <c r="K318" s="143" t="n">
        <f aca="false">J318</f>
        <v>-0.0305</v>
      </c>
      <c r="L318" s="144" t="n">
        <v>0</v>
      </c>
      <c r="M318" s="142" t="n">
        <f aca="false">VLOOKUP($A318,Table,MATCH(M$4,Curves,0))</f>
        <v>0.0087</v>
      </c>
      <c r="N318" s="143" t="n">
        <f aca="false">M318</f>
        <v>0.0087</v>
      </c>
      <c r="O318" s="144" t="n">
        <v>0</v>
      </c>
      <c r="P318" s="145"/>
      <c r="Q318" s="144" t="n">
        <f aca="false">M318+J318+G318</f>
        <v>3.9652</v>
      </c>
      <c r="R318" s="144" t="n">
        <f aca="false">O318+L318+I318</f>
        <v>0</v>
      </c>
      <c r="S318" s="145"/>
      <c r="T318" s="71" t="n">
        <f aca="false">A319-A318</f>
        <v>31</v>
      </c>
      <c r="U318" s="146" t="n">
        <f aca="false">CHOOSE(F$3,A319+24,A318)</f>
        <v>46412</v>
      </c>
      <c r="V318" s="71" t="n">
        <f aca="false">U318-C$3</f>
        <v>9524</v>
      </c>
      <c r="W318" s="142" t="n">
        <f aca="false">VLOOKUP($A318,Table,MATCH(W$4,Curves,0))</f>
        <v>0.058966861357273</v>
      </c>
      <c r="X318" s="147" t="n">
        <f aca="false">1/(1+CHOOSE(F$3,(W319+($K$3/10000))/2,(W318+($K$3/10000))/2))^(2*V318/365.25)</f>
        <v>0.219731831252575</v>
      </c>
      <c r="Y318" s="71" t="n">
        <f aca="false">IF(AND(mthbeg&lt;=A318,mthend&gt;=A318),1,0)</f>
        <v>0</v>
      </c>
      <c r="Z318" s="71" t="n">
        <f aca="false">T318*Y318</f>
        <v>0</v>
      </c>
      <c r="AB318" s="132" t="n">
        <f aca="false">F318*G318</f>
        <v>0</v>
      </c>
      <c r="AC318" s="132" t="n">
        <f aca="false">$F318*H318</f>
        <v>0</v>
      </c>
      <c r="AD318" s="132" t="n">
        <f aca="false">$F318*I318</f>
        <v>0</v>
      </c>
      <c r="AE318" s="132" t="n">
        <f aca="false">$F318*J318</f>
        <v>-0</v>
      </c>
      <c r="AF318" s="132" t="n">
        <f aca="false">$F318*K318</f>
        <v>-0</v>
      </c>
      <c r="AG318" s="132" t="n">
        <f aca="false">$F318*L318</f>
        <v>0</v>
      </c>
      <c r="AH318" s="132" t="n">
        <f aca="false">$F318*M318</f>
        <v>0</v>
      </c>
      <c r="AI318" s="132" t="n">
        <f aca="false">$F318*N318</f>
        <v>0</v>
      </c>
      <c r="AJ318" s="132" t="n">
        <f aca="false">F318*O318</f>
        <v>0</v>
      </c>
      <c r="AK318" s="137"/>
      <c r="AL318" s="132" t="n">
        <f aca="false">CHOOSE($G$3,AC318-AD318,AD318-AC318)</f>
        <v>0</v>
      </c>
      <c r="AM318" s="132" t="n">
        <f aca="false">CHOOSE($G$3,AF318-AG318,AG318-AF318)</f>
        <v>0</v>
      </c>
      <c r="AN318" s="132" t="n">
        <f aca="false">CHOOSE($G$3,AI318-AJ318,AJ318-AI318)</f>
        <v>0</v>
      </c>
      <c r="AO318" s="148" t="n">
        <f aca="false">SUM(AL318:AN318)</f>
        <v>0</v>
      </c>
      <c r="AQ318" s="132" t="n">
        <f aca="false">CHOOSE($G$3,AB318-AC318,AC318-AB318)</f>
        <v>0</v>
      </c>
      <c r="AR318" s="132" t="n">
        <f aca="false">CHOOSE($G$3,AE318-AF318,AF318-AE318)</f>
        <v>0</v>
      </c>
      <c r="AS318" s="132" t="n">
        <f aca="false">CHOOSE($G$3,AH318-AI318,AI318-AH318)</f>
        <v>0</v>
      </c>
      <c r="AT318" s="148" t="n">
        <f aca="false">AQ318+AR318+AS318</f>
        <v>0</v>
      </c>
      <c r="AU318" s="148"/>
      <c r="AV318" s="133" t="n">
        <f aca="false">AT318+AO318</f>
        <v>0</v>
      </c>
      <c r="AX318" s="133" t="n">
        <f aca="false">AJ318+AG318+AD318</f>
        <v>0</v>
      </c>
      <c r="AY318" s="149"/>
      <c r="AZ318" s="76" t="n">
        <f aca="false">R318*E318</f>
        <v>0</v>
      </c>
    </row>
    <row r="319" customFormat="false" ht="12" hidden="false" customHeight="true" outlineLevel="0" collapsed="false">
      <c r="A319" s="138" t="n">
        <f aca="false">EDATE(A318,1)</f>
        <v>46388</v>
      </c>
      <c r="B319" s="139" t="n">
        <f aca="false">VLOOKUP($A319,Table2,MATCH(I$3,Curves2,0))</f>
        <v>0</v>
      </c>
      <c r="C319" s="140"/>
      <c r="D319" s="141" t="n">
        <f aca="false">B319+C319</f>
        <v>0</v>
      </c>
      <c r="E319" s="126" t="n">
        <f aca="false">IF(Y319=0,0,IF(AND(Y319=1,$H$3=1),D319*T319,IF($H$3=2,D319,"N/A")))</f>
        <v>0</v>
      </c>
      <c r="F319" s="126" t="n">
        <f aca="false">E319*X319</f>
        <v>0</v>
      </c>
      <c r="G319" s="142" t="n">
        <f aca="false">VLOOKUP($A319,Table,MATCH(G$4,Curves,0))</f>
        <v>3.987</v>
      </c>
      <c r="H319" s="143" t="n">
        <f aca="false">G319</f>
        <v>3.987</v>
      </c>
      <c r="I319" s="142" t="n">
        <f aca="false">VLOOKUP($A319,Table1,MATCH(I$3,Curves1,0))</f>
        <v>0</v>
      </c>
      <c r="J319" s="142" t="n">
        <f aca="false">VLOOKUP($A319,Table,MATCH(J$4,Curves,0))</f>
        <v>-0.0305</v>
      </c>
      <c r="K319" s="143" t="n">
        <f aca="false">J319</f>
        <v>-0.0305</v>
      </c>
      <c r="L319" s="144" t="n">
        <v>0</v>
      </c>
      <c r="M319" s="142" t="n">
        <f aca="false">VLOOKUP($A319,Table,MATCH(M$4,Curves,0))</f>
        <v>0.0087</v>
      </c>
      <c r="N319" s="143" t="n">
        <f aca="false">M319</f>
        <v>0.0087</v>
      </c>
      <c r="O319" s="144" t="n">
        <v>0</v>
      </c>
      <c r="P319" s="145"/>
      <c r="Q319" s="144" t="n">
        <f aca="false">M319+J319+G319</f>
        <v>3.9652</v>
      </c>
      <c r="R319" s="144" t="n">
        <f aca="false">O319+L319+I319</f>
        <v>0</v>
      </c>
      <c r="S319" s="145"/>
      <c r="T319" s="71" t="n">
        <f aca="false">A320-A319</f>
        <v>31</v>
      </c>
      <c r="U319" s="146" t="n">
        <f aca="false">CHOOSE(F$3,A320+24,A319)</f>
        <v>46443</v>
      </c>
      <c r="V319" s="71" t="n">
        <f aca="false">U319-C$3</f>
        <v>9555</v>
      </c>
      <c r="W319" s="142" t="n">
        <f aca="false">VLOOKUP($A319,Table,MATCH(W$4,Curves,0))</f>
        <v>0.058966861357273</v>
      </c>
      <c r="X319" s="147" t="n">
        <f aca="false">1/(1+CHOOSE(F$3,(W320+($K$3/10000))/2,(W319+($K$3/10000))/2))^(2*V319/365.25)</f>
        <v>0.218650703813144</v>
      </c>
      <c r="Y319" s="71" t="n">
        <f aca="false">IF(AND(mthbeg&lt;=A319,mthend&gt;=A319),1,0)</f>
        <v>0</v>
      </c>
      <c r="Z319" s="71" t="n">
        <f aca="false">T319*Y319</f>
        <v>0</v>
      </c>
      <c r="AB319" s="132" t="n">
        <f aca="false">F319*G319</f>
        <v>0</v>
      </c>
      <c r="AC319" s="132" t="n">
        <f aca="false">$F319*H319</f>
        <v>0</v>
      </c>
      <c r="AD319" s="132" t="n">
        <f aca="false">$F319*I319</f>
        <v>0</v>
      </c>
      <c r="AE319" s="132" t="n">
        <f aca="false">$F319*J319</f>
        <v>-0</v>
      </c>
      <c r="AF319" s="132" t="n">
        <f aca="false">$F319*K319</f>
        <v>-0</v>
      </c>
      <c r="AG319" s="132" t="n">
        <f aca="false">$F319*L319</f>
        <v>0</v>
      </c>
      <c r="AH319" s="132" t="n">
        <f aca="false">$F319*M319</f>
        <v>0</v>
      </c>
      <c r="AI319" s="132" t="n">
        <f aca="false">$F319*N319</f>
        <v>0</v>
      </c>
      <c r="AJ319" s="132" t="n">
        <f aca="false">F319*O319</f>
        <v>0</v>
      </c>
      <c r="AK319" s="137"/>
      <c r="AL319" s="132" t="n">
        <f aca="false">CHOOSE($G$3,AC319-AD319,AD319-AC319)</f>
        <v>0</v>
      </c>
      <c r="AM319" s="132" t="n">
        <f aca="false">CHOOSE($G$3,AF319-AG319,AG319-AF319)</f>
        <v>0</v>
      </c>
      <c r="AN319" s="132" t="n">
        <f aca="false">CHOOSE($G$3,AI319-AJ319,AJ319-AI319)</f>
        <v>0</v>
      </c>
      <c r="AO319" s="148" t="n">
        <f aca="false">SUM(AL319:AN319)</f>
        <v>0</v>
      </c>
      <c r="AQ319" s="132" t="n">
        <f aca="false">CHOOSE($G$3,AB319-AC319,AC319-AB319)</f>
        <v>0</v>
      </c>
      <c r="AR319" s="132" t="n">
        <f aca="false">CHOOSE($G$3,AE319-AF319,AF319-AE319)</f>
        <v>0</v>
      </c>
      <c r="AS319" s="132" t="n">
        <f aca="false">CHOOSE($G$3,AH319-AI319,AI319-AH319)</f>
        <v>0</v>
      </c>
      <c r="AT319" s="148" t="n">
        <f aca="false">AQ319+AR319+AS319</f>
        <v>0</v>
      </c>
      <c r="AU319" s="148"/>
      <c r="AV319" s="133" t="n">
        <f aca="false">AT319+AO319</f>
        <v>0</v>
      </c>
      <c r="AX319" s="133" t="n">
        <f aca="false">AJ319+AG319+AD319</f>
        <v>0</v>
      </c>
      <c r="AY319" s="149"/>
      <c r="AZ319" s="76" t="n">
        <f aca="false">R319*E319</f>
        <v>0</v>
      </c>
    </row>
    <row r="320" customFormat="false" ht="12" hidden="false" customHeight="true" outlineLevel="0" collapsed="false">
      <c r="A320" s="138" t="n">
        <f aca="false">EDATE(A319,1)</f>
        <v>46419</v>
      </c>
      <c r="B320" s="139" t="n">
        <f aca="false">VLOOKUP($A320,Table2,MATCH(I$3,Curves2,0))</f>
        <v>0</v>
      </c>
      <c r="C320" s="140"/>
      <c r="D320" s="141" t="n">
        <f aca="false">B320+C320</f>
        <v>0</v>
      </c>
      <c r="E320" s="126" t="n">
        <f aca="false">IF(Y320=0,0,IF(AND(Y320=1,$H$3=1),D320*T320,IF($H$3=2,D320,"N/A")))</f>
        <v>0</v>
      </c>
      <c r="F320" s="126" t="n">
        <f aca="false">E320*X320</f>
        <v>0</v>
      </c>
      <c r="G320" s="142" t="n">
        <f aca="false">VLOOKUP($A320,Table,MATCH(G$4,Curves,0))</f>
        <v>3.987</v>
      </c>
      <c r="H320" s="143" t="n">
        <f aca="false">G320</f>
        <v>3.987</v>
      </c>
      <c r="I320" s="142" t="n">
        <f aca="false">VLOOKUP($A320,Table1,MATCH(I$3,Curves1,0))</f>
        <v>0</v>
      </c>
      <c r="J320" s="142" t="n">
        <f aca="false">VLOOKUP($A320,Table,MATCH(J$4,Curves,0))</f>
        <v>-0.0305</v>
      </c>
      <c r="K320" s="143" t="n">
        <f aca="false">J320</f>
        <v>-0.0305</v>
      </c>
      <c r="L320" s="144" t="n">
        <v>0</v>
      </c>
      <c r="M320" s="142" t="n">
        <f aca="false">VLOOKUP($A320,Table,MATCH(M$4,Curves,0))</f>
        <v>0.0087</v>
      </c>
      <c r="N320" s="143" t="n">
        <f aca="false">M320</f>
        <v>0.0087</v>
      </c>
      <c r="O320" s="144" t="n">
        <v>0</v>
      </c>
      <c r="P320" s="145"/>
      <c r="Q320" s="144" t="n">
        <f aca="false">M320+J320+G320</f>
        <v>3.9652</v>
      </c>
      <c r="R320" s="144" t="n">
        <f aca="false">O320+L320+I320</f>
        <v>0</v>
      </c>
      <c r="S320" s="145"/>
      <c r="T320" s="71" t="n">
        <f aca="false">A321-A320</f>
        <v>28</v>
      </c>
      <c r="U320" s="146" t="n">
        <f aca="false">CHOOSE(F$3,A321+24,A320)</f>
        <v>46471</v>
      </c>
      <c r="V320" s="71" t="n">
        <f aca="false">U320-C$3</f>
        <v>9583</v>
      </c>
      <c r="W320" s="142" t="n">
        <f aca="false">VLOOKUP($A320,Table,MATCH(W$4,Curves,0))</f>
        <v>0.058966861357273</v>
      </c>
      <c r="X320" s="147" t="n">
        <f aca="false">1/(1+CHOOSE(F$3,(W321+($K$3/10000))/2,(W320+($K$3/10000))/2))^(2*V320/365.25)</f>
        <v>0.217678774454799</v>
      </c>
      <c r="Y320" s="71" t="n">
        <f aca="false">IF(AND(mthbeg&lt;=A320,mthend&gt;=A320),1,0)</f>
        <v>0</v>
      </c>
      <c r="Z320" s="71" t="n">
        <f aca="false">T320*Y320</f>
        <v>0</v>
      </c>
      <c r="AB320" s="132" t="n">
        <f aca="false">F320*G320</f>
        <v>0</v>
      </c>
      <c r="AC320" s="132" t="n">
        <f aca="false">$F320*H320</f>
        <v>0</v>
      </c>
      <c r="AD320" s="132" t="n">
        <f aca="false">$F320*I320</f>
        <v>0</v>
      </c>
      <c r="AE320" s="132" t="n">
        <f aca="false">$F320*J320</f>
        <v>-0</v>
      </c>
      <c r="AF320" s="132" t="n">
        <f aca="false">$F320*K320</f>
        <v>-0</v>
      </c>
      <c r="AG320" s="132" t="n">
        <f aca="false">$F320*L320</f>
        <v>0</v>
      </c>
      <c r="AH320" s="132" t="n">
        <f aca="false">$F320*M320</f>
        <v>0</v>
      </c>
      <c r="AI320" s="132" t="n">
        <f aca="false">$F320*N320</f>
        <v>0</v>
      </c>
      <c r="AJ320" s="132" t="n">
        <f aca="false">F320*O320</f>
        <v>0</v>
      </c>
      <c r="AK320" s="137"/>
      <c r="AL320" s="132" t="n">
        <f aca="false">CHOOSE($G$3,AC320-AD320,AD320-AC320)</f>
        <v>0</v>
      </c>
      <c r="AM320" s="132" t="n">
        <f aca="false">CHOOSE($G$3,AF320-AG320,AG320-AF320)</f>
        <v>0</v>
      </c>
      <c r="AN320" s="132" t="n">
        <f aca="false">CHOOSE($G$3,AI320-AJ320,AJ320-AI320)</f>
        <v>0</v>
      </c>
      <c r="AO320" s="148" t="n">
        <f aca="false">SUM(AL320:AN320)</f>
        <v>0</v>
      </c>
      <c r="AQ320" s="132" t="n">
        <f aca="false">CHOOSE($G$3,AB320-AC320,AC320-AB320)</f>
        <v>0</v>
      </c>
      <c r="AR320" s="132" t="n">
        <f aca="false">CHOOSE($G$3,AE320-AF320,AF320-AE320)</f>
        <v>0</v>
      </c>
      <c r="AS320" s="132" t="n">
        <f aca="false">CHOOSE($G$3,AH320-AI320,AI320-AH320)</f>
        <v>0</v>
      </c>
      <c r="AT320" s="148" t="n">
        <f aca="false">AQ320+AR320+AS320</f>
        <v>0</v>
      </c>
      <c r="AU320" s="148"/>
      <c r="AV320" s="133" t="n">
        <f aca="false">AT320+AO320</f>
        <v>0</v>
      </c>
      <c r="AX320" s="133" t="n">
        <f aca="false">AJ320+AG320+AD320</f>
        <v>0</v>
      </c>
      <c r="AY320" s="149"/>
      <c r="AZ320" s="76" t="n">
        <f aca="false">R320*E320</f>
        <v>0</v>
      </c>
    </row>
    <row r="321" customFormat="false" ht="12" hidden="false" customHeight="true" outlineLevel="0" collapsed="false">
      <c r="A321" s="138" t="n">
        <f aca="false">EDATE(A320,1)</f>
        <v>46447</v>
      </c>
      <c r="B321" s="139" t="n">
        <f aca="false">VLOOKUP($A321,Table2,MATCH(I$3,Curves2,0))</f>
        <v>0</v>
      </c>
      <c r="C321" s="140"/>
      <c r="D321" s="141" t="n">
        <f aca="false">B321+C321</f>
        <v>0</v>
      </c>
      <c r="E321" s="126" t="n">
        <f aca="false">IF(Y321=0,0,IF(AND(Y321=1,$H$3=1),D321*T321,IF($H$3=2,D321,"N/A")))</f>
        <v>0</v>
      </c>
      <c r="F321" s="126" t="n">
        <f aca="false">E321*X321</f>
        <v>0</v>
      </c>
      <c r="G321" s="142" t="n">
        <f aca="false">VLOOKUP($A321,Table,MATCH(G$4,Curves,0))</f>
        <v>3.987</v>
      </c>
      <c r="H321" s="143" t="n">
        <f aca="false">G321</f>
        <v>3.987</v>
      </c>
      <c r="I321" s="142" t="n">
        <f aca="false">VLOOKUP($A321,Table1,MATCH(I$3,Curves1,0))</f>
        <v>0</v>
      </c>
      <c r="J321" s="142" t="n">
        <f aca="false">VLOOKUP($A321,Table,MATCH(J$4,Curves,0))</f>
        <v>-0.0305</v>
      </c>
      <c r="K321" s="143" t="n">
        <f aca="false">J321</f>
        <v>-0.0305</v>
      </c>
      <c r="L321" s="144" t="n">
        <v>0</v>
      </c>
      <c r="M321" s="142" t="n">
        <f aca="false">VLOOKUP($A321,Table,MATCH(M$4,Curves,0))</f>
        <v>0.0087</v>
      </c>
      <c r="N321" s="143" t="n">
        <f aca="false">M321</f>
        <v>0.0087</v>
      </c>
      <c r="O321" s="144" t="n">
        <v>0</v>
      </c>
      <c r="P321" s="145"/>
      <c r="Q321" s="144" t="n">
        <f aca="false">M321+J321+G321</f>
        <v>3.9652</v>
      </c>
      <c r="R321" s="144" t="n">
        <f aca="false">O321+L321+I321</f>
        <v>0</v>
      </c>
      <c r="S321" s="145"/>
      <c r="T321" s="71" t="n">
        <f aca="false">A322-A321</f>
        <v>31</v>
      </c>
      <c r="U321" s="146" t="n">
        <f aca="false">CHOOSE(F$3,A322+24,A321)</f>
        <v>46502</v>
      </c>
      <c r="V321" s="71" t="n">
        <f aca="false">U321-C$3</f>
        <v>9614</v>
      </c>
      <c r="W321" s="142" t="n">
        <f aca="false">VLOOKUP($A321,Table,MATCH(W$4,Curves,0))</f>
        <v>0.058966861357273</v>
      </c>
      <c r="X321" s="147" t="n">
        <f aca="false">1/(1+CHOOSE(F$3,(W322+($K$3/10000))/2,(W321+($K$3/10000))/2))^(2*V321/365.25)</f>
        <v>0.216607748492364</v>
      </c>
      <c r="Y321" s="71" t="n">
        <f aca="false">IF(AND(mthbeg&lt;=A321,mthend&gt;=A321),1,0)</f>
        <v>0</v>
      </c>
      <c r="Z321" s="71" t="n">
        <f aca="false">T321*Y321</f>
        <v>0</v>
      </c>
      <c r="AB321" s="132" t="n">
        <f aca="false">F321*G321</f>
        <v>0</v>
      </c>
      <c r="AC321" s="132" t="n">
        <f aca="false">$F321*H321</f>
        <v>0</v>
      </c>
      <c r="AD321" s="132" t="n">
        <f aca="false">$F321*I321</f>
        <v>0</v>
      </c>
      <c r="AE321" s="132" t="n">
        <f aca="false">$F321*J321</f>
        <v>-0</v>
      </c>
      <c r="AF321" s="132" t="n">
        <f aca="false">$F321*K321</f>
        <v>-0</v>
      </c>
      <c r="AG321" s="132" t="n">
        <f aca="false">$F321*L321</f>
        <v>0</v>
      </c>
      <c r="AH321" s="132" t="n">
        <f aca="false">$F321*M321</f>
        <v>0</v>
      </c>
      <c r="AI321" s="132" t="n">
        <f aca="false">$F321*N321</f>
        <v>0</v>
      </c>
      <c r="AJ321" s="132" t="n">
        <f aca="false">F321*O321</f>
        <v>0</v>
      </c>
      <c r="AK321" s="137"/>
      <c r="AL321" s="132" t="n">
        <f aca="false">CHOOSE($G$3,AC321-AD321,AD321-AC321)</f>
        <v>0</v>
      </c>
      <c r="AM321" s="132" t="n">
        <f aca="false">CHOOSE($G$3,AF321-AG321,AG321-AF321)</f>
        <v>0</v>
      </c>
      <c r="AN321" s="132" t="n">
        <f aca="false">CHOOSE($G$3,AI321-AJ321,AJ321-AI321)</f>
        <v>0</v>
      </c>
      <c r="AO321" s="148" t="n">
        <f aca="false">SUM(AL321:AN321)</f>
        <v>0</v>
      </c>
      <c r="AQ321" s="132" t="n">
        <f aca="false">CHOOSE($G$3,AB321-AC321,AC321-AB321)</f>
        <v>0</v>
      </c>
      <c r="AR321" s="132" t="n">
        <f aca="false">CHOOSE($G$3,AE321-AF321,AF321-AE321)</f>
        <v>0</v>
      </c>
      <c r="AS321" s="132" t="n">
        <f aca="false">CHOOSE($G$3,AH321-AI321,AI321-AH321)</f>
        <v>0</v>
      </c>
      <c r="AT321" s="148" t="n">
        <f aca="false">AQ321+AR321+AS321</f>
        <v>0</v>
      </c>
      <c r="AU321" s="148"/>
      <c r="AV321" s="133" t="n">
        <f aca="false">AT321+AO321</f>
        <v>0</v>
      </c>
      <c r="AX321" s="133" t="n">
        <f aca="false">AJ321+AG321+AD321</f>
        <v>0</v>
      </c>
      <c r="AY321" s="149"/>
      <c r="AZ321" s="76" t="n">
        <f aca="false">R321*E321</f>
        <v>0</v>
      </c>
    </row>
    <row r="322" customFormat="false" ht="12" hidden="false" customHeight="true" outlineLevel="0" collapsed="false">
      <c r="A322" s="138" t="n">
        <f aca="false">EDATE(A321,1)</f>
        <v>46478</v>
      </c>
      <c r="B322" s="139" t="n">
        <f aca="false">VLOOKUP($A322,Table2,MATCH(I$3,Curves2,0))</f>
        <v>0</v>
      </c>
      <c r="C322" s="140"/>
      <c r="D322" s="141" t="n">
        <f aca="false">B322+C322</f>
        <v>0</v>
      </c>
      <c r="E322" s="126" t="n">
        <f aca="false">IF(Y322=0,0,IF(AND(Y322=1,$H$3=1),D322*T322,IF($H$3=2,D322,"N/A")))</f>
        <v>0</v>
      </c>
      <c r="F322" s="126" t="n">
        <f aca="false">E322*X322</f>
        <v>0</v>
      </c>
      <c r="G322" s="142" t="n">
        <f aca="false">VLOOKUP($A322,Table,MATCH(G$4,Curves,0))</f>
        <v>3.987</v>
      </c>
      <c r="H322" s="143" t="n">
        <f aca="false">G322</f>
        <v>3.987</v>
      </c>
      <c r="I322" s="142" t="n">
        <f aca="false">VLOOKUP($A322,Table1,MATCH(I$3,Curves1,0))</f>
        <v>0</v>
      </c>
      <c r="J322" s="142" t="n">
        <f aca="false">VLOOKUP($A322,Table,MATCH(J$4,Curves,0))</f>
        <v>-0.0305</v>
      </c>
      <c r="K322" s="143" t="n">
        <f aca="false">J322</f>
        <v>-0.0305</v>
      </c>
      <c r="L322" s="144" t="n">
        <v>0</v>
      </c>
      <c r="M322" s="142" t="n">
        <f aca="false">VLOOKUP($A322,Table,MATCH(M$4,Curves,0))</f>
        <v>0.0087</v>
      </c>
      <c r="N322" s="143" t="n">
        <f aca="false">M322</f>
        <v>0.0087</v>
      </c>
      <c r="O322" s="144" t="n">
        <v>0</v>
      </c>
      <c r="P322" s="145"/>
      <c r="Q322" s="144" t="n">
        <f aca="false">M322+J322+G322</f>
        <v>3.9652</v>
      </c>
      <c r="R322" s="144" t="n">
        <f aca="false">O322+L322+I322</f>
        <v>0</v>
      </c>
      <c r="S322" s="145"/>
      <c r="T322" s="71" t="n">
        <f aca="false">A323-A322</f>
        <v>30</v>
      </c>
      <c r="U322" s="146" t="n">
        <f aca="false">CHOOSE(F$3,A323+24,A322)</f>
        <v>46532</v>
      </c>
      <c r="V322" s="71" t="n">
        <f aca="false">U322-C$3</f>
        <v>9644</v>
      </c>
      <c r="W322" s="142" t="n">
        <f aca="false">VLOOKUP($A322,Table,MATCH(W$4,Curves,0))</f>
        <v>0.058966861357273</v>
      </c>
      <c r="X322" s="147" t="n">
        <f aca="false">1/(1+CHOOSE(F$3,(W323+($K$3/10000))/2,(W322+($K$3/10000))/2))^(2*V322/365.25)</f>
        <v>0.21557628945375</v>
      </c>
      <c r="Y322" s="71" t="n">
        <f aca="false">IF(AND(mthbeg&lt;=A322,mthend&gt;=A322),1,0)</f>
        <v>0</v>
      </c>
      <c r="Z322" s="71" t="n">
        <f aca="false">T322*Y322</f>
        <v>0</v>
      </c>
      <c r="AB322" s="132" t="n">
        <f aca="false">F322*G322</f>
        <v>0</v>
      </c>
      <c r="AC322" s="132" t="n">
        <f aca="false">$F322*H322</f>
        <v>0</v>
      </c>
      <c r="AD322" s="132" t="n">
        <f aca="false">$F322*I322</f>
        <v>0</v>
      </c>
      <c r="AE322" s="132" t="n">
        <f aca="false">$F322*J322</f>
        <v>-0</v>
      </c>
      <c r="AF322" s="132" t="n">
        <f aca="false">$F322*K322</f>
        <v>-0</v>
      </c>
      <c r="AG322" s="132" t="n">
        <f aca="false">$F322*L322</f>
        <v>0</v>
      </c>
      <c r="AH322" s="132" t="n">
        <f aca="false">$F322*M322</f>
        <v>0</v>
      </c>
      <c r="AI322" s="132" t="n">
        <f aca="false">$F322*N322</f>
        <v>0</v>
      </c>
      <c r="AJ322" s="132" t="n">
        <f aca="false">F322*O322</f>
        <v>0</v>
      </c>
      <c r="AK322" s="137"/>
      <c r="AL322" s="132" t="n">
        <f aca="false">CHOOSE($G$3,AC322-AD322,AD322-AC322)</f>
        <v>0</v>
      </c>
      <c r="AM322" s="132" t="n">
        <f aca="false">CHOOSE($G$3,AF322-AG322,AG322-AF322)</f>
        <v>0</v>
      </c>
      <c r="AN322" s="132" t="n">
        <f aca="false">CHOOSE($G$3,AI322-AJ322,AJ322-AI322)</f>
        <v>0</v>
      </c>
      <c r="AO322" s="148" t="n">
        <f aca="false">SUM(AL322:AN322)</f>
        <v>0</v>
      </c>
      <c r="AQ322" s="132" t="n">
        <f aca="false">CHOOSE($G$3,AB322-AC322,AC322-AB322)</f>
        <v>0</v>
      </c>
      <c r="AR322" s="132" t="n">
        <f aca="false">CHOOSE($G$3,AE322-AF322,AF322-AE322)</f>
        <v>0</v>
      </c>
      <c r="AS322" s="132" t="n">
        <f aca="false">CHOOSE($G$3,AH322-AI322,AI322-AH322)</f>
        <v>0</v>
      </c>
      <c r="AT322" s="148" t="n">
        <f aca="false">AQ322+AR322+AS322</f>
        <v>0</v>
      </c>
      <c r="AU322" s="148"/>
      <c r="AV322" s="133" t="n">
        <f aca="false">AT322+AO322</f>
        <v>0</v>
      </c>
      <c r="AX322" s="133" t="n">
        <f aca="false">AJ322+AG322+AD322</f>
        <v>0</v>
      </c>
      <c r="AY322" s="149"/>
      <c r="AZ322" s="76" t="n">
        <f aca="false">R322*E322</f>
        <v>0</v>
      </c>
    </row>
    <row r="323" customFormat="false" ht="12" hidden="false" customHeight="true" outlineLevel="0" collapsed="false">
      <c r="A323" s="138" t="n">
        <f aca="false">EDATE(A322,1)</f>
        <v>46508</v>
      </c>
      <c r="B323" s="139" t="n">
        <f aca="false">VLOOKUP($A323,Table2,MATCH(I$3,Curves2,0))</f>
        <v>0</v>
      </c>
      <c r="C323" s="140"/>
      <c r="D323" s="141" t="n">
        <f aca="false">B323+C323</f>
        <v>0</v>
      </c>
      <c r="E323" s="126" t="n">
        <f aca="false">IF(Y323=0,0,IF(AND(Y323=1,$H$3=1),D323*T323,IF($H$3=2,D323,"N/A")))</f>
        <v>0</v>
      </c>
      <c r="F323" s="126" t="n">
        <f aca="false">E323*X323</f>
        <v>0</v>
      </c>
      <c r="G323" s="142" t="n">
        <f aca="false">VLOOKUP($A323,Table,MATCH(G$4,Curves,0))</f>
        <v>3.987</v>
      </c>
      <c r="H323" s="143" t="n">
        <f aca="false">G323</f>
        <v>3.987</v>
      </c>
      <c r="I323" s="142" t="n">
        <f aca="false">VLOOKUP($A323,Table1,MATCH(I$3,Curves1,0))</f>
        <v>0</v>
      </c>
      <c r="J323" s="142" t="n">
        <f aca="false">VLOOKUP($A323,Table,MATCH(J$4,Curves,0))</f>
        <v>-0.0305</v>
      </c>
      <c r="K323" s="143" t="n">
        <f aca="false">J323</f>
        <v>-0.0305</v>
      </c>
      <c r="L323" s="144" t="n">
        <v>0</v>
      </c>
      <c r="M323" s="142" t="n">
        <f aca="false">VLOOKUP($A323,Table,MATCH(M$4,Curves,0))</f>
        <v>0.0087</v>
      </c>
      <c r="N323" s="143" t="n">
        <f aca="false">M323</f>
        <v>0.0087</v>
      </c>
      <c r="O323" s="144" t="n">
        <v>0</v>
      </c>
      <c r="P323" s="145"/>
      <c r="Q323" s="144" t="n">
        <f aca="false">M323+J323+G323</f>
        <v>3.9652</v>
      </c>
      <c r="R323" s="144" t="n">
        <f aca="false">O323+L323+I323</f>
        <v>0</v>
      </c>
      <c r="S323" s="145"/>
      <c r="T323" s="71" t="n">
        <f aca="false">A324-A323</f>
        <v>31</v>
      </c>
      <c r="U323" s="146" t="n">
        <f aca="false">CHOOSE(F$3,A324+24,A323)</f>
        <v>46563</v>
      </c>
      <c r="V323" s="71" t="n">
        <f aca="false">U323-C$3</f>
        <v>9675</v>
      </c>
      <c r="W323" s="142" t="n">
        <f aca="false">VLOOKUP($A323,Table,MATCH(W$4,Curves,0))</f>
        <v>0.058966861357273</v>
      </c>
      <c r="X323" s="147" t="n">
        <f aca="false">1/(1+CHOOSE(F$3,(W324+($K$3/10000))/2,(W323+($K$3/10000))/2))^(2*V323/365.25)</f>
        <v>0.214515608165606</v>
      </c>
      <c r="Y323" s="71" t="n">
        <f aca="false">IF(AND(mthbeg&lt;=A323,mthend&gt;=A323),1,0)</f>
        <v>0</v>
      </c>
      <c r="Z323" s="71" t="n">
        <f aca="false">T323*Y323</f>
        <v>0</v>
      </c>
      <c r="AB323" s="132" t="n">
        <f aca="false">F323*G323</f>
        <v>0</v>
      </c>
      <c r="AC323" s="132" t="n">
        <f aca="false">$F323*H323</f>
        <v>0</v>
      </c>
      <c r="AD323" s="132" t="n">
        <f aca="false">$F323*I323</f>
        <v>0</v>
      </c>
      <c r="AE323" s="132" t="n">
        <f aca="false">$F323*J323</f>
        <v>-0</v>
      </c>
      <c r="AF323" s="132" t="n">
        <f aca="false">$F323*K323</f>
        <v>-0</v>
      </c>
      <c r="AG323" s="132" t="n">
        <f aca="false">$F323*L323</f>
        <v>0</v>
      </c>
      <c r="AH323" s="132" t="n">
        <f aca="false">$F323*M323</f>
        <v>0</v>
      </c>
      <c r="AI323" s="132" t="n">
        <f aca="false">$F323*N323</f>
        <v>0</v>
      </c>
      <c r="AJ323" s="132" t="n">
        <f aca="false">F323*O323</f>
        <v>0</v>
      </c>
      <c r="AK323" s="137"/>
      <c r="AL323" s="132" t="n">
        <f aca="false">CHOOSE($G$3,AC323-AD323,AD323-AC323)</f>
        <v>0</v>
      </c>
      <c r="AM323" s="132" t="n">
        <f aca="false">CHOOSE($G$3,AF323-AG323,AG323-AF323)</f>
        <v>0</v>
      </c>
      <c r="AN323" s="132" t="n">
        <f aca="false">CHOOSE($G$3,AI323-AJ323,AJ323-AI323)</f>
        <v>0</v>
      </c>
      <c r="AO323" s="148" t="n">
        <f aca="false">SUM(AL323:AN323)</f>
        <v>0</v>
      </c>
      <c r="AQ323" s="132" t="n">
        <f aca="false">CHOOSE($G$3,AB323-AC323,AC323-AB323)</f>
        <v>0</v>
      </c>
      <c r="AR323" s="132" t="n">
        <f aca="false">CHOOSE($G$3,AE323-AF323,AF323-AE323)</f>
        <v>0</v>
      </c>
      <c r="AS323" s="132" t="n">
        <f aca="false">CHOOSE($G$3,AH323-AI323,AI323-AH323)</f>
        <v>0</v>
      </c>
      <c r="AT323" s="148" t="n">
        <f aca="false">AQ323+AR323+AS323</f>
        <v>0</v>
      </c>
      <c r="AU323" s="148"/>
      <c r="AV323" s="133" t="n">
        <f aca="false">AT323+AO323</f>
        <v>0</v>
      </c>
      <c r="AX323" s="133" t="n">
        <f aca="false">AJ323+AG323+AD323</f>
        <v>0</v>
      </c>
      <c r="AY323" s="149"/>
      <c r="AZ323" s="76" t="n">
        <f aca="false">R323*E323</f>
        <v>0</v>
      </c>
    </row>
    <row r="324" customFormat="false" ht="12" hidden="false" customHeight="true" outlineLevel="0" collapsed="false">
      <c r="A324" s="138" t="n">
        <f aca="false">EDATE(A323,1)</f>
        <v>46539</v>
      </c>
      <c r="B324" s="139" t="n">
        <f aca="false">VLOOKUP($A324,Table2,MATCH(I$3,Curves2,0))</f>
        <v>0</v>
      </c>
      <c r="C324" s="140"/>
      <c r="D324" s="141" t="n">
        <f aca="false">B324+C324</f>
        <v>0</v>
      </c>
      <c r="E324" s="126" t="n">
        <f aca="false">IF(Y324=0,0,IF(AND(Y324=1,$H$3=1),D324*T324,IF($H$3=2,D324,"N/A")))</f>
        <v>0</v>
      </c>
      <c r="F324" s="126" t="n">
        <f aca="false">E324*X324</f>
        <v>0</v>
      </c>
      <c r="G324" s="142" t="n">
        <f aca="false">VLOOKUP($A324,Table,MATCH(G$4,Curves,0))</f>
        <v>3.987</v>
      </c>
      <c r="H324" s="143" t="n">
        <f aca="false">G324</f>
        <v>3.987</v>
      </c>
      <c r="I324" s="142" t="n">
        <f aca="false">VLOOKUP($A324,Table1,MATCH(I$3,Curves1,0))</f>
        <v>0</v>
      </c>
      <c r="J324" s="142" t="n">
        <f aca="false">VLOOKUP($A324,Table,MATCH(J$4,Curves,0))</f>
        <v>-0.0305</v>
      </c>
      <c r="K324" s="143" t="n">
        <f aca="false">J324</f>
        <v>-0.0305</v>
      </c>
      <c r="L324" s="144" t="n">
        <v>0</v>
      </c>
      <c r="M324" s="142" t="n">
        <f aca="false">VLOOKUP($A324,Table,MATCH(M$4,Curves,0))</f>
        <v>0.0087</v>
      </c>
      <c r="N324" s="143" t="n">
        <f aca="false">M324</f>
        <v>0.0087</v>
      </c>
      <c r="O324" s="144" t="n">
        <v>0</v>
      </c>
      <c r="P324" s="145"/>
      <c r="Q324" s="144" t="n">
        <f aca="false">M324+J324+G324</f>
        <v>3.9652</v>
      </c>
      <c r="R324" s="144" t="n">
        <f aca="false">O324+L324+I324</f>
        <v>0</v>
      </c>
      <c r="S324" s="145"/>
      <c r="T324" s="71" t="n">
        <f aca="false">A325-A324</f>
        <v>30</v>
      </c>
      <c r="U324" s="146" t="n">
        <f aca="false">CHOOSE(F$3,A325+24,A324)</f>
        <v>46593</v>
      </c>
      <c r="V324" s="71" t="n">
        <f aca="false">U324-C$3</f>
        <v>9705</v>
      </c>
      <c r="W324" s="142" t="n">
        <f aca="false">VLOOKUP($A324,Table,MATCH(W$4,Curves,0))</f>
        <v>0.058966861357273</v>
      </c>
      <c r="X324" s="147" t="n">
        <f aca="false">1/(1+CHOOSE(F$3,(W325+($K$3/10000))/2,(W324+($K$3/10000))/2))^(2*V324/365.25)</f>
        <v>0.213494111637868</v>
      </c>
      <c r="Y324" s="71" t="n">
        <f aca="false">IF(AND(mthbeg&lt;=A324,mthend&gt;=A324),1,0)</f>
        <v>0</v>
      </c>
      <c r="Z324" s="71" t="n">
        <f aca="false">T324*Y324</f>
        <v>0</v>
      </c>
      <c r="AB324" s="132" t="n">
        <f aca="false">F324*G324</f>
        <v>0</v>
      </c>
      <c r="AC324" s="132" t="n">
        <f aca="false">$F324*H324</f>
        <v>0</v>
      </c>
      <c r="AD324" s="132" t="n">
        <f aca="false">$F324*I324</f>
        <v>0</v>
      </c>
      <c r="AE324" s="132" t="n">
        <f aca="false">$F324*J324</f>
        <v>-0</v>
      </c>
      <c r="AF324" s="132" t="n">
        <f aca="false">$F324*K324</f>
        <v>-0</v>
      </c>
      <c r="AG324" s="132" t="n">
        <f aca="false">$F324*L324</f>
        <v>0</v>
      </c>
      <c r="AH324" s="132" t="n">
        <f aca="false">$F324*M324</f>
        <v>0</v>
      </c>
      <c r="AI324" s="132" t="n">
        <f aca="false">$F324*N324</f>
        <v>0</v>
      </c>
      <c r="AJ324" s="132" t="n">
        <f aca="false">F324*O324</f>
        <v>0</v>
      </c>
      <c r="AK324" s="137"/>
      <c r="AL324" s="132" t="n">
        <f aca="false">CHOOSE($G$3,AC324-AD324,AD324-AC324)</f>
        <v>0</v>
      </c>
      <c r="AM324" s="132" t="n">
        <f aca="false">CHOOSE($G$3,AF324-AG324,AG324-AF324)</f>
        <v>0</v>
      </c>
      <c r="AN324" s="132" t="n">
        <f aca="false">CHOOSE($G$3,AI324-AJ324,AJ324-AI324)</f>
        <v>0</v>
      </c>
      <c r="AO324" s="148" t="n">
        <f aca="false">SUM(AL324:AN324)</f>
        <v>0</v>
      </c>
      <c r="AQ324" s="132" t="n">
        <f aca="false">CHOOSE($G$3,AB324-AC324,AC324-AB324)</f>
        <v>0</v>
      </c>
      <c r="AR324" s="132" t="n">
        <f aca="false">CHOOSE($G$3,AE324-AF324,AF324-AE324)</f>
        <v>0</v>
      </c>
      <c r="AS324" s="132" t="n">
        <f aca="false">CHOOSE($G$3,AH324-AI324,AI324-AH324)</f>
        <v>0</v>
      </c>
      <c r="AT324" s="148" t="n">
        <f aca="false">AQ324+AR324+AS324</f>
        <v>0</v>
      </c>
      <c r="AU324" s="148"/>
      <c r="AV324" s="133" t="n">
        <f aca="false">AT324+AO324</f>
        <v>0</v>
      </c>
      <c r="AX324" s="133" t="n">
        <f aca="false">AJ324+AG324+AD324</f>
        <v>0</v>
      </c>
      <c r="AY324" s="149"/>
      <c r="AZ324" s="76" t="n">
        <f aca="false">R324*E324</f>
        <v>0</v>
      </c>
    </row>
    <row r="325" customFormat="false" ht="12" hidden="false" customHeight="true" outlineLevel="0" collapsed="false">
      <c r="A325" s="138" t="n">
        <f aca="false">EDATE(A324,1)</f>
        <v>46569</v>
      </c>
      <c r="B325" s="139" t="n">
        <f aca="false">VLOOKUP($A325,Table2,MATCH(I$3,Curves2,0))</f>
        <v>0</v>
      </c>
      <c r="C325" s="140"/>
      <c r="D325" s="141" t="n">
        <f aca="false">B325+C325</f>
        <v>0</v>
      </c>
      <c r="E325" s="126" t="n">
        <f aca="false">IF(Y325=0,0,IF(AND(Y325=1,$H$3=1),D325*T325,IF($H$3=2,D325,"N/A")))</f>
        <v>0</v>
      </c>
      <c r="F325" s="126" t="n">
        <f aca="false">E325*X325</f>
        <v>0</v>
      </c>
      <c r="G325" s="142" t="n">
        <f aca="false">VLOOKUP($A325,Table,MATCH(G$4,Curves,0))</f>
        <v>3.987</v>
      </c>
      <c r="H325" s="143" t="n">
        <f aca="false">G325</f>
        <v>3.987</v>
      </c>
      <c r="I325" s="142" t="n">
        <f aca="false">VLOOKUP($A325,Table1,MATCH(I$3,Curves1,0))</f>
        <v>0</v>
      </c>
      <c r="J325" s="142" t="n">
        <f aca="false">VLOOKUP($A325,Table,MATCH(J$4,Curves,0))</f>
        <v>-0.0305</v>
      </c>
      <c r="K325" s="143" t="n">
        <f aca="false">J325</f>
        <v>-0.0305</v>
      </c>
      <c r="L325" s="144" t="n">
        <v>0</v>
      </c>
      <c r="M325" s="142" t="n">
        <f aca="false">VLOOKUP($A325,Table,MATCH(M$4,Curves,0))</f>
        <v>0.0087</v>
      </c>
      <c r="N325" s="143" t="n">
        <f aca="false">M325</f>
        <v>0.0087</v>
      </c>
      <c r="O325" s="144" t="n">
        <v>0</v>
      </c>
      <c r="P325" s="145"/>
      <c r="Q325" s="144" t="n">
        <f aca="false">M325+J325+G325</f>
        <v>3.9652</v>
      </c>
      <c r="R325" s="144" t="n">
        <f aca="false">O325+L325+I325</f>
        <v>0</v>
      </c>
      <c r="S325" s="145"/>
      <c r="T325" s="71" t="n">
        <f aca="false">A326-A325</f>
        <v>31</v>
      </c>
      <c r="U325" s="146" t="n">
        <f aca="false">CHOOSE(F$3,A326+24,A325)</f>
        <v>46624</v>
      </c>
      <c r="V325" s="71" t="n">
        <f aca="false">U325-C$3</f>
        <v>9736</v>
      </c>
      <c r="W325" s="142" t="n">
        <f aca="false">VLOOKUP($A325,Table,MATCH(W$4,Curves,0))</f>
        <v>0.058966861357273</v>
      </c>
      <c r="X325" s="147" t="n">
        <f aca="false">1/(1+CHOOSE(F$3,(W326+($K$3/10000))/2,(W325+($K$3/10000))/2))^(2*V325/365.25)</f>
        <v>0.212443675108336</v>
      </c>
      <c r="Y325" s="71" t="n">
        <f aca="false">IF(AND(mthbeg&lt;=A325,mthend&gt;=A325),1,0)</f>
        <v>0</v>
      </c>
      <c r="Z325" s="71" t="n">
        <f aca="false">T325*Y325</f>
        <v>0</v>
      </c>
      <c r="AB325" s="132" t="n">
        <f aca="false">F325*G325</f>
        <v>0</v>
      </c>
      <c r="AC325" s="132" t="n">
        <f aca="false">$F325*H325</f>
        <v>0</v>
      </c>
      <c r="AD325" s="132" t="n">
        <f aca="false">$F325*I325</f>
        <v>0</v>
      </c>
      <c r="AE325" s="132" t="n">
        <f aca="false">$F325*J325</f>
        <v>-0</v>
      </c>
      <c r="AF325" s="132" t="n">
        <f aca="false">$F325*K325</f>
        <v>-0</v>
      </c>
      <c r="AG325" s="132" t="n">
        <f aca="false">$F325*L325</f>
        <v>0</v>
      </c>
      <c r="AH325" s="132" t="n">
        <f aca="false">$F325*M325</f>
        <v>0</v>
      </c>
      <c r="AI325" s="132" t="n">
        <f aca="false">$F325*N325</f>
        <v>0</v>
      </c>
      <c r="AJ325" s="132" t="n">
        <f aca="false">F325*O325</f>
        <v>0</v>
      </c>
      <c r="AK325" s="137"/>
      <c r="AL325" s="132" t="n">
        <f aca="false">CHOOSE($G$3,AC325-AD325,AD325-AC325)</f>
        <v>0</v>
      </c>
      <c r="AM325" s="132" t="n">
        <f aca="false">CHOOSE($G$3,AF325-AG325,AG325-AF325)</f>
        <v>0</v>
      </c>
      <c r="AN325" s="132" t="n">
        <f aca="false">CHOOSE($G$3,AI325-AJ325,AJ325-AI325)</f>
        <v>0</v>
      </c>
      <c r="AO325" s="148" t="n">
        <f aca="false">SUM(AL325:AN325)</f>
        <v>0</v>
      </c>
      <c r="AQ325" s="132" t="n">
        <f aca="false">CHOOSE($G$3,AB325-AC325,AC325-AB325)</f>
        <v>0</v>
      </c>
      <c r="AR325" s="132" t="n">
        <f aca="false">CHOOSE($G$3,AE325-AF325,AF325-AE325)</f>
        <v>0</v>
      </c>
      <c r="AS325" s="132" t="n">
        <f aca="false">CHOOSE($G$3,AH325-AI325,AI325-AH325)</f>
        <v>0</v>
      </c>
      <c r="AT325" s="148" t="n">
        <f aca="false">AQ325+AR325+AS325</f>
        <v>0</v>
      </c>
      <c r="AU325" s="148"/>
      <c r="AV325" s="133" t="n">
        <f aca="false">AT325+AO325</f>
        <v>0</v>
      </c>
      <c r="AX325" s="133" t="n">
        <f aca="false">AJ325+AG325+AD325</f>
        <v>0</v>
      </c>
      <c r="AY325" s="149"/>
      <c r="AZ325" s="76" t="n">
        <f aca="false">R325*E325</f>
        <v>0</v>
      </c>
    </row>
    <row r="326" customFormat="false" ht="12" hidden="false" customHeight="true" outlineLevel="0" collapsed="false">
      <c r="A326" s="138" t="n">
        <f aca="false">EDATE(A325,1)</f>
        <v>46600</v>
      </c>
      <c r="B326" s="139" t="n">
        <f aca="false">VLOOKUP($A326,Table2,MATCH(I$3,Curves2,0))</f>
        <v>0</v>
      </c>
      <c r="C326" s="140"/>
      <c r="D326" s="141" t="n">
        <f aca="false">B326+C326</f>
        <v>0</v>
      </c>
      <c r="E326" s="126" t="n">
        <f aca="false">IF(Y326=0,0,IF(AND(Y326=1,$H$3=1),D326*T326,IF($H$3=2,D326,"N/A")))</f>
        <v>0</v>
      </c>
      <c r="F326" s="126" t="n">
        <f aca="false">E326*X326</f>
        <v>0</v>
      </c>
      <c r="G326" s="142" t="n">
        <f aca="false">VLOOKUP($A326,Table,MATCH(G$4,Curves,0))</f>
        <v>3.987</v>
      </c>
      <c r="H326" s="143" t="n">
        <f aca="false">G326</f>
        <v>3.987</v>
      </c>
      <c r="I326" s="142" t="n">
        <f aca="false">VLOOKUP($A326,Table1,MATCH(I$3,Curves1,0))</f>
        <v>0</v>
      </c>
      <c r="J326" s="142" t="n">
        <f aca="false">VLOOKUP($A326,Table,MATCH(J$4,Curves,0))</f>
        <v>-0.0305</v>
      </c>
      <c r="K326" s="143" t="n">
        <f aca="false">J326</f>
        <v>-0.0305</v>
      </c>
      <c r="L326" s="144" t="n">
        <v>0</v>
      </c>
      <c r="M326" s="142" t="n">
        <f aca="false">VLOOKUP($A326,Table,MATCH(M$4,Curves,0))</f>
        <v>0.0087</v>
      </c>
      <c r="N326" s="143" t="n">
        <f aca="false">M326</f>
        <v>0.0087</v>
      </c>
      <c r="O326" s="144" t="n">
        <v>0</v>
      </c>
      <c r="P326" s="145"/>
      <c r="Q326" s="144" t="n">
        <f aca="false">M326+J326+G326</f>
        <v>3.9652</v>
      </c>
      <c r="R326" s="144" t="n">
        <f aca="false">O326+L326+I326</f>
        <v>0</v>
      </c>
      <c r="S326" s="145"/>
      <c r="T326" s="71" t="n">
        <f aca="false">A327-A326</f>
        <v>31</v>
      </c>
      <c r="U326" s="146" t="n">
        <f aca="false">CHOOSE(F$3,A327+24,A326)</f>
        <v>46655</v>
      </c>
      <c r="V326" s="71" t="n">
        <f aca="false">U326-C$3</f>
        <v>9767</v>
      </c>
      <c r="W326" s="142" t="n">
        <f aca="false">VLOOKUP($A326,Table,MATCH(W$4,Curves,0))</f>
        <v>0.058966861357273</v>
      </c>
      <c r="X326" s="147" t="n">
        <f aca="false">1/(1+CHOOSE(F$3,(W327+($K$3/10000))/2,(W326+($K$3/10000))/2))^(2*V326/365.25)</f>
        <v>0.211398406950401</v>
      </c>
      <c r="Y326" s="71" t="n">
        <f aca="false">IF(AND(mthbeg&lt;=A326,mthend&gt;=A326),1,0)</f>
        <v>0</v>
      </c>
      <c r="Z326" s="71" t="n">
        <f aca="false">T326*Y326</f>
        <v>0</v>
      </c>
      <c r="AB326" s="132" t="n">
        <f aca="false">F326*G326</f>
        <v>0</v>
      </c>
      <c r="AC326" s="132" t="n">
        <f aca="false">$F326*H326</f>
        <v>0</v>
      </c>
      <c r="AD326" s="132" t="n">
        <f aca="false">$F326*I326</f>
        <v>0</v>
      </c>
      <c r="AE326" s="132" t="n">
        <f aca="false">$F326*J326</f>
        <v>-0</v>
      </c>
      <c r="AF326" s="132" t="n">
        <f aca="false">$F326*K326</f>
        <v>-0</v>
      </c>
      <c r="AG326" s="132" t="n">
        <f aca="false">$F326*L326</f>
        <v>0</v>
      </c>
      <c r="AH326" s="132" t="n">
        <f aca="false">$F326*M326</f>
        <v>0</v>
      </c>
      <c r="AI326" s="132" t="n">
        <f aca="false">$F326*N326</f>
        <v>0</v>
      </c>
      <c r="AJ326" s="132" t="n">
        <f aca="false">F326*O326</f>
        <v>0</v>
      </c>
      <c r="AK326" s="137"/>
      <c r="AL326" s="132" t="n">
        <f aca="false">CHOOSE($G$3,AC326-AD326,AD326-AC326)</f>
        <v>0</v>
      </c>
      <c r="AM326" s="132" t="n">
        <f aca="false">CHOOSE($G$3,AF326-AG326,AG326-AF326)</f>
        <v>0</v>
      </c>
      <c r="AN326" s="132" t="n">
        <f aca="false">CHOOSE($G$3,AI326-AJ326,AJ326-AI326)</f>
        <v>0</v>
      </c>
      <c r="AO326" s="148" t="n">
        <f aca="false">SUM(AL326:AN326)</f>
        <v>0</v>
      </c>
      <c r="AQ326" s="132" t="n">
        <f aca="false">CHOOSE($G$3,AB326-AC326,AC326-AB326)</f>
        <v>0</v>
      </c>
      <c r="AR326" s="132" t="n">
        <f aca="false">CHOOSE($G$3,AE326-AF326,AF326-AE326)</f>
        <v>0</v>
      </c>
      <c r="AS326" s="132" t="n">
        <f aca="false">CHOOSE($G$3,AH326-AI326,AI326-AH326)</f>
        <v>0</v>
      </c>
      <c r="AT326" s="148" t="n">
        <f aca="false">AQ326+AR326+AS326</f>
        <v>0</v>
      </c>
      <c r="AU326" s="148"/>
      <c r="AV326" s="133" t="n">
        <f aca="false">AT326+AO326</f>
        <v>0</v>
      </c>
      <c r="AX326" s="133" t="n">
        <f aca="false">AJ326+AG326+AD326</f>
        <v>0</v>
      </c>
      <c r="AY326" s="149"/>
      <c r="AZ326" s="76" t="n">
        <f aca="false">R326*E326</f>
        <v>0</v>
      </c>
    </row>
    <row r="327" customFormat="false" ht="12" hidden="false" customHeight="true" outlineLevel="0" collapsed="false">
      <c r="A327" s="138" t="n">
        <f aca="false">EDATE(A326,1)</f>
        <v>46631</v>
      </c>
      <c r="B327" s="139" t="n">
        <f aca="false">VLOOKUP($A327,Table2,MATCH(I$3,Curves2,0))</f>
        <v>0</v>
      </c>
      <c r="C327" s="140"/>
      <c r="D327" s="141" t="n">
        <f aca="false">B327+C327</f>
        <v>0</v>
      </c>
      <c r="E327" s="126" t="n">
        <f aca="false">IF(Y327=0,0,IF(AND(Y327=1,$H$3=1),D327*T327,IF($H$3=2,D327,"N/A")))</f>
        <v>0</v>
      </c>
      <c r="F327" s="126" t="n">
        <f aca="false">E327*X327</f>
        <v>0</v>
      </c>
      <c r="G327" s="142" t="n">
        <f aca="false">VLOOKUP($A327,Table,MATCH(G$4,Curves,0))</f>
        <v>3.987</v>
      </c>
      <c r="H327" s="143" t="n">
        <f aca="false">G327</f>
        <v>3.987</v>
      </c>
      <c r="I327" s="142" t="n">
        <f aca="false">VLOOKUP($A327,Table1,MATCH(I$3,Curves1,0))</f>
        <v>0</v>
      </c>
      <c r="J327" s="142" t="n">
        <f aca="false">VLOOKUP($A327,Table,MATCH(J$4,Curves,0))</f>
        <v>-0.0305</v>
      </c>
      <c r="K327" s="143" t="n">
        <f aca="false">J327</f>
        <v>-0.0305</v>
      </c>
      <c r="L327" s="144" t="n">
        <v>0</v>
      </c>
      <c r="M327" s="142" t="n">
        <f aca="false">VLOOKUP($A327,Table,MATCH(M$4,Curves,0))</f>
        <v>0.0087</v>
      </c>
      <c r="N327" s="143" t="n">
        <f aca="false">M327</f>
        <v>0.0087</v>
      </c>
      <c r="O327" s="144" t="n">
        <v>0</v>
      </c>
      <c r="P327" s="145"/>
      <c r="Q327" s="144" t="n">
        <f aca="false">M327+J327+G327</f>
        <v>3.9652</v>
      </c>
      <c r="R327" s="144" t="n">
        <f aca="false">O327+L327+I327</f>
        <v>0</v>
      </c>
      <c r="S327" s="145"/>
      <c r="T327" s="71" t="n">
        <f aca="false">A328-A327</f>
        <v>30</v>
      </c>
      <c r="U327" s="146" t="n">
        <f aca="false">CHOOSE(F$3,A328+24,A327)</f>
        <v>46685</v>
      </c>
      <c r="V327" s="71" t="n">
        <f aca="false">U327-C$3</f>
        <v>9797</v>
      </c>
      <c r="W327" s="142" t="n">
        <f aca="false">VLOOKUP($A327,Table,MATCH(W$4,Curves,0))</f>
        <v>0.058966861357273</v>
      </c>
      <c r="X327" s="147" t="n">
        <f aca="false">1/(1+CHOOSE(F$3,(W328+($K$3/10000))/2,(W327+($K$3/10000))/2))^(2*V327/365.25)</f>
        <v>0.210391754145433</v>
      </c>
      <c r="Y327" s="71" t="n">
        <f aca="false">IF(AND(mthbeg&lt;=A327,mthend&gt;=A327),1,0)</f>
        <v>0</v>
      </c>
      <c r="Z327" s="71" t="n">
        <f aca="false">T327*Y327</f>
        <v>0</v>
      </c>
      <c r="AB327" s="132" t="n">
        <f aca="false">F327*G327</f>
        <v>0</v>
      </c>
      <c r="AC327" s="132" t="n">
        <f aca="false">$F327*H327</f>
        <v>0</v>
      </c>
      <c r="AD327" s="132" t="n">
        <f aca="false">$F327*I327</f>
        <v>0</v>
      </c>
      <c r="AE327" s="132" t="n">
        <f aca="false">$F327*J327</f>
        <v>-0</v>
      </c>
      <c r="AF327" s="132" t="n">
        <f aca="false">$F327*K327</f>
        <v>-0</v>
      </c>
      <c r="AG327" s="132" t="n">
        <f aca="false">$F327*L327</f>
        <v>0</v>
      </c>
      <c r="AH327" s="132" t="n">
        <f aca="false">$F327*M327</f>
        <v>0</v>
      </c>
      <c r="AI327" s="132" t="n">
        <f aca="false">$F327*N327</f>
        <v>0</v>
      </c>
      <c r="AJ327" s="132" t="n">
        <f aca="false">F327*O327</f>
        <v>0</v>
      </c>
      <c r="AK327" s="137"/>
      <c r="AL327" s="132" t="n">
        <f aca="false">CHOOSE($G$3,AC327-AD327,AD327-AC327)</f>
        <v>0</v>
      </c>
      <c r="AM327" s="132" t="n">
        <f aca="false">CHOOSE($G$3,AF327-AG327,AG327-AF327)</f>
        <v>0</v>
      </c>
      <c r="AN327" s="132" t="n">
        <f aca="false">CHOOSE($G$3,AI327-AJ327,AJ327-AI327)</f>
        <v>0</v>
      </c>
      <c r="AO327" s="148" t="n">
        <f aca="false">SUM(AL327:AN327)</f>
        <v>0</v>
      </c>
      <c r="AQ327" s="132" t="n">
        <f aca="false">CHOOSE($G$3,AB327-AC327,AC327-AB327)</f>
        <v>0</v>
      </c>
      <c r="AR327" s="132" t="n">
        <f aca="false">CHOOSE($G$3,AE327-AF327,AF327-AE327)</f>
        <v>0</v>
      </c>
      <c r="AS327" s="132" t="n">
        <f aca="false">CHOOSE($G$3,AH327-AI327,AI327-AH327)</f>
        <v>0</v>
      </c>
      <c r="AT327" s="148" t="n">
        <f aca="false">AQ327+AR327+AS327</f>
        <v>0</v>
      </c>
      <c r="AU327" s="148"/>
      <c r="AV327" s="133" t="n">
        <f aca="false">AT327+AO327</f>
        <v>0</v>
      </c>
      <c r="AX327" s="133" t="n">
        <f aca="false">AJ327+AG327+AD327</f>
        <v>0</v>
      </c>
      <c r="AY327" s="149"/>
      <c r="AZ327" s="76" t="n">
        <f aca="false">R327*E327</f>
        <v>0</v>
      </c>
    </row>
    <row r="328" customFormat="false" ht="12" hidden="false" customHeight="true" outlineLevel="0" collapsed="false">
      <c r="A328" s="138" t="n">
        <f aca="false">EDATE(A327,1)</f>
        <v>46661</v>
      </c>
      <c r="B328" s="139" t="n">
        <f aca="false">VLOOKUP($A328,Table2,MATCH(I$3,Curves2,0))</f>
        <v>0</v>
      </c>
      <c r="C328" s="140"/>
      <c r="D328" s="141" t="n">
        <f aca="false">B328+C328</f>
        <v>0</v>
      </c>
      <c r="E328" s="126" t="n">
        <f aca="false">IF(Y328=0,0,IF(AND(Y328=1,$H$3=1),D328*T328,IF($H$3=2,D328,"N/A")))</f>
        <v>0</v>
      </c>
      <c r="F328" s="126" t="n">
        <f aca="false">E328*X328</f>
        <v>0</v>
      </c>
      <c r="G328" s="142" t="n">
        <f aca="false">VLOOKUP($A328,Table,MATCH(G$4,Curves,0))</f>
        <v>3.987</v>
      </c>
      <c r="H328" s="143" t="n">
        <f aca="false">G328</f>
        <v>3.987</v>
      </c>
      <c r="I328" s="142" t="n">
        <f aca="false">VLOOKUP($A328,Table1,MATCH(I$3,Curves1,0))</f>
        <v>0</v>
      </c>
      <c r="J328" s="142" t="n">
        <f aca="false">VLOOKUP($A328,Table,MATCH(J$4,Curves,0))</f>
        <v>-0.0305</v>
      </c>
      <c r="K328" s="143" t="n">
        <f aca="false">J328</f>
        <v>-0.0305</v>
      </c>
      <c r="L328" s="144" t="n">
        <v>0</v>
      </c>
      <c r="M328" s="142" t="n">
        <f aca="false">VLOOKUP($A328,Table,MATCH(M$4,Curves,0))</f>
        <v>0.0087</v>
      </c>
      <c r="N328" s="143" t="n">
        <f aca="false">M328</f>
        <v>0.0087</v>
      </c>
      <c r="O328" s="144" t="n">
        <v>0</v>
      </c>
      <c r="P328" s="145"/>
      <c r="Q328" s="144" t="n">
        <f aca="false">M328+J328+G328</f>
        <v>3.9652</v>
      </c>
      <c r="R328" s="144" t="n">
        <f aca="false">O328+L328+I328</f>
        <v>0</v>
      </c>
      <c r="S328" s="145"/>
      <c r="T328" s="71" t="n">
        <f aca="false">A329-A328</f>
        <v>31</v>
      </c>
      <c r="U328" s="146" t="n">
        <f aca="false">CHOOSE(F$3,A329+24,A328)</f>
        <v>46716</v>
      </c>
      <c r="V328" s="71" t="n">
        <f aca="false">U328-C$3</f>
        <v>9828</v>
      </c>
      <c r="W328" s="142" t="n">
        <f aca="false">VLOOKUP($A328,Table,MATCH(W$4,Curves,0))</f>
        <v>0.058966861357273</v>
      </c>
      <c r="X328" s="147" t="n">
        <f aca="false">1/(1+CHOOSE(F$3,(W329+($K$3/10000))/2,(W328+($K$3/10000))/2))^(2*V328/365.25)</f>
        <v>0.209356581875944</v>
      </c>
      <c r="Y328" s="71" t="n">
        <f aca="false">IF(AND(mthbeg&lt;=A328,mthend&gt;=A328),1,0)</f>
        <v>0</v>
      </c>
      <c r="Z328" s="71" t="n">
        <f aca="false">T328*Y328</f>
        <v>0</v>
      </c>
      <c r="AB328" s="132" t="n">
        <f aca="false">F328*G328</f>
        <v>0</v>
      </c>
      <c r="AC328" s="132" t="n">
        <f aca="false">$F328*H328</f>
        <v>0</v>
      </c>
      <c r="AD328" s="132" t="n">
        <f aca="false">$F328*I328</f>
        <v>0</v>
      </c>
      <c r="AE328" s="132" t="n">
        <f aca="false">$F328*J328</f>
        <v>-0</v>
      </c>
      <c r="AF328" s="132" t="n">
        <f aca="false">$F328*K328</f>
        <v>-0</v>
      </c>
      <c r="AG328" s="132" t="n">
        <f aca="false">$F328*L328</f>
        <v>0</v>
      </c>
      <c r="AH328" s="132" t="n">
        <f aca="false">$F328*M328</f>
        <v>0</v>
      </c>
      <c r="AI328" s="132" t="n">
        <f aca="false">$F328*N328</f>
        <v>0</v>
      </c>
      <c r="AJ328" s="132" t="n">
        <f aca="false">F328*O328</f>
        <v>0</v>
      </c>
      <c r="AK328" s="137"/>
      <c r="AL328" s="132" t="n">
        <f aca="false">CHOOSE($G$3,AC328-AD328,AD328-AC328)</f>
        <v>0</v>
      </c>
      <c r="AM328" s="132" t="n">
        <f aca="false">CHOOSE($G$3,AF328-AG328,AG328-AF328)</f>
        <v>0</v>
      </c>
      <c r="AN328" s="132" t="n">
        <f aca="false">CHOOSE($G$3,AI328-AJ328,AJ328-AI328)</f>
        <v>0</v>
      </c>
      <c r="AO328" s="148" t="n">
        <f aca="false">SUM(AL328:AN328)</f>
        <v>0</v>
      </c>
      <c r="AQ328" s="132" t="n">
        <f aca="false">CHOOSE($G$3,AB328-AC328,AC328-AB328)</f>
        <v>0</v>
      </c>
      <c r="AR328" s="132" t="n">
        <f aca="false">CHOOSE($G$3,AE328-AF328,AF328-AE328)</f>
        <v>0</v>
      </c>
      <c r="AS328" s="132" t="n">
        <f aca="false">CHOOSE($G$3,AH328-AI328,AI328-AH328)</f>
        <v>0</v>
      </c>
      <c r="AT328" s="148" t="n">
        <f aca="false">AQ328+AR328+AS328</f>
        <v>0</v>
      </c>
      <c r="AU328" s="148"/>
      <c r="AV328" s="133" t="n">
        <f aca="false">AT328+AO328</f>
        <v>0</v>
      </c>
      <c r="AX328" s="133" t="n">
        <f aca="false">AJ328+AG328+AD328</f>
        <v>0</v>
      </c>
      <c r="AY328" s="149"/>
      <c r="AZ328" s="76" t="n">
        <f aca="false">R328*E328</f>
        <v>0</v>
      </c>
    </row>
    <row r="329" customFormat="false" ht="12" hidden="false" customHeight="true" outlineLevel="0" collapsed="false">
      <c r="A329" s="138" t="n">
        <f aca="false">EDATE(A328,1)</f>
        <v>46692</v>
      </c>
      <c r="B329" s="139" t="n">
        <f aca="false">VLOOKUP($A329,Table2,MATCH(I$3,Curves2,0))</f>
        <v>0</v>
      </c>
      <c r="C329" s="140"/>
      <c r="D329" s="141" t="n">
        <f aca="false">B329+C329</f>
        <v>0</v>
      </c>
      <c r="E329" s="126" t="n">
        <f aca="false">IF(Y329=0,0,IF(AND(Y329=1,$H$3=1),D329*T329,IF($H$3=2,D329,"N/A")))</f>
        <v>0</v>
      </c>
      <c r="F329" s="126" t="n">
        <f aca="false">E329*X329</f>
        <v>0</v>
      </c>
      <c r="G329" s="142" t="n">
        <f aca="false">VLOOKUP($A329,Table,MATCH(G$4,Curves,0))</f>
        <v>3.987</v>
      </c>
      <c r="H329" s="143" t="n">
        <f aca="false">G329</f>
        <v>3.987</v>
      </c>
      <c r="I329" s="142" t="n">
        <f aca="false">VLOOKUP($A329,Table1,MATCH(I$3,Curves1,0))</f>
        <v>0</v>
      </c>
      <c r="J329" s="142" t="n">
        <f aca="false">VLOOKUP($A329,Table,MATCH(J$4,Curves,0))</f>
        <v>-0.0305</v>
      </c>
      <c r="K329" s="143" t="n">
        <f aca="false">J329</f>
        <v>-0.0305</v>
      </c>
      <c r="L329" s="144" t="n">
        <v>0</v>
      </c>
      <c r="M329" s="142" t="n">
        <f aca="false">VLOOKUP($A329,Table,MATCH(M$4,Curves,0))</f>
        <v>0.0087</v>
      </c>
      <c r="N329" s="143" t="n">
        <f aca="false">M329</f>
        <v>0.0087</v>
      </c>
      <c r="O329" s="144" t="n">
        <v>0</v>
      </c>
      <c r="P329" s="145"/>
      <c r="Q329" s="144" t="n">
        <f aca="false">M329+J329+G329</f>
        <v>3.9652</v>
      </c>
      <c r="R329" s="144" t="n">
        <f aca="false">O329+L329+I329</f>
        <v>0</v>
      </c>
      <c r="S329" s="145"/>
      <c r="T329" s="71" t="n">
        <f aca="false">A330-A329</f>
        <v>30</v>
      </c>
      <c r="U329" s="146" t="n">
        <f aca="false">CHOOSE(F$3,A330+24,A329)</f>
        <v>46746</v>
      </c>
      <c r="V329" s="71" t="n">
        <f aca="false">U329-C$3</f>
        <v>9858</v>
      </c>
      <c r="W329" s="142" t="n">
        <f aca="false">VLOOKUP($A329,Table,MATCH(W$4,Curves,0))</f>
        <v>0.058966861357273</v>
      </c>
      <c r="X329" s="147" t="n">
        <f aca="false">1/(1+CHOOSE(F$3,(W330+($K$3/10000))/2,(W329+($K$3/10000))/2))^(2*V329/365.25)</f>
        <v>0.208359651986907</v>
      </c>
      <c r="Y329" s="71" t="n">
        <f aca="false">IF(AND(mthbeg&lt;=A329,mthend&gt;=A329),1,0)</f>
        <v>0</v>
      </c>
      <c r="Z329" s="71" t="n">
        <f aca="false">T329*Y329</f>
        <v>0</v>
      </c>
      <c r="AB329" s="132" t="n">
        <f aca="false">F329*G329</f>
        <v>0</v>
      </c>
      <c r="AC329" s="132" t="n">
        <f aca="false">$F329*H329</f>
        <v>0</v>
      </c>
      <c r="AD329" s="132" t="n">
        <f aca="false">$F329*I329</f>
        <v>0</v>
      </c>
      <c r="AE329" s="132" t="n">
        <f aca="false">$F329*J329</f>
        <v>-0</v>
      </c>
      <c r="AF329" s="132" t="n">
        <f aca="false">$F329*K329</f>
        <v>-0</v>
      </c>
      <c r="AG329" s="132" t="n">
        <f aca="false">$F329*L329</f>
        <v>0</v>
      </c>
      <c r="AH329" s="132" t="n">
        <f aca="false">$F329*M329</f>
        <v>0</v>
      </c>
      <c r="AI329" s="132" t="n">
        <f aca="false">$F329*N329</f>
        <v>0</v>
      </c>
      <c r="AJ329" s="132" t="n">
        <f aca="false">F329*O329</f>
        <v>0</v>
      </c>
      <c r="AK329" s="137"/>
      <c r="AL329" s="132" t="n">
        <f aca="false">CHOOSE($G$3,AC329-AD329,AD329-AC329)</f>
        <v>0</v>
      </c>
      <c r="AM329" s="132" t="n">
        <f aca="false">CHOOSE($G$3,AF329-AG329,AG329-AF329)</f>
        <v>0</v>
      </c>
      <c r="AN329" s="132" t="n">
        <f aca="false">CHOOSE($G$3,AI329-AJ329,AJ329-AI329)</f>
        <v>0</v>
      </c>
      <c r="AO329" s="148" t="n">
        <f aca="false">SUM(AL329:AN329)</f>
        <v>0</v>
      </c>
      <c r="AQ329" s="132" t="n">
        <f aca="false">CHOOSE($G$3,AB329-AC329,AC329-AB329)</f>
        <v>0</v>
      </c>
      <c r="AR329" s="132" t="n">
        <f aca="false">CHOOSE($G$3,AE329-AF329,AF329-AE329)</f>
        <v>0</v>
      </c>
      <c r="AS329" s="132" t="n">
        <f aca="false">CHOOSE($G$3,AH329-AI329,AI329-AH329)</f>
        <v>0</v>
      </c>
      <c r="AT329" s="148" t="n">
        <f aca="false">AQ329+AR329+AS329</f>
        <v>0</v>
      </c>
      <c r="AU329" s="148"/>
      <c r="AV329" s="133" t="n">
        <f aca="false">AT329+AO329</f>
        <v>0</v>
      </c>
      <c r="AX329" s="133" t="n">
        <f aca="false">AJ329+AG329+AD329</f>
        <v>0</v>
      </c>
      <c r="AY329" s="149"/>
      <c r="AZ329" s="76" t="n">
        <f aca="false">R329*E329</f>
        <v>0</v>
      </c>
    </row>
    <row r="330" customFormat="false" ht="12" hidden="false" customHeight="true" outlineLevel="0" collapsed="false">
      <c r="A330" s="138" t="n">
        <f aca="false">EDATE(A329,1)</f>
        <v>46722</v>
      </c>
      <c r="B330" s="139" t="n">
        <f aca="false">VLOOKUP($A330,Table2,MATCH(I$3,Curves2,0))</f>
        <v>0</v>
      </c>
      <c r="C330" s="140"/>
      <c r="D330" s="141" t="n">
        <f aca="false">B330+C330</f>
        <v>0</v>
      </c>
      <c r="E330" s="126" t="n">
        <f aca="false">IF(Y330=0,0,IF(AND(Y330=1,$H$3=1),D330*T330,IF($H$3=2,D330,"N/A")))</f>
        <v>0</v>
      </c>
      <c r="F330" s="126" t="n">
        <f aca="false">E330*X330</f>
        <v>0</v>
      </c>
      <c r="G330" s="142" t="n">
        <f aca="false">VLOOKUP($A330,Table,MATCH(G$4,Curves,0))</f>
        <v>3.987</v>
      </c>
      <c r="H330" s="143" t="n">
        <f aca="false">G330</f>
        <v>3.987</v>
      </c>
      <c r="I330" s="142" t="n">
        <f aca="false">VLOOKUP($A330,Table1,MATCH(I$3,Curves1,0))</f>
        <v>0</v>
      </c>
      <c r="J330" s="142" t="n">
        <f aca="false">VLOOKUP($A330,Table,MATCH(J$4,Curves,0))</f>
        <v>-0.0305</v>
      </c>
      <c r="K330" s="143" t="n">
        <f aca="false">J330</f>
        <v>-0.0305</v>
      </c>
      <c r="L330" s="144" t="n">
        <v>0</v>
      </c>
      <c r="M330" s="142" t="n">
        <f aca="false">VLOOKUP($A330,Table,MATCH(M$4,Curves,0))</f>
        <v>0.0087</v>
      </c>
      <c r="N330" s="143" t="n">
        <f aca="false">M330</f>
        <v>0.0087</v>
      </c>
      <c r="O330" s="144" t="n">
        <v>0</v>
      </c>
      <c r="P330" s="145"/>
      <c r="Q330" s="144" t="n">
        <f aca="false">M330+J330+G330</f>
        <v>3.9652</v>
      </c>
      <c r="R330" s="144" t="n">
        <f aca="false">O330+L330+I330</f>
        <v>0</v>
      </c>
      <c r="S330" s="145"/>
      <c r="T330" s="71" t="n">
        <f aca="false">A331-A330</f>
        <v>31</v>
      </c>
      <c r="U330" s="146" t="n">
        <f aca="false">CHOOSE(F$3,A331+24,A330)</f>
        <v>46777</v>
      </c>
      <c r="V330" s="71" t="n">
        <f aca="false">U330-C$3</f>
        <v>9889</v>
      </c>
      <c r="W330" s="142" t="n">
        <f aca="false">VLOOKUP($A330,Table,MATCH(W$4,Curves,0))</f>
        <v>0.058966861357273</v>
      </c>
      <c r="X330" s="147" t="n">
        <f aca="false">1/(1+CHOOSE(F$3,(W331+($K$3/10000))/2,(W330+($K$3/10000))/2))^(2*V330/365.25)</f>
        <v>0.207334478093123</v>
      </c>
      <c r="Y330" s="71" t="n">
        <f aca="false">IF(AND(mthbeg&lt;=A330,mthend&gt;=A330),1,0)</f>
        <v>0</v>
      </c>
      <c r="Z330" s="71" t="n">
        <f aca="false">T330*Y330</f>
        <v>0</v>
      </c>
      <c r="AB330" s="132" t="n">
        <f aca="false">F330*G330</f>
        <v>0</v>
      </c>
      <c r="AC330" s="132" t="n">
        <f aca="false">$F330*H330</f>
        <v>0</v>
      </c>
      <c r="AD330" s="132" t="n">
        <f aca="false">$F330*I330</f>
        <v>0</v>
      </c>
      <c r="AE330" s="132" t="n">
        <f aca="false">$F330*J330</f>
        <v>-0</v>
      </c>
      <c r="AF330" s="132" t="n">
        <f aca="false">$F330*K330</f>
        <v>-0</v>
      </c>
      <c r="AG330" s="132" t="n">
        <f aca="false">$F330*L330</f>
        <v>0</v>
      </c>
      <c r="AH330" s="132" t="n">
        <f aca="false">$F330*M330</f>
        <v>0</v>
      </c>
      <c r="AI330" s="132" t="n">
        <f aca="false">$F330*N330</f>
        <v>0</v>
      </c>
      <c r="AJ330" s="132" t="n">
        <f aca="false">F330*O330</f>
        <v>0</v>
      </c>
      <c r="AK330" s="137"/>
      <c r="AL330" s="132" t="n">
        <f aca="false">CHOOSE($G$3,AC330-AD330,AD330-AC330)</f>
        <v>0</v>
      </c>
      <c r="AM330" s="132" t="n">
        <f aca="false">CHOOSE($G$3,AF330-AG330,AG330-AF330)</f>
        <v>0</v>
      </c>
      <c r="AN330" s="132" t="n">
        <f aca="false">CHOOSE($G$3,AI330-AJ330,AJ330-AI330)</f>
        <v>0</v>
      </c>
      <c r="AO330" s="148" t="n">
        <f aca="false">SUM(AL330:AN330)</f>
        <v>0</v>
      </c>
      <c r="AQ330" s="132" t="n">
        <f aca="false">CHOOSE($G$3,AB330-AC330,AC330-AB330)</f>
        <v>0</v>
      </c>
      <c r="AR330" s="132" t="n">
        <f aca="false">CHOOSE($G$3,AE330-AF330,AF330-AE330)</f>
        <v>0</v>
      </c>
      <c r="AS330" s="132" t="n">
        <f aca="false">CHOOSE($G$3,AH330-AI330,AI330-AH330)</f>
        <v>0</v>
      </c>
      <c r="AT330" s="148" t="n">
        <f aca="false">AQ330+AR330+AS330</f>
        <v>0</v>
      </c>
      <c r="AU330" s="148"/>
      <c r="AV330" s="133" t="n">
        <f aca="false">AT330+AO330</f>
        <v>0</v>
      </c>
      <c r="AX330" s="133" t="n">
        <f aca="false">AJ330+AG330+AD330</f>
        <v>0</v>
      </c>
      <c r="AY330" s="149"/>
      <c r="AZ330" s="76" t="n">
        <f aca="false">R330*E330</f>
        <v>0</v>
      </c>
    </row>
    <row r="331" customFormat="false" ht="12" hidden="false" customHeight="true" outlineLevel="0" collapsed="false">
      <c r="A331" s="138" t="n">
        <f aca="false">EDATE(A330,1)</f>
        <v>46753</v>
      </c>
      <c r="B331" s="139" t="n">
        <f aca="false">VLOOKUP($A331,Table2,MATCH(I$3,Curves2,0))</f>
        <v>0</v>
      </c>
      <c r="C331" s="140"/>
      <c r="D331" s="141" t="n">
        <f aca="false">B331+C331</f>
        <v>0</v>
      </c>
      <c r="E331" s="126" t="n">
        <f aca="false">IF(Y331=0,0,IF(AND(Y331=1,$H$3=1),D331*T331,IF($H$3=2,D331,"N/A")))</f>
        <v>0</v>
      </c>
      <c r="F331" s="126" t="n">
        <f aca="false">E331*X331</f>
        <v>0</v>
      </c>
      <c r="G331" s="142" t="n">
        <f aca="false">VLOOKUP($A331,Table,MATCH(G$4,Curves,0))</f>
        <v>3.987</v>
      </c>
      <c r="H331" s="143" t="n">
        <f aca="false">G331</f>
        <v>3.987</v>
      </c>
      <c r="I331" s="142" t="n">
        <f aca="false">VLOOKUP($A331,Table1,MATCH(I$3,Curves1,0))</f>
        <v>0</v>
      </c>
      <c r="J331" s="142" t="n">
        <f aca="false">VLOOKUP($A331,Table,MATCH(J$4,Curves,0))</f>
        <v>-0.0305</v>
      </c>
      <c r="K331" s="143" t="n">
        <f aca="false">J331</f>
        <v>-0.0305</v>
      </c>
      <c r="L331" s="144" t="n">
        <v>0</v>
      </c>
      <c r="M331" s="142" t="n">
        <f aca="false">VLOOKUP($A331,Table,MATCH(M$4,Curves,0))</f>
        <v>0.0087</v>
      </c>
      <c r="N331" s="143" t="n">
        <f aca="false">M331</f>
        <v>0.0087</v>
      </c>
      <c r="O331" s="144" t="n">
        <v>0</v>
      </c>
      <c r="P331" s="145"/>
      <c r="Q331" s="144" t="n">
        <f aca="false">M331+J331+G331</f>
        <v>3.9652</v>
      </c>
      <c r="R331" s="144" t="n">
        <f aca="false">O331+L331+I331</f>
        <v>0</v>
      </c>
      <c r="S331" s="145"/>
      <c r="T331" s="71" t="n">
        <f aca="false">A332-A331</f>
        <v>31</v>
      </c>
      <c r="U331" s="146" t="n">
        <f aca="false">CHOOSE(F$3,A332+24,A331)</f>
        <v>46808</v>
      </c>
      <c r="V331" s="71" t="n">
        <f aca="false">U331-C$3</f>
        <v>9920</v>
      </c>
      <c r="W331" s="142" t="n">
        <f aca="false">VLOOKUP($A331,Table,MATCH(W$4,Curves,0))</f>
        <v>0.058966861357273</v>
      </c>
      <c r="X331" s="147" t="n">
        <f aca="false">1/(1+CHOOSE(F$3,(W332+($K$3/10000))/2,(W331+($K$3/10000))/2))^(2*V331/365.25)</f>
        <v>0.206314348273384</v>
      </c>
      <c r="Y331" s="71" t="n">
        <f aca="false">IF(AND(mthbeg&lt;=A331,mthend&gt;=A331),1,0)</f>
        <v>0</v>
      </c>
      <c r="Z331" s="71" t="n">
        <f aca="false">T331*Y331</f>
        <v>0</v>
      </c>
      <c r="AB331" s="132" t="n">
        <f aca="false">F331*G331</f>
        <v>0</v>
      </c>
      <c r="AC331" s="132" t="n">
        <f aca="false">$F331*H331</f>
        <v>0</v>
      </c>
      <c r="AD331" s="132" t="n">
        <f aca="false">$F331*I331</f>
        <v>0</v>
      </c>
      <c r="AE331" s="132" t="n">
        <f aca="false">$F331*J331</f>
        <v>-0</v>
      </c>
      <c r="AF331" s="132" t="n">
        <f aca="false">$F331*K331</f>
        <v>-0</v>
      </c>
      <c r="AG331" s="132" t="n">
        <f aca="false">$F331*L331</f>
        <v>0</v>
      </c>
      <c r="AH331" s="132" t="n">
        <f aca="false">$F331*M331</f>
        <v>0</v>
      </c>
      <c r="AI331" s="132" t="n">
        <f aca="false">$F331*N331</f>
        <v>0</v>
      </c>
      <c r="AJ331" s="132" t="n">
        <f aca="false">F331*O331</f>
        <v>0</v>
      </c>
      <c r="AK331" s="137"/>
      <c r="AL331" s="132" t="n">
        <f aca="false">CHOOSE($G$3,AC331-AD331,AD331-AC331)</f>
        <v>0</v>
      </c>
      <c r="AM331" s="132" t="n">
        <f aca="false">CHOOSE($G$3,AF331-AG331,AG331-AF331)</f>
        <v>0</v>
      </c>
      <c r="AN331" s="132" t="n">
        <f aca="false">CHOOSE($G$3,AI331-AJ331,AJ331-AI331)</f>
        <v>0</v>
      </c>
      <c r="AO331" s="148" t="n">
        <f aca="false">SUM(AL331:AN331)</f>
        <v>0</v>
      </c>
      <c r="AQ331" s="132" t="n">
        <f aca="false">CHOOSE($G$3,AB331-AC331,AC331-AB331)</f>
        <v>0</v>
      </c>
      <c r="AR331" s="132" t="n">
        <f aca="false">CHOOSE($G$3,AE331-AF331,AF331-AE331)</f>
        <v>0</v>
      </c>
      <c r="AS331" s="132" t="n">
        <f aca="false">CHOOSE($G$3,AH331-AI331,AI331-AH331)</f>
        <v>0</v>
      </c>
      <c r="AT331" s="148" t="n">
        <f aca="false">AQ331+AR331+AS331</f>
        <v>0</v>
      </c>
      <c r="AU331" s="148"/>
      <c r="AV331" s="133" t="n">
        <f aca="false">AT331+AO331</f>
        <v>0</v>
      </c>
      <c r="AX331" s="133" t="n">
        <f aca="false">AJ331+AG331+AD331</f>
        <v>0</v>
      </c>
      <c r="AY331" s="149"/>
      <c r="AZ331" s="76" t="n">
        <f aca="false">R331*E331</f>
        <v>0</v>
      </c>
    </row>
    <row r="332" customFormat="false" ht="12" hidden="false" customHeight="true" outlineLevel="0" collapsed="false">
      <c r="A332" s="138" t="n">
        <f aca="false">EDATE(A331,1)</f>
        <v>46784</v>
      </c>
      <c r="B332" s="139" t="n">
        <f aca="false">VLOOKUP($A332,Table2,MATCH(I$3,Curves2,0))</f>
        <v>0</v>
      </c>
      <c r="C332" s="140"/>
      <c r="D332" s="141" t="n">
        <f aca="false">B332+C332</f>
        <v>0</v>
      </c>
      <c r="E332" s="126" t="n">
        <f aca="false">IF(Y332=0,0,IF(AND(Y332=1,$H$3=1),D332*T332,IF($H$3=2,D332,"N/A")))</f>
        <v>0</v>
      </c>
      <c r="F332" s="126" t="n">
        <f aca="false">E332*X332</f>
        <v>0</v>
      </c>
      <c r="G332" s="142" t="n">
        <f aca="false">VLOOKUP($A332,Table,MATCH(G$4,Curves,0))</f>
        <v>3.987</v>
      </c>
      <c r="H332" s="143" t="n">
        <f aca="false">G332</f>
        <v>3.987</v>
      </c>
      <c r="I332" s="142" t="n">
        <f aca="false">VLOOKUP($A332,Table1,MATCH(I$3,Curves1,0))</f>
        <v>0</v>
      </c>
      <c r="J332" s="142" t="n">
        <f aca="false">VLOOKUP($A332,Table,MATCH(J$4,Curves,0))</f>
        <v>-0.0305</v>
      </c>
      <c r="K332" s="143" t="n">
        <f aca="false">J332</f>
        <v>-0.0305</v>
      </c>
      <c r="L332" s="144" t="n">
        <v>0</v>
      </c>
      <c r="M332" s="142" t="n">
        <f aca="false">VLOOKUP($A332,Table,MATCH(M$4,Curves,0))</f>
        <v>0.0087</v>
      </c>
      <c r="N332" s="143" t="n">
        <f aca="false">M332</f>
        <v>0.0087</v>
      </c>
      <c r="O332" s="144" t="n">
        <v>0</v>
      </c>
      <c r="P332" s="145"/>
      <c r="Q332" s="144" t="n">
        <f aca="false">M332+J332+G332</f>
        <v>3.9652</v>
      </c>
      <c r="R332" s="144" t="n">
        <f aca="false">O332+L332+I332</f>
        <v>0</v>
      </c>
      <c r="S332" s="145"/>
      <c r="T332" s="71" t="n">
        <f aca="false">A333-A332</f>
        <v>29</v>
      </c>
      <c r="U332" s="146" t="n">
        <f aca="false">CHOOSE(F$3,A333+24,A332)</f>
        <v>46837</v>
      </c>
      <c r="V332" s="71" t="n">
        <f aca="false">U332-C$3</f>
        <v>9949</v>
      </c>
      <c r="W332" s="142" t="n">
        <f aca="false">VLOOKUP($A332,Table,MATCH(W$4,Curves,0))</f>
        <v>0.058966861357273</v>
      </c>
      <c r="X332" s="147" t="n">
        <f aca="false">1/(1+CHOOSE(F$3,(W333+($K$3/10000))/2,(W332+($K$3/10000))/2))^(2*V332/365.25)</f>
        <v>0.205364577729721</v>
      </c>
      <c r="Y332" s="71" t="n">
        <f aca="false">IF(AND(mthbeg&lt;=A332,mthend&gt;=A332),1,0)</f>
        <v>0</v>
      </c>
      <c r="Z332" s="71" t="n">
        <f aca="false">T332*Y332</f>
        <v>0</v>
      </c>
      <c r="AB332" s="132" t="n">
        <f aca="false">F332*G332</f>
        <v>0</v>
      </c>
      <c r="AC332" s="132" t="n">
        <f aca="false">$F332*H332</f>
        <v>0</v>
      </c>
      <c r="AD332" s="132" t="n">
        <f aca="false">$F332*I332</f>
        <v>0</v>
      </c>
      <c r="AE332" s="132" t="n">
        <f aca="false">$F332*J332</f>
        <v>-0</v>
      </c>
      <c r="AF332" s="132" t="n">
        <f aca="false">$F332*K332</f>
        <v>-0</v>
      </c>
      <c r="AG332" s="132" t="n">
        <f aca="false">$F332*L332</f>
        <v>0</v>
      </c>
      <c r="AH332" s="132" t="n">
        <f aca="false">$F332*M332</f>
        <v>0</v>
      </c>
      <c r="AI332" s="132" t="n">
        <f aca="false">$F332*N332</f>
        <v>0</v>
      </c>
      <c r="AJ332" s="132" t="n">
        <f aca="false">F332*O332</f>
        <v>0</v>
      </c>
      <c r="AK332" s="137"/>
      <c r="AL332" s="132" t="n">
        <f aca="false">CHOOSE($G$3,AC332-AD332,AD332-AC332)</f>
        <v>0</v>
      </c>
      <c r="AM332" s="132" t="n">
        <f aca="false">CHOOSE($G$3,AF332-AG332,AG332-AF332)</f>
        <v>0</v>
      </c>
      <c r="AN332" s="132" t="n">
        <f aca="false">CHOOSE($G$3,AI332-AJ332,AJ332-AI332)</f>
        <v>0</v>
      </c>
      <c r="AO332" s="148" t="n">
        <f aca="false">SUM(AL332:AN332)</f>
        <v>0</v>
      </c>
      <c r="AQ332" s="132" t="n">
        <f aca="false">CHOOSE($G$3,AB332-AC332,AC332-AB332)</f>
        <v>0</v>
      </c>
      <c r="AR332" s="132" t="n">
        <f aca="false">CHOOSE($G$3,AE332-AF332,AF332-AE332)</f>
        <v>0</v>
      </c>
      <c r="AS332" s="132" t="n">
        <f aca="false">CHOOSE($G$3,AH332-AI332,AI332-AH332)</f>
        <v>0</v>
      </c>
      <c r="AT332" s="148" t="n">
        <f aca="false">AQ332+AR332+AS332</f>
        <v>0</v>
      </c>
      <c r="AU332" s="148"/>
      <c r="AV332" s="133" t="n">
        <f aca="false">AT332+AO332</f>
        <v>0</v>
      </c>
      <c r="AX332" s="133" t="n">
        <f aca="false">AJ332+AG332+AD332</f>
        <v>0</v>
      </c>
      <c r="AY332" s="149"/>
      <c r="AZ332" s="76" t="n">
        <f aca="false">R332*E332</f>
        <v>0</v>
      </c>
    </row>
    <row r="333" customFormat="false" ht="12" hidden="false" customHeight="true" outlineLevel="0" collapsed="false">
      <c r="A333" s="138" t="n">
        <f aca="false">EDATE(A332,1)</f>
        <v>46813</v>
      </c>
      <c r="B333" s="139" t="n">
        <f aca="false">VLOOKUP($A333,Table2,MATCH(I$3,Curves2,0))</f>
        <v>0</v>
      </c>
      <c r="C333" s="140"/>
      <c r="D333" s="141" t="n">
        <f aca="false">B333+C333</f>
        <v>0</v>
      </c>
      <c r="E333" s="126" t="n">
        <f aca="false">IF(Y333=0,0,IF(AND(Y333=1,$H$3=1),D333*T333,IF($H$3=2,D333,"N/A")))</f>
        <v>0</v>
      </c>
      <c r="F333" s="126" t="n">
        <f aca="false">E333*X333</f>
        <v>0</v>
      </c>
      <c r="G333" s="142" t="n">
        <f aca="false">VLOOKUP($A333,Table,MATCH(G$4,Curves,0))</f>
        <v>3.987</v>
      </c>
      <c r="H333" s="143" t="n">
        <f aca="false">G333</f>
        <v>3.987</v>
      </c>
      <c r="I333" s="142" t="n">
        <f aca="false">VLOOKUP($A333,Table1,MATCH(I$3,Curves1,0))</f>
        <v>0</v>
      </c>
      <c r="J333" s="142" t="n">
        <f aca="false">VLOOKUP($A333,Table,MATCH(J$4,Curves,0))</f>
        <v>-0.0305</v>
      </c>
      <c r="K333" s="143" t="n">
        <f aca="false">J333</f>
        <v>-0.0305</v>
      </c>
      <c r="L333" s="144" t="n">
        <v>0</v>
      </c>
      <c r="M333" s="142" t="n">
        <f aca="false">VLOOKUP($A333,Table,MATCH(M$4,Curves,0))</f>
        <v>0.0087</v>
      </c>
      <c r="N333" s="143" t="n">
        <f aca="false">M333</f>
        <v>0.0087</v>
      </c>
      <c r="O333" s="144" t="n">
        <v>0</v>
      </c>
      <c r="P333" s="145"/>
      <c r="Q333" s="144" t="n">
        <f aca="false">M333+J333+G333</f>
        <v>3.9652</v>
      </c>
      <c r="R333" s="144" t="n">
        <f aca="false">O333+L333+I333</f>
        <v>0</v>
      </c>
      <c r="S333" s="145"/>
      <c r="T333" s="71" t="n">
        <f aca="false">A334-A333</f>
        <v>31</v>
      </c>
      <c r="U333" s="146" t="n">
        <f aca="false">CHOOSE(F$3,A334+24,A333)</f>
        <v>46868</v>
      </c>
      <c r="V333" s="71" t="n">
        <f aca="false">U333-C$3</f>
        <v>9980</v>
      </c>
      <c r="W333" s="142" t="n">
        <f aca="false">VLOOKUP($A333,Table,MATCH(W$4,Curves,0))</f>
        <v>0.058966861357273</v>
      </c>
      <c r="X333" s="147" t="n">
        <f aca="false">1/(1+CHOOSE(F$3,(W334+($K$3/10000))/2,(W333+($K$3/10000))/2))^(2*V333/365.25)</f>
        <v>0.204354140239599</v>
      </c>
      <c r="Y333" s="71" t="n">
        <f aca="false">IF(AND(mthbeg&lt;=A333,mthend&gt;=A333),1,0)</f>
        <v>0</v>
      </c>
      <c r="Z333" s="71" t="n">
        <f aca="false">T333*Y333</f>
        <v>0</v>
      </c>
      <c r="AB333" s="132" t="n">
        <f aca="false">F333*G333</f>
        <v>0</v>
      </c>
      <c r="AC333" s="132" t="n">
        <f aca="false">$F333*H333</f>
        <v>0</v>
      </c>
      <c r="AD333" s="132" t="n">
        <f aca="false">$F333*I333</f>
        <v>0</v>
      </c>
      <c r="AE333" s="132" t="n">
        <f aca="false">$F333*J333</f>
        <v>-0</v>
      </c>
      <c r="AF333" s="132" t="n">
        <f aca="false">$F333*K333</f>
        <v>-0</v>
      </c>
      <c r="AG333" s="132" t="n">
        <f aca="false">$F333*L333</f>
        <v>0</v>
      </c>
      <c r="AH333" s="132" t="n">
        <f aca="false">$F333*M333</f>
        <v>0</v>
      </c>
      <c r="AI333" s="132" t="n">
        <f aca="false">$F333*N333</f>
        <v>0</v>
      </c>
      <c r="AJ333" s="132" t="n">
        <f aca="false">F333*O333</f>
        <v>0</v>
      </c>
      <c r="AK333" s="137"/>
      <c r="AL333" s="132" t="n">
        <f aca="false">CHOOSE($G$3,AC333-AD333,AD333-AC333)</f>
        <v>0</v>
      </c>
      <c r="AM333" s="132" t="n">
        <f aca="false">CHOOSE($G$3,AF333-AG333,AG333-AF333)</f>
        <v>0</v>
      </c>
      <c r="AN333" s="132" t="n">
        <f aca="false">CHOOSE($G$3,AI333-AJ333,AJ333-AI333)</f>
        <v>0</v>
      </c>
      <c r="AO333" s="148" t="n">
        <f aca="false">SUM(AL333:AN333)</f>
        <v>0</v>
      </c>
      <c r="AQ333" s="132" t="n">
        <f aca="false">CHOOSE($G$3,AB333-AC333,AC333-AB333)</f>
        <v>0</v>
      </c>
      <c r="AR333" s="132" t="n">
        <f aca="false">CHOOSE($G$3,AE333-AF333,AF333-AE333)</f>
        <v>0</v>
      </c>
      <c r="AS333" s="132" t="n">
        <f aca="false">CHOOSE($G$3,AH333-AI333,AI333-AH333)</f>
        <v>0</v>
      </c>
      <c r="AT333" s="148" t="n">
        <f aca="false">AQ333+AR333+AS333</f>
        <v>0</v>
      </c>
      <c r="AU333" s="148"/>
      <c r="AV333" s="133" t="n">
        <f aca="false">AT333+AO333</f>
        <v>0</v>
      </c>
      <c r="AX333" s="133" t="n">
        <f aca="false">AJ333+AG333+AD333</f>
        <v>0</v>
      </c>
      <c r="AY333" s="149"/>
      <c r="AZ333" s="76" t="n">
        <f aca="false">R333*E333</f>
        <v>0</v>
      </c>
    </row>
    <row r="334" customFormat="false" ht="12" hidden="false" customHeight="true" outlineLevel="0" collapsed="false">
      <c r="A334" s="138" t="n">
        <f aca="false">EDATE(A333,1)</f>
        <v>46844</v>
      </c>
      <c r="B334" s="139" t="n">
        <f aca="false">VLOOKUP($A334,Table2,MATCH(I$3,Curves2,0))</f>
        <v>0</v>
      </c>
      <c r="C334" s="140"/>
      <c r="D334" s="141" t="n">
        <f aca="false">B334+C334</f>
        <v>0</v>
      </c>
      <c r="E334" s="126" t="n">
        <f aca="false">IF(Y334=0,0,IF(AND(Y334=1,$H$3=1),D334*T334,IF($H$3=2,D334,"N/A")))</f>
        <v>0</v>
      </c>
      <c r="F334" s="126" t="n">
        <f aca="false">E334*X334</f>
        <v>0</v>
      </c>
      <c r="G334" s="142" t="n">
        <f aca="false">VLOOKUP($A334,Table,MATCH(G$4,Curves,0))</f>
        <v>3.987</v>
      </c>
      <c r="H334" s="143" t="n">
        <f aca="false">G334</f>
        <v>3.987</v>
      </c>
      <c r="I334" s="142" t="n">
        <f aca="false">VLOOKUP($A334,Table1,MATCH(I$3,Curves1,0))</f>
        <v>0</v>
      </c>
      <c r="J334" s="142" t="n">
        <f aca="false">VLOOKUP($A334,Table,MATCH(J$4,Curves,0))</f>
        <v>-0.0305</v>
      </c>
      <c r="K334" s="143" t="n">
        <f aca="false">J334</f>
        <v>-0.0305</v>
      </c>
      <c r="L334" s="144" t="n">
        <v>0</v>
      </c>
      <c r="M334" s="142" t="n">
        <f aca="false">VLOOKUP($A334,Table,MATCH(M$4,Curves,0))</f>
        <v>0.0087</v>
      </c>
      <c r="N334" s="143" t="n">
        <f aca="false">M334</f>
        <v>0.0087</v>
      </c>
      <c r="O334" s="144" t="n">
        <v>0</v>
      </c>
      <c r="P334" s="145"/>
      <c r="Q334" s="144" t="n">
        <f aca="false">M334+J334+G334</f>
        <v>3.9652</v>
      </c>
      <c r="R334" s="144" t="n">
        <f aca="false">O334+L334+I334</f>
        <v>0</v>
      </c>
      <c r="S334" s="145"/>
      <c r="T334" s="71" t="n">
        <f aca="false">A335-A334</f>
        <v>30</v>
      </c>
      <c r="U334" s="146" t="n">
        <f aca="false">CHOOSE(F$3,A335+24,A334)</f>
        <v>46898</v>
      </c>
      <c r="V334" s="71" t="n">
        <f aca="false">U334-C$3</f>
        <v>10010</v>
      </c>
      <c r="W334" s="142" t="n">
        <f aca="false">VLOOKUP($A334,Table,MATCH(W$4,Curves,0))</f>
        <v>0.058966861357273</v>
      </c>
      <c r="X334" s="147" t="n">
        <f aca="false">1/(1+CHOOSE(F$3,(W335+($K$3/10000))/2,(W334+($K$3/10000))/2))^(2*V334/365.25)</f>
        <v>0.203381031352704</v>
      </c>
      <c r="Y334" s="71" t="n">
        <f aca="false">IF(AND(mthbeg&lt;=A334,mthend&gt;=A334),1,0)</f>
        <v>0</v>
      </c>
      <c r="Z334" s="71" t="n">
        <f aca="false">T334*Y334</f>
        <v>0</v>
      </c>
      <c r="AB334" s="132" t="n">
        <f aca="false">F334*G334</f>
        <v>0</v>
      </c>
      <c r="AC334" s="132" t="n">
        <f aca="false">$F334*H334</f>
        <v>0</v>
      </c>
      <c r="AD334" s="132" t="n">
        <f aca="false">$F334*I334</f>
        <v>0</v>
      </c>
      <c r="AE334" s="132" t="n">
        <f aca="false">$F334*J334</f>
        <v>-0</v>
      </c>
      <c r="AF334" s="132" t="n">
        <f aca="false">$F334*K334</f>
        <v>-0</v>
      </c>
      <c r="AG334" s="132" t="n">
        <f aca="false">$F334*L334</f>
        <v>0</v>
      </c>
      <c r="AH334" s="132" t="n">
        <f aca="false">$F334*M334</f>
        <v>0</v>
      </c>
      <c r="AI334" s="132" t="n">
        <f aca="false">$F334*N334</f>
        <v>0</v>
      </c>
      <c r="AJ334" s="132" t="n">
        <f aca="false">F334*O334</f>
        <v>0</v>
      </c>
      <c r="AK334" s="137"/>
      <c r="AL334" s="132" t="n">
        <f aca="false">CHOOSE($G$3,AC334-AD334,AD334-AC334)</f>
        <v>0</v>
      </c>
      <c r="AM334" s="132" t="n">
        <f aca="false">CHOOSE($G$3,AF334-AG334,AG334-AF334)</f>
        <v>0</v>
      </c>
      <c r="AN334" s="132" t="n">
        <f aca="false">CHOOSE($G$3,AI334-AJ334,AJ334-AI334)</f>
        <v>0</v>
      </c>
      <c r="AO334" s="148" t="n">
        <f aca="false">SUM(AL334:AN334)</f>
        <v>0</v>
      </c>
      <c r="AQ334" s="132" t="n">
        <f aca="false">CHOOSE($G$3,AB334-AC334,AC334-AB334)</f>
        <v>0</v>
      </c>
      <c r="AR334" s="132" t="n">
        <f aca="false">CHOOSE($G$3,AE334-AF334,AF334-AE334)</f>
        <v>0</v>
      </c>
      <c r="AS334" s="132" t="n">
        <f aca="false">CHOOSE($G$3,AH334-AI334,AI334-AH334)</f>
        <v>0</v>
      </c>
      <c r="AT334" s="148" t="n">
        <f aca="false">AQ334+AR334+AS334</f>
        <v>0</v>
      </c>
      <c r="AU334" s="148"/>
      <c r="AV334" s="133" t="n">
        <f aca="false">AT334+AO334</f>
        <v>0</v>
      </c>
      <c r="AX334" s="133" t="n">
        <f aca="false">AJ334+AG334+AD334</f>
        <v>0</v>
      </c>
      <c r="AY334" s="149"/>
      <c r="AZ334" s="76" t="n">
        <f aca="false">R334*E334</f>
        <v>0</v>
      </c>
    </row>
    <row r="335" customFormat="false" ht="12" hidden="false" customHeight="true" outlineLevel="0" collapsed="false">
      <c r="A335" s="138" t="n">
        <f aca="false">EDATE(A334,1)</f>
        <v>46874</v>
      </c>
      <c r="B335" s="139" t="n">
        <f aca="false">VLOOKUP($A335,Table2,MATCH(I$3,Curves2,0))</f>
        <v>0</v>
      </c>
      <c r="C335" s="140"/>
      <c r="D335" s="141" t="n">
        <f aca="false">B335+C335</f>
        <v>0</v>
      </c>
      <c r="E335" s="126" t="n">
        <f aca="false">IF(Y335=0,0,IF(AND(Y335=1,$H$3=1),D335*T335,IF($H$3=2,D335,"N/A")))</f>
        <v>0</v>
      </c>
      <c r="F335" s="126" t="n">
        <f aca="false">E335*X335</f>
        <v>0</v>
      </c>
      <c r="G335" s="142" t="n">
        <f aca="false">VLOOKUP($A335,Table,MATCH(G$4,Curves,0))</f>
        <v>3.987</v>
      </c>
      <c r="H335" s="143" t="n">
        <f aca="false">G335</f>
        <v>3.987</v>
      </c>
      <c r="I335" s="142" t="n">
        <f aca="false">VLOOKUP($A335,Table1,MATCH(I$3,Curves1,0))</f>
        <v>0</v>
      </c>
      <c r="J335" s="142" t="n">
        <f aca="false">VLOOKUP($A335,Table,MATCH(J$4,Curves,0))</f>
        <v>-0.0305</v>
      </c>
      <c r="K335" s="143" t="n">
        <f aca="false">J335</f>
        <v>-0.0305</v>
      </c>
      <c r="L335" s="144" t="n">
        <v>0</v>
      </c>
      <c r="M335" s="142" t="n">
        <f aca="false">VLOOKUP($A335,Table,MATCH(M$4,Curves,0))</f>
        <v>0.0087</v>
      </c>
      <c r="N335" s="143" t="n">
        <f aca="false">M335</f>
        <v>0.0087</v>
      </c>
      <c r="O335" s="144" t="n">
        <v>0</v>
      </c>
      <c r="P335" s="145"/>
      <c r="Q335" s="144" t="n">
        <f aca="false">M335+J335+G335</f>
        <v>3.9652</v>
      </c>
      <c r="R335" s="144" t="n">
        <f aca="false">O335+L335+I335</f>
        <v>0</v>
      </c>
      <c r="S335" s="145"/>
      <c r="T335" s="71" t="n">
        <f aca="false">A336-A335</f>
        <v>31</v>
      </c>
      <c r="U335" s="146" t="n">
        <f aca="false">CHOOSE(F$3,A336+24,A335)</f>
        <v>46929</v>
      </c>
      <c r="V335" s="71" t="n">
        <f aca="false">U335-C$3</f>
        <v>10041</v>
      </c>
      <c r="W335" s="142" t="n">
        <f aca="false">VLOOKUP($A335,Table,MATCH(W$4,Curves,0))</f>
        <v>0.058966861357273</v>
      </c>
      <c r="X335" s="147" t="n">
        <f aca="false">1/(1+CHOOSE(F$3,(W336+($K$3/10000))/2,(W335+($K$3/10000))/2))^(2*V335/365.25)</f>
        <v>0.202380353333494</v>
      </c>
      <c r="Y335" s="71" t="n">
        <f aca="false">IF(AND(mthbeg&lt;=A335,mthend&gt;=A335),1,0)</f>
        <v>0</v>
      </c>
      <c r="Z335" s="71" t="n">
        <f aca="false">T335*Y335</f>
        <v>0</v>
      </c>
      <c r="AB335" s="132" t="n">
        <f aca="false">F335*G335</f>
        <v>0</v>
      </c>
      <c r="AC335" s="132" t="n">
        <f aca="false">$F335*H335</f>
        <v>0</v>
      </c>
      <c r="AD335" s="132" t="n">
        <f aca="false">$F335*I335</f>
        <v>0</v>
      </c>
      <c r="AE335" s="132" t="n">
        <f aca="false">$F335*J335</f>
        <v>-0</v>
      </c>
      <c r="AF335" s="132" t="n">
        <f aca="false">$F335*K335</f>
        <v>-0</v>
      </c>
      <c r="AG335" s="132" t="n">
        <f aca="false">$F335*L335</f>
        <v>0</v>
      </c>
      <c r="AH335" s="132" t="n">
        <f aca="false">$F335*M335</f>
        <v>0</v>
      </c>
      <c r="AI335" s="132" t="n">
        <f aca="false">$F335*N335</f>
        <v>0</v>
      </c>
      <c r="AJ335" s="132" t="n">
        <f aca="false">F335*O335</f>
        <v>0</v>
      </c>
      <c r="AK335" s="137"/>
      <c r="AL335" s="132" t="n">
        <f aca="false">CHOOSE($G$3,AC335-AD335,AD335-AC335)</f>
        <v>0</v>
      </c>
      <c r="AM335" s="132" t="n">
        <f aca="false">CHOOSE($G$3,AF335-AG335,AG335-AF335)</f>
        <v>0</v>
      </c>
      <c r="AN335" s="132" t="n">
        <f aca="false">CHOOSE($G$3,AI335-AJ335,AJ335-AI335)</f>
        <v>0</v>
      </c>
      <c r="AO335" s="148" t="n">
        <f aca="false">SUM(AL335:AN335)</f>
        <v>0</v>
      </c>
      <c r="AQ335" s="132" t="n">
        <f aca="false">CHOOSE($G$3,AB335-AC335,AC335-AB335)</f>
        <v>0</v>
      </c>
      <c r="AR335" s="132" t="n">
        <f aca="false">CHOOSE($G$3,AE335-AF335,AF335-AE335)</f>
        <v>0</v>
      </c>
      <c r="AS335" s="132" t="n">
        <f aca="false">CHOOSE($G$3,AH335-AI335,AI335-AH335)</f>
        <v>0</v>
      </c>
      <c r="AT335" s="148" t="n">
        <f aca="false">AQ335+AR335+AS335</f>
        <v>0</v>
      </c>
      <c r="AU335" s="148"/>
      <c r="AV335" s="133" t="n">
        <f aca="false">AT335+AO335</f>
        <v>0</v>
      </c>
      <c r="AX335" s="133" t="n">
        <f aca="false">AJ335+AG335+AD335</f>
        <v>0</v>
      </c>
      <c r="AY335" s="149"/>
      <c r="AZ335" s="76" t="n">
        <f aca="false">R335*E335</f>
        <v>0</v>
      </c>
    </row>
    <row r="336" customFormat="false" ht="12" hidden="false" customHeight="true" outlineLevel="0" collapsed="false">
      <c r="A336" s="138" t="n">
        <f aca="false">EDATE(A335,1)</f>
        <v>46905</v>
      </c>
      <c r="B336" s="139" t="n">
        <f aca="false">VLOOKUP($A336,Table2,MATCH(I$3,Curves2,0))</f>
        <v>0</v>
      </c>
      <c r="C336" s="140"/>
      <c r="D336" s="141" t="n">
        <f aca="false">B336+C336</f>
        <v>0</v>
      </c>
      <c r="E336" s="126" t="n">
        <f aca="false">IF(Y336=0,0,IF(AND(Y336=1,$H$3=1),D336*T336,IF($H$3=2,D336,"N/A")))</f>
        <v>0</v>
      </c>
      <c r="F336" s="126" t="n">
        <f aca="false">E336*X336</f>
        <v>0</v>
      </c>
      <c r="G336" s="142" t="n">
        <f aca="false">VLOOKUP($A336,Table,MATCH(G$4,Curves,0))</f>
        <v>3.987</v>
      </c>
      <c r="H336" s="143" t="n">
        <f aca="false">G336</f>
        <v>3.987</v>
      </c>
      <c r="I336" s="142" t="n">
        <f aca="false">VLOOKUP($A336,Table1,MATCH(I$3,Curves1,0))</f>
        <v>0</v>
      </c>
      <c r="J336" s="142" t="n">
        <f aca="false">VLOOKUP($A336,Table,MATCH(J$4,Curves,0))</f>
        <v>-0.0305</v>
      </c>
      <c r="K336" s="143" t="n">
        <f aca="false">J336</f>
        <v>-0.0305</v>
      </c>
      <c r="L336" s="144" t="n">
        <v>0</v>
      </c>
      <c r="M336" s="142" t="n">
        <f aca="false">VLOOKUP($A336,Table,MATCH(M$4,Curves,0))</f>
        <v>0.0087</v>
      </c>
      <c r="N336" s="143" t="n">
        <f aca="false">M336</f>
        <v>0.0087</v>
      </c>
      <c r="O336" s="144" t="n">
        <v>0</v>
      </c>
      <c r="P336" s="145"/>
      <c r="Q336" s="144" t="n">
        <f aca="false">M336+J336+G336</f>
        <v>3.9652</v>
      </c>
      <c r="R336" s="144" t="n">
        <f aca="false">O336+L336+I336</f>
        <v>0</v>
      </c>
      <c r="S336" s="145"/>
      <c r="T336" s="71" t="n">
        <f aca="false">A337-A336</f>
        <v>30</v>
      </c>
      <c r="U336" s="146" t="n">
        <f aca="false">CHOOSE(F$3,A337+24,A336)</f>
        <v>46959</v>
      </c>
      <c r="V336" s="71" t="n">
        <f aca="false">U336-C$3</f>
        <v>10071</v>
      </c>
      <c r="W336" s="142" t="n">
        <f aca="false">VLOOKUP($A336,Table,MATCH(W$4,Curves,0))</f>
        <v>0.058966861357273</v>
      </c>
      <c r="X336" s="147" t="n">
        <f aca="false">1/(1+CHOOSE(F$3,(W337+($K$3/10000))/2,(W336+($K$3/10000))/2))^(2*V336/365.25)</f>
        <v>0.201416643373271</v>
      </c>
      <c r="Y336" s="71" t="n">
        <f aca="false">IF(AND(mthbeg&lt;=A336,mthend&gt;=A336),1,0)</f>
        <v>0</v>
      </c>
      <c r="Z336" s="71" t="n">
        <f aca="false">T336*Y336</f>
        <v>0</v>
      </c>
      <c r="AB336" s="132" t="n">
        <f aca="false">F336*G336</f>
        <v>0</v>
      </c>
      <c r="AC336" s="132" t="n">
        <f aca="false">$F336*H336</f>
        <v>0</v>
      </c>
      <c r="AD336" s="132" t="n">
        <f aca="false">$F336*I336</f>
        <v>0</v>
      </c>
      <c r="AE336" s="132" t="n">
        <f aca="false">$F336*J336</f>
        <v>-0</v>
      </c>
      <c r="AF336" s="132" t="n">
        <f aca="false">$F336*K336</f>
        <v>-0</v>
      </c>
      <c r="AG336" s="132" t="n">
        <f aca="false">$F336*L336</f>
        <v>0</v>
      </c>
      <c r="AH336" s="132" t="n">
        <f aca="false">$F336*M336</f>
        <v>0</v>
      </c>
      <c r="AI336" s="132" t="n">
        <f aca="false">$F336*N336</f>
        <v>0</v>
      </c>
      <c r="AJ336" s="132" t="n">
        <f aca="false">F336*O336</f>
        <v>0</v>
      </c>
      <c r="AK336" s="137"/>
      <c r="AL336" s="132" t="n">
        <f aca="false">CHOOSE($G$3,AC336-AD336,AD336-AC336)</f>
        <v>0</v>
      </c>
      <c r="AM336" s="132" t="n">
        <f aca="false">CHOOSE($G$3,AF336-AG336,AG336-AF336)</f>
        <v>0</v>
      </c>
      <c r="AN336" s="132" t="n">
        <f aca="false">CHOOSE($G$3,AI336-AJ336,AJ336-AI336)</f>
        <v>0</v>
      </c>
      <c r="AO336" s="148" t="n">
        <f aca="false">SUM(AL336:AN336)</f>
        <v>0</v>
      </c>
      <c r="AQ336" s="132" t="n">
        <f aca="false">CHOOSE($G$3,AB336-AC336,AC336-AB336)</f>
        <v>0</v>
      </c>
      <c r="AR336" s="132" t="n">
        <f aca="false">CHOOSE($G$3,AE336-AF336,AF336-AE336)</f>
        <v>0</v>
      </c>
      <c r="AS336" s="132" t="n">
        <f aca="false">CHOOSE($G$3,AH336-AI336,AI336-AH336)</f>
        <v>0</v>
      </c>
      <c r="AT336" s="148" t="n">
        <f aca="false">AQ336+AR336+AS336</f>
        <v>0</v>
      </c>
      <c r="AU336" s="148"/>
      <c r="AV336" s="133" t="n">
        <f aca="false">AT336+AO336</f>
        <v>0</v>
      </c>
      <c r="AX336" s="133" t="n">
        <f aca="false">AJ336+AG336+AD336</f>
        <v>0</v>
      </c>
      <c r="AY336" s="149"/>
      <c r="AZ336" s="76" t="n">
        <f aca="false">R336*E336</f>
        <v>0</v>
      </c>
    </row>
    <row r="337" customFormat="false" ht="12" hidden="false" customHeight="true" outlineLevel="0" collapsed="false">
      <c r="A337" s="138" t="n">
        <f aca="false">EDATE(A336,1)</f>
        <v>46935</v>
      </c>
      <c r="B337" s="139" t="n">
        <f aca="false">VLOOKUP($A337,Table2,MATCH(I$3,Curves2,0))</f>
        <v>0</v>
      </c>
      <c r="C337" s="140"/>
      <c r="D337" s="141" t="n">
        <f aca="false">B337+C337</f>
        <v>0</v>
      </c>
      <c r="E337" s="126" t="n">
        <f aca="false">IF(Y337=0,0,IF(AND(Y337=1,$H$3=1),D337*T337,IF($H$3=2,D337,"N/A")))</f>
        <v>0</v>
      </c>
      <c r="F337" s="126" t="n">
        <f aca="false">E337*X337</f>
        <v>0</v>
      </c>
      <c r="G337" s="142" t="n">
        <f aca="false">VLOOKUP($A337,Table,MATCH(G$4,Curves,0))</f>
        <v>3.987</v>
      </c>
      <c r="H337" s="143" t="n">
        <f aca="false">G337</f>
        <v>3.987</v>
      </c>
      <c r="I337" s="142" t="n">
        <f aca="false">VLOOKUP($A337,Table1,MATCH(I$3,Curves1,0))</f>
        <v>0</v>
      </c>
      <c r="J337" s="142" t="n">
        <f aca="false">VLOOKUP($A337,Table,MATCH(J$4,Curves,0))</f>
        <v>-0.0305</v>
      </c>
      <c r="K337" s="143" t="n">
        <f aca="false">J337</f>
        <v>-0.0305</v>
      </c>
      <c r="L337" s="144" t="n">
        <v>0</v>
      </c>
      <c r="M337" s="142" t="n">
        <f aca="false">VLOOKUP($A337,Table,MATCH(M$4,Curves,0))</f>
        <v>0.0087</v>
      </c>
      <c r="N337" s="143" t="n">
        <f aca="false">M337</f>
        <v>0.0087</v>
      </c>
      <c r="O337" s="144" t="n">
        <v>0</v>
      </c>
      <c r="P337" s="145"/>
      <c r="Q337" s="144" t="n">
        <f aca="false">M337+J337+G337</f>
        <v>3.9652</v>
      </c>
      <c r="R337" s="144" t="n">
        <f aca="false">O337+L337+I337</f>
        <v>0</v>
      </c>
      <c r="S337" s="145"/>
      <c r="T337" s="71" t="n">
        <f aca="false">A338-A337</f>
        <v>31</v>
      </c>
      <c r="U337" s="146" t="n">
        <f aca="false">CHOOSE(F$3,A338+24,A337)</f>
        <v>46990</v>
      </c>
      <c r="V337" s="71" t="n">
        <f aca="false">U337-C$3</f>
        <v>10102</v>
      </c>
      <c r="W337" s="142" t="n">
        <f aca="false">VLOOKUP($A337,Table,MATCH(W$4,Curves,0))</f>
        <v>0.058966861357273</v>
      </c>
      <c r="X337" s="147" t="n">
        <f aca="false">1/(1+CHOOSE(F$3,(W338+($K$3/10000))/2,(W337+($K$3/10000))/2))^(2*V337/365.25)</f>
        <v>0.200425630561574</v>
      </c>
      <c r="Y337" s="71" t="n">
        <f aca="false">IF(AND(mthbeg&lt;=A337,mthend&gt;=A337),1,0)</f>
        <v>0</v>
      </c>
      <c r="Z337" s="71" t="n">
        <f aca="false">T337*Y337</f>
        <v>0</v>
      </c>
      <c r="AB337" s="132" t="n">
        <f aca="false">F337*G337</f>
        <v>0</v>
      </c>
      <c r="AC337" s="132" t="n">
        <f aca="false">$F337*H337</f>
        <v>0</v>
      </c>
      <c r="AD337" s="132" t="n">
        <f aca="false">$F337*I337</f>
        <v>0</v>
      </c>
      <c r="AE337" s="132" t="n">
        <f aca="false">$F337*J337</f>
        <v>-0</v>
      </c>
      <c r="AF337" s="132" t="n">
        <f aca="false">$F337*K337</f>
        <v>-0</v>
      </c>
      <c r="AG337" s="132" t="n">
        <f aca="false">$F337*L337</f>
        <v>0</v>
      </c>
      <c r="AH337" s="132" t="n">
        <f aca="false">$F337*M337</f>
        <v>0</v>
      </c>
      <c r="AI337" s="132" t="n">
        <f aca="false">$F337*N337</f>
        <v>0</v>
      </c>
      <c r="AJ337" s="132" t="n">
        <f aca="false">F337*O337</f>
        <v>0</v>
      </c>
      <c r="AK337" s="137"/>
      <c r="AL337" s="132" t="n">
        <f aca="false">CHOOSE($G$3,AC337-AD337,AD337-AC337)</f>
        <v>0</v>
      </c>
      <c r="AM337" s="132" t="n">
        <f aca="false">CHOOSE($G$3,AF337-AG337,AG337-AF337)</f>
        <v>0</v>
      </c>
      <c r="AN337" s="132" t="n">
        <f aca="false">CHOOSE($G$3,AI337-AJ337,AJ337-AI337)</f>
        <v>0</v>
      </c>
      <c r="AO337" s="148" t="n">
        <f aca="false">SUM(AL337:AN337)</f>
        <v>0</v>
      </c>
      <c r="AQ337" s="132" t="n">
        <f aca="false">CHOOSE($G$3,AB337-AC337,AC337-AB337)</f>
        <v>0</v>
      </c>
      <c r="AR337" s="132" t="n">
        <f aca="false">CHOOSE($G$3,AE337-AF337,AF337-AE337)</f>
        <v>0</v>
      </c>
      <c r="AS337" s="132" t="n">
        <f aca="false">CHOOSE($G$3,AH337-AI337,AI337-AH337)</f>
        <v>0</v>
      </c>
      <c r="AT337" s="148" t="n">
        <f aca="false">AQ337+AR337+AS337</f>
        <v>0</v>
      </c>
      <c r="AU337" s="148"/>
      <c r="AV337" s="133" t="n">
        <f aca="false">AT337+AO337</f>
        <v>0</v>
      </c>
      <c r="AX337" s="133" t="n">
        <f aca="false">AJ337+AG337+AD337</f>
        <v>0</v>
      </c>
      <c r="AY337" s="149"/>
      <c r="AZ337" s="76" t="n">
        <f aca="false">R337*E337</f>
        <v>0</v>
      </c>
    </row>
    <row r="338" customFormat="false" ht="12" hidden="false" customHeight="true" outlineLevel="0" collapsed="false">
      <c r="A338" s="138" t="n">
        <f aca="false">EDATE(A337,1)</f>
        <v>46966</v>
      </c>
      <c r="B338" s="139" t="n">
        <f aca="false">VLOOKUP($A338,Table2,MATCH(I$3,Curves2,0))</f>
        <v>0</v>
      </c>
      <c r="C338" s="140"/>
      <c r="D338" s="141" t="n">
        <f aca="false">B338+C338</f>
        <v>0</v>
      </c>
      <c r="E338" s="126" t="n">
        <f aca="false">IF(Y338=0,0,IF(AND(Y338=1,$H$3=1),D338*T338,IF($H$3=2,D338,"N/A")))</f>
        <v>0</v>
      </c>
      <c r="F338" s="126" t="n">
        <f aca="false">E338*X338</f>
        <v>0</v>
      </c>
      <c r="G338" s="142" t="n">
        <f aca="false">VLOOKUP($A338,Table,MATCH(G$4,Curves,0))</f>
        <v>3.987</v>
      </c>
      <c r="H338" s="143" t="n">
        <f aca="false">G338</f>
        <v>3.987</v>
      </c>
      <c r="I338" s="142" t="n">
        <f aca="false">VLOOKUP($A338,Table1,MATCH(I$3,Curves1,0))</f>
        <v>0</v>
      </c>
      <c r="J338" s="142" t="n">
        <f aca="false">VLOOKUP($A338,Table,MATCH(J$4,Curves,0))</f>
        <v>-0.0305</v>
      </c>
      <c r="K338" s="143" t="n">
        <f aca="false">J338</f>
        <v>-0.0305</v>
      </c>
      <c r="L338" s="144" t="n">
        <v>0</v>
      </c>
      <c r="M338" s="142" t="n">
        <f aca="false">VLOOKUP($A338,Table,MATCH(M$4,Curves,0))</f>
        <v>0.0087</v>
      </c>
      <c r="N338" s="143" t="n">
        <f aca="false">M338</f>
        <v>0.0087</v>
      </c>
      <c r="O338" s="144" t="n">
        <v>0</v>
      </c>
      <c r="P338" s="145"/>
      <c r="Q338" s="144" t="n">
        <f aca="false">M338+J338+G338</f>
        <v>3.9652</v>
      </c>
      <c r="R338" s="144" t="n">
        <f aca="false">O338+L338+I338</f>
        <v>0</v>
      </c>
      <c r="S338" s="145"/>
      <c r="T338" s="71" t="n">
        <f aca="false">A339-A338</f>
        <v>31</v>
      </c>
      <c r="U338" s="146" t="n">
        <f aca="false">CHOOSE(F$3,A339+24,A338)</f>
        <v>47021</v>
      </c>
      <c r="V338" s="71" t="n">
        <f aca="false">U338-C$3</f>
        <v>10133</v>
      </c>
      <c r="W338" s="142" t="n">
        <f aca="false">VLOOKUP($A338,Table,MATCH(W$4,Curves,0))</f>
        <v>0.058966861357273</v>
      </c>
      <c r="X338" s="147" t="n">
        <f aca="false">1/(1+CHOOSE(F$3,(W339+($K$3/10000))/2,(W338+($K$3/10000))/2))^(2*V338/365.25)</f>
        <v>0.199439493744117</v>
      </c>
      <c r="Y338" s="71" t="n">
        <f aca="false">IF(AND(mthbeg&lt;=A338,mthend&gt;=A338),1,0)</f>
        <v>0</v>
      </c>
      <c r="Z338" s="71" t="n">
        <f aca="false">T338*Y338</f>
        <v>0</v>
      </c>
      <c r="AB338" s="132" t="n">
        <f aca="false">F338*G338</f>
        <v>0</v>
      </c>
      <c r="AC338" s="132" t="n">
        <f aca="false">$F338*H338</f>
        <v>0</v>
      </c>
      <c r="AD338" s="132" t="n">
        <f aca="false">$F338*I338</f>
        <v>0</v>
      </c>
      <c r="AE338" s="132" t="n">
        <f aca="false">$F338*J338</f>
        <v>-0</v>
      </c>
      <c r="AF338" s="132" t="n">
        <f aca="false">$F338*K338</f>
        <v>-0</v>
      </c>
      <c r="AG338" s="132" t="n">
        <f aca="false">$F338*L338</f>
        <v>0</v>
      </c>
      <c r="AH338" s="132" t="n">
        <f aca="false">$F338*M338</f>
        <v>0</v>
      </c>
      <c r="AI338" s="132" t="n">
        <f aca="false">$F338*N338</f>
        <v>0</v>
      </c>
      <c r="AJ338" s="132" t="n">
        <f aca="false">F338*O338</f>
        <v>0</v>
      </c>
      <c r="AK338" s="137"/>
      <c r="AL338" s="132" t="n">
        <f aca="false">CHOOSE($G$3,AC338-AD338,AD338-AC338)</f>
        <v>0</v>
      </c>
      <c r="AM338" s="132" t="n">
        <f aca="false">CHOOSE($G$3,AF338-AG338,AG338-AF338)</f>
        <v>0</v>
      </c>
      <c r="AN338" s="132" t="n">
        <f aca="false">CHOOSE($G$3,AI338-AJ338,AJ338-AI338)</f>
        <v>0</v>
      </c>
      <c r="AO338" s="148" t="n">
        <f aca="false">SUM(AL338:AN338)</f>
        <v>0</v>
      </c>
      <c r="AQ338" s="132" t="n">
        <f aca="false">CHOOSE($G$3,AB338-AC338,AC338-AB338)</f>
        <v>0</v>
      </c>
      <c r="AR338" s="132" t="n">
        <f aca="false">CHOOSE($G$3,AE338-AF338,AF338-AE338)</f>
        <v>0</v>
      </c>
      <c r="AS338" s="132" t="n">
        <f aca="false">CHOOSE($G$3,AH338-AI338,AI338-AH338)</f>
        <v>0</v>
      </c>
      <c r="AT338" s="148" t="n">
        <f aca="false">AQ338+AR338+AS338</f>
        <v>0</v>
      </c>
      <c r="AU338" s="148"/>
      <c r="AV338" s="133" t="n">
        <f aca="false">AT338+AO338</f>
        <v>0</v>
      </c>
      <c r="AX338" s="133" t="n">
        <f aca="false">AJ338+AG338+AD338</f>
        <v>0</v>
      </c>
      <c r="AY338" s="149"/>
      <c r="AZ338" s="76" t="n">
        <f aca="false">R338*E338</f>
        <v>0</v>
      </c>
    </row>
    <row r="339" customFormat="false" ht="12" hidden="false" customHeight="true" outlineLevel="0" collapsed="false">
      <c r="A339" s="138" t="n">
        <f aca="false">EDATE(A338,1)</f>
        <v>46997</v>
      </c>
      <c r="B339" s="139" t="n">
        <f aca="false">VLOOKUP($A339,Table2,MATCH(I$3,Curves2,0))</f>
        <v>0</v>
      </c>
      <c r="C339" s="140"/>
      <c r="D339" s="141" t="n">
        <f aca="false">B339+C339</f>
        <v>0</v>
      </c>
      <c r="E339" s="126" t="n">
        <f aca="false">IF(Y339=0,0,IF(AND(Y339=1,$H$3=1),D339*T339,IF($H$3=2,D339,"N/A")))</f>
        <v>0</v>
      </c>
      <c r="F339" s="126" t="n">
        <f aca="false">E339*X339</f>
        <v>0</v>
      </c>
      <c r="G339" s="142" t="n">
        <f aca="false">VLOOKUP($A339,Table,MATCH(G$4,Curves,0))</f>
        <v>3.987</v>
      </c>
      <c r="H339" s="143" t="n">
        <f aca="false">G339</f>
        <v>3.987</v>
      </c>
      <c r="I339" s="142" t="n">
        <f aca="false">VLOOKUP($A339,Table1,MATCH(I$3,Curves1,0))</f>
        <v>0</v>
      </c>
      <c r="J339" s="142" t="n">
        <f aca="false">VLOOKUP($A339,Table,MATCH(J$4,Curves,0))</f>
        <v>-0.0305</v>
      </c>
      <c r="K339" s="143" t="n">
        <f aca="false">J339</f>
        <v>-0.0305</v>
      </c>
      <c r="L339" s="144" t="n">
        <v>0</v>
      </c>
      <c r="M339" s="142" t="n">
        <f aca="false">VLOOKUP($A339,Table,MATCH(M$4,Curves,0))</f>
        <v>0.0087</v>
      </c>
      <c r="N339" s="143" t="n">
        <f aca="false">M339</f>
        <v>0.0087</v>
      </c>
      <c r="O339" s="144" t="n">
        <v>0</v>
      </c>
      <c r="P339" s="145"/>
      <c r="Q339" s="144" t="n">
        <f aca="false">M339+J339+G339</f>
        <v>3.9652</v>
      </c>
      <c r="R339" s="144" t="n">
        <f aca="false">O339+L339+I339</f>
        <v>0</v>
      </c>
      <c r="S339" s="145"/>
      <c r="T339" s="71" t="n">
        <f aca="false">A340-A339</f>
        <v>30</v>
      </c>
      <c r="U339" s="146" t="n">
        <f aca="false">CHOOSE(F$3,A340+24,A339)</f>
        <v>47051</v>
      </c>
      <c r="V339" s="71" t="n">
        <f aca="false">U339-C$3</f>
        <v>10163</v>
      </c>
      <c r="W339" s="142" t="n">
        <f aca="false">VLOOKUP($A339,Table,MATCH(W$4,Curves,0))</f>
        <v>0.058966861357273</v>
      </c>
      <c r="X339" s="147" t="n">
        <f aca="false">1/(1+CHOOSE(F$3,(W340+($K$3/10000))/2,(W339+($K$3/10000))/2))^(2*V339/365.25)</f>
        <v>0.198489787789871</v>
      </c>
      <c r="Y339" s="71" t="n">
        <f aca="false">IF(AND(mthbeg&lt;=A339,mthend&gt;=A339),1,0)</f>
        <v>0</v>
      </c>
      <c r="Z339" s="71" t="n">
        <f aca="false">T339*Y339</f>
        <v>0</v>
      </c>
      <c r="AB339" s="132" t="n">
        <f aca="false">F339*G339</f>
        <v>0</v>
      </c>
      <c r="AC339" s="132" t="n">
        <f aca="false">$F339*H339</f>
        <v>0</v>
      </c>
      <c r="AD339" s="132" t="n">
        <f aca="false">$F339*I339</f>
        <v>0</v>
      </c>
      <c r="AE339" s="132" t="n">
        <f aca="false">$F339*J339</f>
        <v>-0</v>
      </c>
      <c r="AF339" s="132" t="n">
        <f aca="false">$F339*K339</f>
        <v>-0</v>
      </c>
      <c r="AG339" s="132" t="n">
        <f aca="false">$F339*L339</f>
        <v>0</v>
      </c>
      <c r="AH339" s="132" t="n">
        <f aca="false">$F339*M339</f>
        <v>0</v>
      </c>
      <c r="AI339" s="132" t="n">
        <f aca="false">$F339*N339</f>
        <v>0</v>
      </c>
      <c r="AJ339" s="132" t="n">
        <f aca="false">F339*O339</f>
        <v>0</v>
      </c>
      <c r="AK339" s="137"/>
      <c r="AL339" s="132" t="n">
        <f aca="false">CHOOSE($G$3,AC339-AD339,AD339-AC339)</f>
        <v>0</v>
      </c>
      <c r="AM339" s="132" t="n">
        <f aca="false">CHOOSE($G$3,AF339-AG339,AG339-AF339)</f>
        <v>0</v>
      </c>
      <c r="AN339" s="132" t="n">
        <f aca="false">CHOOSE($G$3,AI339-AJ339,AJ339-AI339)</f>
        <v>0</v>
      </c>
      <c r="AO339" s="148" t="n">
        <f aca="false">SUM(AL339:AN339)</f>
        <v>0</v>
      </c>
      <c r="AQ339" s="132" t="n">
        <f aca="false">CHOOSE($G$3,AB339-AC339,AC339-AB339)</f>
        <v>0</v>
      </c>
      <c r="AR339" s="132" t="n">
        <f aca="false">CHOOSE($G$3,AE339-AF339,AF339-AE339)</f>
        <v>0</v>
      </c>
      <c r="AS339" s="132" t="n">
        <f aca="false">CHOOSE($G$3,AH339-AI339,AI339-AH339)</f>
        <v>0</v>
      </c>
      <c r="AT339" s="148" t="n">
        <f aca="false">AQ339+AR339+AS339</f>
        <v>0</v>
      </c>
      <c r="AU339" s="148"/>
      <c r="AV339" s="133" t="n">
        <f aca="false">AT339+AO339</f>
        <v>0</v>
      </c>
      <c r="AX339" s="133" t="n">
        <f aca="false">AJ339+AG339+AD339</f>
        <v>0</v>
      </c>
      <c r="AY339" s="149"/>
      <c r="AZ339" s="76" t="n">
        <f aca="false">R339*E339</f>
        <v>0</v>
      </c>
    </row>
    <row r="340" customFormat="false" ht="12" hidden="false" customHeight="true" outlineLevel="0" collapsed="false">
      <c r="A340" s="138" t="n">
        <f aca="false">EDATE(A339,1)</f>
        <v>47027</v>
      </c>
      <c r="B340" s="139" t="n">
        <f aca="false">VLOOKUP($A340,Table2,MATCH(I$3,Curves2,0))</f>
        <v>0</v>
      </c>
      <c r="C340" s="140"/>
      <c r="D340" s="141" t="n">
        <f aca="false">B340+C340</f>
        <v>0</v>
      </c>
      <c r="E340" s="126" t="n">
        <f aca="false">IF(Y340=0,0,IF(AND(Y340=1,$H$3=1),D340*T340,IF($H$3=2,D340,"N/A")))</f>
        <v>0</v>
      </c>
      <c r="F340" s="126" t="n">
        <f aca="false">E340*X340</f>
        <v>0</v>
      </c>
      <c r="G340" s="142" t="n">
        <f aca="false">VLOOKUP($A340,Table,MATCH(G$4,Curves,0))</f>
        <v>3.987</v>
      </c>
      <c r="H340" s="143" t="n">
        <f aca="false">G340</f>
        <v>3.987</v>
      </c>
      <c r="I340" s="142" t="n">
        <f aca="false">VLOOKUP($A340,Table1,MATCH(I$3,Curves1,0))</f>
        <v>0</v>
      </c>
      <c r="J340" s="142" t="n">
        <f aca="false">VLOOKUP($A340,Table,MATCH(J$4,Curves,0))</f>
        <v>-0.0305</v>
      </c>
      <c r="K340" s="143" t="n">
        <f aca="false">J340</f>
        <v>-0.0305</v>
      </c>
      <c r="L340" s="144" t="n">
        <v>0</v>
      </c>
      <c r="M340" s="142" t="n">
        <f aca="false">VLOOKUP($A340,Table,MATCH(M$4,Curves,0))</f>
        <v>0.0087</v>
      </c>
      <c r="N340" s="143" t="n">
        <f aca="false">M340</f>
        <v>0.0087</v>
      </c>
      <c r="O340" s="144" t="n">
        <v>0</v>
      </c>
      <c r="P340" s="145"/>
      <c r="Q340" s="144" t="n">
        <f aca="false">M340+J340+G340</f>
        <v>3.9652</v>
      </c>
      <c r="R340" s="144" t="n">
        <f aca="false">O340+L340+I340</f>
        <v>0</v>
      </c>
      <c r="S340" s="145"/>
      <c r="T340" s="71" t="n">
        <f aca="false">A341-A340</f>
        <v>31</v>
      </c>
      <c r="U340" s="146" t="n">
        <f aca="false">CHOOSE(F$3,A341+24,A340)</f>
        <v>47082</v>
      </c>
      <c r="V340" s="71" t="n">
        <f aca="false">U340-C$3</f>
        <v>10194</v>
      </c>
      <c r="W340" s="142" t="n">
        <f aca="false">VLOOKUP($A340,Table,MATCH(W$4,Curves,0))</f>
        <v>0.058966861357273</v>
      </c>
      <c r="X340" s="147" t="n">
        <f aca="false">1/(1+CHOOSE(F$3,(W341+($K$3/10000))/2,(W340+($K$3/10000))/2))^(2*V340/365.25)</f>
        <v>0.197513175731422</v>
      </c>
      <c r="Y340" s="71" t="n">
        <f aca="false">IF(AND(mthbeg&lt;=A340,mthend&gt;=A340),1,0)</f>
        <v>0</v>
      </c>
      <c r="Z340" s="71" t="n">
        <f aca="false">T340*Y340</f>
        <v>0</v>
      </c>
      <c r="AB340" s="132" t="n">
        <f aca="false">F340*G340</f>
        <v>0</v>
      </c>
      <c r="AC340" s="132" t="n">
        <f aca="false">$F340*H340</f>
        <v>0</v>
      </c>
      <c r="AD340" s="132" t="n">
        <f aca="false">$F340*I340</f>
        <v>0</v>
      </c>
      <c r="AE340" s="132" t="n">
        <f aca="false">$F340*J340</f>
        <v>-0</v>
      </c>
      <c r="AF340" s="132" t="n">
        <f aca="false">$F340*K340</f>
        <v>-0</v>
      </c>
      <c r="AG340" s="132" t="n">
        <f aca="false">$F340*L340</f>
        <v>0</v>
      </c>
      <c r="AH340" s="132" t="n">
        <f aca="false">$F340*M340</f>
        <v>0</v>
      </c>
      <c r="AI340" s="132" t="n">
        <f aca="false">$F340*N340</f>
        <v>0</v>
      </c>
      <c r="AJ340" s="132" t="n">
        <f aca="false">F340*O340</f>
        <v>0</v>
      </c>
      <c r="AK340" s="137"/>
      <c r="AL340" s="132" t="n">
        <f aca="false">CHOOSE($G$3,AC340-AD340,AD340-AC340)</f>
        <v>0</v>
      </c>
      <c r="AM340" s="132" t="n">
        <f aca="false">CHOOSE($G$3,AF340-AG340,AG340-AF340)</f>
        <v>0</v>
      </c>
      <c r="AN340" s="132" t="n">
        <f aca="false">CHOOSE($G$3,AI340-AJ340,AJ340-AI340)</f>
        <v>0</v>
      </c>
      <c r="AO340" s="148" t="n">
        <f aca="false">SUM(AL340:AN340)</f>
        <v>0</v>
      </c>
      <c r="AQ340" s="132" t="n">
        <f aca="false">CHOOSE($G$3,AB340-AC340,AC340-AB340)</f>
        <v>0</v>
      </c>
      <c r="AR340" s="132" t="n">
        <f aca="false">CHOOSE($G$3,AE340-AF340,AF340-AE340)</f>
        <v>0</v>
      </c>
      <c r="AS340" s="132" t="n">
        <f aca="false">CHOOSE($G$3,AH340-AI340,AI340-AH340)</f>
        <v>0</v>
      </c>
      <c r="AT340" s="148" t="n">
        <f aca="false">AQ340+AR340+AS340</f>
        <v>0</v>
      </c>
      <c r="AU340" s="148"/>
      <c r="AV340" s="133" t="n">
        <f aca="false">AT340+AO340</f>
        <v>0</v>
      </c>
      <c r="AX340" s="133" t="n">
        <f aca="false">AJ340+AG340+AD340</f>
        <v>0</v>
      </c>
      <c r="AY340" s="149"/>
      <c r="AZ340" s="76" t="n">
        <f aca="false">R340*E340</f>
        <v>0</v>
      </c>
    </row>
    <row r="341" customFormat="false" ht="12" hidden="false" customHeight="true" outlineLevel="0" collapsed="false">
      <c r="A341" s="138" t="n">
        <f aca="false">EDATE(A340,1)</f>
        <v>47058</v>
      </c>
      <c r="B341" s="139" t="n">
        <f aca="false">VLOOKUP($A341,Table2,MATCH(I$3,Curves2,0))</f>
        <v>0</v>
      </c>
      <c r="C341" s="140"/>
      <c r="D341" s="141" t="n">
        <f aca="false">B341+C341</f>
        <v>0</v>
      </c>
      <c r="E341" s="126" t="n">
        <f aca="false">IF(Y341=0,0,IF(AND(Y341=1,$H$3=1),D341*T341,IF($H$3=2,D341,"N/A")))</f>
        <v>0</v>
      </c>
      <c r="F341" s="126" t="n">
        <f aca="false">E341*X341</f>
        <v>0</v>
      </c>
      <c r="G341" s="142" t="n">
        <f aca="false">VLOOKUP($A341,Table,MATCH(G$4,Curves,0))</f>
        <v>3.987</v>
      </c>
      <c r="H341" s="143" t="n">
        <f aca="false">G341</f>
        <v>3.987</v>
      </c>
      <c r="I341" s="142" t="n">
        <f aca="false">VLOOKUP($A341,Table1,MATCH(I$3,Curves1,0))</f>
        <v>0</v>
      </c>
      <c r="J341" s="142" t="n">
        <f aca="false">VLOOKUP($A341,Table,MATCH(J$4,Curves,0))</f>
        <v>-0.0305</v>
      </c>
      <c r="K341" s="143" t="n">
        <f aca="false">J341</f>
        <v>-0.0305</v>
      </c>
      <c r="L341" s="144" t="n">
        <v>0</v>
      </c>
      <c r="M341" s="142" t="n">
        <f aca="false">VLOOKUP($A341,Table,MATCH(M$4,Curves,0))</f>
        <v>0.0087</v>
      </c>
      <c r="N341" s="143" t="n">
        <f aca="false">M341</f>
        <v>0.0087</v>
      </c>
      <c r="O341" s="144" t="n">
        <v>0</v>
      </c>
      <c r="P341" s="145"/>
      <c r="Q341" s="144" t="n">
        <f aca="false">M341+J341+G341</f>
        <v>3.9652</v>
      </c>
      <c r="R341" s="144" t="n">
        <f aca="false">O341+L341+I341</f>
        <v>0</v>
      </c>
      <c r="S341" s="145"/>
      <c r="T341" s="71" t="n">
        <f aca="false">A342-A341</f>
        <v>30</v>
      </c>
      <c r="U341" s="146" t="n">
        <f aca="false">CHOOSE(F$3,A342+24,A341)</f>
        <v>47112</v>
      </c>
      <c r="V341" s="71" t="n">
        <f aca="false">U341-C$3</f>
        <v>10224</v>
      </c>
      <c r="W341" s="142" t="n">
        <f aca="false">VLOOKUP($A341,Table,MATCH(W$4,Curves,0))</f>
        <v>0.058966861357273</v>
      </c>
      <c r="X341" s="147" t="n">
        <f aca="false">1/(1+CHOOSE(F$3,(W342+($K$3/10000))/2,(W341+($K$3/10000))/2))^(2*V341/365.25)</f>
        <v>0.196572642662908</v>
      </c>
      <c r="Y341" s="71" t="n">
        <f aca="false">IF(AND(mthbeg&lt;=A341,mthend&gt;=A341),1,0)</f>
        <v>0</v>
      </c>
      <c r="Z341" s="71" t="n">
        <f aca="false">T341*Y341</f>
        <v>0</v>
      </c>
      <c r="AB341" s="132" t="n">
        <f aca="false">F341*G341</f>
        <v>0</v>
      </c>
      <c r="AC341" s="132" t="n">
        <f aca="false">$F341*H341</f>
        <v>0</v>
      </c>
      <c r="AD341" s="132" t="n">
        <f aca="false">$F341*I341</f>
        <v>0</v>
      </c>
      <c r="AE341" s="132" t="n">
        <f aca="false">$F341*J341</f>
        <v>-0</v>
      </c>
      <c r="AF341" s="132" t="n">
        <f aca="false">$F341*K341</f>
        <v>-0</v>
      </c>
      <c r="AG341" s="132" t="n">
        <f aca="false">$F341*L341</f>
        <v>0</v>
      </c>
      <c r="AH341" s="132" t="n">
        <f aca="false">$F341*M341</f>
        <v>0</v>
      </c>
      <c r="AI341" s="132" t="n">
        <f aca="false">$F341*N341</f>
        <v>0</v>
      </c>
      <c r="AJ341" s="132" t="n">
        <f aca="false">F341*O341</f>
        <v>0</v>
      </c>
      <c r="AK341" s="137"/>
      <c r="AL341" s="132" t="n">
        <f aca="false">CHOOSE($G$3,AC341-AD341,AD341-AC341)</f>
        <v>0</v>
      </c>
      <c r="AM341" s="132" t="n">
        <f aca="false">CHOOSE($G$3,AF341-AG341,AG341-AF341)</f>
        <v>0</v>
      </c>
      <c r="AN341" s="132" t="n">
        <f aca="false">CHOOSE($G$3,AI341-AJ341,AJ341-AI341)</f>
        <v>0</v>
      </c>
      <c r="AO341" s="148" t="n">
        <f aca="false">SUM(AL341:AN341)</f>
        <v>0</v>
      </c>
      <c r="AQ341" s="132" t="n">
        <f aca="false">CHOOSE($G$3,AB341-AC341,AC341-AB341)</f>
        <v>0</v>
      </c>
      <c r="AR341" s="132" t="n">
        <f aca="false">CHOOSE($G$3,AE341-AF341,AF341-AE341)</f>
        <v>0</v>
      </c>
      <c r="AS341" s="132" t="n">
        <f aca="false">CHOOSE($G$3,AH341-AI341,AI341-AH341)</f>
        <v>0</v>
      </c>
      <c r="AT341" s="148" t="n">
        <f aca="false">AQ341+AR341+AS341</f>
        <v>0</v>
      </c>
      <c r="AU341" s="148"/>
      <c r="AV341" s="133" t="n">
        <f aca="false">AT341+AO341</f>
        <v>0</v>
      </c>
      <c r="AX341" s="133" t="n">
        <f aca="false">AJ341+AG341+AD341</f>
        <v>0</v>
      </c>
      <c r="AY341" s="149"/>
      <c r="AZ341" s="76" t="n">
        <f aca="false">R341*E341</f>
        <v>0</v>
      </c>
    </row>
    <row r="342" customFormat="false" ht="12" hidden="false" customHeight="true" outlineLevel="0" collapsed="false">
      <c r="A342" s="138" t="n">
        <f aca="false">EDATE(A341,1)</f>
        <v>47088</v>
      </c>
      <c r="B342" s="139" t="n">
        <f aca="false">VLOOKUP($A342,Table2,MATCH(I$3,Curves2,0))</f>
        <v>0</v>
      </c>
      <c r="C342" s="140"/>
      <c r="D342" s="141" t="n">
        <f aca="false">B342+C342</f>
        <v>0</v>
      </c>
      <c r="E342" s="126" t="n">
        <f aca="false">IF(Y342=0,0,IF(AND(Y342=1,$H$3=1),D342*T342,IF($H$3=2,D342,"N/A")))</f>
        <v>0</v>
      </c>
      <c r="F342" s="126" t="n">
        <f aca="false">E342*X342</f>
        <v>0</v>
      </c>
      <c r="G342" s="142" t="n">
        <f aca="false">VLOOKUP($A342,Table,MATCH(G$4,Curves,0))</f>
        <v>3.987</v>
      </c>
      <c r="H342" s="143" t="n">
        <f aca="false">G342</f>
        <v>3.987</v>
      </c>
      <c r="I342" s="142" t="n">
        <f aca="false">VLOOKUP($A342,Table1,MATCH(I$3,Curves1,0))</f>
        <v>0</v>
      </c>
      <c r="J342" s="142" t="n">
        <f aca="false">VLOOKUP($A342,Table,MATCH(J$4,Curves,0))</f>
        <v>-0.0305</v>
      </c>
      <c r="K342" s="143" t="n">
        <f aca="false">J342</f>
        <v>-0.0305</v>
      </c>
      <c r="L342" s="144" t="n">
        <v>0</v>
      </c>
      <c r="M342" s="142" t="n">
        <f aca="false">VLOOKUP($A342,Table,MATCH(M$4,Curves,0))</f>
        <v>0.0087</v>
      </c>
      <c r="N342" s="143" t="n">
        <f aca="false">M342</f>
        <v>0.0087</v>
      </c>
      <c r="O342" s="144" t="n">
        <v>0</v>
      </c>
      <c r="P342" s="145"/>
      <c r="Q342" s="144" t="n">
        <f aca="false">M342+J342+G342</f>
        <v>3.9652</v>
      </c>
      <c r="R342" s="144" t="n">
        <f aca="false">O342+L342+I342</f>
        <v>0</v>
      </c>
      <c r="S342" s="145"/>
      <c r="T342" s="71" t="n">
        <f aca="false">A343-A342</f>
        <v>31</v>
      </c>
      <c r="U342" s="146" t="n">
        <f aca="false">CHOOSE(F$3,A343+24,A342)</f>
        <v>47143</v>
      </c>
      <c r="V342" s="71" t="n">
        <f aca="false">U342-C$3</f>
        <v>10255</v>
      </c>
      <c r="W342" s="142" t="n">
        <f aca="false">VLOOKUP($A342,Table,MATCH(W$4,Curves,0))</f>
        <v>0.058966861357273</v>
      </c>
      <c r="X342" s="147" t="n">
        <f aca="false">1/(1+CHOOSE(F$3,(W343+($K$3/10000))/2,(W342+($K$3/10000))/2))^(2*V342/365.25)</f>
        <v>0.195605463367068</v>
      </c>
      <c r="Y342" s="71" t="n">
        <f aca="false">IF(AND(mthbeg&lt;=A342,mthend&gt;=A342),1,0)</f>
        <v>0</v>
      </c>
      <c r="Z342" s="71" t="n">
        <f aca="false">T342*Y342</f>
        <v>0</v>
      </c>
      <c r="AB342" s="132" t="n">
        <f aca="false">F342*G342</f>
        <v>0</v>
      </c>
      <c r="AC342" s="132" t="n">
        <f aca="false">$F342*H342</f>
        <v>0</v>
      </c>
      <c r="AD342" s="132" t="n">
        <f aca="false">$F342*I342</f>
        <v>0</v>
      </c>
      <c r="AE342" s="132" t="n">
        <f aca="false">$F342*J342</f>
        <v>-0</v>
      </c>
      <c r="AF342" s="132" t="n">
        <f aca="false">$F342*K342</f>
        <v>-0</v>
      </c>
      <c r="AG342" s="132" t="n">
        <f aca="false">$F342*L342</f>
        <v>0</v>
      </c>
      <c r="AH342" s="132" t="n">
        <f aca="false">$F342*M342</f>
        <v>0</v>
      </c>
      <c r="AI342" s="132" t="n">
        <f aca="false">$F342*N342</f>
        <v>0</v>
      </c>
      <c r="AJ342" s="132" t="n">
        <f aca="false">F342*O342</f>
        <v>0</v>
      </c>
      <c r="AK342" s="137"/>
      <c r="AL342" s="132" t="n">
        <f aca="false">CHOOSE($G$3,AC342-AD342,AD342-AC342)</f>
        <v>0</v>
      </c>
      <c r="AM342" s="132" t="n">
        <f aca="false">CHOOSE($G$3,AF342-AG342,AG342-AF342)</f>
        <v>0</v>
      </c>
      <c r="AN342" s="132" t="n">
        <f aca="false">CHOOSE($G$3,AI342-AJ342,AJ342-AI342)</f>
        <v>0</v>
      </c>
      <c r="AO342" s="148" t="n">
        <f aca="false">SUM(AL342:AN342)</f>
        <v>0</v>
      </c>
      <c r="AQ342" s="132" t="n">
        <f aca="false">CHOOSE($G$3,AB342-AC342,AC342-AB342)</f>
        <v>0</v>
      </c>
      <c r="AR342" s="132" t="n">
        <f aca="false">CHOOSE($G$3,AE342-AF342,AF342-AE342)</f>
        <v>0</v>
      </c>
      <c r="AS342" s="132" t="n">
        <f aca="false">CHOOSE($G$3,AH342-AI342,AI342-AH342)</f>
        <v>0</v>
      </c>
      <c r="AT342" s="148" t="n">
        <f aca="false">AQ342+AR342+AS342</f>
        <v>0</v>
      </c>
      <c r="AU342" s="148"/>
      <c r="AV342" s="133" t="n">
        <f aca="false">AT342+AO342</f>
        <v>0</v>
      </c>
      <c r="AX342" s="133" t="n">
        <f aca="false">AJ342+AG342+AD342</f>
        <v>0</v>
      </c>
      <c r="AY342" s="149"/>
      <c r="AZ342" s="76" t="n">
        <f aca="false">R342*E342</f>
        <v>0</v>
      </c>
    </row>
    <row r="343" customFormat="false" ht="12" hidden="false" customHeight="true" outlineLevel="0" collapsed="false">
      <c r="A343" s="138" t="n">
        <f aca="false">EDATE(A342,1)</f>
        <v>47119</v>
      </c>
      <c r="B343" s="139" t="n">
        <f aca="false">VLOOKUP($A343,Table2,MATCH(I$3,Curves2,0))</f>
        <v>0</v>
      </c>
      <c r="C343" s="140"/>
      <c r="D343" s="141" t="n">
        <f aca="false">B343+C343</f>
        <v>0</v>
      </c>
      <c r="E343" s="126" t="n">
        <f aca="false">IF(Y343=0,0,IF(AND(Y343=1,$H$3=1),D343*T343,IF($H$3=2,D343,"N/A")))</f>
        <v>0</v>
      </c>
      <c r="F343" s="126" t="n">
        <f aca="false">E343*X343</f>
        <v>0</v>
      </c>
      <c r="G343" s="142" t="n">
        <f aca="false">VLOOKUP($A343,Table,MATCH(G$4,Curves,0))</f>
        <v>3.987</v>
      </c>
      <c r="H343" s="143" t="n">
        <f aca="false">G343</f>
        <v>3.987</v>
      </c>
      <c r="I343" s="142" t="n">
        <f aca="false">VLOOKUP($A343,Table1,MATCH(I$3,Curves1,0))</f>
        <v>0</v>
      </c>
      <c r="J343" s="142" t="n">
        <f aca="false">VLOOKUP($A343,Table,MATCH(J$4,Curves,0))</f>
        <v>-0.0305</v>
      </c>
      <c r="K343" s="143" t="n">
        <f aca="false">J343</f>
        <v>-0.0305</v>
      </c>
      <c r="L343" s="144" t="n">
        <v>0</v>
      </c>
      <c r="M343" s="142" t="n">
        <f aca="false">VLOOKUP($A343,Table,MATCH(M$4,Curves,0))</f>
        <v>0.0087</v>
      </c>
      <c r="N343" s="143" t="n">
        <f aca="false">M343</f>
        <v>0.0087</v>
      </c>
      <c r="O343" s="144" t="n">
        <v>0</v>
      </c>
      <c r="P343" s="145"/>
      <c r="Q343" s="144" t="n">
        <f aca="false">M343+J343+G343</f>
        <v>3.9652</v>
      </c>
      <c r="R343" s="144" t="n">
        <f aca="false">O343+L343+I343</f>
        <v>0</v>
      </c>
      <c r="S343" s="145"/>
      <c r="T343" s="71" t="n">
        <f aca="false">A344-A343</f>
        <v>31</v>
      </c>
      <c r="U343" s="146" t="n">
        <f aca="false">CHOOSE(F$3,A344+24,A343)</f>
        <v>47174</v>
      </c>
      <c r="V343" s="71" t="n">
        <f aca="false">U343-C$3</f>
        <v>10286</v>
      </c>
      <c r="W343" s="142" t="n">
        <f aca="false">VLOOKUP($A343,Table,MATCH(W$4,Curves,0))</f>
        <v>0.058966861357273</v>
      </c>
      <c r="X343" s="147" t="n">
        <f aca="false">1/(1+CHOOSE(F$3,(W344+($K$3/10000))/2,(W343+($K$3/10000))/2))^(2*V343/365.25)</f>
        <v>0.194643042799491</v>
      </c>
      <c r="Y343" s="71" t="n">
        <f aca="false">IF(AND(mthbeg&lt;=A343,mthend&gt;=A343),1,0)</f>
        <v>0</v>
      </c>
      <c r="Z343" s="71" t="n">
        <f aca="false">T343*Y343</f>
        <v>0</v>
      </c>
      <c r="AB343" s="132" t="n">
        <f aca="false">F343*G343</f>
        <v>0</v>
      </c>
      <c r="AC343" s="132" t="n">
        <f aca="false">$F343*H343</f>
        <v>0</v>
      </c>
      <c r="AD343" s="132" t="n">
        <f aca="false">$F343*I343</f>
        <v>0</v>
      </c>
      <c r="AE343" s="132" t="n">
        <f aca="false">$F343*J343</f>
        <v>-0</v>
      </c>
      <c r="AF343" s="132" t="n">
        <f aca="false">$F343*K343</f>
        <v>-0</v>
      </c>
      <c r="AG343" s="132" t="n">
        <f aca="false">$F343*L343</f>
        <v>0</v>
      </c>
      <c r="AH343" s="132" t="n">
        <f aca="false">$F343*M343</f>
        <v>0</v>
      </c>
      <c r="AI343" s="132" t="n">
        <f aca="false">$F343*N343</f>
        <v>0</v>
      </c>
      <c r="AJ343" s="132" t="n">
        <f aca="false">F343*O343</f>
        <v>0</v>
      </c>
      <c r="AK343" s="137"/>
      <c r="AL343" s="132" t="n">
        <f aca="false">CHOOSE($G$3,AC343-AD343,AD343-AC343)</f>
        <v>0</v>
      </c>
      <c r="AM343" s="132" t="n">
        <f aca="false">CHOOSE($G$3,AF343-AG343,AG343-AF343)</f>
        <v>0</v>
      </c>
      <c r="AN343" s="132" t="n">
        <f aca="false">CHOOSE($G$3,AI343-AJ343,AJ343-AI343)</f>
        <v>0</v>
      </c>
      <c r="AO343" s="148" t="n">
        <f aca="false">SUM(AL343:AN343)</f>
        <v>0</v>
      </c>
      <c r="AQ343" s="132" t="n">
        <f aca="false">CHOOSE($G$3,AB343-AC343,AC343-AB343)</f>
        <v>0</v>
      </c>
      <c r="AR343" s="132" t="n">
        <f aca="false">CHOOSE($G$3,AE343-AF343,AF343-AE343)</f>
        <v>0</v>
      </c>
      <c r="AS343" s="132" t="n">
        <f aca="false">CHOOSE($G$3,AH343-AI343,AI343-AH343)</f>
        <v>0</v>
      </c>
      <c r="AT343" s="148" t="n">
        <f aca="false">AQ343+AR343+AS343</f>
        <v>0</v>
      </c>
      <c r="AU343" s="148"/>
      <c r="AV343" s="133" t="n">
        <f aca="false">AT343+AO343</f>
        <v>0</v>
      </c>
      <c r="AX343" s="133" t="n">
        <f aca="false">AJ343+AG343+AD343</f>
        <v>0</v>
      </c>
      <c r="AY343" s="149"/>
      <c r="AZ343" s="76" t="n">
        <f aca="false">R343*E343</f>
        <v>0</v>
      </c>
    </row>
    <row r="344" customFormat="false" ht="12" hidden="false" customHeight="true" outlineLevel="0" collapsed="false">
      <c r="A344" s="138" t="n">
        <f aca="false">EDATE(A343,1)</f>
        <v>47150</v>
      </c>
      <c r="B344" s="139" t="n">
        <f aca="false">VLOOKUP($A344,Table2,MATCH(I$3,Curves2,0))</f>
        <v>0</v>
      </c>
      <c r="C344" s="140"/>
      <c r="D344" s="141" t="n">
        <f aca="false">B344+C344</f>
        <v>0</v>
      </c>
      <c r="E344" s="126" t="n">
        <f aca="false">IF(Y344=0,0,IF(AND(Y344=1,$H$3=1),D344*T344,IF($H$3=2,D344,"N/A")))</f>
        <v>0</v>
      </c>
      <c r="F344" s="126" t="n">
        <f aca="false">E344*X344</f>
        <v>0</v>
      </c>
      <c r="G344" s="142" t="n">
        <f aca="false">VLOOKUP($A344,Table,MATCH(G$4,Curves,0))</f>
        <v>3.987</v>
      </c>
      <c r="H344" s="143" t="n">
        <f aca="false">G344</f>
        <v>3.987</v>
      </c>
      <c r="I344" s="142" t="n">
        <f aca="false">VLOOKUP($A344,Table1,MATCH(I$3,Curves1,0))</f>
        <v>0</v>
      </c>
      <c r="J344" s="142" t="n">
        <f aca="false">VLOOKUP($A344,Table,MATCH(J$4,Curves,0))</f>
        <v>-0.0305</v>
      </c>
      <c r="K344" s="143" t="n">
        <f aca="false">J344</f>
        <v>-0.0305</v>
      </c>
      <c r="L344" s="144" t="n">
        <v>0</v>
      </c>
      <c r="M344" s="142" t="n">
        <f aca="false">VLOOKUP($A344,Table,MATCH(M$4,Curves,0))</f>
        <v>0.0087</v>
      </c>
      <c r="N344" s="143" t="n">
        <f aca="false">M344</f>
        <v>0.0087</v>
      </c>
      <c r="O344" s="144" t="n">
        <v>0</v>
      </c>
      <c r="P344" s="145"/>
      <c r="Q344" s="144" t="n">
        <f aca="false">M344+J344+G344</f>
        <v>3.9652</v>
      </c>
      <c r="R344" s="144" t="n">
        <f aca="false">O344+L344+I344</f>
        <v>0</v>
      </c>
      <c r="S344" s="145"/>
      <c r="T344" s="71" t="n">
        <f aca="false">A345-A344</f>
        <v>28</v>
      </c>
      <c r="U344" s="146" t="n">
        <f aca="false">CHOOSE(F$3,A345+24,A344)</f>
        <v>47202</v>
      </c>
      <c r="V344" s="71" t="n">
        <f aca="false">U344-C$3</f>
        <v>10314</v>
      </c>
      <c r="W344" s="142" t="n">
        <f aca="false">VLOOKUP($A344,Table,MATCH(W$4,Curves,0))</f>
        <v>0.058966861357273</v>
      </c>
      <c r="X344" s="147" t="n">
        <f aca="false">1/(1+CHOOSE(F$3,(W345+($K$3/10000))/2,(W344+($K$3/10000))/2))^(2*V344/365.25)</f>
        <v>0.193777830456721</v>
      </c>
      <c r="Y344" s="71" t="n">
        <f aca="false">IF(AND(mthbeg&lt;=A344,mthend&gt;=A344),1,0)</f>
        <v>0</v>
      </c>
      <c r="Z344" s="71" t="n">
        <f aca="false">T344*Y344</f>
        <v>0</v>
      </c>
      <c r="AB344" s="132" t="n">
        <f aca="false">F344*G344</f>
        <v>0</v>
      </c>
      <c r="AC344" s="132" t="n">
        <f aca="false">$F344*H344</f>
        <v>0</v>
      </c>
      <c r="AD344" s="132" t="n">
        <f aca="false">$F344*I344</f>
        <v>0</v>
      </c>
      <c r="AE344" s="132" t="n">
        <f aca="false">$F344*J344</f>
        <v>-0</v>
      </c>
      <c r="AF344" s="132" t="n">
        <f aca="false">$F344*K344</f>
        <v>-0</v>
      </c>
      <c r="AG344" s="132" t="n">
        <f aca="false">$F344*L344</f>
        <v>0</v>
      </c>
      <c r="AH344" s="132" t="n">
        <f aca="false">$F344*M344</f>
        <v>0</v>
      </c>
      <c r="AI344" s="132" t="n">
        <f aca="false">$F344*N344</f>
        <v>0</v>
      </c>
      <c r="AJ344" s="132" t="n">
        <f aca="false">F344*O344</f>
        <v>0</v>
      </c>
      <c r="AK344" s="137"/>
      <c r="AL344" s="132" t="n">
        <f aca="false">CHOOSE($G$3,AC344-AD344,AD344-AC344)</f>
        <v>0</v>
      </c>
      <c r="AM344" s="132" t="n">
        <f aca="false">CHOOSE($G$3,AF344-AG344,AG344-AF344)</f>
        <v>0</v>
      </c>
      <c r="AN344" s="132" t="n">
        <f aca="false">CHOOSE($G$3,AI344-AJ344,AJ344-AI344)</f>
        <v>0</v>
      </c>
      <c r="AO344" s="148" t="n">
        <f aca="false">SUM(AL344:AN344)</f>
        <v>0</v>
      </c>
      <c r="AQ344" s="132" t="n">
        <f aca="false">CHOOSE($G$3,AB344-AC344,AC344-AB344)</f>
        <v>0</v>
      </c>
      <c r="AR344" s="132" t="n">
        <f aca="false">CHOOSE($G$3,AE344-AF344,AF344-AE344)</f>
        <v>0</v>
      </c>
      <c r="AS344" s="132" t="n">
        <f aca="false">CHOOSE($G$3,AH344-AI344,AI344-AH344)</f>
        <v>0</v>
      </c>
      <c r="AT344" s="148" t="n">
        <f aca="false">AQ344+AR344+AS344</f>
        <v>0</v>
      </c>
      <c r="AU344" s="148"/>
      <c r="AV344" s="133" t="n">
        <f aca="false">AT344+AO344</f>
        <v>0</v>
      </c>
      <c r="AX344" s="133" t="n">
        <f aca="false">AJ344+AG344+AD344</f>
        <v>0</v>
      </c>
      <c r="AY344" s="149"/>
      <c r="AZ344" s="76" t="n">
        <f aca="false">R344*E344</f>
        <v>0</v>
      </c>
    </row>
    <row r="345" customFormat="false" ht="12" hidden="false" customHeight="true" outlineLevel="0" collapsed="false">
      <c r="A345" s="138" t="n">
        <f aca="false">EDATE(A344,1)</f>
        <v>47178</v>
      </c>
      <c r="B345" s="139" t="n">
        <f aca="false">VLOOKUP($A345,Table2,MATCH(I$3,Curves2,0))</f>
        <v>0</v>
      </c>
      <c r="C345" s="140"/>
      <c r="D345" s="141" t="n">
        <f aca="false">B345+C345</f>
        <v>0</v>
      </c>
      <c r="E345" s="126" t="n">
        <f aca="false">IF(Y345=0,0,IF(AND(Y345=1,$H$3=1),D345*T345,IF($H$3=2,D345,"N/A")))</f>
        <v>0</v>
      </c>
      <c r="F345" s="126" t="n">
        <f aca="false">E345*X345</f>
        <v>0</v>
      </c>
      <c r="G345" s="142" t="n">
        <f aca="false">VLOOKUP($A345,Table,MATCH(G$4,Curves,0))</f>
        <v>3.987</v>
      </c>
      <c r="H345" s="143" t="n">
        <f aca="false">G345</f>
        <v>3.987</v>
      </c>
      <c r="I345" s="142" t="n">
        <f aca="false">VLOOKUP($A345,Table1,MATCH(I$3,Curves1,0))</f>
        <v>0</v>
      </c>
      <c r="J345" s="142" t="n">
        <f aca="false">VLOOKUP($A345,Table,MATCH(J$4,Curves,0))</f>
        <v>-0.0305</v>
      </c>
      <c r="K345" s="143" t="n">
        <f aca="false">J345</f>
        <v>-0.0305</v>
      </c>
      <c r="L345" s="144" t="n">
        <v>0</v>
      </c>
      <c r="M345" s="142" t="n">
        <f aca="false">VLOOKUP($A345,Table,MATCH(M$4,Curves,0))</f>
        <v>0.0087</v>
      </c>
      <c r="N345" s="143" t="n">
        <f aca="false">M345</f>
        <v>0.0087</v>
      </c>
      <c r="O345" s="144" t="n">
        <v>0</v>
      </c>
      <c r="P345" s="145"/>
      <c r="Q345" s="144" t="n">
        <f aca="false">M345+J345+G345</f>
        <v>3.9652</v>
      </c>
      <c r="R345" s="144" t="n">
        <f aca="false">O345+L345+I345</f>
        <v>0</v>
      </c>
      <c r="S345" s="145"/>
      <c r="T345" s="71" t="n">
        <f aca="false">A346-A345</f>
        <v>31</v>
      </c>
      <c r="U345" s="146" t="n">
        <f aca="false">CHOOSE(F$3,A346+24,A345)</f>
        <v>47233</v>
      </c>
      <c r="V345" s="71" t="n">
        <f aca="false">U345-C$3</f>
        <v>10345</v>
      </c>
      <c r="W345" s="142" t="n">
        <f aca="false">VLOOKUP($A345,Table,MATCH(W$4,Curves,0))</f>
        <v>0.058966861357273</v>
      </c>
      <c r="X345" s="147" t="n">
        <f aca="false">1/(1+CHOOSE(F$3,(W346+($K$3/10000))/2,(W345+($K$3/10000))/2))^(2*V345/365.25)</f>
        <v>0.192824402232572</v>
      </c>
      <c r="Y345" s="71" t="n">
        <f aca="false">IF(AND(mthbeg&lt;=A345,mthend&gt;=A345),1,0)</f>
        <v>0</v>
      </c>
      <c r="Z345" s="71" t="n">
        <f aca="false">T345*Y345</f>
        <v>0</v>
      </c>
      <c r="AB345" s="132" t="n">
        <f aca="false">F345*G345</f>
        <v>0</v>
      </c>
      <c r="AC345" s="132" t="n">
        <f aca="false">$F345*H345</f>
        <v>0</v>
      </c>
      <c r="AD345" s="132" t="n">
        <f aca="false">$F345*I345</f>
        <v>0</v>
      </c>
      <c r="AE345" s="132" t="n">
        <f aca="false">$F345*J345</f>
        <v>-0</v>
      </c>
      <c r="AF345" s="132" t="n">
        <f aca="false">$F345*K345</f>
        <v>-0</v>
      </c>
      <c r="AG345" s="132" t="n">
        <f aca="false">$F345*L345</f>
        <v>0</v>
      </c>
      <c r="AH345" s="132" t="n">
        <f aca="false">$F345*M345</f>
        <v>0</v>
      </c>
      <c r="AI345" s="132" t="n">
        <f aca="false">$F345*N345</f>
        <v>0</v>
      </c>
      <c r="AJ345" s="132" t="n">
        <f aca="false">F345*O345</f>
        <v>0</v>
      </c>
      <c r="AK345" s="137"/>
      <c r="AL345" s="132" t="n">
        <f aca="false">CHOOSE($G$3,AC345-AD345,AD345-AC345)</f>
        <v>0</v>
      </c>
      <c r="AM345" s="132" t="n">
        <f aca="false">CHOOSE($G$3,AF345-AG345,AG345-AF345)</f>
        <v>0</v>
      </c>
      <c r="AN345" s="132" t="n">
        <f aca="false">CHOOSE($G$3,AI345-AJ345,AJ345-AI345)</f>
        <v>0</v>
      </c>
      <c r="AO345" s="148" t="n">
        <f aca="false">SUM(AL345:AN345)</f>
        <v>0</v>
      </c>
      <c r="AQ345" s="132" t="n">
        <f aca="false">CHOOSE($G$3,AB345-AC345,AC345-AB345)</f>
        <v>0</v>
      </c>
      <c r="AR345" s="132" t="n">
        <f aca="false">CHOOSE($G$3,AE345-AF345,AF345-AE345)</f>
        <v>0</v>
      </c>
      <c r="AS345" s="132" t="n">
        <f aca="false">CHOOSE($G$3,AH345-AI345,AI345-AH345)</f>
        <v>0</v>
      </c>
      <c r="AT345" s="148" t="n">
        <f aca="false">AQ345+AR345+AS345</f>
        <v>0</v>
      </c>
      <c r="AU345" s="148"/>
      <c r="AV345" s="133" t="n">
        <f aca="false">AT345+AO345</f>
        <v>0</v>
      </c>
      <c r="AX345" s="133" t="n">
        <f aca="false">AJ345+AG345+AD345</f>
        <v>0</v>
      </c>
      <c r="AY345" s="149"/>
      <c r="AZ345" s="76" t="n">
        <f aca="false">R345*E345</f>
        <v>0</v>
      </c>
    </row>
    <row r="346" customFormat="false" ht="12" hidden="false" customHeight="true" outlineLevel="0" collapsed="false">
      <c r="A346" s="138" t="n">
        <f aca="false">EDATE(A345,1)</f>
        <v>47209</v>
      </c>
      <c r="B346" s="139" t="n">
        <f aca="false">VLOOKUP($A346,Table2,MATCH(I$3,Curves2,0))</f>
        <v>0</v>
      </c>
      <c r="C346" s="140"/>
      <c r="D346" s="141" t="n">
        <f aca="false">B346+C346</f>
        <v>0</v>
      </c>
      <c r="E346" s="126" t="n">
        <f aca="false">IF(Y346=0,0,IF(AND(Y346=1,$H$3=1),D346*T346,IF($H$3=2,D346,"N/A")))</f>
        <v>0</v>
      </c>
      <c r="F346" s="126" t="n">
        <f aca="false">E346*X346</f>
        <v>0</v>
      </c>
      <c r="G346" s="142" t="n">
        <f aca="false">VLOOKUP($A346,Table,MATCH(G$4,Curves,0))</f>
        <v>3.987</v>
      </c>
      <c r="H346" s="143" t="n">
        <f aca="false">G346</f>
        <v>3.987</v>
      </c>
      <c r="I346" s="142" t="n">
        <f aca="false">VLOOKUP($A346,Table1,MATCH(I$3,Curves1,0))</f>
        <v>0</v>
      </c>
      <c r="J346" s="142" t="n">
        <f aca="false">VLOOKUP($A346,Table,MATCH(J$4,Curves,0))</f>
        <v>-0.0305</v>
      </c>
      <c r="K346" s="143" t="n">
        <f aca="false">J346</f>
        <v>-0.0305</v>
      </c>
      <c r="L346" s="144" t="n">
        <v>0</v>
      </c>
      <c r="M346" s="142" t="n">
        <f aca="false">VLOOKUP($A346,Table,MATCH(M$4,Curves,0))</f>
        <v>0.0087</v>
      </c>
      <c r="N346" s="143" t="n">
        <f aca="false">M346</f>
        <v>0.0087</v>
      </c>
      <c r="O346" s="144" t="n">
        <v>0</v>
      </c>
      <c r="P346" s="145"/>
      <c r="Q346" s="144" t="n">
        <f aca="false">M346+J346+G346</f>
        <v>3.9652</v>
      </c>
      <c r="R346" s="144" t="n">
        <f aca="false">O346+L346+I346</f>
        <v>0</v>
      </c>
      <c r="S346" s="145"/>
      <c r="T346" s="71" t="n">
        <f aca="false">A347-A346</f>
        <v>30</v>
      </c>
      <c r="U346" s="146" t="n">
        <f aca="false">CHOOSE(F$3,A347+24,A346)</f>
        <v>47263</v>
      </c>
      <c r="V346" s="71" t="n">
        <f aca="false">U346-C$3</f>
        <v>10375</v>
      </c>
      <c r="W346" s="142" t="n">
        <f aca="false">VLOOKUP($A346,Table,MATCH(W$4,Curves,0))</f>
        <v>0.058966861357273</v>
      </c>
      <c r="X346" s="147" t="n">
        <f aca="false">1/(1+CHOOSE(F$3,(W347+($K$3/10000))/2,(W346+($K$3/10000))/2))^(2*V346/365.25)</f>
        <v>0.191906196517715</v>
      </c>
      <c r="Y346" s="71" t="n">
        <f aca="false">IF(AND(mthbeg&lt;=A346,mthend&gt;=A346),1,0)</f>
        <v>0</v>
      </c>
      <c r="Z346" s="71" t="n">
        <f aca="false">T346*Y346</f>
        <v>0</v>
      </c>
      <c r="AB346" s="132" t="n">
        <f aca="false">F346*G346</f>
        <v>0</v>
      </c>
      <c r="AC346" s="132" t="n">
        <f aca="false">$F346*H346</f>
        <v>0</v>
      </c>
      <c r="AD346" s="132" t="n">
        <f aca="false">$F346*I346</f>
        <v>0</v>
      </c>
      <c r="AE346" s="132" t="n">
        <f aca="false">$F346*J346</f>
        <v>-0</v>
      </c>
      <c r="AF346" s="132" t="n">
        <f aca="false">$F346*K346</f>
        <v>-0</v>
      </c>
      <c r="AG346" s="132" t="n">
        <f aca="false">$F346*L346</f>
        <v>0</v>
      </c>
      <c r="AH346" s="132" t="n">
        <f aca="false">$F346*M346</f>
        <v>0</v>
      </c>
      <c r="AI346" s="132" t="n">
        <f aca="false">$F346*N346</f>
        <v>0</v>
      </c>
      <c r="AJ346" s="132" t="n">
        <f aca="false">F346*O346</f>
        <v>0</v>
      </c>
      <c r="AK346" s="137"/>
      <c r="AL346" s="132" t="n">
        <f aca="false">CHOOSE($G$3,AC346-AD346,AD346-AC346)</f>
        <v>0</v>
      </c>
      <c r="AM346" s="132" t="n">
        <f aca="false">CHOOSE($G$3,AF346-AG346,AG346-AF346)</f>
        <v>0</v>
      </c>
      <c r="AN346" s="132" t="n">
        <f aca="false">CHOOSE($G$3,AI346-AJ346,AJ346-AI346)</f>
        <v>0</v>
      </c>
      <c r="AO346" s="148" t="n">
        <f aca="false">SUM(AL346:AN346)</f>
        <v>0</v>
      </c>
      <c r="AQ346" s="132" t="n">
        <f aca="false">CHOOSE($G$3,AB346-AC346,AC346-AB346)</f>
        <v>0</v>
      </c>
      <c r="AR346" s="132" t="n">
        <f aca="false">CHOOSE($G$3,AE346-AF346,AF346-AE346)</f>
        <v>0</v>
      </c>
      <c r="AS346" s="132" t="n">
        <f aca="false">CHOOSE($G$3,AH346-AI346,AI346-AH346)</f>
        <v>0</v>
      </c>
      <c r="AT346" s="148" t="n">
        <f aca="false">AQ346+AR346+AS346</f>
        <v>0</v>
      </c>
      <c r="AU346" s="148"/>
      <c r="AV346" s="133" t="n">
        <f aca="false">AT346+AO346</f>
        <v>0</v>
      </c>
      <c r="AX346" s="133" t="n">
        <f aca="false">AJ346+AG346+AD346</f>
        <v>0</v>
      </c>
      <c r="AY346" s="149"/>
      <c r="AZ346" s="76" t="n">
        <f aca="false">R346*E346</f>
        <v>0</v>
      </c>
    </row>
    <row r="347" customFormat="false" ht="12" hidden="false" customHeight="true" outlineLevel="0" collapsed="false">
      <c r="A347" s="138" t="n">
        <f aca="false">EDATE(A346,1)</f>
        <v>47239</v>
      </c>
      <c r="B347" s="139" t="n">
        <f aca="false">VLOOKUP($A347,Table2,MATCH(I$3,Curves2,0))</f>
        <v>0</v>
      </c>
      <c r="C347" s="140"/>
      <c r="D347" s="141" t="n">
        <f aca="false">B347+C347</f>
        <v>0</v>
      </c>
      <c r="E347" s="126" t="n">
        <f aca="false">IF(Y347=0,0,IF(AND(Y347=1,$H$3=1),D347*T347,IF($H$3=2,D347,"N/A")))</f>
        <v>0</v>
      </c>
      <c r="F347" s="126" t="n">
        <f aca="false">E347*X347</f>
        <v>0</v>
      </c>
      <c r="G347" s="142" t="n">
        <f aca="false">VLOOKUP($A347,Table,MATCH(G$4,Curves,0))</f>
        <v>3.987</v>
      </c>
      <c r="H347" s="143" t="n">
        <f aca="false">G347</f>
        <v>3.987</v>
      </c>
      <c r="I347" s="142" t="n">
        <f aca="false">VLOOKUP($A347,Table1,MATCH(I$3,Curves1,0))</f>
        <v>0</v>
      </c>
      <c r="J347" s="142" t="n">
        <f aca="false">VLOOKUP($A347,Table,MATCH(J$4,Curves,0))</f>
        <v>-0.0305</v>
      </c>
      <c r="K347" s="143" t="n">
        <f aca="false">J347</f>
        <v>-0.0305</v>
      </c>
      <c r="L347" s="144" t="n">
        <v>0</v>
      </c>
      <c r="M347" s="142" t="n">
        <f aca="false">VLOOKUP($A347,Table,MATCH(M$4,Curves,0))</f>
        <v>0.0087</v>
      </c>
      <c r="N347" s="143" t="n">
        <f aca="false">M347</f>
        <v>0.0087</v>
      </c>
      <c r="O347" s="144" t="n">
        <v>0</v>
      </c>
      <c r="P347" s="145"/>
      <c r="Q347" s="144" t="n">
        <f aca="false">M347+J347+G347</f>
        <v>3.9652</v>
      </c>
      <c r="R347" s="144" t="n">
        <f aca="false">O347+L347+I347</f>
        <v>0</v>
      </c>
      <c r="S347" s="145"/>
      <c r="T347" s="71" t="n">
        <f aca="false">A348-A347</f>
        <v>31</v>
      </c>
      <c r="U347" s="146" t="n">
        <f aca="false">CHOOSE(F$3,A348+24,A347)</f>
        <v>47294</v>
      </c>
      <c r="V347" s="71" t="n">
        <f aca="false">U347-C$3</f>
        <v>10406</v>
      </c>
      <c r="W347" s="142" t="n">
        <f aca="false">VLOOKUP($A347,Table,MATCH(W$4,Curves,0))</f>
        <v>0.058966861357273</v>
      </c>
      <c r="X347" s="147" t="n">
        <f aca="false">1/(1+CHOOSE(F$3,(W348+($K$3/10000))/2,(W347+($K$3/10000))/2))^(2*V347/365.25)</f>
        <v>0.190961977131432</v>
      </c>
      <c r="Y347" s="71" t="n">
        <f aca="false">IF(AND(mthbeg&lt;=A347,mthend&gt;=A347),1,0)</f>
        <v>0</v>
      </c>
      <c r="Z347" s="71" t="n">
        <f aca="false">T347*Y347</f>
        <v>0</v>
      </c>
      <c r="AB347" s="132" t="n">
        <f aca="false">F347*G347</f>
        <v>0</v>
      </c>
      <c r="AC347" s="132" t="n">
        <f aca="false">$F347*H347</f>
        <v>0</v>
      </c>
      <c r="AD347" s="132" t="n">
        <f aca="false">$F347*I347</f>
        <v>0</v>
      </c>
      <c r="AE347" s="132" t="n">
        <f aca="false">$F347*J347</f>
        <v>-0</v>
      </c>
      <c r="AF347" s="132" t="n">
        <f aca="false">$F347*K347</f>
        <v>-0</v>
      </c>
      <c r="AG347" s="132" t="n">
        <f aca="false">$F347*L347</f>
        <v>0</v>
      </c>
      <c r="AH347" s="132" t="n">
        <f aca="false">$F347*M347</f>
        <v>0</v>
      </c>
      <c r="AI347" s="132" t="n">
        <f aca="false">$F347*N347</f>
        <v>0</v>
      </c>
      <c r="AJ347" s="132" t="n">
        <f aca="false">F347*O347</f>
        <v>0</v>
      </c>
      <c r="AK347" s="137"/>
      <c r="AL347" s="132" t="n">
        <f aca="false">CHOOSE($G$3,AC347-AD347,AD347-AC347)</f>
        <v>0</v>
      </c>
      <c r="AM347" s="132" t="n">
        <f aca="false">CHOOSE($G$3,AF347-AG347,AG347-AF347)</f>
        <v>0</v>
      </c>
      <c r="AN347" s="132" t="n">
        <f aca="false">CHOOSE($G$3,AI347-AJ347,AJ347-AI347)</f>
        <v>0</v>
      </c>
      <c r="AO347" s="148" t="n">
        <f aca="false">SUM(AL347:AN347)</f>
        <v>0</v>
      </c>
      <c r="AQ347" s="132" t="n">
        <f aca="false">CHOOSE($G$3,AB347-AC347,AC347-AB347)</f>
        <v>0</v>
      </c>
      <c r="AR347" s="132" t="n">
        <f aca="false">CHOOSE($G$3,AE347-AF347,AF347-AE347)</f>
        <v>0</v>
      </c>
      <c r="AS347" s="132" t="n">
        <f aca="false">CHOOSE($G$3,AH347-AI347,AI347-AH347)</f>
        <v>0</v>
      </c>
      <c r="AT347" s="148" t="n">
        <f aca="false">AQ347+AR347+AS347</f>
        <v>0</v>
      </c>
      <c r="AU347" s="148"/>
      <c r="AV347" s="133" t="n">
        <f aca="false">AT347+AO347</f>
        <v>0</v>
      </c>
      <c r="AX347" s="133" t="n">
        <f aca="false">AJ347+AG347+AD347</f>
        <v>0</v>
      </c>
      <c r="AY347" s="149"/>
      <c r="AZ347" s="76" t="n">
        <f aca="false">R347*E347</f>
        <v>0</v>
      </c>
    </row>
    <row r="348" customFormat="false" ht="12" hidden="false" customHeight="true" outlineLevel="0" collapsed="false">
      <c r="A348" s="138" t="n">
        <f aca="false">EDATE(A347,1)</f>
        <v>47270</v>
      </c>
      <c r="B348" s="139" t="n">
        <f aca="false">VLOOKUP($A348,Table2,MATCH(I$3,Curves2,0))</f>
        <v>0</v>
      </c>
      <c r="C348" s="140"/>
      <c r="D348" s="141" t="n">
        <f aca="false">B348+C348</f>
        <v>0</v>
      </c>
      <c r="E348" s="126" t="n">
        <f aca="false">IF(Y348=0,0,IF(AND(Y348=1,$H$3=1),D348*T348,IF($H$3=2,D348,"N/A")))</f>
        <v>0</v>
      </c>
      <c r="F348" s="126" t="n">
        <f aca="false">E348*X348</f>
        <v>0</v>
      </c>
      <c r="G348" s="142" t="n">
        <f aca="false">VLOOKUP($A348,Table,MATCH(G$4,Curves,0))</f>
        <v>3.987</v>
      </c>
      <c r="H348" s="143" t="n">
        <f aca="false">G348</f>
        <v>3.987</v>
      </c>
      <c r="I348" s="142" t="n">
        <f aca="false">VLOOKUP($A348,Table1,MATCH(I$3,Curves1,0))</f>
        <v>0</v>
      </c>
      <c r="J348" s="142" t="n">
        <f aca="false">VLOOKUP($A348,Table,MATCH(J$4,Curves,0))</f>
        <v>-0.0305</v>
      </c>
      <c r="K348" s="143" t="n">
        <f aca="false">J348</f>
        <v>-0.0305</v>
      </c>
      <c r="L348" s="144" t="n">
        <v>0</v>
      </c>
      <c r="M348" s="142" t="n">
        <f aca="false">VLOOKUP($A348,Table,MATCH(M$4,Curves,0))</f>
        <v>0.0087</v>
      </c>
      <c r="N348" s="143" t="n">
        <f aca="false">M348</f>
        <v>0.0087</v>
      </c>
      <c r="O348" s="144" t="n">
        <v>0</v>
      </c>
      <c r="P348" s="145"/>
      <c r="Q348" s="144" t="n">
        <f aca="false">M348+J348+G348</f>
        <v>3.9652</v>
      </c>
      <c r="R348" s="144" t="n">
        <f aca="false">O348+L348+I348</f>
        <v>0</v>
      </c>
      <c r="S348" s="145"/>
      <c r="T348" s="71" t="n">
        <f aca="false">A349-A348</f>
        <v>30</v>
      </c>
      <c r="U348" s="146" t="n">
        <f aca="false">CHOOSE(F$3,A349+24,A348)</f>
        <v>47324</v>
      </c>
      <c r="V348" s="71" t="n">
        <f aca="false">U348-C$3</f>
        <v>10436</v>
      </c>
      <c r="W348" s="142" t="n">
        <f aca="false">VLOOKUP($A348,Table,MATCH(W$4,Curves,0))</f>
        <v>0.058966861357273</v>
      </c>
      <c r="X348" s="147" t="n">
        <f aca="false">1/(1+CHOOSE(F$3,(W349+($K$3/10000))/2,(W348+($K$3/10000))/2))^(2*V348/365.25)</f>
        <v>0.190052640052243</v>
      </c>
      <c r="Y348" s="71" t="n">
        <f aca="false">IF(AND(mthbeg&lt;=A348,mthend&gt;=A348),1,0)</f>
        <v>0</v>
      </c>
      <c r="Z348" s="71" t="n">
        <f aca="false">T348*Y348</f>
        <v>0</v>
      </c>
      <c r="AB348" s="132" t="n">
        <f aca="false">F348*G348</f>
        <v>0</v>
      </c>
      <c r="AC348" s="132" t="n">
        <f aca="false">$F348*H348</f>
        <v>0</v>
      </c>
      <c r="AD348" s="132" t="n">
        <f aca="false">$F348*I348</f>
        <v>0</v>
      </c>
      <c r="AE348" s="132" t="n">
        <f aca="false">$F348*J348</f>
        <v>-0</v>
      </c>
      <c r="AF348" s="132" t="n">
        <f aca="false">$F348*K348</f>
        <v>-0</v>
      </c>
      <c r="AG348" s="132" t="n">
        <f aca="false">$F348*L348</f>
        <v>0</v>
      </c>
      <c r="AH348" s="132" t="n">
        <f aca="false">$F348*M348</f>
        <v>0</v>
      </c>
      <c r="AI348" s="132" t="n">
        <f aca="false">$F348*N348</f>
        <v>0</v>
      </c>
      <c r="AJ348" s="132" t="n">
        <f aca="false">F348*O348</f>
        <v>0</v>
      </c>
      <c r="AK348" s="137"/>
      <c r="AL348" s="132" t="n">
        <f aca="false">CHOOSE($G$3,AC348-AD348,AD348-AC348)</f>
        <v>0</v>
      </c>
      <c r="AM348" s="132" t="n">
        <f aca="false">CHOOSE($G$3,AF348-AG348,AG348-AF348)</f>
        <v>0</v>
      </c>
      <c r="AN348" s="132" t="n">
        <f aca="false">CHOOSE($G$3,AI348-AJ348,AJ348-AI348)</f>
        <v>0</v>
      </c>
      <c r="AO348" s="148" t="n">
        <f aca="false">SUM(AL348:AN348)</f>
        <v>0</v>
      </c>
      <c r="AQ348" s="132" t="n">
        <f aca="false">CHOOSE($G$3,AB348-AC348,AC348-AB348)</f>
        <v>0</v>
      </c>
      <c r="AR348" s="132" t="n">
        <f aca="false">CHOOSE($G$3,AE348-AF348,AF348-AE348)</f>
        <v>0</v>
      </c>
      <c r="AS348" s="132" t="n">
        <f aca="false">CHOOSE($G$3,AH348-AI348,AI348-AH348)</f>
        <v>0</v>
      </c>
      <c r="AT348" s="148" t="n">
        <f aca="false">AQ348+AR348+AS348</f>
        <v>0</v>
      </c>
      <c r="AU348" s="148"/>
      <c r="AV348" s="133" t="n">
        <f aca="false">AT348+AO348</f>
        <v>0</v>
      </c>
      <c r="AX348" s="133" t="n">
        <f aca="false">AJ348+AG348+AD348</f>
        <v>0</v>
      </c>
      <c r="AY348" s="149"/>
      <c r="AZ348" s="76" t="n">
        <f aca="false">R348*E348</f>
        <v>0</v>
      </c>
    </row>
    <row r="349" customFormat="false" ht="12" hidden="false" customHeight="true" outlineLevel="0" collapsed="false">
      <c r="A349" s="138" t="n">
        <f aca="false">EDATE(A348,1)</f>
        <v>47300</v>
      </c>
      <c r="B349" s="139" t="n">
        <f aca="false">VLOOKUP($A349,Table2,MATCH(I$3,Curves2,0))</f>
        <v>0</v>
      </c>
      <c r="C349" s="140"/>
      <c r="D349" s="141" t="n">
        <f aca="false">B349+C349</f>
        <v>0</v>
      </c>
      <c r="E349" s="126" t="n">
        <f aca="false">IF(Y349=0,0,IF(AND(Y349=1,$H$3=1),D349*T349,IF($H$3=2,D349,"N/A")))</f>
        <v>0</v>
      </c>
      <c r="F349" s="126" t="n">
        <f aca="false">E349*X349</f>
        <v>0</v>
      </c>
      <c r="G349" s="142" t="n">
        <f aca="false">VLOOKUP($A349,Table,MATCH(G$4,Curves,0))</f>
        <v>3.987</v>
      </c>
      <c r="H349" s="143" t="n">
        <f aca="false">G349</f>
        <v>3.987</v>
      </c>
      <c r="I349" s="142" t="n">
        <f aca="false">VLOOKUP($A349,Table1,MATCH(I$3,Curves1,0))</f>
        <v>0</v>
      </c>
      <c r="J349" s="142" t="n">
        <f aca="false">VLOOKUP($A349,Table,MATCH(J$4,Curves,0))</f>
        <v>-0.0305</v>
      </c>
      <c r="K349" s="143" t="n">
        <f aca="false">J349</f>
        <v>-0.0305</v>
      </c>
      <c r="L349" s="144" t="n">
        <v>0</v>
      </c>
      <c r="M349" s="142" t="n">
        <f aca="false">VLOOKUP($A349,Table,MATCH(M$4,Curves,0))</f>
        <v>0.0087</v>
      </c>
      <c r="N349" s="143" t="n">
        <f aca="false">M349</f>
        <v>0.0087</v>
      </c>
      <c r="O349" s="144" t="n">
        <v>0</v>
      </c>
      <c r="P349" s="145"/>
      <c r="Q349" s="144" t="n">
        <f aca="false">M349+J349+G349</f>
        <v>3.9652</v>
      </c>
      <c r="R349" s="144" t="n">
        <f aca="false">O349+L349+I349</f>
        <v>0</v>
      </c>
      <c r="S349" s="145"/>
      <c r="T349" s="71" t="n">
        <f aca="false">A350-A349</f>
        <v>31</v>
      </c>
      <c r="U349" s="146" t="n">
        <f aca="false">CHOOSE(F$3,A350+24,A349)</f>
        <v>47355</v>
      </c>
      <c r="V349" s="71" t="n">
        <f aca="false">U349-C$3</f>
        <v>10467</v>
      </c>
      <c r="W349" s="142" t="n">
        <f aca="false">VLOOKUP($A349,Table,MATCH(W$4,Curves,0))</f>
        <v>0.058966861357273</v>
      </c>
      <c r="X349" s="147" t="n">
        <f aca="false">1/(1+CHOOSE(F$3,(W350+($K$3/10000))/2,(W349+($K$3/10000))/2))^(2*V349/365.25)</f>
        <v>0.189117540558803</v>
      </c>
      <c r="Y349" s="71" t="n">
        <f aca="false">IF(AND(mthbeg&lt;=A349,mthend&gt;=A349),1,0)</f>
        <v>0</v>
      </c>
      <c r="Z349" s="71" t="n">
        <f aca="false">T349*Y349</f>
        <v>0</v>
      </c>
      <c r="AB349" s="132" t="n">
        <f aca="false">F349*G349</f>
        <v>0</v>
      </c>
      <c r="AC349" s="132" t="n">
        <f aca="false">$F349*H349</f>
        <v>0</v>
      </c>
      <c r="AD349" s="132" t="n">
        <f aca="false">$F349*I349</f>
        <v>0</v>
      </c>
      <c r="AE349" s="132" t="n">
        <f aca="false">$F349*J349</f>
        <v>-0</v>
      </c>
      <c r="AF349" s="132" t="n">
        <f aca="false">$F349*K349</f>
        <v>-0</v>
      </c>
      <c r="AG349" s="132" t="n">
        <f aca="false">$F349*L349</f>
        <v>0</v>
      </c>
      <c r="AH349" s="132" t="n">
        <f aca="false">$F349*M349</f>
        <v>0</v>
      </c>
      <c r="AI349" s="132" t="n">
        <f aca="false">$F349*N349</f>
        <v>0</v>
      </c>
      <c r="AJ349" s="132" t="n">
        <f aca="false">F349*O349</f>
        <v>0</v>
      </c>
      <c r="AK349" s="137"/>
      <c r="AL349" s="132" t="n">
        <f aca="false">CHOOSE($G$3,AC349-AD349,AD349-AC349)</f>
        <v>0</v>
      </c>
      <c r="AM349" s="132" t="n">
        <f aca="false">CHOOSE($G$3,AF349-AG349,AG349-AF349)</f>
        <v>0</v>
      </c>
      <c r="AN349" s="132" t="n">
        <f aca="false">CHOOSE($G$3,AI349-AJ349,AJ349-AI349)</f>
        <v>0</v>
      </c>
      <c r="AO349" s="148" t="n">
        <f aca="false">SUM(AL349:AN349)</f>
        <v>0</v>
      </c>
      <c r="AQ349" s="132" t="n">
        <f aca="false">CHOOSE($G$3,AB349-AC349,AC349-AB349)</f>
        <v>0</v>
      </c>
      <c r="AR349" s="132" t="n">
        <f aca="false">CHOOSE($G$3,AE349-AF349,AF349-AE349)</f>
        <v>0</v>
      </c>
      <c r="AS349" s="132" t="n">
        <f aca="false">CHOOSE($G$3,AH349-AI349,AI349-AH349)</f>
        <v>0</v>
      </c>
      <c r="AT349" s="148" t="n">
        <f aca="false">AQ349+AR349+AS349</f>
        <v>0</v>
      </c>
      <c r="AU349" s="148"/>
      <c r="AV349" s="133" t="n">
        <f aca="false">AT349+AO349</f>
        <v>0</v>
      </c>
      <c r="AX349" s="133" t="n">
        <f aca="false">AJ349+AG349+AD349</f>
        <v>0</v>
      </c>
      <c r="AY349" s="149"/>
      <c r="AZ349" s="76" t="n">
        <f aca="false">R349*E349</f>
        <v>0</v>
      </c>
    </row>
    <row r="350" customFormat="false" ht="12" hidden="false" customHeight="true" outlineLevel="0" collapsed="false">
      <c r="A350" s="138" t="n">
        <f aca="false">EDATE(A349,1)</f>
        <v>47331</v>
      </c>
      <c r="B350" s="139" t="n">
        <f aca="false">VLOOKUP($A350,Table2,MATCH(I$3,Curves2,0))</f>
        <v>0</v>
      </c>
      <c r="C350" s="140"/>
      <c r="D350" s="141" t="n">
        <f aca="false">B350+C350</f>
        <v>0</v>
      </c>
      <c r="E350" s="126" t="n">
        <f aca="false">IF(Y350=0,0,IF(AND(Y350=1,$H$3=1),D350*T350,IF($H$3=2,D350,"N/A")))</f>
        <v>0</v>
      </c>
      <c r="F350" s="126" t="n">
        <f aca="false">E350*X350</f>
        <v>0</v>
      </c>
      <c r="G350" s="142" t="n">
        <f aca="false">VLOOKUP($A350,Table,MATCH(G$4,Curves,0))</f>
        <v>3.987</v>
      </c>
      <c r="H350" s="143" t="n">
        <f aca="false">G350</f>
        <v>3.987</v>
      </c>
      <c r="I350" s="142" t="n">
        <f aca="false">VLOOKUP($A350,Table1,MATCH(I$3,Curves1,0))</f>
        <v>0</v>
      </c>
      <c r="J350" s="142" t="n">
        <f aca="false">VLOOKUP($A350,Table,MATCH(J$4,Curves,0))</f>
        <v>-0.0305</v>
      </c>
      <c r="K350" s="143" t="n">
        <f aca="false">J350</f>
        <v>-0.0305</v>
      </c>
      <c r="L350" s="144" t="n">
        <v>0</v>
      </c>
      <c r="M350" s="142" t="n">
        <f aca="false">VLOOKUP($A350,Table,MATCH(M$4,Curves,0))</f>
        <v>0.0087</v>
      </c>
      <c r="N350" s="143" t="n">
        <f aca="false">M350</f>
        <v>0.0087</v>
      </c>
      <c r="O350" s="144" t="n">
        <v>0</v>
      </c>
      <c r="P350" s="145"/>
      <c r="Q350" s="144" t="n">
        <f aca="false">M350+J350+G350</f>
        <v>3.9652</v>
      </c>
      <c r="R350" s="144" t="n">
        <f aca="false">O350+L350+I350</f>
        <v>0</v>
      </c>
      <c r="S350" s="145"/>
      <c r="T350" s="71" t="n">
        <f aca="false">A351-A350</f>
        <v>31</v>
      </c>
      <c r="U350" s="146" t="n">
        <f aca="false">CHOOSE(F$3,A351+24,A350)</f>
        <v>47386</v>
      </c>
      <c r="V350" s="71" t="n">
        <f aca="false">U350-C$3</f>
        <v>10498</v>
      </c>
      <c r="W350" s="142" t="n">
        <f aca="false">VLOOKUP($A350,Table,MATCH(W$4,Curves,0))</f>
        <v>0.058966861357273</v>
      </c>
      <c r="X350" s="147" t="n">
        <f aca="false">1/(1+CHOOSE(F$3,(W351+($K$3/10000))/2,(W350+($K$3/10000))/2))^(2*V350/365.25)</f>
        <v>0.188187041954162</v>
      </c>
      <c r="Y350" s="71" t="n">
        <f aca="false">IF(AND(mthbeg&lt;=A350,mthend&gt;=A350),1,0)</f>
        <v>0</v>
      </c>
      <c r="Z350" s="71" t="n">
        <f aca="false">T350*Y350</f>
        <v>0</v>
      </c>
      <c r="AB350" s="132" t="n">
        <f aca="false">F350*G350</f>
        <v>0</v>
      </c>
      <c r="AC350" s="132" t="n">
        <f aca="false">$F350*H350</f>
        <v>0</v>
      </c>
      <c r="AD350" s="132" t="n">
        <f aca="false">$F350*I350</f>
        <v>0</v>
      </c>
      <c r="AE350" s="132" t="n">
        <f aca="false">$F350*J350</f>
        <v>-0</v>
      </c>
      <c r="AF350" s="132" t="n">
        <f aca="false">$F350*K350</f>
        <v>-0</v>
      </c>
      <c r="AG350" s="132" t="n">
        <f aca="false">$F350*L350</f>
        <v>0</v>
      </c>
      <c r="AH350" s="132" t="n">
        <f aca="false">$F350*M350</f>
        <v>0</v>
      </c>
      <c r="AI350" s="132" t="n">
        <f aca="false">$F350*N350</f>
        <v>0</v>
      </c>
      <c r="AJ350" s="132" t="n">
        <f aca="false">F350*O350</f>
        <v>0</v>
      </c>
      <c r="AK350" s="137"/>
      <c r="AL350" s="132" t="n">
        <f aca="false">CHOOSE($G$3,AC350-AD350,AD350-AC350)</f>
        <v>0</v>
      </c>
      <c r="AM350" s="132" t="n">
        <f aca="false">CHOOSE($G$3,AF350-AG350,AG350-AF350)</f>
        <v>0</v>
      </c>
      <c r="AN350" s="132" t="n">
        <f aca="false">CHOOSE($G$3,AI350-AJ350,AJ350-AI350)</f>
        <v>0</v>
      </c>
      <c r="AO350" s="148" t="n">
        <f aca="false">SUM(AL350:AN350)</f>
        <v>0</v>
      </c>
      <c r="AQ350" s="132" t="n">
        <f aca="false">CHOOSE($G$3,AB350-AC350,AC350-AB350)</f>
        <v>0</v>
      </c>
      <c r="AR350" s="132" t="n">
        <f aca="false">CHOOSE($G$3,AE350-AF350,AF350-AE350)</f>
        <v>0</v>
      </c>
      <c r="AS350" s="132" t="n">
        <f aca="false">CHOOSE($G$3,AH350-AI350,AI350-AH350)</f>
        <v>0</v>
      </c>
      <c r="AT350" s="148" t="n">
        <f aca="false">AQ350+AR350+AS350</f>
        <v>0</v>
      </c>
      <c r="AU350" s="148"/>
      <c r="AV350" s="133" t="n">
        <f aca="false">AT350+AO350</f>
        <v>0</v>
      </c>
      <c r="AX350" s="133" t="n">
        <f aca="false">AJ350+AG350+AD350</f>
        <v>0</v>
      </c>
      <c r="AY350" s="149"/>
      <c r="AZ350" s="76" t="n">
        <f aca="false">R350*E350</f>
        <v>0</v>
      </c>
    </row>
    <row r="351" customFormat="false" ht="12" hidden="false" customHeight="true" outlineLevel="0" collapsed="false">
      <c r="A351" s="138" t="n">
        <f aca="false">EDATE(A350,1)</f>
        <v>47362</v>
      </c>
      <c r="B351" s="139" t="n">
        <f aca="false">VLOOKUP($A351,Table2,MATCH(I$3,Curves2,0))</f>
        <v>0</v>
      </c>
      <c r="C351" s="140"/>
      <c r="D351" s="141" t="n">
        <f aca="false">B351+C351</f>
        <v>0</v>
      </c>
      <c r="E351" s="126" t="n">
        <f aca="false">IF(Y351=0,0,IF(AND(Y351=1,$H$3=1),D351*T351,IF($H$3=2,D351,"N/A")))</f>
        <v>0</v>
      </c>
      <c r="F351" s="126" t="n">
        <f aca="false">E351*X351</f>
        <v>0</v>
      </c>
      <c r="G351" s="142" t="n">
        <f aca="false">VLOOKUP($A351,Table,MATCH(G$4,Curves,0))</f>
        <v>3.987</v>
      </c>
      <c r="H351" s="143" t="n">
        <f aca="false">G351</f>
        <v>3.987</v>
      </c>
      <c r="I351" s="142" t="n">
        <f aca="false">VLOOKUP($A351,Table1,MATCH(I$3,Curves1,0))</f>
        <v>0</v>
      </c>
      <c r="J351" s="142" t="n">
        <f aca="false">VLOOKUP($A351,Table,MATCH(J$4,Curves,0))</f>
        <v>-0.0305</v>
      </c>
      <c r="K351" s="143" t="n">
        <f aca="false">J351</f>
        <v>-0.0305</v>
      </c>
      <c r="L351" s="144" t="n">
        <v>0</v>
      </c>
      <c r="M351" s="142" t="n">
        <f aca="false">VLOOKUP($A351,Table,MATCH(M$4,Curves,0))</f>
        <v>0.0087</v>
      </c>
      <c r="N351" s="143" t="n">
        <f aca="false">M351</f>
        <v>0.0087</v>
      </c>
      <c r="O351" s="144" t="n">
        <v>0</v>
      </c>
      <c r="P351" s="145"/>
      <c r="Q351" s="144" t="n">
        <f aca="false">M351+J351+G351</f>
        <v>3.9652</v>
      </c>
      <c r="R351" s="144" t="n">
        <f aca="false">O351+L351+I351</f>
        <v>0</v>
      </c>
      <c r="S351" s="145"/>
      <c r="T351" s="71" t="n">
        <f aca="false">A352-A351</f>
        <v>30</v>
      </c>
      <c r="U351" s="146" t="n">
        <f aca="false">CHOOSE(F$3,A352+24,A351)</f>
        <v>47416</v>
      </c>
      <c r="V351" s="71" t="n">
        <f aca="false">U351-C$3</f>
        <v>10528</v>
      </c>
      <c r="W351" s="142" t="n">
        <f aca="false">VLOOKUP($A351,Table,MATCH(W$4,Curves,0))</f>
        <v>0.058966861357273</v>
      </c>
      <c r="X351" s="147" t="n">
        <f aca="false">1/(1+CHOOSE(F$3,(W352+($K$3/10000))/2,(W351+($K$3/10000))/2))^(2*V351/365.25)</f>
        <v>0.187290918769628</v>
      </c>
      <c r="Y351" s="71" t="n">
        <f aca="false">IF(AND(mthbeg&lt;=A351,mthend&gt;=A351),1,0)</f>
        <v>0</v>
      </c>
      <c r="Z351" s="71" t="n">
        <f aca="false">T351*Y351</f>
        <v>0</v>
      </c>
      <c r="AB351" s="132" t="n">
        <f aca="false">F351*G351</f>
        <v>0</v>
      </c>
      <c r="AC351" s="132" t="n">
        <f aca="false">$F351*H351</f>
        <v>0</v>
      </c>
      <c r="AD351" s="132" t="n">
        <f aca="false">$F351*I351</f>
        <v>0</v>
      </c>
      <c r="AE351" s="132" t="n">
        <f aca="false">$F351*J351</f>
        <v>-0</v>
      </c>
      <c r="AF351" s="132" t="n">
        <f aca="false">$F351*K351</f>
        <v>-0</v>
      </c>
      <c r="AG351" s="132" t="n">
        <f aca="false">$F351*L351</f>
        <v>0</v>
      </c>
      <c r="AH351" s="132" t="n">
        <f aca="false">$F351*M351</f>
        <v>0</v>
      </c>
      <c r="AI351" s="132" t="n">
        <f aca="false">$F351*N351</f>
        <v>0</v>
      </c>
      <c r="AJ351" s="132" t="n">
        <f aca="false">F351*O351</f>
        <v>0</v>
      </c>
      <c r="AK351" s="137"/>
      <c r="AL351" s="132" t="n">
        <f aca="false">CHOOSE($G$3,AC351-AD351,AD351-AC351)</f>
        <v>0</v>
      </c>
      <c r="AM351" s="132" t="n">
        <f aca="false">CHOOSE($G$3,AF351-AG351,AG351-AF351)</f>
        <v>0</v>
      </c>
      <c r="AN351" s="132" t="n">
        <f aca="false">CHOOSE($G$3,AI351-AJ351,AJ351-AI351)</f>
        <v>0</v>
      </c>
      <c r="AO351" s="148" t="n">
        <f aca="false">SUM(AL351:AN351)</f>
        <v>0</v>
      </c>
      <c r="AQ351" s="132" t="n">
        <f aca="false">CHOOSE($G$3,AB351-AC351,AC351-AB351)</f>
        <v>0</v>
      </c>
      <c r="AR351" s="132" t="n">
        <f aca="false">CHOOSE($G$3,AE351-AF351,AF351-AE351)</f>
        <v>0</v>
      </c>
      <c r="AS351" s="132" t="n">
        <f aca="false">CHOOSE($G$3,AH351-AI351,AI351-AH351)</f>
        <v>0</v>
      </c>
      <c r="AT351" s="148" t="n">
        <f aca="false">AQ351+AR351+AS351</f>
        <v>0</v>
      </c>
      <c r="AU351" s="148"/>
      <c r="AV351" s="133" t="n">
        <f aca="false">AT351+AO351</f>
        <v>0</v>
      </c>
      <c r="AX351" s="133" t="n">
        <f aca="false">AJ351+AG351+AD351</f>
        <v>0</v>
      </c>
      <c r="AY351" s="149"/>
      <c r="AZ351" s="76" t="n">
        <f aca="false">R351*E351</f>
        <v>0</v>
      </c>
    </row>
    <row r="352" customFormat="false" ht="12" hidden="false" customHeight="true" outlineLevel="0" collapsed="false">
      <c r="A352" s="138" t="n">
        <f aca="false">EDATE(A351,1)</f>
        <v>47392</v>
      </c>
      <c r="B352" s="139" t="n">
        <f aca="false">VLOOKUP($A352,Table2,MATCH(I$3,Curves2,0))</f>
        <v>0</v>
      </c>
      <c r="C352" s="140"/>
      <c r="D352" s="141" t="n">
        <f aca="false">B352+C352</f>
        <v>0</v>
      </c>
      <c r="E352" s="126" t="n">
        <f aca="false">IF(Y352=0,0,IF(AND(Y352=1,$H$3=1),D352*T352,IF($H$3=2,D352,"N/A")))</f>
        <v>0</v>
      </c>
      <c r="F352" s="126" t="n">
        <f aca="false">E352*X352</f>
        <v>0</v>
      </c>
      <c r="G352" s="142" t="n">
        <f aca="false">VLOOKUP($A352,Table,MATCH(G$4,Curves,0))</f>
        <v>3.987</v>
      </c>
      <c r="H352" s="143" t="n">
        <f aca="false">G352</f>
        <v>3.987</v>
      </c>
      <c r="I352" s="142" t="n">
        <f aca="false">VLOOKUP($A352,Table1,MATCH(I$3,Curves1,0))</f>
        <v>0</v>
      </c>
      <c r="J352" s="142" t="n">
        <f aca="false">VLOOKUP($A352,Table,MATCH(J$4,Curves,0))</f>
        <v>-0.0305</v>
      </c>
      <c r="K352" s="143" t="n">
        <f aca="false">J352</f>
        <v>-0.0305</v>
      </c>
      <c r="L352" s="144" t="n">
        <v>0</v>
      </c>
      <c r="M352" s="142" t="n">
        <f aca="false">VLOOKUP($A352,Table,MATCH(M$4,Curves,0))</f>
        <v>0.0087</v>
      </c>
      <c r="N352" s="143" t="n">
        <f aca="false">M352</f>
        <v>0.0087</v>
      </c>
      <c r="O352" s="144" t="n">
        <v>0</v>
      </c>
      <c r="P352" s="145"/>
      <c r="Q352" s="144" t="n">
        <f aca="false">M352+J352+G352</f>
        <v>3.9652</v>
      </c>
      <c r="R352" s="144" t="n">
        <f aca="false">O352+L352+I352</f>
        <v>0</v>
      </c>
      <c r="S352" s="145"/>
      <c r="T352" s="71" t="n">
        <f aca="false">A353-A352</f>
        <v>31</v>
      </c>
      <c r="U352" s="146" t="n">
        <f aca="false">CHOOSE(F$3,A353+24,A352)</f>
        <v>47447</v>
      </c>
      <c r="V352" s="71" t="n">
        <f aca="false">U352-C$3</f>
        <v>10559</v>
      </c>
      <c r="W352" s="142" t="n">
        <f aca="false">VLOOKUP($A352,Table,MATCH(W$4,Curves,0))</f>
        <v>0.058966861357273</v>
      </c>
      <c r="X352" s="147" t="n">
        <f aca="false">1/(1+CHOOSE(F$3,(W353+($K$3/10000))/2,(W352+($K$3/10000))/2))^(2*V352/365.25)</f>
        <v>0.186369407533482</v>
      </c>
      <c r="Y352" s="71" t="n">
        <f aca="false">IF(AND(mthbeg&lt;=A352,mthend&gt;=A352),1,0)</f>
        <v>0</v>
      </c>
      <c r="Z352" s="71" t="n">
        <f aca="false">T352*Y352</f>
        <v>0</v>
      </c>
      <c r="AB352" s="132" t="n">
        <f aca="false">F352*G352</f>
        <v>0</v>
      </c>
      <c r="AC352" s="132" t="n">
        <f aca="false">$F352*H352</f>
        <v>0</v>
      </c>
      <c r="AD352" s="132" t="n">
        <f aca="false">$F352*I352</f>
        <v>0</v>
      </c>
      <c r="AE352" s="132" t="n">
        <f aca="false">$F352*J352</f>
        <v>-0</v>
      </c>
      <c r="AF352" s="132" t="n">
        <f aca="false">$F352*K352</f>
        <v>-0</v>
      </c>
      <c r="AG352" s="132" t="n">
        <f aca="false">$F352*L352</f>
        <v>0</v>
      </c>
      <c r="AH352" s="132" t="n">
        <f aca="false">$F352*M352</f>
        <v>0</v>
      </c>
      <c r="AI352" s="132" t="n">
        <f aca="false">$F352*N352</f>
        <v>0</v>
      </c>
      <c r="AJ352" s="132" t="n">
        <f aca="false">F352*O352</f>
        <v>0</v>
      </c>
      <c r="AK352" s="137"/>
      <c r="AL352" s="132" t="n">
        <f aca="false">CHOOSE($G$3,AC352-AD352,AD352-AC352)</f>
        <v>0</v>
      </c>
      <c r="AM352" s="132" t="n">
        <f aca="false">CHOOSE($G$3,AF352-AG352,AG352-AF352)</f>
        <v>0</v>
      </c>
      <c r="AN352" s="132" t="n">
        <f aca="false">CHOOSE($G$3,AI352-AJ352,AJ352-AI352)</f>
        <v>0</v>
      </c>
      <c r="AO352" s="148" t="n">
        <f aca="false">SUM(AL352:AN352)</f>
        <v>0</v>
      </c>
      <c r="AQ352" s="132" t="n">
        <f aca="false">CHOOSE($G$3,AB352-AC352,AC352-AB352)</f>
        <v>0</v>
      </c>
      <c r="AR352" s="132" t="n">
        <f aca="false">CHOOSE($G$3,AE352-AF352,AF352-AE352)</f>
        <v>0</v>
      </c>
      <c r="AS352" s="132" t="n">
        <f aca="false">CHOOSE($G$3,AH352-AI352,AI352-AH352)</f>
        <v>0</v>
      </c>
      <c r="AT352" s="148" t="n">
        <f aca="false">AQ352+AR352+AS352</f>
        <v>0</v>
      </c>
      <c r="AU352" s="148"/>
      <c r="AV352" s="133" t="n">
        <f aca="false">AT352+AO352</f>
        <v>0</v>
      </c>
      <c r="AX352" s="133" t="n">
        <f aca="false">AJ352+AG352+AD352</f>
        <v>0</v>
      </c>
      <c r="AY352" s="149"/>
      <c r="AZ352" s="76" t="n">
        <f aca="false">R352*E352</f>
        <v>0</v>
      </c>
    </row>
    <row r="353" customFormat="false" ht="12" hidden="false" customHeight="true" outlineLevel="0" collapsed="false">
      <c r="A353" s="138" t="n">
        <f aca="false">EDATE(A352,1)</f>
        <v>47423</v>
      </c>
      <c r="B353" s="139" t="n">
        <f aca="false">VLOOKUP($A353,Table2,MATCH(I$3,Curves2,0))</f>
        <v>0</v>
      </c>
      <c r="C353" s="140"/>
      <c r="D353" s="141" t="n">
        <f aca="false">B353+C353</f>
        <v>0</v>
      </c>
      <c r="E353" s="126" t="n">
        <f aca="false">IF(Y353=0,0,IF(AND(Y353=1,$H$3=1),D353*T353,IF($H$3=2,D353,"N/A")))</f>
        <v>0</v>
      </c>
      <c r="F353" s="126" t="n">
        <f aca="false">E353*X353</f>
        <v>0</v>
      </c>
      <c r="G353" s="142" t="n">
        <f aca="false">VLOOKUP($A353,Table,MATCH(G$4,Curves,0))</f>
        <v>3.987</v>
      </c>
      <c r="H353" s="143" t="n">
        <f aca="false">G353</f>
        <v>3.987</v>
      </c>
      <c r="I353" s="142" t="n">
        <f aca="false">VLOOKUP($A353,Table1,MATCH(I$3,Curves1,0))</f>
        <v>0</v>
      </c>
      <c r="J353" s="142" t="n">
        <f aca="false">VLOOKUP($A353,Table,MATCH(J$4,Curves,0))</f>
        <v>-0.0305</v>
      </c>
      <c r="K353" s="143" t="n">
        <f aca="false">J353</f>
        <v>-0.0305</v>
      </c>
      <c r="L353" s="144" t="n">
        <v>0</v>
      </c>
      <c r="M353" s="142" t="n">
        <f aca="false">VLOOKUP($A353,Table,MATCH(M$4,Curves,0))</f>
        <v>0.0087</v>
      </c>
      <c r="N353" s="143" t="n">
        <f aca="false">M353</f>
        <v>0.0087</v>
      </c>
      <c r="O353" s="144" t="n">
        <v>0</v>
      </c>
      <c r="P353" s="145"/>
      <c r="Q353" s="144" t="n">
        <f aca="false">M353+J353+G353</f>
        <v>3.9652</v>
      </c>
      <c r="R353" s="144" t="n">
        <f aca="false">O353+L353+I353</f>
        <v>0</v>
      </c>
      <c r="S353" s="145"/>
      <c r="T353" s="71" t="n">
        <f aca="false">A354-A353</f>
        <v>30</v>
      </c>
      <c r="U353" s="146" t="n">
        <f aca="false">CHOOSE(F$3,A354+24,A353)</f>
        <v>47477</v>
      </c>
      <c r="V353" s="71" t="n">
        <f aca="false">U353-C$3</f>
        <v>10589</v>
      </c>
      <c r="W353" s="142" t="n">
        <f aca="false">VLOOKUP($A353,Table,MATCH(W$4,Curves,0))</f>
        <v>0.058966861357273</v>
      </c>
      <c r="X353" s="147" t="n">
        <f aca="false">1/(1+CHOOSE(F$3,(W354+($K$3/10000))/2,(W353+($K$3/10000))/2))^(2*V353/365.25)</f>
        <v>0.185481939696993</v>
      </c>
      <c r="Y353" s="71" t="n">
        <f aca="false">IF(AND(mthbeg&lt;=A353,mthend&gt;=A353),1,0)</f>
        <v>0</v>
      </c>
      <c r="Z353" s="71" t="n">
        <f aca="false">T353*Y353</f>
        <v>0</v>
      </c>
      <c r="AB353" s="132" t="n">
        <f aca="false">F353*G353</f>
        <v>0</v>
      </c>
      <c r="AC353" s="132" t="n">
        <f aca="false">$F353*H353</f>
        <v>0</v>
      </c>
      <c r="AD353" s="132" t="n">
        <f aca="false">$F353*I353</f>
        <v>0</v>
      </c>
      <c r="AE353" s="132" t="n">
        <f aca="false">$F353*J353</f>
        <v>-0</v>
      </c>
      <c r="AF353" s="132" t="n">
        <f aca="false">$F353*K353</f>
        <v>-0</v>
      </c>
      <c r="AG353" s="132" t="n">
        <f aca="false">$F353*L353</f>
        <v>0</v>
      </c>
      <c r="AH353" s="132" t="n">
        <f aca="false">$F353*M353</f>
        <v>0</v>
      </c>
      <c r="AI353" s="132" t="n">
        <f aca="false">$F353*N353</f>
        <v>0</v>
      </c>
      <c r="AJ353" s="132" t="n">
        <f aca="false">F353*O353</f>
        <v>0</v>
      </c>
      <c r="AK353" s="137"/>
      <c r="AL353" s="132" t="n">
        <f aca="false">CHOOSE($G$3,AC353-AD353,AD353-AC353)</f>
        <v>0</v>
      </c>
      <c r="AM353" s="132" t="n">
        <f aca="false">CHOOSE($G$3,AF353-AG353,AG353-AF353)</f>
        <v>0</v>
      </c>
      <c r="AN353" s="132" t="n">
        <f aca="false">CHOOSE($G$3,AI353-AJ353,AJ353-AI353)</f>
        <v>0</v>
      </c>
      <c r="AO353" s="148" t="n">
        <f aca="false">SUM(AL353:AN353)</f>
        <v>0</v>
      </c>
      <c r="AQ353" s="132" t="n">
        <f aca="false">CHOOSE($G$3,AB353-AC353,AC353-AB353)</f>
        <v>0</v>
      </c>
      <c r="AR353" s="132" t="n">
        <f aca="false">CHOOSE($G$3,AE353-AF353,AF353-AE353)</f>
        <v>0</v>
      </c>
      <c r="AS353" s="132" t="n">
        <f aca="false">CHOOSE($G$3,AH353-AI353,AI353-AH353)</f>
        <v>0</v>
      </c>
      <c r="AT353" s="148" t="n">
        <f aca="false">AQ353+AR353+AS353</f>
        <v>0</v>
      </c>
      <c r="AU353" s="148"/>
      <c r="AV353" s="133" t="n">
        <f aca="false">AT353+AO353</f>
        <v>0</v>
      </c>
      <c r="AX353" s="133" t="n">
        <f aca="false">AJ353+AG353+AD353</f>
        <v>0</v>
      </c>
      <c r="AY353" s="149"/>
      <c r="AZ353" s="76" t="n">
        <f aca="false">R353*E353</f>
        <v>0</v>
      </c>
    </row>
    <row r="354" customFormat="false" ht="12" hidden="false" customHeight="true" outlineLevel="0" collapsed="false">
      <c r="A354" s="138" t="n">
        <f aca="false">EDATE(A353,1)</f>
        <v>47453</v>
      </c>
      <c r="B354" s="139" t="n">
        <f aca="false">VLOOKUP($A354,Table2,MATCH(I$3,Curves2,0))</f>
        <v>0</v>
      </c>
      <c r="C354" s="140"/>
      <c r="D354" s="141" t="n">
        <f aca="false">B354+C354</f>
        <v>0</v>
      </c>
      <c r="E354" s="126" t="n">
        <f aca="false">IF(Y354=0,0,IF(AND(Y354=1,$H$3=1),D354*T354,IF($H$3=2,D354,"N/A")))</f>
        <v>0</v>
      </c>
      <c r="F354" s="126" t="n">
        <f aca="false">E354*X354</f>
        <v>0</v>
      </c>
      <c r="G354" s="142" t="n">
        <f aca="false">VLOOKUP($A354,Table,MATCH(G$4,Curves,0))</f>
        <v>3.987</v>
      </c>
      <c r="H354" s="143" t="n">
        <f aca="false">G354</f>
        <v>3.987</v>
      </c>
      <c r="I354" s="142" t="n">
        <f aca="false">VLOOKUP($A354,Table1,MATCH(I$3,Curves1,0))</f>
        <v>0</v>
      </c>
      <c r="J354" s="142" t="n">
        <f aca="false">VLOOKUP($A354,Table,MATCH(J$4,Curves,0))</f>
        <v>-0.0305</v>
      </c>
      <c r="K354" s="143" t="n">
        <f aca="false">J354</f>
        <v>-0.0305</v>
      </c>
      <c r="L354" s="144" t="n">
        <v>0</v>
      </c>
      <c r="M354" s="142" t="n">
        <f aca="false">VLOOKUP($A354,Table,MATCH(M$4,Curves,0))</f>
        <v>0.0087</v>
      </c>
      <c r="N354" s="143" t="n">
        <f aca="false">M354</f>
        <v>0.0087</v>
      </c>
      <c r="O354" s="144" t="n">
        <v>0</v>
      </c>
      <c r="P354" s="145"/>
      <c r="Q354" s="144" t="n">
        <f aca="false">M354+J354+G354</f>
        <v>3.9652</v>
      </c>
      <c r="R354" s="144" t="n">
        <f aca="false">O354+L354+I354</f>
        <v>0</v>
      </c>
      <c r="S354" s="145"/>
      <c r="T354" s="71" t="n">
        <f aca="false">A355-A354</f>
        <v>31</v>
      </c>
      <c r="U354" s="146" t="n">
        <f aca="false">CHOOSE(F$3,A355+24,A354)</f>
        <v>47508</v>
      </c>
      <c r="V354" s="71" t="n">
        <f aca="false">U354-C$3</f>
        <v>10620</v>
      </c>
      <c r="W354" s="142" t="n">
        <f aca="false">VLOOKUP($A354,Table,MATCH(W$4,Curves,0))</f>
        <v>0.058966861357273</v>
      </c>
      <c r="X354" s="147" t="n">
        <f aca="false">1/(1+CHOOSE(F$3,(W355+($K$3/10000))/2,(W354+($K$3/10000))/2))^(2*V354/365.25)</f>
        <v>0.184569329023417</v>
      </c>
      <c r="Y354" s="71" t="n">
        <f aca="false">IF(AND(mthbeg&lt;=A354,mthend&gt;=A354),1,0)</f>
        <v>0</v>
      </c>
      <c r="Z354" s="71" t="n">
        <f aca="false">T354*Y354</f>
        <v>0</v>
      </c>
      <c r="AB354" s="132" t="n">
        <f aca="false">F354*G354</f>
        <v>0</v>
      </c>
      <c r="AC354" s="132" t="n">
        <f aca="false">$F354*H354</f>
        <v>0</v>
      </c>
      <c r="AD354" s="132" t="n">
        <f aca="false">$F354*I354</f>
        <v>0</v>
      </c>
      <c r="AE354" s="132" t="n">
        <f aca="false">$F354*J354</f>
        <v>-0</v>
      </c>
      <c r="AF354" s="132" t="n">
        <f aca="false">$F354*K354</f>
        <v>-0</v>
      </c>
      <c r="AG354" s="132" t="n">
        <f aca="false">$F354*L354</f>
        <v>0</v>
      </c>
      <c r="AH354" s="132" t="n">
        <f aca="false">$F354*M354</f>
        <v>0</v>
      </c>
      <c r="AI354" s="132" t="n">
        <f aca="false">$F354*N354</f>
        <v>0</v>
      </c>
      <c r="AJ354" s="132" t="n">
        <f aca="false">F354*O354</f>
        <v>0</v>
      </c>
      <c r="AK354" s="137"/>
      <c r="AL354" s="132" t="n">
        <f aca="false">CHOOSE($G$3,AC354-AD354,AD354-AC354)</f>
        <v>0</v>
      </c>
      <c r="AM354" s="132" t="n">
        <f aca="false">CHOOSE($G$3,AF354-AG354,AG354-AF354)</f>
        <v>0</v>
      </c>
      <c r="AN354" s="132" t="n">
        <f aca="false">CHOOSE($G$3,AI354-AJ354,AJ354-AI354)</f>
        <v>0</v>
      </c>
      <c r="AO354" s="148" t="n">
        <f aca="false">SUM(AL354:AN354)</f>
        <v>0</v>
      </c>
      <c r="AQ354" s="132" t="n">
        <f aca="false">CHOOSE($G$3,AB354-AC354,AC354-AB354)</f>
        <v>0</v>
      </c>
      <c r="AR354" s="132" t="n">
        <f aca="false">CHOOSE($G$3,AE354-AF354,AF354-AE354)</f>
        <v>0</v>
      </c>
      <c r="AS354" s="132" t="n">
        <f aca="false">CHOOSE($G$3,AH354-AI354,AI354-AH354)</f>
        <v>0</v>
      </c>
      <c r="AT354" s="148" t="n">
        <f aca="false">AQ354+AR354+AS354</f>
        <v>0</v>
      </c>
      <c r="AU354" s="148"/>
      <c r="AV354" s="133" t="n">
        <f aca="false">AT354+AO354</f>
        <v>0</v>
      </c>
      <c r="AX354" s="133" t="n">
        <f aca="false">AJ354+AG354+AD354</f>
        <v>0</v>
      </c>
      <c r="AY354" s="149"/>
      <c r="AZ354" s="76" t="n">
        <f aca="false">R354*E354</f>
        <v>0</v>
      </c>
    </row>
    <row r="355" customFormat="false" ht="12" hidden="false" customHeight="true" outlineLevel="0" collapsed="false">
      <c r="A355" s="138" t="n">
        <f aca="false">EDATE(A354,1)</f>
        <v>47484</v>
      </c>
      <c r="B355" s="139" t="n">
        <f aca="false">VLOOKUP($A355,Table2,MATCH(I$3,Curves2,0))</f>
        <v>0</v>
      </c>
      <c r="C355" s="140"/>
      <c r="D355" s="141" t="n">
        <f aca="false">B355+C355</f>
        <v>0</v>
      </c>
      <c r="E355" s="126" t="n">
        <f aca="false">IF(Y355=0,0,IF(AND(Y355=1,$H$3=1),D355*T355,IF($H$3=2,D355,"N/A")))</f>
        <v>0</v>
      </c>
      <c r="F355" s="126" t="n">
        <f aca="false">E355*X355</f>
        <v>0</v>
      </c>
      <c r="G355" s="142" t="n">
        <f aca="false">VLOOKUP($A355,Table,MATCH(G$4,Curves,0))</f>
        <v>3.987</v>
      </c>
      <c r="H355" s="143" t="n">
        <f aca="false">G355</f>
        <v>3.987</v>
      </c>
      <c r="I355" s="142" t="n">
        <f aca="false">VLOOKUP($A355,Table1,MATCH(I$3,Curves1,0))</f>
        <v>0</v>
      </c>
      <c r="J355" s="142" t="n">
        <f aca="false">VLOOKUP($A355,Table,MATCH(J$4,Curves,0))</f>
        <v>-0.0305</v>
      </c>
      <c r="K355" s="143" t="n">
        <f aca="false">J355</f>
        <v>-0.0305</v>
      </c>
      <c r="L355" s="144" t="n">
        <v>0</v>
      </c>
      <c r="M355" s="142" t="n">
        <f aca="false">VLOOKUP($A355,Table,MATCH(M$4,Curves,0))</f>
        <v>0.0087</v>
      </c>
      <c r="N355" s="143" t="n">
        <f aca="false">M355</f>
        <v>0.0087</v>
      </c>
      <c r="O355" s="144" t="n">
        <v>0</v>
      </c>
      <c r="P355" s="145"/>
      <c r="Q355" s="144" t="n">
        <f aca="false">M355+J355+G355</f>
        <v>3.9652</v>
      </c>
      <c r="R355" s="144" t="n">
        <f aca="false">O355+L355+I355</f>
        <v>0</v>
      </c>
      <c r="S355" s="145"/>
      <c r="T355" s="71" t="n">
        <f aca="false">A356-A355</f>
        <v>31</v>
      </c>
      <c r="U355" s="146" t="n">
        <f aca="false">CHOOSE(F$3,A356+24,A355)</f>
        <v>47539</v>
      </c>
      <c r="V355" s="71" t="n">
        <f aca="false">U355-C$3</f>
        <v>10651</v>
      </c>
      <c r="W355" s="142" t="n">
        <f aca="false">VLOOKUP($A355,Table,MATCH(W$4,Curves,0))</f>
        <v>0.058966861357273</v>
      </c>
      <c r="X355" s="147" t="n">
        <f aca="false">1/(1+CHOOSE(F$3,(W356+($K$3/10000))/2,(W355+($K$3/10000))/2))^(2*V355/365.25)</f>
        <v>0.183661208588853</v>
      </c>
      <c r="Y355" s="71" t="n">
        <f aca="false">IF(AND(mthbeg&lt;=A355,mthend&gt;=A355),1,0)</f>
        <v>0</v>
      </c>
      <c r="Z355" s="71" t="n">
        <f aca="false">T355*Y355</f>
        <v>0</v>
      </c>
      <c r="AB355" s="132" t="n">
        <f aca="false">F355*G355</f>
        <v>0</v>
      </c>
      <c r="AC355" s="132" t="n">
        <f aca="false">$F355*H355</f>
        <v>0</v>
      </c>
      <c r="AD355" s="132" t="n">
        <f aca="false">$F355*I355</f>
        <v>0</v>
      </c>
      <c r="AE355" s="132" t="n">
        <f aca="false">$F355*J355</f>
        <v>-0</v>
      </c>
      <c r="AF355" s="132" t="n">
        <f aca="false">$F355*K355</f>
        <v>-0</v>
      </c>
      <c r="AG355" s="132" t="n">
        <f aca="false">$F355*L355</f>
        <v>0</v>
      </c>
      <c r="AH355" s="132" t="n">
        <f aca="false">$F355*M355</f>
        <v>0</v>
      </c>
      <c r="AI355" s="132" t="n">
        <f aca="false">$F355*N355</f>
        <v>0</v>
      </c>
      <c r="AJ355" s="132" t="n">
        <f aca="false">F355*O355</f>
        <v>0</v>
      </c>
      <c r="AK355" s="137"/>
      <c r="AL355" s="132" t="n">
        <f aca="false">CHOOSE($G$3,AC355-AD355,AD355-AC355)</f>
        <v>0</v>
      </c>
      <c r="AM355" s="132" t="n">
        <f aca="false">CHOOSE($G$3,AF355-AG355,AG355-AF355)</f>
        <v>0</v>
      </c>
      <c r="AN355" s="132" t="n">
        <f aca="false">CHOOSE($G$3,AI355-AJ355,AJ355-AI355)</f>
        <v>0</v>
      </c>
      <c r="AO355" s="148" t="n">
        <f aca="false">SUM(AL355:AN355)</f>
        <v>0</v>
      </c>
      <c r="AQ355" s="132" t="n">
        <f aca="false">CHOOSE($G$3,AB355-AC355,AC355-AB355)</f>
        <v>0</v>
      </c>
      <c r="AR355" s="132" t="n">
        <f aca="false">CHOOSE($G$3,AE355-AF355,AF355-AE355)</f>
        <v>0</v>
      </c>
      <c r="AS355" s="132" t="n">
        <f aca="false">CHOOSE($G$3,AH355-AI355,AI355-AH355)</f>
        <v>0</v>
      </c>
      <c r="AT355" s="148" t="n">
        <f aca="false">AQ355+AR355+AS355</f>
        <v>0</v>
      </c>
      <c r="AU355" s="148"/>
      <c r="AV355" s="133" t="n">
        <f aca="false">AT355+AO355</f>
        <v>0</v>
      </c>
      <c r="AX355" s="133" t="n">
        <f aca="false">AJ355+AG355+AD355</f>
        <v>0</v>
      </c>
      <c r="AY355" s="149"/>
      <c r="AZ355" s="76" t="n">
        <f aca="false">R355*E355</f>
        <v>0</v>
      </c>
    </row>
    <row r="356" customFormat="false" ht="12" hidden="false" customHeight="true" outlineLevel="0" collapsed="false">
      <c r="A356" s="138" t="n">
        <f aca="false">EDATE(A355,1)</f>
        <v>47515</v>
      </c>
      <c r="B356" s="139" t="n">
        <f aca="false">VLOOKUP($A356,Table2,MATCH(I$3,Curves2,0))</f>
        <v>0</v>
      </c>
      <c r="C356" s="140"/>
      <c r="D356" s="141" t="n">
        <f aca="false">B356+C356</f>
        <v>0</v>
      </c>
      <c r="E356" s="126" t="n">
        <f aca="false">IF(Y356=0,0,IF(AND(Y356=1,$H$3=1),D356*T356,IF($H$3=2,D356,"N/A")))</f>
        <v>0</v>
      </c>
      <c r="F356" s="126" t="n">
        <f aca="false">E356*X356</f>
        <v>0</v>
      </c>
      <c r="G356" s="142" t="n">
        <f aca="false">VLOOKUP($A356,Table,MATCH(G$4,Curves,0))</f>
        <v>3.987</v>
      </c>
      <c r="H356" s="143" t="n">
        <f aca="false">G356</f>
        <v>3.987</v>
      </c>
      <c r="I356" s="142" t="n">
        <f aca="false">VLOOKUP($A356,Table1,MATCH(I$3,Curves1,0))</f>
        <v>0</v>
      </c>
      <c r="J356" s="142" t="n">
        <f aca="false">VLOOKUP($A356,Table,MATCH(J$4,Curves,0))</f>
        <v>-0.0305</v>
      </c>
      <c r="K356" s="143" t="n">
        <f aca="false">J356</f>
        <v>-0.0305</v>
      </c>
      <c r="L356" s="144" t="n">
        <v>0</v>
      </c>
      <c r="M356" s="142" t="n">
        <f aca="false">VLOOKUP($A356,Table,MATCH(M$4,Curves,0))</f>
        <v>0.0087</v>
      </c>
      <c r="N356" s="143" t="n">
        <f aca="false">M356</f>
        <v>0.0087</v>
      </c>
      <c r="O356" s="144" t="n">
        <v>0</v>
      </c>
      <c r="P356" s="145"/>
      <c r="Q356" s="144" t="n">
        <f aca="false">M356+J356+G356</f>
        <v>3.9652</v>
      </c>
      <c r="R356" s="144" t="n">
        <f aca="false">O356+L356+I356</f>
        <v>0</v>
      </c>
      <c r="S356" s="145"/>
      <c r="T356" s="71" t="n">
        <f aca="false">A357-A356</f>
        <v>28</v>
      </c>
      <c r="U356" s="146" t="n">
        <f aca="false">CHOOSE(F$3,A357+24,A356)</f>
        <v>47567</v>
      </c>
      <c r="V356" s="71" t="n">
        <f aca="false">U356-C$3</f>
        <v>10679</v>
      </c>
      <c r="W356" s="142" t="n">
        <f aca="false">VLOOKUP($A356,Table,MATCH(W$4,Curves,0))</f>
        <v>0.058966861357273</v>
      </c>
      <c r="X356" s="147" t="n">
        <f aca="false">1/(1+CHOOSE(F$3,(W357+($K$3/10000))/2,(W356+($K$3/10000))/2))^(2*V356/365.25)</f>
        <v>0.182844811854227</v>
      </c>
      <c r="Y356" s="71" t="n">
        <f aca="false">IF(AND(mthbeg&lt;=A356,mthend&gt;=A356),1,0)</f>
        <v>0</v>
      </c>
      <c r="Z356" s="71" t="n">
        <f aca="false">T356*Y356</f>
        <v>0</v>
      </c>
      <c r="AB356" s="132" t="n">
        <f aca="false">F356*G356</f>
        <v>0</v>
      </c>
      <c r="AC356" s="132" t="n">
        <f aca="false">$F356*H356</f>
        <v>0</v>
      </c>
      <c r="AD356" s="132" t="n">
        <f aca="false">$F356*I356</f>
        <v>0</v>
      </c>
      <c r="AE356" s="132" t="n">
        <f aca="false">$F356*J356</f>
        <v>-0</v>
      </c>
      <c r="AF356" s="132" t="n">
        <f aca="false">$F356*K356</f>
        <v>-0</v>
      </c>
      <c r="AG356" s="132" t="n">
        <f aca="false">$F356*L356</f>
        <v>0</v>
      </c>
      <c r="AH356" s="132" t="n">
        <f aca="false">$F356*M356</f>
        <v>0</v>
      </c>
      <c r="AI356" s="132" t="n">
        <f aca="false">$F356*N356</f>
        <v>0</v>
      </c>
      <c r="AJ356" s="132" t="n">
        <f aca="false">F356*O356</f>
        <v>0</v>
      </c>
      <c r="AK356" s="137"/>
      <c r="AL356" s="132" t="n">
        <f aca="false">CHOOSE($G$3,AC356-AD356,AD356-AC356)</f>
        <v>0</v>
      </c>
      <c r="AM356" s="132" t="n">
        <f aca="false">CHOOSE($G$3,AF356-AG356,AG356-AF356)</f>
        <v>0</v>
      </c>
      <c r="AN356" s="132" t="n">
        <f aca="false">CHOOSE($G$3,AI356-AJ356,AJ356-AI356)</f>
        <v>0</v>
      </c>
      <c r="AO356" s="148" t="n">
        <f aca="false">SUM(AL356:AN356)</f>
        <v>0</v>
      </c>
      <c r="AQ356" s="132" t="n">
        <f aca="false">CHOOSE($G$3,AB356-AC356,AC356-AB356)</f>
        <v>0</v>
      </c>
      <c r="AR356" s="132" t="n">
        <f aca="false">CHOOSE($G$3,AE356-AF356,AF356-AE356)</f>
        <v>0</v>
      </c>
      <c r="AS356" s="132" t="n">
        <f aca="false">CHOOSE($G$3,AH356-AI356,AI356-AH356)</f>
        <v>0</v>
      </c>
      <c r="AT356" s="148" t="n">
        <f aca="false">AQ356+AR356+AS356</f>
        <v>0</v>
      </c>
      <c r="AU356" s="148"/>
      <c r="AV356" s="133" t="n">
        <f aca="false">AT356+AO356</f>
        <v>0</v>
      </c>
      <c r="AX356" s="133" t="n">
        <f aca="false">AJ356+AG356+AD356</f>
        <v>0</v>
      </c>
      <c r="AY356" s="149"/>
      <c r="AZ356" s="76" t="n">
        <f aca="false">R356*E356</f>
        <v>0</v>
      </c>
    </row>
    <row r="357" customFormat="false" ht="12" hidden="false" customHeight="true" outlineLevel="0" collapsed="false">
      <c r="A357" s="138" t="n">
        <f aca="false">EDATE(A356,1)</f>
        <v>47543</v>
      </c>
      <c r="B357" s="139" t="n">
        <f aca="false">VLOOKUP($A357,Table2,MATCH(I$3,Curves2,0))</f>
        <v>0</v>
      </c>
      <c r="C357" s="140"/>
      <c r="D357" s="141" t="n">
        <f aca="false">B357+C357</f>
        <v>0</v>
      </c>
      <c r="E357" s="126" t="n">
        <f aca="false">IF(Y357=0,0,IF(AND(Y357=1,$H$3=1),D357*T357,IF($H$3=2,D357,"N/A")))</f>
        <v>0</v>
      </c>
      <c r="F357" s="126" t="n">
        <f aca="false">E357*X357</f>
        <v>0</v>
      </c>
      <c r="G357" s="142" t="n">
        <f aca="false">VLOOKUP($A357,Table,MATCH(G$4,Curves,0))</f>
        <v>3.987</v>
      </c>
      <c r="H357" s="143" t="n">
        <f aca="false">G357</f>
        <v>3.987</v>
      </c>
      <c r="I357" s="142" t="n">
        <f aca="false">VLOOKUP($A357,Table1,MATCH(I$3,Curves1,0))</f>
        <v>0</v>
      </c>
      <c r="J357" s="142" t="n">
        <f aca="false">VLOOKUP($A357,Table,MATCH(J$4,Curves,0))</f>
        <v>-0.0305</v>
      </c>
      <c r="K357" s="143" t="n">
        <f aca="false">J357</f>
        <v>-0.0305</v>
      </c>
      <c r="L357" s="144" t="n">
        <v>0</v>
      </c>
      <c r="M357" s="142" t="n">
        <f aca="false">VLOOKUP($A357,Table,MATCH(M$4,Curves,0))</f>
        <v>0.0087</v>
      </c>
      <c r="N357" s="143" t="n">
        <f aca="false">M357</f>
        <v>0.0087</v>
      </c>
      <c r="O357" s="144" t="n">
        <v>0</v>
      </c>
      <c r="P357" s="145"/>
      <c r="Q357" s="144" t="n">
        <f aca="false">M357+J357+G357</f>
        <v>3.9652</v>
      </c>
      <c r="R357" s="144" t="n">
        <f aca="false">O357+L357+I357</f>
        <v>0</v>
      </c>
      <c r="S357" s="145"/>
      <c r="T357" s="71" t="n">
        <f aca="false">A358-A357</f>
        <v>31</v>
      </c>
      <c r="U357" s="146" t="n">
        <f aca="false">CHOOSE(F$3,A358+24,A357)</f>
        <v>47598</v>
      </c>
      <c r="V357" s="71" t="n">
        <f aca="false">U357-C$3</f>
        <v>10710</v>
      </c>
      <c r="W357" s="142" t="n">
        <f aca="false">VLOOKUP($A357,Table,MATCH(W$4,Curves,0))</f>
        <v>0.058966861357273</v>
      </c>
      <c r="X357" s="147" t="n">
        <f aca="false">1/(1+CHOOSE(F$3,(W358+($K$3/10000))/2,(W357+($K$3/10000))/2))^(2*V357/365.25)</f>
        <v>0.181945176411668</v>
      </c>
      <c r="Y357" s="71" t="n">
        <f aca="false">IF(AND(mthbeg&lt;=A357,mthend&gt;=A357),1,0)</f>
        <v>0</v>
      </c>
      <c r="Z357" s="71" t="n">
        <f aca="false">T357*Y357</f>
        <v>0</v>
      </c>
      <c r="AB357" s="132" t="n">
        <f aca="false">F357*G357</f>
        <v>0</v>
      </c>
      <c r="AC357" s="132" t="n">
        <f aca="false">$F357*H357</f>
        <v>0</v>
      </c>
      <c r="AD357" s="132" t="n">
        <f aca="false">$F357*I357</f>
        <v>0</v>
      </c>
      <c r="AE357" s="132" t="n">
        <f aca="false">$F357*J357</f>
        <v>-0</v>
      </c>
      <c r="AF357" s="132" t="n">
        <f aca="false">$F357*K357</f>
        <v>-0</v>
      </c>
      <c r="AG357" s="132" t="n">
        <f aca="false">$F357*L357</f>
        <v>0</v>
      </c>
      <c r="AH357" s="132" t="n">
        <f aca="false">$F357*M357</f>
        <v>0</v>
      </c>
      <c r="AI357" s="132" t="n">
        <f aca="false">$F357*N357</f>
        <v>0</v>
      </c>
      <c r="AJ357" s="132" t="n">
        <f aca="false">F357*O357</f>
        <v>0</v>
      </c>
      <c r="AK357" s="137"/>
      <c r="AL357" s="132" t="n">
        <f aca="false">CHOOSE($G$3,AC357-AD357,AD357-AC357)</f>
        <v>0</v>
      </c>
      <c r="AM357" s="132" t="n">
        <f aca="false">CHOOSE($G$3,AF357-AG357,AG357-AF357)</f>
        <v>0</v>
      </c>
      <c r="AN357" s="132" t="n">
        <f aca="false">CHOOSE($G$3,AI357-AJ357,AJ357-AI357)</f>
        <v>0</v>
      </c>
      <c r="AO357" s="148" t="n">
        <f aca="false">SUM(AL357:AN357)</f>
        <v>0</v>
      </c>
      <c r="AQ357" s="132" t="n">
        <f aca="false">CHOOSE($G$3,AB357-AC357,AC357-AB357)</f>
        <v>0</v>
      </c>
      <c r="AR357" s="132" t="n">
        <f aca="false">CHOOSE($G$3,AE357-AF357,AF357-AE357)</f>
        <v>0</v>
      </c>
      <c r="AS357" s="132" t="n">
        <f aca="false">CHOOSE($G$3,AH357-AI357,AI357-AH357)</f>
        <v>0</v>
      </c>
      <c r="AT357" s="148" t="n">
        <f aca="false">AQ357+AR357+AS357</f>
        <v>0</v>
      </c>
      <c r="AU357" s="148"/>
      <c r="AV357" s="133" t="n">
        <f aca="false">AT357+AO357</f>
        <v>0</v>
      </c>
      <c r="AX357" s="133" t="n">
        <f aca="false">AJ357+AG357+AD357</f>
        <v>0</v>
      </c>
      <c r="AY357" s="149"/>
      <c r="AZ357" s="76" t="n">
        <f aca="false">R357*E357</f>
        <v>0</v>
      </c>
    </row>
    <row r="358" customFormat="false" ht="12" hidden="false" customHeight="true" outlineLevel="0" collapsed="false">
      <c r="A358" s="138" t="n">
        <f aca="false">EDATE(A357,1)</f>
        <v>47574</v>
      </c>
      <c r="B358" s="139" t="n">
        <f aca="false">VLOOKUP($A358,Table2,MATCH(I$3,Curves2,0))</f>
        <v>0</v>
      </c>
      <c r="C358" s="140"/>
      <c r="D358" s="141" t="n">
        <f aca="false">B358+C358</f>
        <v>0</v>
      </c>
      <c r="E358" s="126" t="n">
        <f aca="false">IF(Y358=0,0,IF(AND(Y358=1,$H$3=1),D358*T358,IF($H$3=2,D358,"N/A")))</f>
        <v>0</v>
      </c>
      <c r="F358" s="126" t="n">
        <f aca="false">E358*X358</f>
        <v>0</v>
      </c>
      <c r="G358" s="142" t="n">
        <f aca="false">VLOOKUP($A358,Table,MATCH(G$4,Curves,0))</f>
        <v>3.987</v>
      </c>
      <c r="H358" s="143" t="n">
        <f aca="false">G358</f>
        <v>3.987</v>
      </c>
      <c r="I358" s="142" t="n">
        <f aca="false">VLOOKUP($A358,Table1,MATCH(I$3,Curves1,0))</f>
        <v>0</v>
      </c>
      <c r="J358" s="142" t="n">
        <f aca="false">VLOOKUP($A358,Table,MATCH(J$4,Curves,0))</f>
        <v>-0.0305</v>
      </c>
      <c r="K358" s="143" t="n">
        <f aca="false">J358</f>
        <v>-0.0305</v>
      </c>
      <c r="L358" s="144" t="n">
        <v>0</v>
      </c>
      <c r="M358" s="142" t="n">
        <f aca="false">VLOOKUP($A358,Table,MATCH(M$4,Curves,0))</f>
        <v>0.0087</v>
      </c>
      <c r="N358" s="143" t="n">
        <f aca="false">M358</f>
        <v>0.0087</v>
      </c>
      <c r="O358" s="144" t="n">
        <v>0</v>
      </c>
      <c r="P358" s="145"/>
      <c r="Q358" s="144" t="n">
        <f aca="false">M358+J358+G358</f>
        <v>3.9652</v>
      </c>
      <c r="R358" s="144" t="n">
        <f aca="false">O358+L358+I358</f>
        <v>0</v>
      </c>
      <c r="S358" s="145"/>
      <c r="T358" s="71" t="n">
        <f aca="false">A359-A358</f>
        <v>30</v>
      </c>
      <c r="U358" s="146" t="n">
        <f aca="false">CHOOSE(F$3,A359+24,A358)</f>
        <v>47628</v>
      </c>
      <c r="V358" s="71" t="n">
        <f aca="false">U358-C$3</f>
        <v>10740</v>
      </c>
      <c r="W358" s="142" t="n">
        <f aca="false">VLOOKUP($A358,Table,MATCH(W$4,Curves,0))</f>
        <v>0.058966861357273</v>
      </c>
      <c r="X358" s="147" t="n">
        <f aca="false">1/(1+CHOOSE(F$3,(W359+($K$3/10000))/2,(W358+($K$3/10000))/2))^(2*V358/365.25)</f>
        <v>0.181078776211084</v>
      </c>
      <c r="Y358" s="71" t="n">
        <f aca="false">IF(AND(mthbeg&lt;=A358,mthend&gt;=A358),1,0)</f>
        <v>0</v>
      </c>
      <c r="Z358" s="71" t="n">
        <f aca="false">T358*Y358</f>
        <v>0</v>
      </c>
      <c r="AB358" s="132" t="n">
        <f aca="false">F358*G358</f>
        <v>0</v>
      </c>
      <c r="AC358" s="132" t="n">
        <f aca="false">$F358*H358</f>
        <v>0</v>
      </c>
      <c r="AD358" s="132" t="n">
        <f aca="false">$F358*I358</f>
        <v>0</v>
      </c>
      <c r="AE358" s="132" t="n">
        <f aca="false">$F358*J358</f>
        <v>-0</v>
      </c>
      <c r="AF358" s="132" t="n">
        <f aca="false">$F358*K358</f>
        <v>-0</v>
      </c>
      <c r="AG358" s="132" t="n">
        <f aca="false">$F358*L358</f>
        <v>0</v>
      </c>
      <c r="AH358" s="132" t="n">
        <f aca="false">$F358*M358</f>
        <v>0</v>
      </c>
      <c r="AI358" s="132" t="n">
        <f aca="false">$F358*N358</f>
        <v>0</v>
      </c>
      <c r="AJ358" s="132" t="n">
        <f aca="false">F358*O358</f>
        <v>0</v>
      </c>
      <c r="AK358" s="137"/>
      <c r="AL358" s="132" t="n">
        <f aca="false">CHOOSE($G$3,AC358-AD358,AD358-AC358)</f>
        <v>0</v>
      </c>
      <c r="AM358" s="132" t="n">
        <f aca="false">CHOOSE($G$3,AF358-AG358,AG358-AF358)</f>
        <v>0</v>
      </c>
      <c r="AN358" s="132" t="n">
        <f aca="false">CHOOSE($G$3,AI358-AJ358,AJ358-AI358)</f>
        <v>0</v>
      </c>
      <c r="AO358" s="148" t="n">
        <f aca="false">SUM(AL358:AN358)</f>
        <v>0</v>
      </c>
      <c r="AQ358" s="132" t="n">
        <f aca="false">CHOOSE($G$3,AB358-AC358,AC358-AB358)</f>
        <v>0</v>
      </c>
      <c r="AR358" s="132" t="n">
        <f aca="false">CHOOSE($G$3,AE358-AF358,AF358-AE358)</f>
        <v>0</v>
      </c>
      <c r="AS358" s="132" t="n">
        <f aca="false">CHOOSE($G$3,AH358-AI358,AI358-AH358)</f>
        <v>0</v>
      </c>
      <c r="AT358" s="148" t="n">
        <f aca="false">AQ358+AR358+AS358</f>
        <v>0</v>
      </c>
      <c r="AU358" s="148"/>
      <c r="AV358" s="133" t="n">
        <f aca="false">AT358+AO358</f>
        <v>0</v>
      </c>
      <c r="AX358" s="133" t="n">
        <f aca="false">AJ358+AG358+AD358</f>
        <v>0</v>
      </c>
      <c r="AY358" s="149"/>
      <c r="AZ358" s="76" t="n">
        <f aca="false">R358*E358</f>
        <v>0</v>
      </c>
    </row>
    <row r="359" customFormat="false" ht="12" hidden="false" customHeight="true" outlineLevel="0" collapsed="false">
      <c r="A359" s="138" t="n">
        <f aca="false">EDATE(A358,1)</f>
        <v>47604</v>
      </c>
      <c r="B359" s="139" t="n">
        <f aca="false">VLOOKUP($A359,Table2,MATCH(I$3,Curves2,0))</f>
        <v>0</v>
      </c>
      <c r="C359" s="140"/>
      <c r="D359" s="141" t="n">
        <f aca="false">B359+C359</f>
        <v>0</v>
      </c>
      <c r="E359" s="126" t="n">
        <f aca="false">IF(Y359=0,0,IF(AND(Y359=1,$H$3=1),D359*T359,IF($H$3=2,D359,"N/A")))</f>
        <v>0</v>
      </c>
      <c r="F359" s="126" t="n">
        <f aca="false">E359*X359</f>
        <v>0</v>
      </c>
      <c r="G359" s="142" t="n">
        <f aca="false">VLOOKUP($A359,Table,MATCH(G$4,Curves,0))</f>
        <v>3.987</v>
      </c>
      <c r="H359" s="143" t="n">
        <f aca="false">G359</f>
        <v>3.987</v>
      </c>
      <c r="I359" s="142" t="n">
        <f aca="false">VLOOKUP($A359,Table1,MATCH(I$3,Curves1,0))</f>
        <v>0</v>
      </c>
      <c r="J359" s="142" t="n">
        <f aca="false">VLOOKUP($A359,Table,MATCH(J$4,Curves,0))</f>
        <v>-0.0305</v>
      </c>
      <c r="K359" s="143" t="n">
        <f aca="false">J359</f>
        <v>-0.0305</v>
      </c>
      <c r="L359" s="144" t="n">
        <v>0</v>
      </c>
      <c r="M359" s="142" t="n">
        <f aca="false">VLOOKUP($A359,Table,MATCH(M$4,Curves,0))</f>
        <v>0.0087</v>
      </c>
      <c r="N359" s="143" t="n">
        <f aca="false">M359</f>
        <v>0.0087</v>
      </c>
      <c r="O359" s="144" t="n">
        <v>0</v>
      </c>
      <c r="P359" s="145"/>
      <c r="Q359" s="144" t="n">
        <f aca="false">M359+J359+G359</f>
        <v>3.9652</v>
      </c>
      <c r="R359" s="144" t="n">
        <f aca="false">O359+L359+I359</f>
        <v>0</v>
      </c>
      <c r="S359" s="145"/>
      <c r="T359" s="71" t="n">
        <f aca="false">A360-A359</f>
        <v>31</v>
      </c>
      <c r="U359" s="146" t="n">
        <f aca="false">CHOOSE(F$3,A360+24,A359)</f>
        <v>47659</v>
      </c>
      <c r="V359" s="71" t="n">
        <f aca="false">U359-C$3</f>
        <v>10771</v>
      </c>
      <c r="W359" s="142" t="n">
        <f aca="false">VLOOKUP($A359,Table,MATCH(W$4,Curves,0))</f>
        <v>0.058966861357273</v>
      </c>
      <c r="X359" s="147" t="n">
        <f aca="false">1/(1+CHOOSE(F$3,(W360+($K$3/10000))/2,(W359+($K$3/10000))/2))^(2*V359/365.25)</f>
        <v>0.18018783004027</v>
      </c>
      <c r="Y359" s="71" t="n">
        <f aca="false">IF(AND(mthbeg&lt;=A359,mthend&gt;=A359),1,0)</f>
        <v>0</v>
      </c>
      <c r="Z359" s="71" t="n">
        <f aca="false">T359*Y359</f>
        <v>0</v>
      </c>
      <c r="AB359" s="132" t="n">
        <f aca="false">F359*G359</f>
        <v>0</v>
      </c>
      <c r="AC359" s="132" t="n">
        <f aca="false">$F359*H359</f>
        <v>0</v>
      </c>
      <c r="AD359" s="132" t="n">
        <f aca="false">$F359*I359</f>
        <v>0</v>
      </c>
      <c r="AE359" s="132" t="n">
        <f aca="false">$F359*J359</f>
        <v>-0</v>
      </c>
      <c r="AF359" s="132" t="n">
        <f aca="false">$F359*K359</f>
        <v>-0</v>
      </c>
      <c r="AG359" s="132" t="n">
        <f aca="false">$F359*L359</f>
        <v>0</v>
      </c>
      <c r="AH359" s="132" t="n">
        <f aca="false">$F359*M359</f>
        <v>0</v>
      </c>
      <c r="AI359" s="132" t="n">
        <f aca="false">$F359*N359</f>
        <v>0</v>
      </c>
      <c r="AJ359" s="132" t="n">
        <f aca="false">F359*O359</f>
        <v>0</v>
      </c>
      <c r="AK359" s="137"/>
      <c r="AL359" s="132" t="n">
        <f aca="false">CHOOSE($G$3,AC359-AD359,AD359-AC359)</f>
        <v>0</v>
      </c>
      <c r="AM359" s="132" t="n">
        <f aca="false">CHOOSE($G$3,AF359-AG359,AG359-AF359)</f>
        <v>0</v>
      </c>
      <c r="AN359" s="132" t="n">
        <f aca="false">CHOOSE($G$3,AI359-AJ359,AJ359-AI359)</f>
        <v>0</v>
      </c>
      <c r="AO359" s="148" t="n">
        <f aca="false">SUM(AL359:AN359)</f>
        <v>0</v>
      </c>
      <c r="AQ359" s="132" t="n">
        <f aca="false">CHOOSE($G$3,AB359-AC359,AC359-AB359)</f>
        <v>0</v>
      </c>
      <c r="AR359" s="132" t="n">
        <f aca="false">CHOOSE($G$3,AE359-AF359,AF359-AE359)</f>
        <v>0</v>
      </c>
      <c r="AS359" s="132" t="n">
        <f aca="false">CHOOSE($G$3,AH359-AI359,AI359-AH359)</f>
        <v>0</v>
      </c>
      <c r="AT359" s="148" t="n">
        <f aca="false">AQ359+AR359+AS359</f>
        <v>0</v>
      </c>
      <c r="AU359" s="148"/>
      <c r="AV359" s="133" t="n">
        <f aca="false">AT359+AO359</f>
        <v>0</v>
      </c>
      <c r="AX359" s="133" t="n">
        <f aca="false">AJ359+AG359+AD359</f>
        <v>0</v>
      </c>
      <c r="AY359" s="149"/>
      <c r="AZ359" s="76" t="n">
        <f aca="false">R359*E359</f>
        <v>0</v>
      </c>
    </row>
    <row r="360" customFormat="false" ht="12" hidden="false" customHeight="true" outlineLevel="0" collapsed="false">
      <c r="A360" s="138" t="n">
        <f aca="false">EDATE(A359,1)</f>
        <v>47635</v>
      </c>
      <c r="B360" s="139" t="n">
        <f aca="false">VLOOKUP($A360,Table2,MATCH(I$3,Curves2,0))</f>
        <v>0</v>
      </c>
      <c r="C360" s="140"/>
      <c r="D360" s="141" t="n">
        <f aca="false">B360+C360</f>
        <v>0</v>
      </c>
      <c r="E360" s="126" t="n">
        <f aca="false">IF(Y360=0,0,IF(AND(Y360=1,$H$3=1),D360*T360,IF($H$3=2,D360,"N/A")))</f>
        <v>0</v>
      </c>
      <c r="F360" s="126" t="n">
        <f aca="false">E360*X360</f>
        <v>0</v>
      </c>
      <c r="G360" s="142" t="n">
        <f aca="false">VLOOKUP($A360,Table,MATCH(G$4,Curves,0))</f>
        <v>3.987</v>
      </c>
      <c r="H360" s="143" t="n">
        <f aca="false">G360</f>
        <v>3.987</v>
      </c>
      <c r="I360" s="142" t="n">
        <f aca="false">VLOOKUP($A360,Table1,MATCH(I$3,Curves1,0))</f>
        <v>0</v>
      </c>
      <c r="J360" s="142" t="n">
        <f aca="false">VLOOKUP($A360,Table,MATCH(J$4,Curves,0))</f>
        <v>-0.0305</v>
      </c>
      <c r="K360" s="143" t="n">
        <f aca="false">J360</f>
        <v>-0.0305</v>
      </c>
      <c r="L360" s="144" t="n">
        <v>0</v>
      </c>
      <c r="M360" s="142" t="n">
        <f aca="false">VLOOKUP($A360,Table,MATCH(M$4,Curves,0))</f>
        <v>0.0087</v>
      </c>
      <c r="N360" s="143" t="n">
        <f aca="false">M360</f>
        <v>0.0087</v>
      </c>
      <c r="O360" s="144" t="n">
        <v>0</v>
      </c>
      <c r="P360" s="145"/>
      <c r="Q360" s="144" t="n">
        <f aca="false">M360+J360+G360</f>
        <v>3.9652</v>
      </c>
      <c r="R360" s="144" t="n">
        <f aca="false">O360+L360+I360</f>
        <v>0</v>
      </c>
      <c r="S360" s="145"/>
      <c r="T360" s="71" t="n">
        <f aca="false">A361-A360</f>
        <v>30</v>
      </c>
      <c r="U360" s="146" t="n">
        <f aca="false">CHOOSE(F$3,A361+24,A360)</f>
        <v>47689</v>
      </c>
      <c r="V360" s="71" t="n">
        <f aca="false">U360-C$3</f>
        <v>10801</v>
      </c>
      <c r="W360" s="142" t="n">
        <f aca="false">VLOOKUP($A360,Table,MATCH(W$4,Curves,0))</f>
        <v>0.058966861357273</v>
      </c>
      <c r="X360" s="147" t="n">
        <f aca="false">1/(1+CHOOSE(F$3,(W361+($K$3/10000))/2,(W360+($K$3/10000))/2))^(2*V360/365.25)</f>
        <v>0.179329798103569</v>
      </c>
      <c r="Y360" s="71" t="n">
        <f aca="false">IF(AND(mthbeg&lt;=A360,mthend&gt;=A360),1,0)</f>
        <v>0</v>
      </c>
      <c r="Z360" s="71" t="n">
        <f aca="false">T360*Y360</f>
        <v>0</v>
      </c>
      <c r="AB360" s="132" t="n">
        <f aca="false">F360*G360</f>
        <v>0</v>
      </c>
      <c r="AC360" s="132" t="n">
        <f aca="false">$F360*H360</f>
        <v>0</v>
      </c>
      <c r="AD360" s="132" t="n">
        <f aca="false">$F360*I360</f>
        <v>0</v>
      </c>
      <c r="AE360" s="132" t="n">
        <f aca="false">$F360*J360</f>
        <v>-0</v>
      </c>
      <c r="AF360" s="132" t="n">
        <f aca="false">$F360*K360</f>
        <v>-0</v>
      </c>
      <c r="AG360" s="132" t="n">
        <f aca="false">$F360*L360</f>
        <v>0</v>
      </c>
      <c r="AH360" s="132" t="n">
        <f aca="false">$F360*M360</f>
        <v>0</v>
      </c>
      <c r="AI360" s="132" t="n">
        <f aca="false">$F360*N360</f>
        <v>0</v>
      </c>
      <c r="AJ360" s="132" t="n">
        <f aca="false">F360*O360</f>
        <v>0</v>
      </c>
      <c r="AK360" s="137"/>
      <c r="AL360" s="132" t="n">
        <f aca="false">CHOOSE($G$3,AC360-AD360,AD360-AC360)</f>
        <v>0</v>
      </c>
      <c r="AM360" s="132" t="n">
        <f aca="false">CHOOSE($G$3,AF360-AG360,AG360-AF360)</f>
        <v>0</v>
      </c>
      <c r="AN360" s="132" t="n">
        <f aca="false">CHOOSE($G$3,AI360-AJ360,AJ360-AI360)</f>
        <v>0</v>
      </c>
      <c r="AO360" s="148" t="n">
        <f aca="false">SUM(AL360:AN360)</f>
        <v>0</v>
      </c>
      <c r="AQ360" s="132" t="n">
        <f aca="false">CHOOSE($G$3,AB360-AC360,AC360-AB360)</f>
        <v>0</v>
      </c>
      <c r="AR360" s="132" t="n">
        <f aca="false">CHOOSE($G$3,AE360-AF360,AF360-AE360)</f>
        <v>0</v>
      </c>
      <c r="AS360" s="132" t="n">
        <f aca="false">CHOOSE($G$3,AH360-AI360,AI360-AH360)</f>
        <v>0</v>
      </c>
      <c r="AT360" s="148" t="n">
        <f aca="false">AQ360+AR360+AS360</f>
        <v>0</v>
      </c>
      <c r="AU360" s="148"/>
      <c r="AV360" s="133" t="n">
        <f aca="false">AT360+AO360</f>
        <v>0</v>
      </c>
      <c r="AX360" s="133" t="n">
        <f aca="false">AJ360+AG360+AD360</f>
        <v>0</v>
      </c>
      <c r="AY360" s="149"/>
      <c r="AZ360" s="76" t="n">
        <f aca="false">R360*E360</f>
        <v>0</v>
      </c>
    </row>
    <row r="361" customFormat="false" ht="12" hidden="false" customHeight="true" outlineLevel="0" collapsed="false">
      <c r="A361" s="138" t="n">
        <f aca="false">EDATE(A360,1)</f>
        <v>47665</v>
      </c>
      <c r="B361" s="139" t="n">
        <f aca="false">VLOOKUP($A361,Table2,MATCH(I$3,Curves2,0))</f>
        <v>0</v>
      </c>
      <c r="C361" s="140"/>
      <c r="D361" s="141" t="n">
        <f aca="false">B361+C361</f>
        <v>0</v>
      </c>
      <c r="E361" s="126" t="n">
        <f aca="false">IF(Y361=0,0,IF(AND(Y361=1,$H$3=1),D361*T361,IF($H$3=2,D361,"N/A")))</f>
        <v>0</v>
      </c>
      <c r="F361" s="126" t="n">
        <f aca="false">E361*X361</f>
        <v>0</v>
      </c>
      <c r="G361" s="142" t="n">
        <f aca="false">VLOOKUP($A361,Table,MATCH(G$4,Curves,0))</f>
        <v>3.987</v>
      </c>
      <c r="H361" s="143" t="n">
        <f aca="false">G361</f>
        <v>3.987</v>
      </c>
      <c r="I361" s="142" t="n">
        <f aca="false">VLOOKUP($A361,Table1,MATCH(I$3,Curves1,0))</f>
        <v>0</v>
      </c>
      <c r="J361" s="142" t="n">
        <f aca="false">VLOOKUP($A361,Table,MATCH(J$4,Curves,0))</f>
        <v>-0.0305</v>
      </c>
      <c r="K361" s="143" t="n">
        <f aca="false">J361</f>
        <v>-0.0305</v>
      </c>
      <c r="L361" s="144" t="n">
        <v>0</v>
      </c>
      <c r="M361" s="142" t="n">
        <f aca="false">VLOOKUP($A361,Table,MATCH(M$4,Curves,0))</f>
        <v>0.0087</v>
      </c>
      <c r="N361" s="143" t="n">
        <f aca="false">M361</f>
        <v>0.0087</v>
      </c>
      <c r="O361" s="144" t="n">
        <v>0</v>
      </c>
      <c r="P361" s="145"/>
      <c r="Q361" s="144" t="n">
        <f aca="false">M361+J361+G361</f>
        <v>3.9652</v>
      </c>
      <c r="R361" s="144" t="n">
        <f aca="false">O361+L361+I361</f>
        <v>0</v>
      </c>
      <c r="S361" s="145"/>
      <c r="T361" s="71" t="n">
        <f aca="false">A362-A361</f>
        <v>31</v>
      </c>
      <c r="U361" s="146" t="n">
        <f aca="false">CHOOSE(F$3,A362+24,A361)</f>
        <v>47720</v>
      </c>
      <c r="V361" s="71" t="n">
        <f aca="false">U361-C$3</f>
        <v>10832</v>
      </c>
      <c r="W361" s="142" t="n">
        <f aca="false">VLOOKUP($A361,Table,MATCH(W$4,Curves,0))</f>
        <v>0.058966861357273</v>
      </c>
      <c r="X361" s="147" t="n">
        <f aca="false">1/(1+CHOOSE(F$3,(W362+($K$3/10000))/2,(W361+($K$3/10000))/2))^(2*V361/365.25)</f>
        <v>0.17844745727779</v>
      </c>
      <c r="Y361" s="71" t="n">
        <f aca="false">IF(AND(mthbeg&lt;=A361,mthend&gt;=A361),1,0)</f>
        <v>0</v>
      </c>
      <c r="Z361" s="71" t="n">
        <f aca="false">T361*Y361</f>
        <v>0</v>
      </c>
      <c r="AB361" s="132" t="n">
        <f aca="false">F361*G361</f>
        <v>0</v>
      </c>
      <c r="AC361" s="132" t="n">
        <f aca="false">$F361*H361</f>
        <v>0</v>
      </c>
      <c r="AD361" s="132" t="n">
        <f aca="false">$F361*I361</f>
        <v>0</v>
      </c>
      <c r="AE361" s="132" t="n">
        <f aca="false">$F361*J361</f>
        <v>-0</v>
      </c>
      <c r="AF361" s="132" t="n">
        <f aca="false">$F361*K361</f>
        <v>-0</v>
      </c>
      <c r="AG361" s="132" t="n">
        <f aca="false">$F361*L361</f>
        <v>0</v>
      </c>
      <c r="AH361" s="132" t="n">
        <f aca="false">$F361*M361</f>
        <v>0</v>
      </c>
      <c r="AI361" s="132" t="n">
        <f aca="false">$F361*N361</f>
        <v>0</v>
      </c>
      <c r="AJ361" s="132" t="n">
        <f aca="false">F361*O361</f>
        <v>0</v>
      </c>
      <c r="AK361" s="137"/>
      <c r="AL361" s="132" t="n">
        <f aca="false">CHOOSE($G$3,AC361-AD361,AD361-AC361)</f>
        <v>0</v>
      </c>
      <c r="AM361" s="132" t="n">
        <f aca="false">CHOOSE($G$3,AF361-AG361,AG361-AF361)</f>
        <v>0</v>
      </c>
      <c r="AN361" s="132" t="n">
        <f aca="false">CHOOSE($G$3,AI361-AJ361,AJ361-AI361)</f>
        <v>0</v>
      </c>
      <c r="AO361" s="148" t="n">
        <f aca="false">SUM(AL361:AN361)</f>
        <v>0</v>
      </c>
      <c r="AQ361" s="132" t="n">
        <f aca="false">CHOOSE($G$3,AB361-AC361,AC361-AB361)</f>
        <v>0</v>
      </c>
      <c r="AR361" s="132" t="n">
        <f aca="false">CHOOSE($G$3,AE361-AF361,AF361-AE361)</f>
        <v>0</v>
      </c>
      <c r="AS361" s="132" t="n">
        <f aca="false">CHOOSE($G$3,AH361-AI361,AI361-AH361)</f>
        <v>0</v>
      </c>
      <c r="AT361" s="148" t="n">
        <f aca="false">AQ361+AR361+AS361</f>
        <v>0</v>
      </c>
      <c r="AU361" s="148"/>
      <c r="AV361" s="133" t="n">
        <f aca="false">AT361+AO361</f>
        <v>0</v>
      </c>
      <c r="AX361" s="133" t="n">
        <f aca="false">AJ361+AG361+AD361</f>
        <v>0</v>
      </c>
      <c r="AY361" s="149"/>
      <c r="AZ361" s="76" t="n">
        <f aca="false">R361*E361</f>
        <v>0</v>
      </c>
    </row>
    <row r="362" customFormat="false" ht="12" hidden="false" customHeight="true" outlineLevel="0" collapsed="false">
      <c r="A362" s="138" t="n">
        <f aca="false">EDATE(A361,1)</f>
        <v>47696</v>
      </c>
      <c r="B362" s="139" t="n">
        <f aca="false">VLOOKUP($A362,Table2,MATCH(I$3,Curves2,0))</f>
        <v>0</v>
      </c>
      <c r="C362" s="140"/>
      <c r="D362" s="141" t="n">
        <f aca="false">B362+C362</f>
        <v>0</v>
      </c>
      <c r="E362" s="126" t="n">
        <f aca="false">IF(Y362=0,0,IF(AND(Y362=1,$H$3=1),D362*T362,IF($H$3=2,D362,"N/A")))</f>
        <v>0</v>
      </c>
      <c r="F362" s="126" t="n">
        <f aca="false">E362*X362</f>
        <v>0</v>
      </c>
      <c r="G362" s="142" t="n">
        <f aca="false">VLOOKUP($A362,Table,MATCH(G$4,Curves,0))</f>
        <v>3.987</v>
      </c>
      <c r="H362" s="143" t="n">
        <f aca="false">G362</f>
        <v>3.987</v>
      </c>
      <c r="I362" s="142" t="n">
        <f aca="false">VLOOKUP($A362,Table1,MATCH(I$3,Curves1,0))</f>
        <v>0</v>
      </c>
      <c r="J362" s="142" t="n">
        <f aca="false">VLOOKUP($A362,Table,MATCH(J$4,Curves,0))</f>
        <v>-0.0305</v>
      </c>
      <c r="K362" s="143" t="n">
        <f aca="false">J362</f>
        <v>-0.0305</v>
      </c>
      <c r="L362" s="144" t="n">
        <v>0</v>
      </c>
      <c r="M362" s="142" t="n">
        <f aca="false">VLOOKUP($A362,Table,MATCH(M$4,Curves,0))</f>
        <v>0.0087</v>
      </c>
      <c r="N362" s="143" t="n">
        <f aca="false">M362</f>
        <v>0.0087</v>
      </c>
      <c r="O362" s="144" t="n">
        <v>0</v>
      </c>
      <c r="P362" s="145"/>
      <c r="Q362" s="144" t="n">
        <f aca="false">M362+J362+G362</f>
        <v>3.9652</v>
      </c>
      <c r="R362" s="144" t="n">
        <f aca="false">O362+L362+I362</f>
        <v>0</v>
      </c>
      <c r="S362" s="145"/>
      <c r="T362" s="71" t="n">
        <f aca="false">A363-A362</f>
        <v>31</v>
      </c>
      <c r="U362" s="146" t="n">
        <f aca="false">CHOOSE(F$3,A363+24,A362)</f>
        <v>47751</v>
      </c>
      <c r="V362" s="71" t="n">
        <f aca="false">U362-C$3</f>
        <v>10863</v>
      </c>
      <c r="W362" s="142" t="n">
        <f aca="false">VLOOKUP($A362,Table,MATCH(W$4,Curves,0))</f>
        <v>0.058966861357273</v>
      </c>
      <c r="X362" s="147" t="n">
        <f aca="false">1/(1+CHOOSE(F$3,(W363+($K$3/10000))/2,(W362+($K$3/10000))/2))^(2*V362/365.25)</f>
        <v>0.17756945775692</v>
      </c>
      <c r="Y362" s="71" t="n">
        <f aca="false">IF(AND(mthbeg&lt;=A362,mthend&gt;=A362),1,0)</f>
        <v>0</v>
      </c>
      <c r="Z362" s="71" t="n">
        <f aca="false">T362*Y362</f>
        <v>0</v>
      </c>
      <c r="AB362" s="132" t="n">
        <f aca="false">F362*G362</f>
        <v>0</v>
      </c>
      <c r="AC362" s="132" t="n">
        <f aca="false">$F362*H362</f>
        <v>0</v>
      </c>
      <c r="AD362" s="132" t="n">
        <f aca="false">$F362*I362</f>
        <v>0</v>
      </c>
      <c r="AE362" s="132" t="n">
        <f aca="false">$F362*J362</f>
        <v>-0</v>
      </c>
      <c r="AF362" s="132" t="n">
        <f aca="false">$F362*K362</f>
        <v>-0</v>
      </c>
      <c r="AG362" s="132" t="n">
        <f aca="false">$F362*L362</f>
        <v>0</v>
      </c>
      <c r="AH362" s="132" t="n">
        <f aca="false">$F362*M362</f>
        <v>0</v>
      </c>
      <c r="AI362" s="132" t="n">
        <f aca="false">$F362*N362</f>
        <v>0</v>
      </c>
      <c r="AJ362" s="132" t="n">
        <f aca="false">F362*O362</f>
        <v>0</v>
      </c>
      <c r="AK362" s="137"/>
      <c r="AL362" s="132" t="n">
        <f aca="false">CHOOSE($G$3,AC362-AD362,AD362-AC362)</f>
        <v>0</v>
      </c>
      <c r="AM362" s="132" t="n">
        <f aca="false">CHOOSE($G$3,AF362-AG362,AG362-AF362)</f>
        <v>0</v>
      </c>
      <c r="AN362" s="132" t="n">
        <f aca="false">CHOOSE($G$3,AI362-AJ362,AJ362-AI362)</f>
        <v>0</v>
      </c>
      <c r="AO362" s="148" t="n">
        <f aca="false">SUM(AL362:AN362)</f>
        <v>0</v>
      </c>
      <c r="AQ362" s="132" t="n">
        <f aca="false">CHOOSE($G$3,AB362-AC362,AC362-AB362)</f>
        <v>0</v>
      </c>
      <c r="AR362" s="132" t="n">
        <f aca="false">CHOOSE($G$3,AE362-AF362,AF362-AE362)</f>
        <v>0</v>
      </c>
      <c r="AS362" s="132" t="n">
        <f aca="false">CHOOSE($G$3,AH362-AI362,AI362-AH362)</f>
        <v>0</v>
      </c>
      <c r="AT362" s="148" t="n">
        <f aca="false">AQ362+AR362+AS362</f>
        <v>0</v>
      </c>
      <c r="AU362" s="148"/>
      <c r="AV362" s="133" t="n">
        <f aca="false">AT362+AO362</f>
        <v>0</v>
      </c>
      <c r="AX362" s="133" t="n">
        <f aca="false">AJ362+AG362+AD362</f>
        <v>0</v>
      </c>
      <c r="AY362" s="149"/>
      <c r="AZ362" s="76" t="n">
        <f aca="false">R362*E362</f>
        <v>0</v>
      </c>
    </row>
    <row r="363" customFormat="false" ht="12" hidden="false" customHeight="true" outlineLevel="0" collapsed="false">
      <c r="A363" s="138" t="n">
        <f aca="false">EDATE(A362,1)</f>
        <v>47727</v>
      </c>
      <c r="B363" s="139" t="n">
        <f aca="false">VLOOKUP($A363,Table2,MATCH(I$3,Curves2,0))</f>
        <v>0</v>
      </c>
      <c r="C363" s="140"/>
      <c r="D363" s="141" t="n">
        <f aca="false">B363+C363</f>
        <v>0</v>
      </c>
      <c r="E363" s="126" t="n">
        <f aca="false">IF(Y363=0,0,IF(AND(Y363=1,$H$3=1),D363*T363,IF($H$3=2,D363,"N/A")))</f>
        <v>0</v>
      </c>
      <c r="F363" s="126" t="n">
        <f aca="false">E363*X363</f>
        <v>0</v>
      </c>
      <c r="G363" s="142" t="n">
        <f aca="false">VLOOKUP($A363,Table,MATCH(G$4,Curves,0))</f>
        <v>3.987</v>
      </c>
      <c r="H363" s="143" t="n">
        <f aca="false">G363</f>
        <v>3.987</v>
      </c>
      <c r="I363" s="142" t="n">
        <f aca="false">VLOOKUP($A363,Table1,MATCH(I$3,Curves1,0))</f>
        <v>0</v>
      </c>
      <c r="J363" s="142" t="n">
        <f aca="false">VLOOKUP($A363,Table,MATCH(J$4,Curves,0))</f>
        <v>-0.0305</v>
      </c>
      <c r="K363" s="143" t="n">
        <f aca="false">J363</f>
        <v>-0.0305</v>
      </c>
      <c r="L363" s="144" t="n">
        <v>0</v>
      </c>
      <c r="M363" s="142" t="n">
        <f aca="false">VLOOKUP($A363,Table,MATCH(M$4,Curves,0))</f>
        <v>0.0087</v>
      </c>
      <c r="N363" s="143" t="n">
        <f aca="false">M363</f>
        <v>0.0087</v>
      </c>
      <c r="O363" s="144" t="n">
        <v>0</v>
      </c>
      <c r="P363" s="145"/>
      <c r="Q363" s="144" t="n">
        <f aca="false">M363+J363+G363</f>
        <v>3.9652</v>
      </c>
      <c r="R363" s="144" t="n">
        <f aca="false">O363+L363+I363</f>
        <v>0</v>
      </c>
      <c r="S363" s="145"/>
      <c r="T363" s="71" t="n">
        <f aca="false">A364-A363</f>
        <v>30</v>
      </c>
      <c r="U363" s="146" t="n">
        <f aca="false">CHOOSE(F$3,A364+24,A363)</f>
        <v>47781</v>
      </c>
      <c r="V363" s="71" t="n">
        <f aca="false">U363-C$3</f>
        <v>10893</v>
      </c>
      <c r="W363" s="142" t="n">
        <f aca="false">VLOOKUP($A363,Table,MATCH(W$4,Curves,0))</f>
        <v>0.058966861357273</v>
      </c>
      <c r="X363" s="147" t="n">
        <f aca="false">1/(1+CHOOSE(F$3,(W364+($K$3/10000))/2,(W363+($K$3/10000))/2))^(2*V363/365.25)</f>
        <v>0.176723894181933</v>
      </c>
      <c r="Y363" s="71" t="n">
        <f aca="false">IF(AND(mthbeg&lt;=A363,mthend&gt;=A363),1,0)</f>
        <v>0</v>
      </c>
      <c r="Z363" s="71" t="n">
        <f aca="false">T363*Y363</f>
        <v>0</v>
      </c>
      <c r="AB363" s="132" t="n">
        <f aca="false">F363*G363</f>
        <v>0</v>
      </c>
      <c r="AC363" s="132" t="n">
        <f aca="false">$F363*H363</f>
        <v>0</v>
      </c>
      <c r="AD363" s="132" t="n">
        <f aca="false">$F363*I363</f>
        <v>0</v>
      </c>
      <c r="AE363" s="132" t="n">
        <f aca="false">$F363*J363</f>
        <v>-0</v>
      </c>
      <c r="AF363" s="132" t="n">
        <f aca="false">$F363*K363</f>
        <v>-0</v>
      </c>
      <c r="AG363" s="132" t="n">
        <f aca="false">$F363*L363</f>
        <v>0</v>
      </c>
      <c r="AH363" s="132" t="n">
        <f aca="false">$F363*M363</f>
        <v>0</v>
      </c>
      <c r="AI363" s="132" t="n">
        <f aca="false">$F363*N363</f>
        <v>0</v>
      </c>
      <c r="AJ363" s="132" t="n">
        <f aca="false">F363*O363</f>
        <v>0</v>
      </c>
      <c r="AK363" s="137"/>
      <c r="AL363" s="132" t="n">
        <f aca="false">CHOOSE($G$3,AC363-AD363,AD363-AC363)</f>
        <v>0</v>
      </c>
      <c r="AM363" s="132" t="n">
        <f aca="false">CHOOSE($G$3,AF363-AG363,AG363-AF363)</f>
        <v>0</v>
      </c>
      <c r="AN363" s="132" t="n">
        <f aca="false">CHOOSE($G$3,AI363-AJ363,AJ363-AI363)</f>
        <v>0</v>
      </c>
      <c r="AO363" s="148" t="n">
        <f aca="false">SUM(AL363:AN363)</f>
        <v>0</v>
      </c>
      <c r="AQ363" s="132" t="n">
        <f aca="false">CHOOSE($G$3,AB363-AC363,AC363-AB363)</f>
        <v>0</v>
      </c>
      <c r="AR363" s="132" t="n">
        <f aca="false">CHOOSE($G$3,AE363-AF363,AF363-AE363)</f>
        <v>0</v>
      </c>
      <c r="AS363" s="132" t="n">
        <f aca="false">CHOOSE($G$3,AH363-AI363,AI363-AH363)</f>
        <v>0</v>
      </c>
      <c r="AT363" s="148" t="n">
        <f aca="false">AQ363+AR363+AS363</f>
        <v>0</v>
      </c>
      <c r="AU363" s="148"/>
      <c r="AV363" s="133" t="n">
        <f aca="false">AT363+AO363</f>
        <v>0</v>
      </c>
      <c r="AX363" s="133" t="n">
        <f aca="false">AJ363+AG363+AD363</f>
        <v>0</v>
      </c>
      <c r="AY363" s="149"/>
      <c r="AZ363" s="76" t="n">
        <f aca="false">R363*E363</f>
        <v>0</v>
      </c>
    </row>
    <row r="364" customFormat="false" ht="12" hidden="false" customHeight="true" outlineLevel="0" collapsed="false">
      <c r="A364" s="138" t="n">
        <f aca="false">EDATE(A363,1)</f>
        <v>47757</v>
      </c>
      <c r="B364" s="139" t="n">
        <f aca="false">VLOOKUP($A364,Table2,MATCH(I$3,Curves2,0))</f>
        <v>0</v>
      </c>
      <c r="C364" s="140"/>
      <c r="D364" s="141" t="n">
        <f aca="false">B364+C364</f>
        <v>0</v>
      </c>
      <c r="E364" s="126" t="n">
        <f aca="false">IF(Y364=0,0,IF(AND(Y364=1,$H$3=1),D364*T364,IF($H$3=2,D364,"N/A")))</f>
        <v>0</v>
      </c>
      <c r="F364" s="126" t="n">
        <f aca="false">E364*X364</f>
        <v>0</v>
      </c>
      <c r="G364" s="142" t="n">
        <f aca="false">VLOOKUP($A364,Table,MATCH(G$4,Curves,0))</f>
        <v>3.987</v>
      </c>
      <c r="H364" s="143" t="n">
        <f aca="false">G364</f>
        <v>3.987</v>
      </c>
      <c r="I364" s="142" t="n">
        <f aca="false">VLOOKUP($A364,Table1,MATCH(I$3,Curves1,0))</f>
        <v>0</v>
      </c>
      <c r="J364" s="142" t="n">
        <f aca="false">VLOOKUP($A364,Table,MATCH(J$4,Curves,0))</f>
        <v>-0.0305</v>
      </c>
      <c r="K364" s="143" t="n">
        <f aca="false">J364</f>
        <v>-0.0305</v>
      </c>
      <c r="L364" s="144" t="n">
        <v>0</v>
      </c>
      <c r="M364" s="142" t="n">
        <f aca="false">VLOOKUP($A364,Table,MATCH(M$4,Curves,0))</f>
        <v>0.0087</v>
      </c>
      <c r="N364" s="143" t="n">
        <f aca="false">M364</f>
        <v>0.0087</v>
      </c>
      <c r="O364" s="144" t="n">
        <v>0</v>
      </c>
      <c r="P364" s="145"/>
      <c r="Q364" s="144" t="n">
        <f aca="false">M364+J364+G364</f>
        <v>3.9652</v>
      </c>
      <c r="R364" s="144" t="n">
        <f aca="false">O364+L364+I364</f>
        <v>0</v>
      </c>
      <c r="S364" s="145"/>
      <c r="T364" s="71" t="n">
        <f aca="false">A365-A364</f>
        <v>31</v>
      </c>
      <c r="U364" s="146" t="n">
        <f aca="false">CHOOSE(F$3,A365+24,A364)</f>
        <v>47812</v>
      </c>
      <c r="V364" s="71" t="n">
        <f aca="false">U364-C$3</f>
        <v>10924</v>
      </c>
      <c r="W364" s="142" t="n">
        <f aca="false">VLOOKUP($A364,Table,MATCH(W$4,Curves,0))</f>
        <v>0.058966861357273</v>
      </c>
      <c r="X364" s="147" t="n">
        <f aca="false">1/(1+CHOOSE(F$3,(W365+($K$3/10000))/2,(W364+($K$3/10000))/2))^(2*V364/365.25)</f>
        <v>0.175854374958823</v>
      </c>
      <c r="Y364" s="71" t="n">
        <f aca="false">IF(AND(mthbeg&lt;=A364,mthend&gt;=A364),1,0)</f>
        <v>0</v>
      </c>
      <c r="Z364" s="71" t="n">
        <f aca="false">T364*Y364</f>
        <v>0</v>
      </c>
      <c r="AB364" s="132" t="n">
        <f aca="false">F364*G364</f>
        <v>0</v>
      </c>
      <c r="AC364" s="132" t="n">
        <f aca="false">$F364*H364</f>
        <v>0</v>
      </c>
      <c r="AD364" s="132" t="n">
        <f aca="false">$F364*I364</f>
        <v>0</v>
      </c>
      <c r="AE364" s="132" t="n">
        <f aca="false">$F364*J364</f>
        <v>-0</v>
      </c>
      <c r="AF364" s="132" t="n">
        <f aca="false">$F364*K364</f>
        <v>-0</v>
      </c>
      <c r="AG364" s="132" t="n">
        <f aca="false">$F364*L364</f>
        <v>0</v>
      </c>
      <c r="AH364" s="132" t="n">
        <f aca="false">$F364*M364</f>
        <v>0</v>
      </c>
      <c r="AI364" s="132" t="n">
        <f aca="false">$F364*N364</f>
        <v>0</v>
      </c>
      <c r="AJ364" s="132" t="n">
        <f aca="false">F364*O364</f>
        <v>0</v>
      </c>
      <c r="AK364" s="137"/>
      <c r="AL364" s="132" t="n">
        <f aca="false">CHOOSE($G$3,AC364-AD364,AD364-AC364)</f>
        <v>0</v>
      </c>
      <c r="AM364" s="132" t="n">
        <f aca="false">CHOOSE($G$3,AF364-AG364,AG364-AF364)</f>
        <v>0</v>
      </c>
      <c r="AN364" s="132" t="n">
        <f aca="false">CHOOSE($G$3,AI364-AJ364,AJ364-AI364)</f>
        <v>0</v>
      </c>
      <c r="AO364" s="148" t="n">
        <f aca="false">SUM(AL364:AN364)</f>
        <v>0</v>
      </c>
      <c r="AQ364" s="132" t="n">
        <f aca="false">CHOOSE($G$3,AB364-AC364,AC364-AB364)</f>
        <v>0</v>
      </c>
      <c r="AR364" s="132" t="n">
        <f aca="false">CHOOSE($G$3,AE364-AF364,AF364-AE364)</f>
        <v>0</v>
      </c>
      <c r="AS364" s="132" t="n">
        <f aca="false">CHOOSE($G$3,AH364-AI364,AI364-AH364)</f>
        <v>0</v>
      </c>
      <c r="AT364" s="148" t="n">
        <f aca="false">AQ364+AR364+AS364</f>
        <v>0</v>
      </c>
      <c r="AU364" s="148"/>
      <c r="AV364" s="133" t="n">
        <f aca="false">AT364+AO364</f>
        <v>0</v>
      </c>
      <c r="AX364" s="133" t="n">
        <f aca="false">AJ364+AG364+AD364</f>
        <v>0</v>
      </c>
      <c r="AY364" s="149"/>
      <c r="AZ364" s="76" t="n">
        <f aca="false">R364*E364</f>
        <v>0</v>
      </c>
    </row>
    <row r="365" customFormat="false" ht="12" hidden="false" customHeight="true" outlineLevel="0" collapsed="false">
      <c r="A365" s="138" t="n">
        <f aca="false">EDATE(A364,1)</f>
        <v>47788</v>
      </c>
      <c r="B365" s="139" t="n">
        <f aca="false">VLOOKUP($A365,Table2,MATCH(I$3,Curves2,0))</f>
        <v>0</v>
      </c>
      <c r="C365" s="140"/>
      <c r="D365" s="141" t="n">
        <f aca="false">B365+C365</f>
        <v>0</v>
      </c>
      <c r="E365" s="126" t="n">
        <f aca="false">IF(Y365=0,0,IF(AND(Y365=1,$H$3=1),D365*T365,IF($H$3=2,D365,"N/A")))</f>
        <v>0</v>
      </c>
      <c r="F365" s="126" t="n">
        <f aca="false">E365*X365</f>
        <v>0</v>
      </c>
      <c r="G365" s="142" t="n">
        <f aca="false">VLOOKUP($A365,Table,MATCH(G$4,Curves,0))</f>
        <v>3.987</v>
      </c>
      <c r="H365" s="143" t="n">
        <f aca="false">G365</f>
        <v>3.987</v>
      </c>
      <c r="I365" s="142" t="n">
        <f aca="false">VLOOKUP($A365,Table1,MATCH(I$3,Curves1,0))</f>
        <v>0</v>
      </c>
      <c r="J365" s="142" t="n">
        <f aca="false">VLOOKUP($A365,Table,MATCH(J$4,Curves,0))</f>
        <v>-0.0305</v>
      </c>
      <c r="K365" s="143" t="n">
        <f aca="false">J365</f>
        <v>-0.0305</v>
      </c>
      <c r="L365" s="144" t="n">
        <v>0</v>
      </c>
      <c r="M365" s="142" t="n">
        <f aca="false">VLOOKUP($A365,Table,MATCH(M$4,Curves,0))</f>
        <v>0.0087</v>
      </c>
      <c r="N365" s="143" t="n">
        <f aca="false">M365</f>
        <v>0.0087</v>
      </c>
      <c r="O365" s="144" t="n">
        <v>0</v>
      </c>
      <c r="P365" s="145"/>
      <c r="Q365" s="144" t="n">
        <f aca="false">M365+J365+G365</f>
        <v>3.9652</v>
      </c>
      <c r="R365" s="144" t="n">
        <f aca="false">O365+L365+I365</f>
        <v>0</v>
      </c>
      <c r="S365" s="145"/>
      <c r="T365" s="71" t="n">
        <f aca="false">A366-A365</f>
        <v>30</v>
      </c>
      <c r="U365" s="146" t="n">
        <f aca="false">CHOOSE(F$3,A366+24,A365)</f>
        <v>47842</v>
      </c>
      <c r="V365" s="71" t="n">
        <f aca="false">U365-C$3</f>
        <v>10954</v>
      </c>
      <c r="W365" s="142" t="n">
        <f aca="false">VLOOKUP($A365,Table,MATCH(W$4,Curves,0))</f>
        <v>0.058966861357273</v>
      </c>
      <c r="X365" s="147" t="n">
        <f aca="false">1/(1+CHOOSE(F$3,(W366+($K$3/10000))/2,(W365+($K$3/10000))/2))^(2*V365/365.25)</f>
        <v>0.175016978393864</v>
      </c>
      <c r="Y365" s="71" t="n">
        <f aca="false">IF(AND(mthbeg&lt;=A365,mthend&gt;=A365),1,0)</f>
        <v>0</v>
      </c>
      <c r="Z365" s="71" t="n">
        <f aca="false">T365*Y365</f>
        <v>0</v>
      </c>
      <c r="AB365" s="132" t="n">
        <f aca="false">F365*G365</f>
        <v>0</v>
      </c>
      <c r="AC365" s="132" t="n">
        <f aca="false">$F365*H365</f>
        <v>0</v>
      </c>
      <c r="AD365" s="132" t="n">
        <f aca="false">$F365*I365</f>
        <v>0</v>
      </c>
      <c r="AE365" s="132" t="n">
        <f aca="false">$F365*J365</f>
        <v>-0</v>
      </c>
      <c r="AF365" s="132" t="n">
        <f aca="false">$F365*K365</f>
        <v>-0</v>
      </c>
      <c r="AG365" s="132" t="n">
        <f aca="false">$F365*L365</f>
        <v>0</v>
      </c>
      <c r="AH365" s="132" t="n">
        <f aca="false">$F365*M365</f>
        <v>0</v>
      </c>
      <c r="AI365" s="132" t="n">
        <f aca="false">$F365*N365</f>
        <v>0</v>
      </c>
      <c r="AJ365" s="132" t="n">
        <f aca="false">F365*O365</f>
        <v>0</v>
      </c>
      <c r="AK365" s="137"/>
      <c r="AL365" s="132" t="n">
        <f aca="false">CHOOSE($G$3,AC365-AD365,AD365-AC365)</f>
        <v>0</v>
      </c>
      <c r="AM365" s="132" t="n">
        <f aca="false">CHOOSE($G$3,AF365-AG365,AG365-AF365)</f>
        <v>0</v>
      </c>
      <c r="AN365" s="132" t="n">
        <f aca="false">CHOOSE($G$3,AI365-AJ365,AJ365-AI365)</f>
        <v>0</v>
      </c>
      <c r="AO365" s="148" t="n">
        <f aca="false">SUM(AL365:AN365)</f>
        <v>0</v>
      </c>
      <c r="AQ365" s="132" t="n">
        <f aca="false">CHOOSE($G$3,AB365-AC365,AC365-AB365)</f>
        <v>0</v>
      </c>
      <c r="AR365" s="132" t="n">
        <f aca="false">CHOOSE($G$3,AE365-AF365,AF365-AE365)</f>
        <v>0</v>
      </c>
      <c r="AS365" s="132" t="n">
        <f aca="false">CHOOSE($G$3,AH365-AI365,AI365-AH365)</f>
        <v>0</v>
      </c>
      <c r="AT365" s="148" t="n">
        <f aca="false">AQ365+AR365+AS365</f>
        <v>0</v>
      </c>
      <c r="AU365" s="148"/>
      <c r="AV365" s="133" t="n">
        <f aca="false">AT365+AO365</f>
        <v>0</v>
      </c>
      <c r="AX365" s="133" t="n">
        <f aca="false">AJ365+AG365+AD365</f>
        <v>0</v>
      </c>
      <c r="AY365" s="149"/>
      <c r="AZ365" s="76" t="n">
        <f aca="false">R365*E365</f>
        <v>0</v>
      </c>
    </row>
    <row r="366" customFormat="false" ht="12" hidden="false" customHeight="true" outlineLevel="0" collapsed="false">
      <c r="A366" s="138" t="n">
        <f aca="false">EDATE(A365,1)</f>
        <v>47818</v>
      </c>
      <c r="B366" s="139" t="n">
        <f aca="false">VLOOKUP($A366,Table2,MATCH(I$3,Curves2,0))</f>
        <v>0</v>
      </c>
      <c r="C366" s="140"/>
      <c r="D366" s="141" t="n">
        <f aca="false">B366+C366</f>
        <v>0</v>
      </c>
      <c r="E366" s="126" t="n">
        <f aca="false">IF(Y366=0,0,IF(AND(Y366=1,$H$3=1),D366*T366,IF($H$3=2,D366,"N/A")))</f>
        <v>0</v>
      </c>
      <c r="F366" s="126" t="n">
        <f aca="false">E366*X366</f>
        <v>0</v>
      </c>
      <c r="G366" s="142" t="n">
        <f aca="false">VLOOKUP($A366,Table,MATCH(G$4,Curves,0))</f>
        <v>3.987</v>
      </c>
      <c r="H366" s="143" t="n">
        <f aca="false">G366</f>
        <v>3.987</v>
      </c>
      <c r="I366" s="142" t="n">
        <f aca="false">VLOOKUP($A366,Table1,MATCH(I$3,Curves1,0))</f>
        <v>0</v>
      </c>
      <c r="J366" s="142" t="n">
        <f aca="false">VLOOKUP($A366,Table,MATCH(J$4,Curves,0))</f>
        <v>-0.0305</v>
      </c>
      <c r="K366" s="143" t="n">
        <f aca="false">J366</f>
        <v>-0.0305</v>
      </c>
      <c r="L366" s="144" t="n">
        <v>0</v>
      </c>
      <c r="M366" s="142" t="n">
        <f aca="false">VLOOKUP($A366,Table,MATCH(M$4,Curves,0))</f>
        <v>0.0087</v>
      </c>
      <c r="N366" s="143" t="n">
        <f aca="false">M366</f>
        <v>0.0087</v>
      </c>
      <c r="O366" s="144" t="n">
        <v>0</v>
      </c>
      <c r="P366" s="145"/>
      <c r="Q366" s="144" t="n">
        <f aca="false">M366+J366+G366</f>
        <v>3.9652</v>
      </c>
      <c r="R366" s="144" t="n">
        <f aca="false">O366+L366+I366</f>
        <v>0</v>
      </c>
      <c r="S366" s="145"/>
      <c r="T366" s="71" t="n">
        <f aca="false">A367-A366</f>
        <v>31</v>
      </c>
      <c r="U366" s="146" t="n">
        <f aca="false">CHOOSE(F$3,A367+24,A366)</f>
        <v>47873</v>
      </c>
      <c r="V366" s="71" t="n">
        <f aca="false">U366-C$3</f>
        <v>10985</v>
      </c>
      <c r="W366" s="142" t="n">
        <f aca="false">VLOOKUP($A366,Table,MATCH(W$4,Curves,0))</f>
        <v>0.058966861357273</v>
      </c>
      <c r="X366" s="147" t="n">
        <f aca="false">1/(1+CHOOSE(F$3,(W367+($K$3/10000))/2,(W366+($K$3/10000))/2))^(2*V366/365.25)</f>
        <v>0.174155857560212</v>
      </c>
      <c r="Y366" s="71" t="n">
        <f aca="false">IF(AND(mthbeg&lt;=A366,mthend&gt;=A366),1,0)</f>
        <v>0</v>
      </c>
      <c r="Z366" s="71" t="n">
        <f aca="false">T366*Y366</f>
        <v>0</v>
      </c>
      <c r="AB366" s="132" t="n">
        <f aca="false">F366*G366</f>
        <v>0</v>
      </c>
      <c r="AC366" s="132" t="n">
        <f aca="false">$F366*H366</f>
        <v>0</v>
      </c>
      <c r="AD366" s="132" t="n">
        <f aca="false">$F366*I366</f>
        <v>0</v>
      </c>
      <c r="AE366" s="132" t="n">
        <f aca="false">$F366*J366</f>
        <v>-0</v>
      </c>
      <c r="AF366" s="132" t="n">
        <f aca="false">$F366*K366</f>
        <v>-0</v>
      </c>
      <c r="AG366" s="132" t="n">
        <f aca="false">$F366*L366</f>
        <v>0</v>
      </c>
      <c r="AH366" s="132" t="n">
        <f aca="false">$F366*M366</f>
        <v>0</v>
      </c>
      <c r="AI366" s="132" t="n">
        <f aca="false">$F366*N366</f>
        <v>0</v>
      </c>
      <c r="AJ366" s="132" t="n">
        <f aca="false">F366*O366</f>
        <v>0</v>
      </c>
      <c r="AK366" s="137"/>
      <c r="AL366" s="132" t="n">
        <f aca="false">CHOOSE($G$3,AC366-AD366,AD366-AC366)</f>
        <v>0</v>
      </c>
      <c r="AM366" s="132" t="n">
        <f aca="false">CHOOSE($G$3,AF366-AG366,AG366-AF366)</f>
        <v>0</v>
      </c>
      <c r="AN366" s="132" t="n">
        <f aca="false">CHOOSE($G$3,AI366-AJ366,AJ366-AI366)</f>
        <v>0</v>
      </c>
      <c r="AO366" s="148" t="n">
        <f aca="false">SUM(AL366:AN366)</f>
        <v>0</v>
      </c>
      <c r="AQ366" s="132" t="n">
        <f aca="false">CHOOSE($G$3,AB366-AC366,AC366-AB366)</f>
        <v>0</v>
      </c>
      <c r="AR366" s="132" t="n">
        <f aca="false">CHOOSE($G$3,AE366-AF366,AF366-AE366)</f>
        <v>0</v>
      </c>
      <c r="AS366" s="132" t="n">
        <f aca="false">CHOOSE($G$3,AH366-AI366,AI366-AH366)</f>
        <v>0</v>
      </c>
      <c r="AT366" s="148" t="n">
        <f aca="false">AQ366+AR366+AS366</f>
        <v>0</v>
      </c>
      <c r="AU366" s="148"/>
      <c r="AV366" s="133" t="n">
        <f aca="false">AT366+AO366</f>
        <v>0</v>
      </c>
      <c r="AX366" s="133" t="n">
        <f aca="false">AJ366+AG366+AD366</f>
        <v>0</v>
      </c>
      <c r="AY366" s="149"/>
      <c r="AZ366" s="76" t="n">
        <f aca="false">R366*E366</f>
        <v>0</v>
      </c>
    </row>
    <row r="367" customFormat="false" ht="12" hidden="false" customHeight="true" outlineLevel="0" collapsed="false">
      <c r="A367" s="138" t="n">
        <f aca="false">EDATE(A366,1)</f>
        <v>47849</v>
      </c>
      <c r="B367" s="139" t="n">
        <f aca="false">VLOOKUP($A367,Table2,MATCH(I$3,Curves2,0))</f>
        <v>0</v>
      </c>
      <c r="C367" s="140"/>
      <c r="D367" s="141" t="n">
        <f aca="false">B367+C367</f>
        <v>0</v>
      </c>
      <c r="E367" s="126" t="n">
        <f aca="false">IF(Y367=0,0,IF(AND(Y367=1,$H$3=1),D367*T367,IF($H$3=2,D367,"N/A")))</f>
        <v>0</v>
      </c>
      <c r="F367" s="126" t="n">
        <f aca="false">E367*X367</f>
        <v>0</v>
      </c>
      <c r="G367" s="142" t="n">
        <f aca="false">VLOOKUP($A367,Table,MATCH(G$4,Curves,0))</f>
        <v>3.987</v>
      </c>
      <c r="H367" s="143" t="n">
        <f aca="false">G367</f>
        <v>3.987</v>
      </c>
      <c r="I367" s="142" t="n">
        <f aca="false">VLOOKUP($A367,Table1,MATCH(I$3,Curves1,0))</f>
        <v>0</v>
      </c>
      <c r="J367" s="142" t="n">
        <f aca="false">VLOOKUP($A367,Table,MATCH(J$4,Curves,0))</f>
        <v>-0.0305</v>
      </c>
      <c r="K367" s="143" t="n">
        <f aca="false">J367</f>
        <v>-0.0305</v>
      </c>
      <c r="L367" s="144" t="n">
        <v>0</v>
      </c>
      <c r="M367" s="142" t="n">
        <f aca="false">VLOOKUP($A367,Table,MATCH(M$4,Curves,0))</f>
        <v>0.0087</v>
      </c>
      <c r="N367" s="143" t="n">
        <f aca="false">M367</f>
        <v>0.0087</v>
      </c>
      <c r="O367" s="144" t="n">
        <v>0</v>
      </c>
      <c r="P367" s="145"/>
      <c r="Q367" s="144" t="n">
        <f aca="false">M367+J367+G367</f>
        <v>3.9652</v>
      </c>
      <c r="R367" s="144" t="n">
        <f aca="false">O367+L367+I367</f>
        <v>0</v>
      </c>
      <c r="S367" s="145"/>
      <c r="T367" s="71" t="n">
        <f aca="false">A368-A367</f>
        <v>31</v>
      </c>
      <c r="U367" s="146" t="n">
        <f aca="false">CHOOSE(F$3,A368+24,A367)</f>
        <v>47904</v>
      </c>
      <c r="V367" s="71" t="n">
        <f aca="false">U367-C$3</f>
        <v>11016</v>
      </c>
      <c r="W367" s="142" t="n">
        <f aca="false">VLOOKUP($A367,Table,MATCH(W$4,Curves,0))</f>
        <v>0.058966861357273</v>
      </c>
      <c r="X367" s="147" t="n">
        <f aca="false">1/(1+CHOOSE(F$3,(W368+($K$3/10000))/2,(W367+($K$3/10000))/2))^(2*V367/365.25)</f>
        <v>0.173298973624586</v>
      </c>
      <c r="Y367" s="71" t="n">
        <f aca="false">IF(AND(mthbeg&lt;=A367,mthend&gt;=A367),1,0)</f>
        <v>0</v>
      </c>
      <c r="Z367" s="71" t="n">
        <f aca="false">T367*Y367</f>
        <v>0</v>
      </c>
      <c r="AB367" s="132" t="n">
        <f aca="false">F367*G367</f>
        <v>0</v>
      </c>
      <c r="AC367" s="132" t="n">
        <f aca="false">$F367*H367</f>
        <v>0</v>
      </c>
      <c r="AD367" s="132" t="n">
        <f aca="false">$F367*I367</f>
        <v>0</v>
      </c>
      <c r="AE367" s="132" t="n">
        <f aca="false">$F367*J367</f>
        <v>-0</v>
      </c>
      <c r="AF367" s="132" t="n">
        <f aca="false">$F367*K367</f>
        <v>-0</v>
      </c>
      <c r="AG367" s="132" t="n">
        <f aca="false">$F367*L367</f>
        <v>0</v>
      </c>
      <c r="AH367" s="132" t="n">
        <f aca="false">$F367*M367</f>
        <v>0</v>
      </c>
      <c r="AI367" s="132" t="n">
        <f aca="false">$F367*N367</f>
        <v>0</v>
      </c>
      <c r="AJ367" s="132" t="n">
        <f aca="false">F367*O367</f>
        <v>0</v>
      </c>
      <c r="AK367" s="137"/>
      <c r="AL367" s="132" t="n">
        <f aca="false">CHOOSE($G$3,AC367-AD367,AD367-AC367)</f>
        <v>0</v>
      </c>
      <c r="AM367" s="132" t="n">
        <f aca="false">CHOOSE($G$3,AF367-AG367,AG367-AF367)</f>
        <v>0</v>
      </c>
      <c r="AN367" s="132" t="n">
        <f aca="false">CHOOSE($G$3,AI367-AJ367,AJ367-AI367)</f>
        <v>0</v>
      </c>
      <c r="AO367" s="148" t="n">
        <f aca="false">SUM(AL367:AN367)</f>
        <v>0</v>
      </c>
      <c r="AQ367" s="132" t="n">
        <f aca="false">CHOOSE($G$3,AB367-AC367,AC367-AB367)</f>
        <v>0</v>
      </c>
      <c r="AR367" s="132" t="n">
        <f aca="false">CHOOSE($G$3,AE367-AF367,AF367-AE367)</f>
        <v>0</v>
      </c>
      <c r="AS367" s="132" t="n">
        <f aca="false">CHOOSE($G$3,AH367-AI367,AI367-AH367)</f>
        <v>0</v>
      </c>
      <c r="AT367" s="148" t="n">
        <f aca="false">AQ367+AR367+AS367</f>
        <v>0</v>
      </c>
      <c r="AU367" s="148"/>
      <c r="AV367" s="133" t="n">
        <f aca="false">AT367+AO367</f>
        <v>0</v>
      </c>
      <c r="AX367" s="133" t="n">
        <f aca="false">AJ367+AG367+AD367</f>
        <v>0</v>
      </c>
      <c r="AY367" s="149"/>
      <c r="AZ367" s="76" t="n">
        <f aca="false">R367*E367</f>
        <v>0</v>
      </c>
    </row>
    <row r="368" customFormat="false" ht="12" hidden="false" customHeight="true" outlineLevel="0" collapsed="false">
      <c r="A368" s="138" t="n">
        <f aca="false">EDATE(A367,1)</f>
        <v>47880</v>
      </c>
      <c r="B368" s="139" t="n">
        <f aca="false">VLOOKUP($A368,Table2,MATCH(I$3,Curves2,0))</f>
        <v>0</v>
      </c>
      <c r="C368" s="140"/>
      <c r="D368" s="141" t="n">
        <f aca="false">B368+C368</f>
        <v>0</v>
      </c>
      <c r="E368" s="126" t="n">
        <f aca="false">IF(Y368=0,0,IF(AND(Y368=1,$H$3=1),D368*T368,IF($H$3=2,D368,"N/A")))</f>
        <v>0</v>
      </c>
      <c r="F368" s="126" t="n">
        <f aca="false">E368*X368</f>
        <v>0</v>
      </c>
      <c r="G368" s="142" t="n">
        <f aca="false">VLOOKUP($A368,Table,MATCH(G$4,Curves,0))</f>
        <v>3.987</v>
      </c>
      <c r="H368" s="143" t="n">
        <f aca="false">G368</f>
        <v>3.987</v>
      </c>
      <c r="I368" s="142" t="n">
        <f aca="false">VLOOKUP($A368,Table1,MATCH(I$3,Curves1,0))</f>
        <v>0</v>
      </c>
      <c r="J368" s="142" t="n">
        <f aca="false">VLOOKUP($A368,Table,MATCH(J$4,Curves,0))</f>
        <v>-0.0305</v>
      </c>
      <c r="K368" s="143" t="n">
        <f aca="false">J368</f>
        <v>-0.0305</v>
      </c>
      <c r="L368" s="144" t="n">
        <v>0</v>
      </c>
      <c r="M368" s="142" t="n">
        <f aca="false">VLOOKUP($A368,Table,MATCH(M$4,Curves,0))</f>
        <v>0.0087</v>
      </c>
      <c r="N368" s="143" t="n">
        <f aca="false">M368</f>
        <v>0.0087</v>
      </c>
      <c r="O368" s="144" t="n">
        <v>0</v>
      </c>
      <c r="P368" s="145"/>
      <c r="Q368" s="144" t="n">
        <f aca="false">M368+J368+G368</f>
        <v>3.9652</v>
      </c>
      <c r="R368" s="144" t="n">
        <f aca="false">O368+L368+I368</f>
        <v>0</v>
      </c>
      <c r="S368" s="145"/>
      <c r="T368" s="71" t="n">
        <f aca="false">A369-A368</f>
        <v>28</v>
      </c>
      <c r="U368" s="146" t="n">
        <f aca="false">CHOOSE(F$3,A369+24,A368)</f>
        <v>47932</v>
      </c>
      <c r="V368" s="71" t="n">
        <f aca="false">U368-C$3</f>
        <v>11044</v>
      </c>
      <c r="W368" s="142" t="n">
        <f aca="false">VLOOKUP($A368,Table,MATCH(W$4,Curves,0))</f>
        <v>0.058966861357273</v>
      </c>
      <c r="X368" s="147" t="n">
        <f aca="false">1/(1+CHOOSE(F$3,(W369+($K$3/10000))/2,(W368+($K$3/10000))/2))^(2*V368/365.25)</f>
        <v>0.172528638303001</v>
      </c>
      <c r="Y368" s="71" t="n">
        <f aca="false">IF(AND(mthbeg&lt;=A368,mthend&gt;=A368),1,0)</f>
        <v>0</v>
      </c>
      <c r="Z368" s="71" t="n">
        <f aca="false">T368*Y368</f>
        <v>0</v>
      </c>
      <c r="AB368" s="132" t="n">
        <f aca="false">F368*G368</f>
        <v>0</v>
      </c>
      <c r="AC368" s="132" t="n">
        <f aca="false">$F368*H368</f>
        <v>0</v>
      </c>
      <c r="AD368" s="132" t="n">
        <f aca="false">$F368*I368</f>
        <v>0</v>
      </c>
      <c r="AE368" s="132" t="n">
        <f aca="false">$F368*J368</f>
        <v>-0</v>
      </c>
      <c r="AF368" s="132" t="n">
        <f aca="false">$F368*K368</f>
        <v>-0</v>
      </c>
      <c r="AG368" s="132" t="n">
        <f aca="false">$F368*L368</f>
        <v>0</v>
      </c>
      <c r="AH368" s="132" t="n">
        <f aca="false">$F368*M368</f>
        <v>0</v>
      </c>
      <c r="AI368" s="132" t="n">
        <f aca="false">$F368*N368</f>
        <v>0</v>
      </c>
      <c r="AJ368" s="132" t="n">
        <f aca="false">F368*O368</f>
        <v>0</v>
      </c>
      <c r="AK368" s="137"/>
      <c r="AL368" s="132" t="n">
        <f aca="false">CHOOSE($G$3,AC368-AD368,AD368-AC368)</f>
        <v>0</v>
      </c>
      <c r="AM368" s="132" t="n">
        <f aca="false">CHOOSE($G$3,AF368-AG368,AG368-AF368)</f>
        <v>0</v>
      </c>
      <c r="AN368" s="132" t="n">
        <f aca="false">CHOOSE($G$3,AI368-AJ368,AJ368-AI368)</f>
        <v>0</v>
      </c>
      <c r="AO368" s="148" t="n">
        <f aca="false">SUM(AL368:AN368)</f>
        <v>0</v>
      </c>
      <c r="AQ368" s="132" t="n">
        <f aca="false">CHOOSE($G$3,AB368-AC368,AC368-AB368)</f>
        <v>0</v>
      </c>
      <c r="AR368" s="132" t="n">
        <f aca="false">CHOOSE($G$3,AE368-AF368,AF368-AE368)</f>
        <v>0</v>
      </c>
      <c r="AS368" s="132" t="n">
        <f aca="false">CHOOSE($G$3,AH368-AI368,AI368-AH368)</f>
        <v>0</v>
      </c>
      <c r="AT368" s="148" t="n">
        <f aca="false">AQ368+AR368+AS368</f>
        <v>0</v>
      </c>
      <c r="AU368" s="148"/>
      <c r="AV368" s="133" t="n">
        <f aca="false">AT368+AO368</f>
        <v>0</v>
      </c>
      <c r="AX368" s="133" t="n">
        <f aca="false">AJ368+AG368+AD368</f>
        <v>0</v>
      </c>
      <c r="AY368" s="149"/>
      <c r="AZ368" s="76" t="n">
        <f aca="false">R368*E368</f>
        <v>0</v>
      </c>
    </row>
    <row r="369" customFormat="false" ht="12" hidden="false" customHeight="true" outlineLevel="0" collapsed="false">
      <c r="A369" s="138" t="n">
        <f aca="false">EDATE(A368,1)</f>
        <v>47908</v>
      </c>
      <c r="B369" s="139" t="n">
        <f aca="false">VLOOKUP($A369,Table2,MATCH(I$3,Curves2,0))</f>
        <v>0</v>
      </c>
      <c r="C369" s="140"/>
      <c r="D369" s="141" t="n">
        <f aca="false">B369+C369</f>
        <v>0</v>
      </c>
      <c r="E369" s="126" t="n">
        <f aca="false">IF(Y369=0,0,IF(AND(Y369=1,$H$3=1),D369*T369,IF($H$3=2,D369,"N/A")))</f>
        <v>0</v>
      </c>
      <c r="F369" s="126" t="n">
        <f aca="false">E369*X369</f>
        <v>0</v>
      </c>
      <c r="G369" s="142" t="n">
        <f aca="false">VLOOKUP($A369,Table,MATCH(G$4,Curves,0))</f>
        <v>3.987</v>
      </c>
      <c r="H369" s="143" t="n">
        <f aca="false">G369</f>
        <v>3.987</v>
      </c>
      <c r="I369" s="142" t="n">
        <f aca="false">VLOOKUP($A369,Table1,MATCH(I$3,Curves1,0))</f>
        <v>0</v>
      </c>
      <c r="J369" s="142" t="n">
        <f aca="false">VLOOKUP($A369,Table,MATCH(J$4,Curves,0))</f>
        <v>-0.0305</v>
      </c>
      <c r="K369" s="143" t="n">
        <f aca="false">J369</f>
        <v>-0.0305</v>
      </c>
      <c r="L369" s="144" t="n">
        <v>0</v>
      </c>
      <c r="M369" s="142" t="n">
        <f aca="false">VLOOKUP($A369,Table,MATCH(M$4,Curves,0))</f>
        <v>0.0087</v>
      </c>
      <c r="N369" s="143" t="n">
        <f aca="false">M369</f>
        <v>0.0087</v>
      </c>
      <c r="O369" s="144" t="n">
        <v>0</v>
      </c>
      <c r="P369" s="145"/>
      <c r="Q369" s="144" t="n">
        <f aca="false">M369+J369+G369</f>
        <v>3.9652</v>
      </c>
      <c r="R369" s="144" t="n">
        <f aca="false">O369+L369+I369</f>
        <v>0</v>
      </c>
      <c r="S369" s="145"/>
      <c r="T369" s="71" t="n">
        <f aca="false">A370-A369</f>
        <v>31</v>
      </c>
      <c r="U369" s="146" t="n">
        <f aca="false">CHOOSE(F$3,A370+24,A369)</f>
        <v>47963</v>
      </c>
      <c r="V369" s="71" t="n">
        <f aca="false">U369-C$3</f>
        <v>11075</v>
      </c>
      <c r="W369" s="142" t="n">
        <f aca="false">VLOOKUP($A369,Table,MATCH(W$4,Curves,0))</f>
        <v>0.058966861357273</v>
      </c>
      <c r="X369" s="147" t="n">
        <f aca="false">1/(1+CHOOSE(F$3,(W370+($K$3/10000))/2,(W369+($K$3/10000))/2))^(2*V369/365.25)</f>
        <v>0.171679760632916</v>
      </c>
      <c r="Y369" s="71" t="n">
        <f aca="false">IF(AND(mthbeg&lt;=A369,mthend&gt;=A369),1,0)</f>
        <v>0</v>
      </c>
      <c r="Z369" s="71" t="n">
        <f aca="false">T369*Y369</f>
        <v>0</v>
      </c>
      <c r="AB369" s="132" t="n">
        <f aca="false">F369*G369</f>
        <v>0</v>
      </c>
      <c r="AC369" s="132" t="n">
        <f aca="false">$F369*H369</f>
        <v>0</v>
      </c>
      <c r="AD369" s="132" t="n">
        <f aca="false">$F369*I369</f>
        <v>0</v>
      </c>
      <c r="AE369" s="132" t="n">
        <f aca="false">$F369*J369</f>
        <v>-0</v>
      </c>
      <c r="AF369" s="132" t="n">
        <f aca="false">$F369*K369</f>
        <v>-0</v>
      </c>
      <c r="AG369" s="132" t="n">
        <f aca="false">$F369*L369</f>
        <v>0</v>
      </c>
      <c r="AH369" s="132" t="n">
        <f aca="false">$F369*M369</f>
        <v>0</v>
      </c>
      <c r="AI369" s="132" t="n">
        <f aca="false">$F369*N369</f>
        <v>0</v>
      </c>
      <c r="AJ369" s="132" t="n">
        <f aca="false">F369*O369</f>
        <v>0</v>
      </c>
      <c r="AK369" s="137"/>
      <c r="AL369" s="132" t="n">
        <f aca="false">CHOOSE($G$3,AC369-AD369,AD369-AC369)</f>
        <v>0</v>
      </c>
      <c r="AM369" s="132" t="n">
        <f aca="false">CHOOSE($G$3,AF369-AG369,AG369-AF369)</f>
        <v>0</v>
      </c>
      <c r="AN369" s="132" t="n">
        <f aca="false">CHOOSE($G$3,AI369-AJ369,AJ369-AI369)</f>
        <v>0</v>
      </c>
      <c r="AO369" s="148" t="n">
        <f aca="false">SUM(AL369:AN369)</f>
        <v>0</v>
      </c>
      <c r="AQ369" s="132" t="n">
        <f aca="false">CHOOSE($G$3,AB369-AC369,AC369-AB369)</f>
        <v>0</v>
      </c>
      <c r="AR369" s="132" t="n">
        <f aca="false">CHOOSE($G$3,AE369-AF369,AF369-AE369)</f>
        <v>0</v>
      </c>
      <c r="AS369" s="132" t="n">
        <f aca="false">CHOOSE($G$3,AH369-AI369,AI369-AH369)</f>
        <v>0</v>
      </c>
      <c r="AT369" s="148" t="n">
        <f aca="false">AQ369+AR369+AS369</f>
        <v>0</v>
      </c>
      <c r="AU369" s="148"/>
      <c r="AV369" s="151" t="n">
        <f aca="false">AT369+AO369</f>
        <v>0</v>
      </c>
      <c r="AX369" s="151" t="n">
        <f aca="false">AJ369+AG369+AD369</f>
        <v>0</v>
      </c>
      <c r="AY369" s="149"/>
      <c r="AZ369" s="76" t="n">
        <f aca="false">R369*E369</f>
        <v>0</v>
      </c>
    </row>
    <row r="370" customFormat="false" ht="12.75" hidden="false" customHeight="false" outlineLevel="0" collapsed="false">
      <c r="A370" s="138" t="n">
        <f aca="false">EDATE(A369,1)</f>
        <v>47939</v>
      </c>
      <c r="W370" s="142" t="n">
        <f aca="false">VLOOKUP($A370,Table,MATCH(W$4,Curves,0))</f>
        <v>0.058966861357273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74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O16" activeCellId="0" sqref="O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41"/>
    <col collapsed="false" customWidth="true" hidden="false" outlineLevel="0" max="4" min="4" style="0" width="11.42"/>
    <col collapsed="false" customWidth="true" hidden="false" outlineLevel="0" max="6" min="6" style="0" width="10.85"/>
    <col collapsed="false" customWidth="true" hidden="false" outlineLevel="0" max="10" min="10" style="0" width="9.99"/>
    <col collapsed="false" customWidth="true" hidden="false" outlineLevel="0" max="11" min="11" style="0" width="11.13"/>
    <col collapsed="false" customWidth="true" hidden="false" outlineLevel="0" max="12" min="12" style="0" width="11.56"/>
    <col collapsed="false" customWidth="true" hidden="false" outlineLevel="0" max="14" min="14" style="0" width="14.28"/>
    <col collapsed="false" customWidth="true" hidden="false" outlineLevel="0" max="16" min="16" style="0" width="11.56"/>
    <col collapsed="false" customWidth="true" hidden="false" outlineLevel="0" max="17" min="17" style="0" width="11.99"/>
    <col collapsed="false" customWidth="true" hidden="false" outlineLevel="0" max="20" min="20" style="0" width="9.85"/>
    <col collapsed="false" customWidth="true" hidden="false" outlineLevel="0" max="21" min="21" style="0" width="10.71"/>
    <col collapsed="false" customWidth="true" hidden="false" outlineLevel="0" max="24" min="24" style="0" width="1.56"/>
  </cols>
  <sheetData>
    <row r="1" customFormat="false" ht="12.75" hidden="false" customHeight="false" outlineLevel="0" collapsed="false">
      <c r="A1" s="1" t="s">
        <v>203</v>
      </c>
    </row>
    <row r="3" customFormat="false" ht="12.75" hidden="false" customHeight="false" outlineLevel="0" collapsed="false">
      <c r="A3" s="2" t="s">
        <v>102</v>
      </c>
    </row>
    <row r="4" customFormat="false" ht="12.75" hidden="false" customHeight="false" outlineLevel="0" collapsed="false">
      <c r="B4" s="0" t="s">
        <v>173</v>
      </c>
      <c r="F4" s="152" t="n">
        <f aca="false">'Financing Assumptions'!E44</f>
        <v>0</v>
      </c>
      <c r="I4" s="0" t="s">
        <v>174</v>
      </c>
      <c r="L4" s="59" t="n">
        <f aca="false">SUM(I19:I74)</f>
        <v>0</v>
      </c>
      <c r="N4" s="0" t="s">
        <v>175</v>
      </c>
      <c r="Q4" s="59" t="n">
        <v>0</v>
      </c>
    </row>
    <row r="5" customFormat="false" ht="12.75" hidden="false" customHeight="false" outlineLevel="0" collapsed="false">
      <c r="B5" s="0" t="s">
        <v>176</v>
      </c>
      <c r="F5" s="59" t="n">
        <f aca="false">L5</f>
        <v>0</v>
      </c>
      <c r="I5" s="0" t="s">
        <v>177</v>
      </c>
      <c r="L5" s="59" t="n">
        <f aca="false">SUM(J19:J74)</f>
        <v>0</v>
      </c>
      <c r="N5" s="0" t="s">
        <v>178</v>
      </c>
      <c r="Q5" s="153" t="n">
        <v>0</v>
      </c>
    </row>
    <row r="6" customFormat="false" ht="12.75" hidden="false" customHeight="false" outlineLevel="0" collapsed="false">
      <c r="B6" s="0" t="s">
        <v>179</v>
      </c>
      <c r="F6" s="59" t="n">
        <f aca="false">Q74</f>
        <v>0</v>
      </c>
      <c r="I6" s="0" t="s">
        <v>180</v>
      </c>
      <c r="L6" s="0" t="n">
        <v>0</v>
      </c>
      <c r="N6" s="0" t="s">
        <v>181</v>
      </c>
      <c r="Q6" s="59" t="n">
        <v>0</v>
      </c>
    </row>
    <row r="9" customFormat="false" ht="12.75" hidden="false" customHeight="false" outlineLevel="0" collapsed="false">
      <c r="H9" s="154" t="s">
        <v>182</v>
      </c>
      <c r="I9" s="154"/>
      <c r="J9" s="154"/>
      <c r="K9" s="154"/>
      <c r="L9" s="154"/>
      <c r="N9" s="154" t="s">
        <v>183</v>
      </c>
      <c r="O9" s="154"/>
      <c r="P9" s="154"/>
      <c r="Q9" s="154"/>
    </row>
    <row r="10" customFormat="false" ht="12.75" hidden="false" customHeight="false" outlineLevel="0" collapsed="false">
      <c r="H10" s="41" t="s">
        <v>90</v>
      </c>
      <c r="I10" s="41"/>
      <c r="J10" s="41"/>
      <c r="K10" s="41" t="s">
        <v>184</v>
      </c>
      <c r="L10" s="41" t="s">
        <v>3</v>
      </c>
      <c r="N10" s="41" t="s">
        <v>90</v>
      </c>
      <c r="V10" s="41"/>
      <c r="W10" s="41"/>
    </row>
    <row r="11" customFormat="false" ht="12.75" hidden="false" customHeight="false" outlineLevel="0" collapsed="false">
      <c r="B11" s="41" t="s">
        <v>69</v>
      </c>
      <c r="C11" s="41" t="s">
        <v>69</v>
      </c>
      <c r="D11" s="41" t="s">
        <v>89</v>
      </c>
      <c r="E11" s="41" t="s">
        <v>185</v>
      </c>
      <c r="F11" s="41" t="s">
        <v>90</v>
      </c>
      <c r="H11" s="41" t="s">
        <v>122</v>
      </c>
      <c r="I11" s="41" t="s">
        <v>117</v>
      </c>
      <c r="J11" s="41" t="s">
        <v>117</v>
      </c>
      <c r="K11" s="41" t="s">
        <v>186</v>
      </c>
      <c r="L11" s="41" t="s">
        <v>134</v>
      </c>
      <c r="N11" s="41" t="s">
        <v>122</v>
      </c>
      <c r="O11" s="41" t="s">
        <v>117</v>
      </c>
      <c r="P11" s="41" t="s">
        <v>117</v>
      </c>
      <c r="Q11" s="41" t="s">
        <v>187</v>
      </c>
      <c r="S11" s="41" t="s">
        <v>188</v>
      </c>
      <c r="T11" s="41" t="s">
        <v>189</v>
      </c>
      <c r="U11" s="41" t="s">
        <v>129</v>
      </c>
      <c r="V11" s="41" t="s">
        <v>91</v>
      </c>
      <c r="W11" s="41" t="s">
        <v>190</v>
      </c>
      <c r="Y11" s="41" t="s">
        <v>191</v>
      </c>
      <c r="Z11" s="41" t="s">
        <v>186</v>
      </c>
    </row>
    <row r="12" customFormat="false" ht="12.75" hidden="false" customHeight="false" outlineLevel="0" collapsed="false">
      <c r="B12" s="60" t="s">
        <v>75</v>
      </c>
      <c r="C12" s="60" t="s">
        <v>76</v>
      </c>
      <c r="D12" s="60" t="s">
        <v>75</v>
      </c>
      <c r="E12" s="60" t="s">
        <v>192</v>
      </c>
      <c r="F12" s="60" t="s">
        <v>76</v>
      </c>
      <c r="H12" s="60" t="s">
        <v>193</v>
      </c>
      <c r="I12" s="60" t="s">
        <v>131</v>
      </c>
      <c r="J12" s="60" t="s">
        <v>132</v>
      </c>
      <c r="K12" s="60" t="s">
        <v>194</v>
      </c>
      <c r="L12" s="60" t="s">
        <v>195</v>
      </c>
      <c r="N12" s="60" t="s">
        <v>196</v>
      </c>
      <c r="O12" s="60" t="s">
        <v>131</v>
      </c>
      <c r="P12" s="60" t="s">
        <v>132</v>
      </c>
      <c r="Q12" s="60" t="s">
        <v>197</v>
      </c>
      <c r="S12" s="60" t="s">
        <v>93</v>
      </c>
      <c r="T12" s="60" t="s">
        <v>127</v>
      </c>
      <c r="U12" s="60" t="s">
        <v>194</v>
      </c>
      <c r="V12" s="60" t="s">
        <v>93</v>
      </c>
      <c r="W12" s="60" t="s">
        <v>93</v>
      </c>
      <c r="Y12" s="60" t="s">
        <v>93</v>
      </c>
      <c r="Z12" s="60" t="s">
        <v>37</v>
      </c>
    </row>
    <row r="14" customFormat="false" ht="12.75" hidden="false" customHeight="false" outlineLevel="0" collapsed="false">
      <c r="D14" s="66" t="n">
        <f aca="false">Summary!B5</f>
        <v>36888</v>
      </c>
    </row>
    <row r="15" customFormat="false" ht="12.75" hidden="false" customHeight="false" outlineLevel="0" collapsed="false">
      <c r="B15" s="155" t="n">
        <v>36861</v>
      </c>
      <c r="C15" s="0" t="n">
        <f aca="false">EOMONTH(B15,0)-EOMONTH(B15,-1)</f>
        <v>31</v>
      </c>
      <c r="D15" s="66" t="n">
        <f aca="false">WORKDAY(EOMONTH(B15,0)+24,1,'Financing Assumptions'!E33:E39)</f>
        <v>36916</v>
      </c>
      <c r="E15" s="156" t="str">
        <f aca="false">TEXT(D15,"DDD")</f>
        <v>Thu</v>
      </c>
      <c r="F15" s="41" t="n">
        <f aca="false">D15-$D$14</f>
        <v>28</v>
      </c>
    </row>
    <row r="16" customFormat="false" ht="12.75" hidden="false" customHeight="false" outlineLevel="0" collapsed="false">
      <c r="B16" s="155" t="n">
        <v>36892</v>
      </c>
      <c r="C16" s="0" t="n">
        <f aca="false">EOMONTH(B16,0)-EOMONTH(B16,-1)</f>
        <v>31</v>
      </c>
      <c r="D16" s="66" t="n">
        <f aca="false">WORKDAY(EOMONTH(B16,0)+24,1,'Financing Assumptions'!E34:E40)</f>
        <v>36948</v>
      </c>
      <c r="E16" s="156" t="str">
        <f aca="false">TEXT(D16,"DDD")</f>
        <v>Mon</v>
      </c>
      <c r="F16" s="41" t="n">
        <f aca="false">D16-$D$14</f>
        <v>60</v>
      </c>
      <c r="J16" s="0" t="s">
        <v>198</v>
      </c>
      <c r="L16" s="59" t="n">
        <v>0</v>
      </c>
    </row>
    <row r="17" customFormat="false" ht="12.75" hidden="false" customHeight="false" outlineLevel="0" collapsed="false">
      <c r="B17" s="155" t="n">
        <v>36923</v>
      </c>
      <c r="C17" s="0" t="n">
        <f aca="false">EOMONTH(B17,0)-EOMONTH(B17,-1)</f>
        <v>28</v>
      </c>
      <c r="D17" s="66" t="n">
        <f aca="false">WORKDAY(EOMONTH(B17,0)+24,1,'Financing Assumptions'!E35:E41)</f>
        <v>36976</v>
      </c>
      <c r="E17" s="156" t="str">
        <f aca="false">TEXT(D17,"DDD")</f>
        <v>Mon</v>
      </c>
      <c r="F17" s="41" t="n">
        <f aca="false">D17-$D$14</f>
        <v>88</v>
      </c>
    </row>
    <row r="18" customFormat="false" ht="12.75" hidden="false" customHeight="false" outlineLevel="0" collapsed="false">
      <c r="B18" s="155" t="n">
        <v>36951</v>
      </c>
      <c r="C18" s="0" t="n">
        <f aca="false">EOMONTH(B18,0)-EOMONTH(B18,-1)</f>
        <v>31</v>
      </c>
      <c r="D18" s="66" t="n">
        <f aca="false">WORKDAY(EOMONTH(B18,0)+24,1,'Financing Assumptions'!E36:E42)</f>
        <v>37006</v>
      </c>
      <c r="E18" s="156" t="str">
        <f aca="false">TEXT(D18,"DDD")</f>
        <v>Wed</v>
      </c>
      <c r="F18" s="41" t="n">
        <f aca="false">D18-$D$14</f>
        <v>118</v>
      </c>
    </row>
    <row r="19" customFormat="false" ht="12.75" hidden="false" customHeight="false" outlineLevel="0" collapsed="false">
      <c r="B19" s="155" t="n">
        <v>36982</v>
      </c>
      <c r="C19" s="0" t="n">
        <f aca="false">EOMONTH(B19,0)-EOMONTH(B19,-1)</f>
        <v>30</v>
      </c>
      <c r="D19" s="66" t="n">
        <f aca="false">WORKDAY(EOMONTH(B19,0)+24,1,'Financing Assumptions'!E37:E43)</f>
        <v>37036</v>
      </c>
      <c r="E19" s="156" t="str">
        <f aca="false">TEXT(D19,"DDD")</f>
        <v>Fri</v>
      </c>
      <c r="F19" s="41" t="n">
        <f aca="false">D19-$D$14</f>
        <v>148</v>
      </c>
      <c r="H19" s="0" t="n">
        <f aca="false">(1+Curves!U5/12)^(-12*F19/360)</f>
        <v>0.974015782510108</v>
      </c>
      <c r="I19" s="152" t="n">
        <f aca="false">$F$4*H19*C19</f>
        <v>0</v>
      </c>
      <c r="J19" s="59" t="n">
        <f aca="false">I19*(Curves!B5+Curves!H5+Curves!I5)</f>
        <v>0</v>
      </c>
      <c r="K19" s="68" t="n">
        <v>0</v>
      </c>
      <c r="L19" s="59" t="n">
        <v>0</v>
      </c>
      <c r="N19" s="74" t="n">
        <f aca="false">(1+Curves!V5/12)^(-12*F19/360)</f>
        <v>0.970538166269421</v>
      </c>
      <c r="O19" s="59" t="n">
        <f aca="false">$F$4*N19*C19</f>
        <v>0</v>
      </c>
      <c r="P19" s="59" t="n">
        <v>0</v>
      </c>
      <c r="Q19" s="59" t="n">
        <f aca="false">P19</f>
        <v>0</v>
      </c>
      <c r="S19" s="59" t="n">
        <f aca="false">O19</f>
        <v>0</v>
      </c>
      <c r="T19" s="59" t="n">
        <f aca="false">S19*(Curves!B5+Curves!H5+Curves!I5)</f>
        <v>0</v>
      </c>
      <c r="U19" s="0" t="n">
        <v>0</v>
      </c>
      <c r="V19" s="59" t="n">
        <f aca="false">(O19/N19)/C19</f>
        <v>0</v>
      </c>
      <c r="W19" s="59" t="n">
        <v>0</v>
      </c>
      <c r="Y19" s="59" t="n">
        <v>0</v>
      </c>
      <c r="Z19" s="68" t="n">
        <v>0</v>
      </c>
    </row>
    <row r="20" customFormat="false" ht="12.75" hidden="false" customHeight="false" outlineLevel="0" collapsed="false">
      <c r="B20" s="155" t="n">
        <v>37012</v>
      </c>
      <c r="C20" s="0" t="n">
        <f aca="false">EOMONTH(B20,0)-EOMONTH(B20,-1)</f>
        <v>31</v>
      </c>
      <c r="D20" s="66" t="n">
        <f aca="false">WORKDAY(EOMONTH(B20,0)+24,1,'Financing Assumptions'!E38:E44)</f>
        <v>37067</v>
      </c>
      <c r="E20" s="156" t="str">
        <f aca="false">TEXT(D20,"DDD")</f>
        <v>Mon</v>
      </c>
      <c r="F20" s="41" t="n">
        <f aca="false">D20-$D$14</f>
        <v>179</v>
      </c>
      <c r="H20" s="0" t="n">
        <f aca="false">(1+Curves!U6/12)^(-12*F20/360)</f>
        <v>0.969132676480879</v>
      </c>
      <c r="I20" s="152" t="n">
        <f aca="false">$F$4*H20*C20</f>
        <v>0</v>
      </c>
      <c r="J20" s="59" t="n">
        <f aca="false">I20*(Curves!B6+Curves!H6+Curves!I6)</f>
        <v>0</v>
      </c>
      <c r="K20" s="68" t="n">
        <v>0</v>
      </c>
      <c r="L20" s="59" t="n">
        <v>0</v>
      </c>
      <c r="N20" s="74" t="n">
        <f aca="false">(1+Curves!V6/12)^(-12*F20/360)</f>
        <v>0.964948951660208</v>
      </c>
      <c r="O20" s="59" t="n">
        <f aca="false">$F$4*N20*C20</f>
        <v>0</v>
      </c>
      <c r="P20" s="59" t="n">
        <v>0</v>
      </c>
      <c r="Q20" s="59" t="n">
        <f aca="false">P20+Q19</f>
        <v>0</v>
      </c>
      <c r="S20" s="59" t="n">
        <f aca="false">O20</f>
        <v>0</v>
      </c>
      <c r="T20" s="59" t="n">
        <f aca="false">S20*(Curves!B6+Curves!H6+Curves!I6)</f>
        <v>0</v>
      </c>
      <c r="U20" s="0" t="n">
        <v>0</v>
      </c>
      <c r="V20" s="59" t="n">
        <f aca="false">(O20/N20)/C20</f>
        <v>0</v>
      </c>
      <c r="W20" s="59" t="n">
        <v>0</v>
      </c>
      <c r="Y20" s="59" t="n">
        <v>0</v>
      </c>
      <c r="Z20" s="68" t="n">
        <v>0</v>
      </c>
    </row>
    <row r="21" customFormat="false" ht="12.75" hidden="false" customHeight="false" outlineLevel="0" collapsed="false">
      <c r="B21" s="155" t="n">
        <v>37043</v>
      </c>
      <c r="C21" s="0" t="n">
        <f aca="false">EOMONTH(B21,0)-EOMONTH(B21,-1)</f>
        <v>30</v>
      </c>
      <c r="D21" s="66" t="n">
        <f aca="false">WORKDAY(EOMONTH(B21,0)+24,1,'Financing Assumptions'!E39:E45)</f>
        <v>37097</v>
      </c>
      <c r="E21" s="156" t="str">
        <f aca="false">TEXT(D21,"DDD")</f>
        <v>Wed</v>
      </c>
      <c r="F21" s="41" t="n">
        <f aca="false">D21-$D$14</f>
        <v>209</v>
      </c>
      <c r="H21" s="0" t="n">
        <f aca="false">(1+Curves!U7/12)^(-12*F21/360)</f>
        <v>0.964622209264917</v>
      </c>
      <c r="I21" s="152" t="n">
        <f aca="false">$F$4*H21*C21</f>
        <v>0</v>
      </c>
      <c r="J21" s="59" t="n">
        <f aca="false">I21*(Curves!B7+Curves!H7+Curves!I7)</f>
        <v>0</v>
      </c>
      <c r="K21" s="68" t="n">
        <v>0</v>
      </c>
      <c r="L21" s="59" t="n">
        <v>0</v>
      </c>
      <c r="N21" s="74" t="n">
        <f aca="false">(1+Curves!V7/12)^(-12*F21/360)</f>
        <v>0.959761387205513</v>
      </c>
      <c r="O21" s="59" t="n">
        <f aca="false">$F$4*N21*C21</f>
        <v>0</v>
      </c>
      <c r="P21" s="59" t="n">
        <v>0</v>
      </c>
      <c r="Q21" s="59" t="n">
        <f aca="false">P21+Q20</f>
        <v>0</v>
      </c>
      <c r="S21" s="59" t="n">
        <f aca="false">O21</f>
        <v>0</v>
      </c>
      <c r="T21" s="59" t="n">
        <f aca="false">S21*(Curves!B7+Curves!H7+Curves!I7)</f>
        <v>0</v>
      </c>
      <c r="U21" s="0" t="n">
        <v>0</v>
      </c>
      <c r="V21" s="59" t="n">
        <f aca="false">(O21/N21)/C21</f>
        <v>0</v>
      </c>
      <c r="W21" s="59" t="n">
        <v>0</v>
      </c>
      <c r="Y21" s="59" t="n">
        <v>0</v>
      </c>
      <c r="Z21" s="68" t="n">
        <v>0</v>
      </c>
    </row>
    <row r="22" customFormat="false" ht="12.75" hidden="false" customHeight="false" outlineLevel="0" collapsed="false">
      <c r="B22" s="155" t="n">
        <v>37073</v>
      </c>
      <c r="C22" s="0" t="n">
        <f aca="false">EOMONTH(B22,0)-EOMONTH(B22,-1)</f>
        <v>31</v>
      </c>
      <c r="D22" s="66" t="n">
        <f aca="false">WORKDAY(EOMONTH(B22,0)+24,1,'Financing Assumptions'!E40:E46)</f>
        <v>37130</v>
      </c>
      <c r="E22" s="156" t="str">
        <f aca="false">TEXT(D22,"DDD")</f>
        <v>Mon</v>
      </c>
      <c r="F22" s="41" t="n">
        <f aca="false">D22-$D$14</f>
        <v>242</v>
      </c>
      <c r="H22" s="0" t="n">
        <f aca="false">(1+Curves!U8/12)^(-12*F22/360)</f>
        <v>0.959712969314342</v>
      </c>
      <c r="I22" s="152" t="n">
        <f aca="false">$F$4*H22*C22</f>
        <v>0</v>
      </c>
      <c r="J22" s="59" t="n">
        <f aca="false">I22*(Curves!B8+Curves!H8+Curves!I8)</f>
        <v>0</v>
      </c>
      <c r="K22" s="68" t="n">
        <v>0</v>
      </c>
      <c r="L22" s="59" t="n">
        <v>0</v>
      </c>
      <c r="N22" s="74" t="n">
        <f aca="false">(1+Curves!V8/12)^(-12*F22/360)</f>
        <v>0.954115119480747</v>
      </c>
      <c r="O22" s="59" t="n">
        <f aca="false">$F$4*N22*C22</f>
        <v>0</v>
      </c>
      <c r="P22" s="59" t="n">
        <v>0</v>
      </c>
      <c r="Q22" s="59" t="n">
        <f aca="false">P22+Q21</f>
        <v>0</v>
      </c>
      <c r="S22" s="59" t="n">
        <f aca="false">O22</f>
        <v>0</v>
      </c>
      <c r="T22" s="59" t="n">
        <f aca="false">S22*(Curves!B8+Curves!H8+Curves!I8)</f>
        <v>0</v>
      </c>
      <c r="U22" s="0" t="n">
        <v>0</v>
      </c>
      <c r="V22" s="59" t="n">
        <f aca="false">(O22/N22)/C22</f>
        <v>0</v>
      </c>
      <c r="W22" s="59" t="n">
        <v>0</v>
      </c>
      <c r="Y22" s="59" t="n">
        <v>0</v>
      </c>
      <c r="Z22" s="68" t="n">
        <v>0</v>
      </c>
    </row>
    <row r="23" customFormat="false" ht="12.75" hidden="false" customHeight="false" outlineLevel="0" collapsed="false">
      <c r="B23" s="155" t="n">
        <v>37104</v>
      </c>
      <c r="C23" s="0" t="n">
        <f aca="false">EOMONTH(B23,0)-EOMONTH(B23,-1)</f>
        <v>31</v>
      </c>
      <c r="D23" s="66" t="n">
        <f aca="false">WORKDAY(EOMONTH(B23,0)+24,1,'Financing Assumptions'!E41:E47)</f>
        <v>37159</v>
      </c>
      <c r="E23" s="156" t="str">
        <f aca="false">TEXT(D23,"DDD")</f>
        <v>Tue</v>
      </c>
      <c r="F23" s="41" t="n">
        <f aca="false">D23-$D$14</f>
        <v>271</v>
      </c>
      <c r="H23" s="0" t="n">
        <f aca="false">(1+Curves!U9/12)^(-12*F23/360)</f>
        <v>0.955489957381465</v>
      </c>
      <c r="I23" s="152" t="n">
        <f aca="false">$F$4*H23*C23</f>
        <v>0</v>
      </c>
      <c r="J23" s="59" t="n">
        <f aca="false">I23*(Curves!B9+Curves!H9+Curves!I9)</f>
        <v>0</v>
      </c>
      <c r="K23" s="68" t="n">
        <v>0</v>
      </c>
      <c r="L23" s="59" t="n">
        <v>0</v>
      </c>
      <c r="N23" s="74" t="n">
        <f aca="false">(1+Curves!V9/12)^(-12*F23/360)</f>
        <v>0.949250703405034</v>
      </c>
      <c r="O23" s="59" t="n">
        <f aca="false">$F$4*N23*C23</f>
        <v>0</v>
      </c>
      <c r="P23" s="59" t="n">
        <v>0</v>
      </c>
      <c r="Q23" s="59" t="n">
        <f aca="false">P23+Q22</f>
        <v>0</v>
      </c>
      <c r="S23" s="59" t="n">
        <f aca="false">O23</f>
        <v>0</v>
      </c>
      <c r="T23" s="59" t="n">
        <f aca="false">S23*(Curves!B9+Curves!H9+Curves!I9)</f>
        <v>0</v>
      </c>
      <c r="U23" s="0" t="n">
        <v>0</v>
      </c>
      <c r="V23" s="59" t="n">
        <f aca="false">(O23/N23)/C23</f>
        <v>0</v>
      </c>
      <c r="W23" s="59" t="n">
        <v>0</v>
      </c>
      <c r="Y23" s="59" t="n">
        <v>0</v>
      </c>
      <c r="Z23" s="68" t="n">
        <v>0</v>
      </c>
    </row>
    <row r="24" customFormat="false" ht="12.75" hidden="false" customHeight="false" outlineLevel="0" collapsed="false">
      <c r="B24" s="155" t="n">
        <v>37135</v>
      </c>
      <c r="C24" s="0" t="n">
        <f aca="false">EOMONTH(B24,0)-EOMONTH(B24,-1)</f>
        <v>30</v>
      </c>
      <c r="D24" s="66" t="n">
        <f aca="false">WORKDAY(EOMONTH(B24,0)+24,1,'Financing Assumptions'!E42:E48)</f>
        <v>37189</v>
      </c>
      <c r="E24" s="156" t="str">
        <f aca="false">TEXT(D24,"DDD")</f>
        <v>Thu</v>
      </c>
      <c r="F24" s="41" t="n">
        <f aca="false">D24-$D$14</f>
        <v>301</v>
      </c>
      <c r="H24" s="0" t="n">
        <f aca="false">(1+Curves!U10/12)^(-12*F24/360)</f>
        <v>0.951233121215417</v>
      </c>
      <c r="I24" s="152" t="n">
        <f aca="false">$F$4*H24*C24</f>
        <v>0</v>
      </c>
      <c r="J24" s="59" t="n">
        <f aca="false">I24*(Curves!B10+Curves!H10+Curves!I10)</f>
        <v>0</v>
      </c>
      <c r="K24" s="68" t="n">
        <v>0</v>
      </c>
      <c r="L24" s="59" t="n">
        <v>0</v>
      </c>
      <c r="N24" s="74" t="n">
        <f aca="false">(1+Curves!V10/12)^(-12*F24/360)</f>
        <v>0.944336153320315</v>
      </c>
      <c r="O24" s="59" t="n">
        <f aca="false">$F$4*N24*C24</f>
        <v>0</v>
      </c>
      <c r="P24" s="59" t="n">
        <v>0</v>
      </c>
      <c r="Q24" s="59" t="n">
        <f aca="false">P24+Q23</f>
        <v>0</v>
      </c>
      <c r="S24" s="59" t="n">
        <f aca="false">O24</f>
        <v>0</v>
      </c>
      <c r="T24" s="59" t="n">
        <f aca="false">S24*(Curves!B10+Curves!H10+Curves!I10)</f>
        <v>0</v>
      </c>
      <c r="U24" s="0" t="n">
        <v>0</v>
      </c>
      <c r="V24" s="59" t="n">
        <f aca="false">(O24/N24)/C24</f>
        <v>0</v>
      </c>
      <c r="W24" s="59" t="n">
        <v>0</v>
      </c>
      <c r="Y24" s="59" t="n">
        <v>0</v>
      </c>
      <c r="Z24" s="68" t="n">
        <v>0</v>
      </c>
    </row>
    <row r="25" customFormat="false" ht="12.75" hidden="false" customHeight="false" outlineLevel="0" collapsed="false">
      <c r="B25" s="155" t="n">
        <v>37165</v>
      </c>
      <c r="C25" s="0" t="n">
        <f aca="false">EOMONTH(B25,0)-EOMONTH(B25,-1)</f>
        <v>31</v>
      </c>
      <c r="D25" s="66" t="n">
        <f aca="false">WORKDAY(EOMONTH(B25,0)+24,1,'Financing Assumptions'!E43:E49)</f>
        <v>37221</v>
      </c>
      <c r="E25" s="156" t="str">
        <f aca="false">TEXT(D25,"DDD")</f>
        <v>Mon</v>
      </c>
      <c r="F25" s="41" t="n">
        <f aca="false">D25-$D$14</f>
        <v>333</v>
      </c>
      <c r="H25" s="0" t="n">
        <f aca="false">(1+Curves!U11/12)^(-12*F25/360)</f>
        <v>0.946706523365583</v>
      </c>
      <c r="I25" s="152" t="n">
        <f aca="false">$F$4*H25*C25</f>
        <v>0</v>
      </c>
      <c r="J25" s="59" t="n">
        <f aca="false">I25*(Curves!B11+Curves!H11+Curves!I11)</f>
        <v>0</v>
      </c>
      <c r="K25" s="68" t="n">
        <v>0</v>
      </c>
      <c r="L25" s="59" t="n">
        <v>0</v>
      </c>
      <c r="N25" s="74" t="n">
        <f aca="false">(1+Curves!V11/12)^(-12*F25/360)</f>
        <v>0.939115194463977</v>
      </c>
      <c r="O25" s="59" t="n">
        <f aca="false">$F$4*N25*C25</f>
        <v>0</v>
      </c>
      <c r="P25" s="59" t="n">
        <v>0</v>
      </c>
      <c r="Q25" s="59" t="n">
        <f aca="false">P25+Q24</f>
        <v>0</v>
      </c>
      <c r="S25" s="59" t="n">
        <f aca="false">O25</f>
        <v>0</v>
      </c>
      <c r="T25" s="59" t="n">
        <f aca="false">S25*(Curves!B11+Curves!H11+Curves!I11)</f>
        <v>0</v>
      </c>
      <c r="U25" s="0" t="n">
        <v>0</v>
      </c>
      <c r="V25" s="59" t="n">
        <f aca="false">(O25/N25)/C25</f>
        <v>0</v>
      </c>
      <c r="W25" s="59" t="n">
        <v>0</v>
      </c>
      <c r="Y25" s="59" t="n">
        <v>0</v>
      </c>
      <c r="Z25" s="68" t="n">
        <v>0</v>
      </c>
    </row>
    <row r="26" customFormat="false" ht="12.75" hidden="false" customHeight="false" outlineLevel="0" collapsed="false">
      <c r="B26" s="155" t="n">
        <v>37196</v>
      </c>
      <c r="C26" s="0" t="n">
        <f aca="false">EOMONTH(B26,0)-EOMONTH(B26,-1)</f>
        <v>30</v>
      </c>
      <c r="D26" s="66" t="n">
        <f aca="false">WORKDAY(EOMONTH(B26,0)+24,1,'Financing Assumptions'!E44:E50)</f>
        <v>37250</v>
      </c>
      <c r="E26" s="156" t="str">
        <f aca="false">TEXT(D26,"DDD")</f>
        <v>Tue</v>
      </c>
      <c r="F26" s="41" t="n">
        <f aca="false">D26-$D$14</f>
        <v>362</v>
      </c>
      <c r="H26" s="0" t="n">
        <f aca="false">(1+Curves!U12/12)^(-12*F26/360)</f>
        <v>0.942661362271595</v>
      </c>
      <c r="I26" s="152" t="n">
        <f aca="false">$F$4*H26*C26</f>
        <v>0</v>
      </c>
      <c r="J26" s="59" t="n">
        <f aca="false">I26*(Curves!B12+Curves!H12+Curves!I12)</f>
        <v>0</v>
      </c>
      <c r="K26" s="68" t="n">
        <v>0</v>
      </c>
      <c r="L26" s="59" t="n">
        <v>0</v>
      </c>
      <c r="N26" s="74" t="n">
        <f aca="false">(1+Curves!V12/12)^(-12*F26/360)</f>
        <v>0.934446734219082</v>
      </c>
      <c r="O26" s="59" t="n">
        <f aca="false">$F$4*N26*C26</f>
        <v>0</v>
      </c>
      <c r="P26" s="59" t="n">
        <v>0</v>
      </c>
      <c r="Q26" s="59" t="n">
        <f aca="false">P26+Q25</f>
        <v>0</v>
      </c>
      <c r="S26" s="59" t="n">
        <f aca="false">O26</f>
        <v>0</v>
      </c>
      <c r="T26" s="59" t="n">
        <f aca="false">S26*(Curves!B12+Curves!H12+Curves!I12)</f>
        <v>0</v>
      </c>
      <c r="U26" s="0" t="n">
        <v>0</v>
      </c>
      <c r="V26" s="59" t="n">
        <f aca="false">(O26/N26)/C26</f>
        <v>0</v>
      </c>
      <c r="W26" s="59" t="n">
        <v>0</v>
      </c>
      <c r="Y26" s="59" t="n">
        <v>0</v>
      </c>
      <c r="Z26" s="68" t="n">
        <v>0</v>
      </c>
    </row>
    <row r="27" customFormat="false" ht="12.75" hidden="false" customHeight="false" outlineLevel="0" collapsed="false">
      <c r="B27" s="155" t="n">
        <v>37226</v>
      </c>
      <c r="C27" s="0" t="n">
        <f aca="false">EOMONTH(B27,0)-EOMONTH(B27,-1)</f>
        <v>31</v>
      </c>
      <c r="D27" s="66" t="n">
        <f aca="false">WORKDAY(EOMONTH(B27,0)+24,1,'Financing Assumptions'!E45:E51)</f>
        <v>37281</v>
      </c>
      <c r="E27" s="156" t="str">
        <f aca="false">TEXT(D27,"DDD")</f>
        <v>Fri</v>
      </c>
      <c r="F27" s="41" t="n">
        <f aca="false">D27-$D$14</f>
        <v>393</v>
      </c>
      <c r="H27" s="0" t="n">
        <f aca="false">(1+Curves!U13/12)^(-12*F27/360)</f>
        <v>0.938387226828226</v>
      </c>
      <c r="I27" s="152" t="n">
        <f aca="false">$F$4*H27*C27</f>
        <v>0</v>
      </c>
      <c r="J27" s="59" t="n">
        <f aca="false">I27*(Curves!B13+Curves!H13+Curves!I13)</f>
        <v>0</v>
      </c>
      <c r="K27" s="68" t="n">
        <v>0</v>
      </c>
      <c r="L27" s="59" t="n">
        <v>0</v>
      </c>
      <c r="N27" s="74" t="n">
        <f aca="false">(1+Curves!V13/12)^(-12*F27/360)</f>
        <v>0.929512547917122</v>
      </c>
      <c r="O27" s="59" t="n">
        <f aca="false">$F$4*N27*C27</f>
        <v>0</v>
      </c>
      <c r="P27" s="59" t="n">
        <v>0</v>
      </c>
      <c r="Q27" s="59" t="n">
        <f aca="false">P27+Q26</f>
        <v>0</v>
      </c>
      <c r="S27" s="59" t="n">
        <f aca="false">O27</f>
        <v>0</v>
      </c>
      <c r="T27" s="59" t="n">
        <f aca="false">S27*(Curves!B13+Curves!H13+Curves!I13)</f>
        <v>0</v>
      </c>
      <c r="U27" s="0" t="n">
        <v>0</v>
      </c>
      <c r="V27" s="59" t="n">
        <f aca="false">(O27/N27)/C27</f>
        <v>0</v>
      </c>
      <c r="W27" s="59" t="n">
        <v>0</v>
      </c>
      <c r="Y27" s="59" t="n">
        <v>0</v>
      </c>
      <c r="Z27" s="68" t="n">
        <v>0</v>
      </c>
    </row>
    <row r="28" customFormat="false" ht="12.75" hidden="false" customHeight="false" outlineLevel="0" collapsed="false">
      <c r="B28" s="155" t="n">
        <v>37257</v>
      </c>
      <c r="C28" s="0" t="n">
        <f aca="false">EOMONTH(B28,0)-EOMONTH(B28,-1)</f>
        <v>31</v>
      </c>
      <c r="D28" s="66" t="n">
        <f aca="false">WORKDAY(EOMONTH(B28,0)+24,1,'Financing Assumptions'!E46:E52)</f>
        <v>37312</v>
      </c>
      <c r="E28" s="156" t="str">
        <f aca="false">TEXT(D28,"DDD")</f>
        <v>Mon</v>
      </c>
      <c r="F28" s="41" t="n">
        <f aca="false">D28-$D$14</f>
        <v>424</v>
      </c>
      <c r="H28" s="0" t="n">
        <f aca="false">(1+Curves!U14/12)^(-12*F28/360)</f>
        <v>0.934107231415215</v>
      </c>
      <c r="I28" s="152" t="n">
        <f aca="false">$F$4*H28*C28</f>
        <v>0</v>
      </c>
      <c r="J28" s="59" t="n">
        <f aca="false">I28*(Curves!B14+Curves!H14+Curves!I14)</f>
        <v>0</v>
      </c>
      <c r="K28" s="68" t="n">
        <v>0</v>
      </c>
      <c r="L28" s="59" t="n">
        <v>0</v>
      </c>
      <c r="N28" s="74" t="n">
        <f aca="false">(1+Curves!V14/12)^(-12*F28/360)</f>
        <v>0.924579451892352</v>
      </c>
      <c r="O28" s="59" t="n">
        <f aca="false">$F$4*N28*C28</f>
        <v>0</v>
      </c>
      <c r="P28" s="59" t="n">
        <v>0</v>
      </c>
      <c r="Q28" s="59" t="n">
        <f aca="false">P28+Q27</f>
        <v>0</v>
      </c>
      <c r="S28" s="59" t="n">
        <f aca="false">O28</f>
        <v>0</v>
      </c>
      <c r="T28" s="59" t="n">
        <f aca="false">S28*(Curves!B14+Curves!H14+Curves!I14)</f>
        <v>0</v>
      </c>
      <c r="U28" s="0" t="n">
        <v>0</v>
      </c>
      <c r="V28" s="59" t="n">
        <f aca="false">(O28/N28)/C28</f>
        <v>0</v>
      </c>
      <c r="W28" s="59" t="n">
        <v>0</v>
      </c>
      <c r="Y28" s="59" t="n">
        <v>0</v>
      </c>
      <c r="Z28" s="68" t="n">
        <v>0</v>
      </c>
    </row>
    <row r="29" customFormat="false" ht="12.75" hidden="false" customHeight="false" outlineLevel="0" collapsed="false">
      <c r="B29" s="155" t="n">
        <v>37288</v>
      </c>
      <c r="C29" s="0" t="n">
        <f aca="false">EOMONTH(B29,0)-EOMONTH(B29,-1)</f>
        <v>28</v>
      </c>
      <c r="D29" s="66" t="n">
        <f aca="false">WORKDAY(EOMONTH(B29,0)+24,1,'Financing Assumptions'!E47:E53)</f>
        <v>37340</v>
      </c>
      <c r="E29" s="156" t="str">
        <f aca="false">TEXT(D29,"DDD")</f>
        <v>Mon</v>
      </c>
      <c r="F29" s="41" t="n">
        <f aca="false">D29-$D$14</f>
        <v>452</v>
      </c>
      <c r="H29" s="0" t="n">
        <f aca="false">(1+Curves!U15/12)^(-12*F29/360)</f>
        <v>0.930179426803669</v>
      </c>
      <c r="I29" s="152" t="n">
        <f aca="false">$F$4*H29*C29</f>
        <v>0</v>
      </c>
      <c r="J29" s="59" t="n">
        <f aca="false">I29*(Curves!B15+Curves!H15+Curves!I15)</f>
        <v>0</v>
      </c>
      <c r="K29" s="68" t="n">
        <v>0</v>
      </c>
      <c r="L29" s="59" t="n">
        <v>0</v>
      </c>
      <c r="N29" s="74" t="n">
        <f aca="false">(1+Curves!V15/12)^(-12*F29/360)</f>
        <v>0.920068388416561</v>
      </c>
      <c r="O29" s="59" t="n">
        <f aca="false">$F$4*N29*C29</f>
        <v>0</v>
      </c>
      <c r="P29" s="59" t="n">
        <v>0</v>
      </c>
      <c r="Q29" s="59" t="n">
        <f aca="false">P29+Q28</f>
        <v>0</v>
      </c>
      <c r="S29" s="59" t="n">
        <f aca="false">O29</f>
        <v>0</v>
      </c>
      <c r="T29" s="59" t="n">
        <f aca="false">S29*(Curves!B15+Curves!H15+Curves!I15)</f>
        <v>0</v>
      </c>
      <c r="U29" s="0" t="n">
        <v>0</v>
      </c>
      <c r="V29" s="59" t="n">
        <f aca="false">(O29/N29)/C29</f>
        <v>0</v>
      </c>
      <c r="W29" s="59" t="n">
        <v>0</v>
      </c>
      <c r="Y29" s="59" t="n">
        <v>0</v>
      </c>
      <c r="Z29" s="68" t="n">
        <v>0</v>
      </c>
    </row>
    <row r="30" customFormat="false" ht="12.75" hidden="false" customHeight="false" outlineLevel="0" collapsed="false">
      <c r="B30" s="155" t="n">
        <v>37316</v>
      </c>
      <c r="C30" s="0" t="n">
        <f aca="false">EOMONTH(B30,0)-EOMONTH(B30,-1)</f>
        <v>31</v>
      </c>
      <c r="D30" s="66" t="n">
        <f aca="false">WORKDAY(EOMONTH(B30,0)+24,1,'Financing Assumptions'!E48:E54)</f>
        <v>37371</v>
      </c>
      <c r="E30" s="156" t="str">
        <f aca="false">TEXT(D30,"DDD")</f>
        <v>Thu</v>
      </c>
      <c r="F30" s="41" t="n">
        <f aca="false">D30-$D$14</f>
        <v>483</v>
      </c>
      <c r="H30" s="0" t="n">
        <f aca="false">(1+Curves!U16/12)^(-12*F30/360)</f>
        <v>0.925830532354364</v>
      </c>
      <c r="I30" s="152" t="n">
        <f aca="false">$F$4*H30*C30</f>
        <v>0</v>
      </c>
      <c r="J30" s="59" t="n">
        <f aca="false">I30*(Curves!B16+Curves!H16+Curves!I16)</f>
        <v>0</v>
      </c>
      <c r="K30" s="68" t="n">
        <v>0</v>
      </c>
      <c r="L30" s="59" t="n">
        <v>0</v>
      </c>
      <c r="N30" s="74" t="n">
        <f aca="false">(1+Curves!V16/12)^(-12*F30/360)</f>
        <v>0.915080390290755</v>
      </c>
      <c r="O30" s="59" t="n">
        <f aca="false">$F$4*N30*C30</f>
        <v>0</v>
      </c>
      <c r="P30" s="59" t="n">
        <v>0</v>
      </c>
      <c r="Q30" s="59" t="n">
        <f aca="false">P30+Q29</f>
        <v>0</v>
      </c>
      <c r="S30" s="59" t="n">
        <f aca="false">O30</f>
        <v>0</v>
      </c>
      <c r="T30" s="59" t="n">
        <f aca="false">S30*(Curves!B16+Curves!H16+Curves!I16)</f>
        <v>0</v>
      </c>
      <c r="U30" s="0" t="n">
        <v>0</v>
      </c>
      <c r="V30" s="59" t="n">
        <f aca="false">(O30/N30)/C30</f>
        <v>0</v>
      </c>
      <c r="W30" s="59" t="n">
        <v>0</v>
      </c>
      <c r="Y30" s="59" t="n">
        <v>0</v>
      </c>
      <c r="Z30" s="68" t="n">
        <v>0</v>
      </c>
    </row>
    <row r="31" customFormat="false" ht="12.75" hidden="false" customHeight="false" outlineLevel="0" collapsed="false">
      <c r="B31" s="155" t="n">
        <v>37347</v>
      </c>
      <c r="C31" s="0" t="n">
        <f aca="false">EOMONTH(B31,0)-EOMONTH(B31,-1)</f>
        <v>30</v>
      </c>
      <c r="D31" s="66" t="n">
        <f aca="false">WORKDAY(EOMONTH(B31,0)+24,1,'Financing Assumptions'!E49:E55)</f>
        <v>37403</v>
      </c>
      <c r="E31" s="156" t="str">
        <f aca="false">TEXT(D31,"DDD")</f>
        <v>Mon</v>
      </c>
      <c r="F31" s="41" t="n">
        <f aca="false">D31-$D$14</f>
        <v>515</v>
      </c>
      <c r="H31" s="0" t="n">
        <f aca="false">(1+Curves!U17/12)^(-12*F31/360)</f>
        <v>0.921381722659421</v>
      </c>
      <c r="I31" s="152" t="n">
        <f aca="false">$F$4*H31*C31</f>
        <v>0</v>
      </c>
      <c r="J31" s="59" t="n">
        <f aca="false">I31*(Curves!B17+Curves!H17+Curves!I17)</f>
        <v>0</v>
      </c>
      <c r="K31" s="68" t="n">
        <v>0</v>
      </c>
      <c r="L31" s="59" t="n">
        <v>0</v>
      </c>
      <c r="N31" s="74" t="n">
        <f aca="false">(1+Curves!V17/12)^(-12*F31/360)</f>
        <v>0.909978647951969</v>
      </c>
      <c r="O31" s="59" t="n">
        <f aca="false">$F$4*N31*C31</f>
        <v>0</v>
      </c>
      <c r="P31" s="59" t="n">
        <v>0</v>
      </c>
      <c r="Q31" s="59" t="n">
        <f aca="false">P31+Q30</f>
        <v>0</v>
      </c>
      <c r="S31" s="59" t="n">
        <f aca="false">O31</f>
        <v>0</v>
      </c>
      <c r="T31" s="59" t="n">
        <f aca="false">S31*(Curves!B17+Curves!H17+Curves!I17)</f>
        <v>0</v>
      </c>
      <c r="U31" s="0" t="n">
        <v>0</v>
      </c>
      <c r="V31" s="59" t="n">
        <f aca="false">(O31/N31)/C31</f>
        <v>0</v>
      </c>
      <c r="W31" s="59" t="n">
        <v>0</v>
      </c>
      <c r="Y31" s="59" t="n">
        <v>0</v>
      </c>
      <c r="Z31" s="68" t="n">
        <v>0</v>
      </c>
    </row>
    <row r="32" customFormat="false" ht="12.75" hidden="false" customHeight="false" outlineLevel="0" collapsed="false">
      <c r="B32" s="155" t="n">
        <v>37377</v>
      </c>
      <c r="C32" s="0" t="n">
        <f aca="false">EOMONTH(B32,0)-EOMONTH(B32,-1)</f>
        <v>31</v>
      </c>
      <c r="D32" s="66" t="n">
        <f aca="false">WORKDAY(EOMONTH(B32,0)+24,1,'Financing Assumptions'!E50:E56)</f>
        <v>37432</v>
      </c>
      <c r="E32" s="156" t="str">
        <f aca="false">TEXT(D32,"DDD")</f>
        <v>Tue</v>
      </c>
      <c r="F32" s="41" t="n">
        <f aca="false">D32-$D$14</f>
        <v>544</v>
      </c>
      <c r="H32" s="0" t="n">
        <f aca="false">(1+Curves!U18/12)^(-12*F32/360)</f>
        <v>0.917362796476308</v>
      </c>
      <c r="I32" s="152" t="n">
        <f aca="false">$F$4*H32*C32</f>
        <v>0</v>
      </c>
      <c r="J32" s="59" t="n">
        <f aca="false">I32*(Curves!B18+Curves!H18+Curves!I18)</f>
        <v>0</v>
      </c>
      <c r="K32" s="68" t="n">
        <v>0</v>
      </c>
      <c r="L32" s="59" t="n">
        <v>0</v>
      </c>
      <c r="N32" s="74" t="n">
        <f aca="false">(1+Curves!V18/12)^(-12*F32/360)</f>
        <v>0.905374184223678</v>
      </c>
      <c r="O32" s="59" t="n">
        <f aca="false">$F$4*N32*C32</f>
        <v>0</v>
      </c>
      <c r="P32" s="59" t="n">
        <v>0</v>
      </c>
      <c r="Q32" s="59" t="n">
        <f aca="false">P32+Q31</f>
        <v>0</v>
      </c>
      <c r="S32" s="59" t="n">
        <f aca="false">O32</f>
        <v>0</v>
      </c>
      <c r="T32" s="59" t="n">
        <f aca="false">S32*(Curves!B18+Curves!H18+Curves!I18)</f>
        <v>0</v>
      </c>
      <c r="U32" s="0" t="n">
        <v>0</v>
      </c>
      <c r="V32" s="59" t="n">
        <f aca="false">(O32/N32)/C32</f>
        <v>0</v>
      </c>
      <c r="W32" s="59" t="n">
        <v>0</v>
      </c>
      <c r="Y32" s="59" t="n">
        <v>0</v>
      </c>
      <c r="Z32" s="68" t="n">
        <v>0</v>
      </c>
    </row>
    <row r="33" customFormat="false" ht="12.75" hidden="false" customHeight="false" outlineLevel="0" collapsed="false">
      <c r="B33" s="155" t="n">
        <v>37408</v>
      </c>
      <c r="C33" s="0" t="n">
        <f aca="false">EOMONTH(B33,0)-EOMONTH(B33,-1)</f>
        <v>30</v>
      </c>
      <c r="D33" s="66" t="n">
        <f aca="false">WORKDAY(EOMONTH(B33,0)+24,1,'Financing Assumptions'!E51:E57)</f>
        <v>37462</v>
      </c>
      <c r="E33" s="156" t="str">
        <f aca="false">TEXT(D33,"DDD")</f>
        <v>Thu</v>
      </c>
      <c r="F33" s="41" t="n">
        <f aca="false">D33-$D$14</f>
        <v>574</v>
      </c>
      <c r="H33" s="0" t="n">
        <f aca="false">(1+Curves!U19/12)^(-12*F33/360)</f>
        <v>0.913248014448641</v>
      </c>
      <c r="I33" s="152" t="n">
        <f aca="false">$F$4*H33*C33</f>
        <v>0</v>
      </c>
      <c r="J33" s="59" t="n">
        <f aca="false">I33*(Curves!B19+Curves!H19+Curves!I19)</f>
        <v>0</v>
      </c>
      <c r="K33" s="68" t="n">
        <v>0</v>
      </c>
      <c r="L33" s="59" t="n">
        <v>0</v>
      </c>
      <c r="N33" s="74" t="n">
        <f aca="false">(1+Curves!V19/12)^(-12*F33/360)</f>
        <v>0.900659391424517</v>
      </c>
      <c r="O33" s="59" t="n">
        <f aca="false">$F$4*N33*C33</f>
        <v>0</v>
      </c>
      <c r="P33" s="59" t="n">
        <v>0</v>
      </c>
      <c r="Q33" s="59" t="n">
        <f aca="false">P33+Q32</f>
        <v>0</v>
      </c>
      <c r="S33" s="59" t="n">
        <f aca="false">O33</f>
        <v>0</v>
      </c>
      <c r="T33" s="59" t="n">
        <f aca="false">S33*(Curves!B19+Curves!H19+Curves!I19)</f>
        <v>0</v>
      </c>
      <c r="U33" s="0" t="n">
        <v>0</v>
      </c>
      <c r="V33" s="59" t="n">
        <f aca="false">(O33/N33)/C33</f>
        <v>0</v>
      </c>
      <c r="W33" s="59" t="n">
        <v>0</v>
      </c>
      <c r="Y33" s="59" t="n">
        <v>0</v>
      </c>
      <c r="Z33" s="68" t="n">
        <v>0</v>
      </c>
    </row>
    <row r="34" customFormat="false" ht="12.75" hidden="false" customHeight="false" outlineLevel="0" collapsed="false">
      <c r="B34" s="155" t="n">
        <v>37438</v>
      </c>
      <c r="C34" s="0" t="n">
        <f aca="false">EOMONTH(B34,0)-EOMONTH(B34,-1)</f>
        <v>31</v>
      </c>
      <c r="D34" s="66" t="n">
        <f aca="false">WORKDAY(EOMONTH(B34,0)+24,1,'Financing Assumptions'!E52:E58)</f>
        <v>37494</v>
      </c>
      <c r="E34" s="156" t="str">
        <f aca="false">TEXT(D34,"DDD")</f>
        <v>Mon</v>
      </c>
      <c r="F34" s="41" t="n">
        <f aca="false">D34-$D$14</f>
        <v>606</v>
      </c>
      <c r="H34" s="0" t="n">
        <f aca="false">(1+Curves!U20/12)^(-12*F34/360)</f>
        <v>0.908830005873734</v>
      </c>
      <c r="I34" s="152" t="n">
        <f aca="false">$F$4*H34*C34</f>
        <v>0</v>
      </c>
      <c r="J34" s="59" t="n">
        <f aca="false">I34*(Curves!B20+Curves!H20+Curves!I20)</f>
        <v>0</v>
      </c>
      <c r="K34" s="68" t="n">
        <v>0</v>
      </c>
      <c r="L34" s="59" t="n">
        <v>0</v>
      </c>
      <c r="N34" s="74" t="n">
        <f aca="false">(1+Curves!V20/12)^(-12*F34/360)</f>
        <v>0.895608840980752</v>
      </c>
      <c r="O34" s="59" t="n">
        <f aca="false">$F$4*N34*C34</f>
        <v>0</v>
      </c>
      <c r="P34" s="59" t="n">
        <v>0</v>
      </c>
      <c r="Q34" s="59" t="n">
        <f aca="false">P34+Q33</f>
        <v>0</v>
      </c>
      <c r="S34" s="59" t="n">
        <f aca="false">O34</f>
        <v>0</v>
      </c>
      <c r="T34" s="59" t="n">
        <f aca="false">S34*(Curves!B20+Curves!H20+Curves!I20)</f>
        <v>0</v>
      </c>
      <c r="U34" s="0" t="n">
        <v>0</v>
      </c>
      <c r="V34" s="59" t="n">
        <f aca="false">(O34/N34)/C34</f>
        <v>0</v>
      </c>
      <c r="W34" s="59" t="n">
        <v>0</v>
      </c>
      <c r="Y34" s="59" t="n">
        <v>0</v>
      </c>
      <c r="Z34" s="68" t="n">
        <v>0</v>
      </c>
    </row>
    <row r="35" customFormat="false" ht="12.75" hidden="false" customHeight="false" outlineLevel="0" collapsed="false">
      <c r="B35" s="155" t="n">
        <v>37469</v>
      </c>
      <c r="C35" s="0" t="n">
        <f aca="false">EOMONTH(B35,0)-EOMONTH(B35,-1)</f>
        <v>31</v>
      </c>
      <c r="D35" s="66" t="n">
        <f aca="false">WORKDAY(EOMONTH(B35,0)+24,1,'Financing Assumptions'!E53:E59)</f>
        <v>37524</v>
      </c>
      <c r="E35" s="156" t="str">
        <f aca="false">TEXT(D35,"DDD")</f>
        <v>Wed</v>
      </c>
      <c r="F35" s="41" t="n">
        <f aca="false">D35-$D$14</f>
        <v>636</v>
      </c>
      <c r="H35" s="0" t="n">
        <f aca="false">(1+Curves!U21/12)^(-12*F35/360)</f>
        <v>0.904655898527032</v>
      </c>
      <c r="I35" s="152" t="n">
        <f aca="false">$F$4*H35*C35</f>
        <v>0</v>
      </c>
      <c r="J35" s="59" t="n">
        <f aca="false">I35*(Curves!B21+Curves!H21+Curves!I21)</f>
        <v>0</v>
      </c>
      <c r="K35" s="68" t="n">
        <v>0</v>
      </c>
      <c r="L35" s="59" t="n">
        <v>0</v>
      </c>
      <c r="N35" s="74" t="n">
        <f aca="false">(1+Curves!V21/12)^(-12*F35/360)</f>
        <v>0.890848862390473</v>
      </c>
      <c r="O35" s="59" t="n">
        <f aca="false">$F$4*N35*C35</f>
        <v>0</v>
      </c>
      <c r="P35" s="59" t="n">
        <v>0</v>
      </c>
      <c r="Q35" s="59" t="n">
        <f aca="false">P35+Q34</f>
        <v>0</v>
      </c>
      <c r="S35" s="59" t="n">
        <f aca="false">O35</f>
        <v>0</v>
      </c>
      <c r="T35" s="59" t="n">
        <f aca="false">S35*(Curves!B21+Curves!H21+Curves!I21)</f>
        <v>0</v>
      </c>
      <c r="U35" s="0" t="n">
        <v>0</v>
      </c>
      <c r="V35" s="59" t="n">
        <f aca="false">(O35/N35)/C35</f>
        <v>0</v>
      </c>
      <c r="W35" s="59" t="n">
        <v>0</v>
      </c>
      <c r="Y35" s="59" t="n">
        <v>0</v>
      </c>
      <c r="Z35" s="68" t="n">
        <v>0</v>
      </c>
    </row>
    <row r="36" customFormat="false" ht="12.75" hidden="false" customHeight="false" outlineLevel="0" collapsed="false">
      <c r="B36" s="155" t="n">
        <v>37500</v>
      </c>
      <c r="C36" s="0" t="n">
        <f aca="false">EOMONTH(B36,0)-EOMONTH(B36,-1)</f>
        <v>30</v>
      </c>
      <c r="D36" s="66" t="n">
        <f aca="false">WORKDAY(EOMONTH(B36,0)+24,1,'Financing Assumptions'!E54:E60)</f>
        <v>37554</v>
      </c>
      <c r="E36" s="156" t="str">
        <f aca="false">TEXT(D36,"DDD")</f>
        <v>Fri</v>
      </c>
      <c r="F36" s="41" t="n">
        <f aca="false">D36-$D$14</f>
        <v>666</v>
      </c>
      <c r="H36" s="0" t="n">
        <f aca="false">(1+Curves!U22/12)^(-12*F36/360)</f>
        <v>0.900511935900842</v>
      </c>
      <c r="I36" s="152" t="n">
        <f aca="false">$F$4*H36*C36</f>
        <v>0</v>
      </c>
      <c r="J36" s="59" t="n">
        <f aca="false">I36*(Curves!B22+Curves!H22+Curves!I22)</f>
        <v>0</v>
      </c>
      <c r="K36" s="68" t="n">
        <v>0</v>
      </c>
      <c r="L36" s="59" t="n">
        <v>0</v>
      </c>
      <c r="N36" s="74" t="n">
        <f aca="false">(1+Curves!V22/12)^(-12*F36/360)</f>
        <v>0.88612497269372</v>
      </c>
      <c r="O36" s="59" t="n">
        <f aca="false">$F$4*N36*C36</f>
        <v>0</v>
      </c>
      <c r="P36" s="59" t="n">
        <v>0</v>
      </c>
      <c r="Q36" s="59" t="n">
        <f aca="false">P36+Q35</f>
        <v>0</v>
      </c>
      <c r="S36" s="59" t="n">
        <f aca="false">O36</f>
        <v>0</v>
      </c>
      <c r="T36" s="59" t="n">
        <f aca="false">S36*(Curves!B22+Curves!H22+Curves!I22)</f>
        <v>0</v>
      </c>
      <c r="U36" s="0" t="n">
        <v>0</v>
      </c>
      <c r="V36" s="59" t="n">
        <f aca="false">(O36/N36)/C36</f>
        <v>0</v>
      </c>
      <c r="W36" s="59" t="n">
        <v>0</v>
      </c>
      <c r="Y36" s="59" t="n">
        <v>0</v>
      </c>
      <c r="Z36" s="68" t="n">
        <v>0</v>
      </c>
    </row>
    <row r="37" customFormat="false" ht="12.75" hidden="false" customHeight="false" outlineLevel="0" collapsed="false">
      <c r="B37" s="155" t="n">
        <v>37530</v>
      </c>
      <c r="C37" s="0" t="n">
        <f aca="false">EOMONTH(B37,0)-EOMONTH(B37,-1)</f>
        <v>31</v>
      </c>
      <c r="D37" s="66" t="n">
        <f aca="false">WORKDAY(EOMONTH(B37,0)+24,1,'Financing Assumptions'!E55:E61)</f>
        <v>37585</v>
      </c>
      <c r="E37" s="156" t="str">
        <f aca="false">TEXT(D37,"DDD")</f>
        <v>Mon</v>
      </c>
      <c r="F37" s="41" t="n">
        <f aca="false">D37-$D$14</f>
        <v>697</v>
      </c>
      <c r="H37" s="0" t="n">
        <f aca="false">(1+Curves!U23/12)^(-12*F37/360)</f>
        <v>0.896223045123328</v>
      </c>
      <c r="I37" s="152" t="n">
        <f aca="false">$F$4*H37*C37</f>
        <v>0</v>
      </c>
      <c r="J37" s="59" t="n">
        <f aca="false">I37*(Curves!B23+Curves!H23+Curves!I23)</f>
        <v>0</v>
      </c>
      <c r="K37" s="68" t="n">
        <v>0</v>
      </c>
      <c r="L37" s="59" t="n">
        <v>0</v>
      </c>
      <c r="N37" s="74" t="n">
        <f aca="false">(1+Curves!V23/12)^(-12*F37/360)</f>
        <v>0.881243663091805</v>
      </c>
      <c r="O37" s="59" t="n">
        <f aca="false">$F$4*N37*C37</f>
        <v>0</v>
      </c>
      <c r="P37" s="59" t="n">
        <v>0</v>
      </c>
      <c r="Q37" s="59" t="n">
        <f aca="false">P37+Q36</f>
        <v>0</v>
      </c>
      <c r="S37" s="59" t="n">
        <f aca="false">O37</f>
        <v>0</v>
      </c>
      <c r="T37" s="59" t="n">
        <f aca="false">S37*(Curves!B23+Curves!H23+Curves!I23)</f>
        <v>0</v>
      </c>
      <c r="U37" s="0" t="n">
        <v>0</v>
      </c>
      <c r="V37" s="59" t="n">
        <f aca="false">(O37/N37)/C37</f>
        <v>0</v>
      </c>
      <c r="W37" s="59" t="n">
        <v>0</v>
      </c>
      <c r="Y37" s="59" t="n">
        <v>0</v>
      </c>
      <c r="Z37" s="68" t="n">
        <v>0</v>
      </c>
    </row>
    <row r="38" customFormat="false" ht="12.75" hidden="false" customHeight="false" outlineLevel="0" collapsed="false">
      <c r="B38" s="155" t="n">
        <v>37561</v>
      </c>
      <c r="C38" s="0" t="n">
        <f aca="false">EOMONTH(B38,0)-EOMONTH(B38,-1)</f>
        <v>30</v>
      </c>
      <c r="D38" s="66" t="n">
        <f aca="false">WORKDAY(EOMONTH(B38,0)+24,1,'Financing Assumptions'!E56:E62)</f>
        <v>37615</v>
      </c>
      <c r="E38" s="156" t="str">
        <f aca="false">TEXT(D38,"DDD")</f>
        <v>Wed</v>
      </c>
      <c r="F38" s="41" t="n">
        <f aca="false">D38-$D$14</f>
        <v>727</v>
      </c>
      <c r="H38" s="0" t="n">
        <f aca="false">(1+Curves!U24/12)^(-12*F38/360)</f>
        <v>0.892061646636689</v>
      </c>
      <c r="I38" s="152" t="n">
        <f aca="false">$F$4*H38*C38</f>
        <v>0</v>
      </c>
      <c r="J38" s="59" t="n">
        <f aca="false">I38*(Curves!B24+Curves!H24+Curves!I24)</f>
        <v>0</v>
      </c>
      <c r="K38" s="68" t="n">
        <v>0</v>
      </c>
      <c r="L38" s="59" t="n">
        <v>0</v>
      </c>
      <c r="N38" s="74" t="n">
        <f aca="false">(1+Curves!V24/12)^(-12*F38/360)</f>
        <v>0.876515659430863</v>
      </c>
      <c r="O38" s="59" t="n">
        <f aca="false">$F$4*N38*C38</f>
        <v>0</v>
      </c>
      <c r="P38" s="59" t="n">
        <v>0</v>
      </c>
      <c r="Q38" s="59" t="n">
        <f aca="false">P38+Q37</f>
        <v>0</v>
      </c>
      <c r="S38" s="59" t="n">
        <f aca="false">O38</f>
        <v>0</v>
      </c>
      <c r="T38" s="59" t="n">
        <f aca="false">S38*(Curves!B24+Curves!H24+Curves!I24)</f>
        <v>0</v>
      </c>
      <c r="U38" s="0" t="n">
        <v>0</v>
      </c>
      <c r="V38" s="59" t="n">
        <f aca="false">(O38/N38)/C38</f>
        <v>0</v>
      </c>
      <c r="W38" s="59" t="n">
        <v>0</v>
      </c>
      <c r="Y38" s="59" t="n">
        <v>0</v>
      </c>
      <c r="Z38" s="68" t="n">
        <v>0</v>
      </c>
    </row>
    <row r="39" customFormat="false" ht="12.75" hidden="false" customHeight="false" outlineLevel="0" collapsed="false">
      <c r="B39" s="155" t="n">
        <v>37591</v>
      </c>
      <c r="C39" s="0" t="n">
        <f aca="false">EOMONTH(B39,0)-EOMONTH(B39,-1)</f>
        <v>31</v>
      </c>
      <c r="D39" s="66" t="n">
        <f aca="false">WORKDAY(EOMONTH(B39,0)+24,1,'Financing Assumptions'!E57:E63)</f>
        <v>37648</v>
      </c>
      <c r="E39" s="156" t="str">
        <f aca="false">TEXT(D39,"DDD")</f>
        <v>Mon</v>
      </c>
      <c r="F39" s="41" t="n">
        <f aca="false">D39-$D$14</f>
        <v>760</v>
      </c>
      <c r="H39" s="0" t="n">
        <f aca="false">(1+Curves!U25/12)^(-12*F39/360)</f>
        <v>0.887504067329826</v>
      </c>
      <c r="I39" s="152" t="n">
        <f aca="false">$F$4*H39*C39</f>
        <v>0</v>
      </c>
      <c r="J39" s="59" t="n">
        <f aca="false">I39*(Curves!B25+Curves!H25+Curves!I25)</f>
        <v>0</v>
      </c>
      <c r="K39" s="68" t="n">
        <v>0</v>
      </c>
      <c r="L39" s="59" t="n">
        <v>0</v>
      </c>
      <c r="N39" s="74" t="n">
        <f aca="false">(1+Curves!V25/12)^(-12*F39/360)</f>
        <v>0.871341838004491</v>
      </c>
      <c r="O39" s="59" t="n">
        <f aca="false">$F$4*N39*C39</f>
        <v>0</v>
      </c>
      <c r="P39" s="59" t="n">
        <v>0</v>
      </c>
      <c r="Q39" s="59" t="n">
        <f aca="false">P39+Q38</f>
        <v>0</v>
      </c>
      <c r="S39" s="59" t="n">
        <f aca="false">O39</f>
        <v>0</v>
      </c>
      <c r="T39" s="59" t="n">
        <f aca="false">S39*(Curves!B25+Curves!H25+Curves!I25)</f>
        <v>0</v>
      </c>
      <c r="U39" s="0" t="n">
        <v>0</v>
      </c>
      <c r="V39" s="59" t="n">
        <f aca="false">(O39/N39)/C39</f>
        <v>0</v>
      </c>
      <c r="W39" s="59" t="n">
        <v>0</v>
      </c>
      <c r="Y39" s="59" t="n">
        <v>0</v>
      </c>
      <c r="Z39" s="68" t="n">
        <v>0</v>
      </c>
    </row>
    <row r="40" customFormat="false" ht="12.75" hidden="false" customHeight="false" outlineLevel="0" collapsed="false">
      <c r="B40" s="155" t="n">
        <v>37622</v>
      </c>
      <c r="C40" s="0" t="n">
        <f aca="false">EOMONTH(B40,0)-EOMONTH(B40,-1)</f>
        <v>31</v>
      </c>
      <c r="D40" s="66" t="n">
        <f aca="false">WORKDAY(EOMONTH(B40,0)+24,1,'Financing Assumptions'!E58:E64)</f>
        <v>37677</v>
      </c>
      <c r="E40" s="156" t="str">
        <f aca="false">TEXT(D40,"DDD")</f>
        <v>Tue</v>
      </c>
      <c r="F40" s="41" t="n">
        <f aca="false">D40-$D$14</f>
        <v>789</v>
      </c>
      <c r="H40" s="0" t="n">
        <f aca="false">(1+Curves!U26/12)^(-12*F40/360)</f>
        <v>0.88348674778144</v>
      </c>
      <c r="I40" s="152" t="n">
        <f aca="false">$F$4*H40*C40</f>
        <v>0</v>
      </c>
      <c r="J40" s="59" t="n">
        <f aca="false">I40*(Curves!B26+Curves!H26+Curves!I26)</f>
        <v>0</v>
      </c>
      <c r="K40" s="68" t="n">
        <v>0</v>
      </c>
      <c r="L40" s="59" t="n">
        <v>0</v>
      </c>
      <c r="N40" s="74" t="n">
        <f aca="false">(1+Curves!V26/12)^(-12*F40/360)</f>
        <v>0.866789579166575</v>
      </c>
      <c r="O40" s="59" t="n">
        <f aca="false">$F$4*N40*C40</f>
        <v>0</v>
      </c>
      <c r="P40" s="59" t="n">
        <v>0</v>
      </c>
      <c r="Q40" s="59" t="n">
        <f aca="false">P40+Q39</f>
        <v>0</v>
      </c>
      <c r="S40" s="59" t="n">
        <f aca="false">O40</f>
        <v>0</v>
      </c>
      <c r="T40" s="59" t="n">
        <f aca="false">S40*(Curves!B26+Curves!H26+Curves!I26)</f>
        <v>0</v>
      </c>
      <c r="U40" s="0" t="n">
        <v>0</v>
      </c>
      <c r="V40" s="59" t="n">
        <f aca="false">(O40/N40)/C40</f>
        <v>0</v>
      </c>
      <c r="W40" s="59" t="n">
        <v>0</v>
      </c>
      <c r="Y40" s="59" t="n">
        <v>0</v>
      </c>
      <c r="Z40" s="68" t="n">
        <v>0</v>
      </c>
    </row>
    <row r="41" customFormat="false" ht="12.75" hidden="false" customHeight="false" outlineLevel="0" collapsed="false">
      <c r="B41" s="155" t="n">
        <v>37653</v>
      </c>
      <c r="C41" s="0" t="n">
        <f aca="false">EOMONTH(B41,0)-EOMONTH(B41,-1)</f>
        <v>28</v>
      </c>
      <c r="D41" s="66" t="n">
        <f aca="false">WORKDAY(EOMONTH(B41,0)+24,1,'Financing Assumptions'!E59:E65)</f>
        <v>37705</v>
      </c>
      <c r="E41" s="156" t="str">
        <f aca="false">TEXT(D41,"DDD")</f>
        <v>Tue</v>
      </c>
      <c r="F41" s="41" t="n">
        <f aca="false">D41-$D$14</f>
        <v>817</v>
      </c>
      <c r="H41" s="0" t="n">
        <f aca="false">(1+Curves!U27/12)^(-12*F41/360)</f>
        <v>0.879571427183127</v>
      </c>
      <c r="I41" s="152" t="n">
        <f aca="false">$F$4*H41*C41</f>
        <v>0</v>
      </c>
      <c r="J41" s="59" t="n">
        <f aca="false">I41*(Curves!B27+Curves!H27+Curves!I27)</f>
        <v>0</v>
      </c>
      <c r="K41" s="68" t="n">
        <v>0</v>
      </c>
      <c r="L41" s="59" t="n">
        <v>0</v>
      </c>
      <c r="N41" s="74" t="n">
        <f aca="false">(1+Curves!V27/12)^(-12*F41/360)</f>
        <v>0.862364168512671</v>
      </c>
      <c r="O41" s="59" t="n">
        <f aca="false">$F$4*N41*C41</f>
        <v>0</v>
      </c>
      <c r="P41" s="59" t="n">
        <v>0</v>
      </c>
      <c r="Q41" s="59" t="n">
        <f aca="false">P41+Q40</f>
        <v>0</v>
      </c>
      <c r="S41" s="59" t="n">
        <f aca="false">O41</f>
        <v>0</v>
      </c>
      <c r="T41" s="59" t="n">
        <f aca="false">S41*(Curves!B27+Curves!H27+Curves!I27)</f>
        <v>0</v>
      </c>
      <c r="U41" s="0" t="n">
        <v>0</v>
      </c>
      <c r="V41" s="59" t="n">
        <f aca="false">(O41/N41)/C41</f>
        <v>0</v>
      </c>
      <c r="W41" s="59" t="n">
        <v>0</v>
      </c>
      <c r="Y41" s="59" t="n">
        <v>0</v>
      </c>
      <c r="Z41" s="68" t="n">
        <v>0</v>
      </c>
    </row>
    <row r="42" customFormat="false" ht="12.75" hidden="false" customHeight="false" outlineLevel="0" collapsed="false">
      <c r="B42" s="155" t="n">
        <v>37681</v>
      </c>
      <c r="C42" s="0" t="n">
        <f aca="false">EOMONTH(B42,0)-EOMONTH(B42,-1)</f>
        <v>31</v>
      </c>
      <c r="D42" s="66" t="n">
        <f aca="false">WORKDAY(EOMONTH(B42,0)+24,1,'Financing Assumptions'!E60:E66)</f>
        <v>37736</v>
      </c>
      <c r="E42" s="156" t="str">
        <f aca="false">TEXT(D42,"DDD")</f>
        <v>Fri</v>
      </c>
      <c r="F42" s="41" t="n">
        <f aca="false">D42-$D$14</f>
        <v>848</v>
      </c>
      <c r="H42" s="0" t="n">
        <f aca="false">(1+Curves!U28/12)^(-12*F42/360)</f>
        <v>0.875262067194094</v>
      </c>
      <c r="I42" s="152" t="n">
        <f aca="false">$F$4*H42*C42</f>
        <v>0</v>
      </c>
      <c r="J42" s="59" t="n">
        <f aca="false">I42*(Curves!B28+Curves!H28+Curves!I28)</f>
        <v>0</v>
      </c>
      <c r="K42" s="68" t="n">
        <v>0</v>
      </c>
      <c r="L42" s="59" t="n">
        <v>0</v>
      </c>
      <c r="N42" s="74" t="n">
        <f aca="false">(1+Curves!V28/12)^(-12*F42/360)</f>
        <v>0.857496069902898</v>
      </c>
      <c r="O42" s="59" t="n">
        <f aca="false">$F$4*N42*C42</f>
        <v>0</v>
      </c>
      <c r="P42" s="59" t="n">
        <v>0</v>
      </c>
      <c r="Q42" s="59" t="n">
        <f aca="false">P42+Q41</f>
        <v>0</v>
      </c>
      <c r="S42" s="59" t="n">
        <f aca="false">O42</f>
        <v>0</v>
      </c>
      <c r="T42" s="59" t="n">
        <f aca="false">S42*(Curves!B28+Curves!H28+Curves!I28)</f>
        <v>0</v>
      </c>
      <c r="U42" s="0" t="n">
        <v>0</v>
      </c>
      <c r="V42" s="59" t="n">
        <f aca="false">(O42/N42)/C42</f>
        <v>0</v>
      </c>
      <c r="W42" s="59" t="n">
        <v>0</v>
      </c>
      <c r="Y42" s="59" t="n">
        <v>0</v>
      </c>
      <c r="Z42" s="68" t="n">
        <v>0</v>
      </c>
    </row>
    <row r="43" customFormat="false" ht="12.75" hidden="false" customHeight="false" outlineLevel="0" collapsed="false">
      <c r="B43" s="155" t="n">
        <v>37712</v>
      </c>
      <c r="C43" s="0" t="n">
        <f aca="false">EOMONTH(B43,0)-EOMONTH(B43,-1)</f>
        <v>30</v>
      </c>
      <c r="D43" s="66" t="n">
        <f aca="false">WORKDAY(EOMONTH(B43,0)+24,1,'Financing Assumptions'!E61:E67)</f>
        <v>37767</v>
      </c>
      <c r="E43" s="156" t="str">
        <f aca="false">TEXT(D43,"DDD")</f>
        <v>Mon</v>
      </c>
      <c r="F43" s="41" t="n">
        <f aca="false">D43-$D$14</f>
        <v>879</v>
      </c>
      <c r="H43" s="0" t="n">
        <f aca="false">(1+Curves!U29/12)^(-12*F43/360)</f>
        <v>0.870980464302634</v>
      </c>
      <c r="I43" s="152" t="n">
        <f aca="false">$F$4*H43*C43</f>
        <v>0</v>
      </c>
      <c r="J43" s="59" t="n">
        <f aca="false">I43*(Curves!B29+Curves!H29+Curves!I29)</f>
        <v>0</v>
      </c>
      <c r="K43" s="68" t="n">
        <v>0</v>
      </c>
      <c r="L43" s="59" t="n">
        <v>0</v>
      </c>
      <c r="N43" s="74" t="n">
        <f aca="false">(1+Curves!V29/12)^(-12*F43/360)</f>
        <v>0.852661951436238</v>
      </c>
      <c r="O43" s="59" t="n">
        <f aca="false">$F$4*N43*C43</f>
        <v>0</v>
      </c>
      <c r="P43" s="59" t="n">
        <v>0</v>
      </c>
      <c r="Q43" s="59" t="n">
        <f aca="false">P43+Q42</f>
        <v>0</v>
      </c>
      <c r="S43" s="59" t="n">
        <f aca="false">O43</f>
        <v>0</v>
      </c>
      <c r="T43" s="59" t="n">
        <f aca="false">S43*(Curves!B29+Curves!H29+Curves!I29)</f>
        <v>0</v>
      </c>
      <c r="U43" s="0" t="n">
        <v>0</v>
      </c>
      <c r="V43" s="59" t="n">
        <f aca="false">(O43/N43)/C43</f>
        <v>0</v>
      </c>
      <c r="W43" s="59" t="n">
        <v>0</v>
      </c>
      <c r="Y43" s="59" t="n">
        <v>0</v>
      </c>
      <c r="Z43" s="68" t="n">
        <v>0</v>
      </c>
    </row>
    <row r="44" customFormat="false" ht="12.75" hidden="false" customHeight="false" outlineLevel="0" collapsed="false">
      <c r="B44" s="155" t="n">
        <v>37742</v>
      </c>
      <c r="C44" s="0" t="n">
        <f aca="false">EOMONTH(B44,0)-EOMONTH(B44,-1)</f>
        <v>31</v>
      </c>
      <c r="D44" s="66" t="n">
        <f aca="false">WORKDAY(EOMONTH(B44,0)+24,1,'Financing Assumptions'!E62:E68)</f>
        <v>37797</v>
      </c>
      <c r="E44" s="156" t="str">
        <f aca="false">TEXT(D44,"DDD")</f>
        <v>Wed</v>
      </c>
      <c r="F44" s="41" t="n">
        <f aca="false">D44-$D$14</f>
        <v>909</v>
      </c>
      <c r="H44" s="0" t="n">
        <f aca="false">(1+Curves!U30/12)^(-12*F44/360)</f>
        <v>0.86687365785672</v>
      </c>
      <c r="I44" s="152" t="n">
        <f aca="false">$F$4*H44*C44</f>
        <v>0</v>
      </c>
      <c r="J44" s="59" t="n">
        <f aca="false">I44*(Curves!B30+Curves!H30+Curves!I30)</f>
        <v>0</v>
      </c>
      <c r="K44" s="68" t="n">
        <v>0</v>
      </c>
      <c r="L44" s="59" t="n">
        <v>0</v>
      </c>
      <c r="N44" s="74" t="n">
        <f aca="false">(1+Curves!V30/12)^(-12*F44/360)</f>
        <v>0.848026082861576</v>
      </c>
      <c r="O44" s="59" t="n">
        <f aca="false">$F$4*N44*C44</f>
        <v>0</v>
      </c>
      <c r="P44" s="59" t="n">
        <v>0</v>
      </c>
      <c r="Q44" s="59" t="n">
        <f aca="false">P44+Q43</f>
        <v>0</v>
      </c>
      <c r="S44" s="59" t="n">
        <f aca="false">O44</f>
        <v>0</v>
      </c>
      <c r="T44" s="59" t="n">
        <f aca="false">S44*(Curves!B30+Curves!H30+Curves!I30)</f>
        <v>0</v>
      </c>
      <c r="U44" s="0" t="n">
        <v>0</v>
      </c>
      <c r="V44" s="59" t="n">
        <f aca="false">(O44/N44)/C44</f>
        <v>0</v>
      </c>
      <c r="W44" s="59" t="n">
        <v>0</v>
      </c>
      <c r="Y44" s="59" t="n">
        <v>0</v>
      </c>
      <c r="Z44" s="68" t="n">
        <v>0</v>
      </c>
    </row>
    <row r="45" customFormat="false" ht="12.75" hidden="false" customHeight="false" outlineLevel="0" collapsed="false">
      <c r="B45" s="155" t="n">
        <v>37773</v>
      </c>
      <c r="C45" s="0" t="n">
        <f aca="false">EOMONTH(B45,0)-EOMONTH(B45,-1)</f>
        <v>30</v>
      </c>
      <c r="D45" s="66" t="n">
        <f aca="false">WORKDAY(EOMONTH(B45,0)+24,1,'Financing Assumptions'!E63:E69)</f>
        <v>37827</v>
      </c>
      <c r="E45" s="156" t="str">
        <f aca="false">TEXT(D45,"DDD")</f>
        <v>Fri</v>
      </c>
      <c r="F45" s="41" t="n">
        <f aca="false">D45-$D$14</f>
        <v>939</v>
      </c>
      <c r="H45" s="0" t="n">
        <f aca="false">(1+Curves!U31/12)^(-12*F45/360)</f>
        <v>0.862785195287996</v>
      </c>
      <c r="I45" s="152" t="n">
        <f aca="false">$F$4*H45*C45</f>
        <v>0</v>
      </c>
      <c r="J45" s="59" t="n">
        <f aca="false">I45*(Curves!B31+Curves!H31+Curves!I31)</f>
        <v>0</v>
      </c>
      <c r="K45" s="68" t="n">
        <v>0</v>
      </c>
      <c r="L45" s="59" t="n">
        <v>0</v>
      </c>
      <c r="N45" s="74" t="n">
        <f aca="false">(1+Curves!V31/12)^(-12*F45/360)</f>
        <v>0.843414422494906</v>
      </c>
      <c r="O45" s="59" t="n">
        <f aca="false">$F$4*N45*C45</f>
        <v>0</v>
      </c>
      <c r="P45" s="59" t="n">
        <v>0</v>
      </c>
      <c r="Q45" s="59" t="n">
        <f aca="false">P45+Q44</f>
        <v>0</v>
      </c>
      <c r="S45" s="59" t="n">
        <f aca="false">O45</f>
        <v>0</v>
      </c>
      <c r="T45" s="59" t="n">
        <f aca="false">S45*(Curves!B31+Curves!H31+Curves!I31)</f>
        <v>0</v>
      </c>
      <c r="U45" s="0" t="n">
        <v>0</v>
      </c>
      <c r="V45" s="59" t="n">
        <f aca="false">(O45/N45)/C45</f>
        <v>0</v>
      </c>
      <c r="W45" s="59" t="n">
        <v>0</v>
      </c>
      <c r="Y45" s="59" t="n">
        <v>0</v>
      </c>
      <c r="Z45" s="68" t="n">
        <v>0</v>
      </c>
    </row>
    <row r="46" customFormat="false" ht="12.75" hidden="false" customHeight="false" outlineLevel="0" collapsed="false">
      <c r="B46" s="155" t="n">
        <v>37803</v>
      </c>
      <c r="C46" s="0" t="n">
        <f aca="false">EOMONTH(B46,0)-EOMONTH(B46,-1)</f>
        <v>31</v>
      </c>
      <c r="D46" s="66" t="n">
        <f aca="false">WORKDAY(EOMONTH(B46,0)+24,1,'Financing Assumptions'!E64:E70)</f>
        <v>37858</v>
      </c>
      <c r="E46" s="156" t="str">
        <f aca="false">TEXT(D46,"DDD")</f>
        <v>Mon</v>
      </c>
      <c r="F46" s="41" t="n">
        <f aca="false">D46-$D$14</f>
        <v>970</v>
      </c>
      <c r="H46" s="0" t="n">
        <f aca="false">(1+Curves!U32/12)^(-12*F46/360)</f>
        <v>0.85857232440857</v>
      </c>
      <c r="I46" s="152" t="n">
        <f aca="false">$F$4*H46*C46</f>
        <v>0</v>
      </c>
      <c r="J46" s="59" t="n">
        <f aca="false">I46*(Curves!B32+Curves!H32+Curves!I32)</f>
        <v>0</v>
      </c>
      <c r="K46" s="68" t="n">
        <v>0</v>
      </c>
      <c r="L46" s="59" t="n">
        <v>0</v>
      </c>
      <c r="N46" s="74" t="n">
        <f aca="false">(1+Curves!V32/12)^(-12*F46/360)</f>
        <v>0.83866720285067</v>
      </c>
      <c r="O46" s="59" t="n">
        <f aca="false">$F$4*N46*C46</f>
        <v>0</v>
      </c>
      <c r="P46" s="59" t="n">
        <v>0</v>
      </c>
      <c r="Q46" s="59" t="n">
        <f aca="false">P46+Q45</f>
        <v>0</v>
      </c>
      <c r="S46" s="59" t="n">
        <f aca="false">O46</f>
        <v>0</v>
      </c>
      <c r="T46" s="59" t="n">
        <f aca="false">S46*(Curves!B32+Curves!H32+Curves!I32)</f>
        <v>0</v>
      </c>
      <c r="U46" s="0" t="n">
        <v>0</v>
      </c>
      <c r="V46" s="59" t="n">
        <f aca="false">(O46/N46)/C46</f>
        <v>0</v>
      </c>
      <c r="W46" s="59" t="n">
        <v>0</v>
      </c>
      <c r="Y46" s="59" t="n">
        <v>0</v>
      </c>
      <c r="Z46" s="68" t="n">
        <v>0</v>
      </c>
    </row>
    <row r="47" customFormat="false" ht="12.75" hidden="false" customHeight="false" outlineLevel="0" collapsed="false">
      <c r="B47" s="155" t="n">
        <v>37834</v>
      </c>
      <c r="C47" s="0" t="n">
        <f aca="false">EOMONTH(B47,0)-EOMONTH(B47,-1)</f>
        <v>31</v>
      </c>
      <c r="D47" s="66" t="n">
        <f aca="false">WORKDAY(EOMONTH(B47,0)+24,1,'Financing Assumptions'!E65:E71)</f>
        <v>37889</v>
      </c>
      <c r="E47" s="156" t="str">
        <f aca="false">TEXT(D47,"DDD")</f>
        <v>Thu</v>
      </c>
      <c r="F47" s="41" t="n">
        <f aca="false">D47-$D$14</f>
        <v>1001</v>
      </c>
      <c r="H47" s="0" t="n">
        <f aca="false">(1+Curves!U33/12)^(-12*F47/360)</f>
        <v>0.854365774105387</v>
      </c>
      <c r="I47" s="152" t="n">
        <f aca="false">$F$4*H47*C47</f>
        <v>0</v>
      </c>
      <c r="J47" s="59" t="n">
        <f aca="false">I47*(Curves!B33+Curves!H33+Curves!I33)</f>
        <v>0</v>
      </c>
      <c r="K47" s="68" t="n">
        <v>0</v>
      </c>
      <c r="L47" s="59" t="n">
        <v>0</v>
      </c>
      <c r="N47" s="74" t="n">
        <f aca="false">(1+Curves!V33/12)^(-12*F47/360)</f>
        <v>0.833932803837631</v>
      </c>
      <c r="O47" s="59" t="n">
        <f aca="false">$F$4*N47*C47</f>
        <v>0</v>
      </c>
      <c r="P47" s="59" t="n">
        <v>0</v>
      </c>
      <c r="Q47" s="59" t="n">
        <f aca="false">P47+Q46</f>
        <v>0</v>
      </c>
      <c r="S47" s="59" t="n">
        <f aca="false">O47</f>
        <v>0</v>
      </c>
      <c r="T47" s="59" t="n">
        <f aca="false">S47*(Curves!B33+Curves!H33+Curves!I33)</f>
        <v>0</v>
      </c>
      <c r="U47" s="0" t="n">
        <v>0</v>
      </c>
      <c r="V47" s="59" t="n">
        <f aca="false">(O47/N47)/C47</f>
        <v>0</v>
      </c>
      <c r="W47" s="59" t="n">
        <v>0</v>
      </c>
      <c r="Y47" s="59" t="n">
        <v>0</v>
      </c>
      <c r="Z47" s="68" t="n">
        <v>0</v>
      </c>
    </row>
    <row r="48" customFormat="false" ht="12.75" hidden="false" customHeight="false" outlineLevel="0" collapsed="false">
      <c r="B48" s="155" t="n">
        <v>37865</v>
      </c>
      <c r="C48" s="0" t="n">
        <f aca="false">EOMONTH(B48,0)-EOMONTH(B48,-1)</f>
        <v>30</v>
      </c>
      <c r="D48" s="66" t="n">
        <f aca="false">WORKDAY(EOMONTH(B48,0)+24,1,'Financing Assumptions'!E66:E72)</f>
        <v>37921</v>
      </c>
      <c r="E48" s="156" t="str">
        <f aca="false">TEXT(D48,"DDD")</f>
        <v>Mon</v>
      </c>
      <c r="F48" s="41" t="n">
        <f aca="false">D48-$D$14</f>
        <v>1033</v>
      </c>
      <c r="H48" s="0" t="n">
        <f aca="false">(1+Curves!U34/12)^(-12*F48/360)</f>
        <v>0.850044114204394</v>
      </c>
      <c r="I48" s="152" t="n">
        <f aca="false">$F$4*H48*C48</f>
        <v>0</v>
      </c>
      <c r="J48" s="59" t="n">
        <f aca="false">I48*(Curves!B34+Curves!H34+Curves!I34)</f>
        <v>0</v>
      </c>
      <c r="K48" s="68" t="n">
        <v>0</v>
      </c>
      <c r="L48" s="59" t="n">
        <v>0</v>
      </c>
      <c r="N48" s="74" t="n">
        <f aca="false">(1+Curves!V34/12)^(-12*F48/360)</f>
        <v>0.829072709098974</v>
      </c>
      <c r="O48" s="59" t="n">
        <f aca="false">$F$4*N48*C48</f>
        <v>0</v>
      </c>
      <c r="P48" s="59" t="n">
        <v>0</v>
      </c>
      <c r="Q48" s="59" t="n">
        <f aca="false">P48+Q47</f>
        <v>0</v>
      </c>
      <c r="S48" s="59" t="n">
        <f aca="false">O48</f>
        <v>0</v>
      </c>
      <c r="T48" s="59" t="n">
        <f aca="false">S48*(Curves!B34+Curves!H34+Curves!I34)</f>
        <v>0</v>
      </c>
      <c r="U48" s="0" t="n">
        <v>0</v>
      </c>
      <c r="V48" s="59" t="n">
        <f aca="false">(O48/N48)/C48</f>
        <v>0</v>
      </c>
      <c r="W48" s="59" t="n">
        <v>0</v>
      </c>
      <c r="Y48" s="59" t="n">
        <v>0</v>
      </c>
      <c r="Z48" s="68" t="n">
        <v>0</v>
      </c>
    </row>
    <row r="49" customFormat="false" ht="12.75" hidden="false" customHeight="false" outlineLevel="0" collapsed="false">
      <c r="B49" s="155" t="n">
        <v>37895</v>
      </c>
      <c r="C49" s="0" t="n">
        <f aca="false">EOMONTH(B49,0)-EOMONTH(B49,-1)</f>
        <v>31</v>
      </c>
      <c r="D49" s="66" t="n">
        <f aca="false">WORKDAY(EOMONTH(B49,0)+24,1,'Financing Assumptions'!E67:E73)</f>
        <v>37950</v>
      </c>
      <c r="E49" s="156" t="str">
        <f aca="false">TEXT(D49,"DDD")</f>
        <v>Tue</v>
      </c>
      <c r="F49" s="41" t="n">
        <f aca="false">D49-$D$14</f>
        <v>1062</v>
      </c>
      <c r="H49" s="0" t="n">
        <f aca="false">(1+Curves!U35/12)^(-12*F49/360)</f>
        <v>0.846136980844054</v>
      </c>
      <c r="I49" s="152" t="n">
        <f aca="false">$F$4*H49*C49</f>
        <v>0</v>
      </c>
      <c r="J49" s="59" t="n">
        <f aca="false">I49*(Curves!B35+Curves!H35+Curves!I35)</f>
        <v>0</v>
      </c>
      <c r="K49" s="68" t="n">
        <v>0</v>
      </c>
      <c r="L49" s="59" t="n">
        <v>0</v>
      </c>
      <c r="N49" s="74" t="n">
        <f aca="false">(1+Curves!V35/12)^(-12*F49/360)</f>
        <v>0.824683451909835</v>
      </c>
      <c r="O49" s="59" t="n">
        <f aca="false">$F$4*N49*C49</f>
        <v>0</v>
      </c>
      <c r="P49" s="59" t="n">
        <v>0</v>
      </c>
      <c r="Q49" s="59" t="n">
        <f aca="false">P49+Q48</f>
        <v>0</v>
      </c>
      <c r="S49" s="59" t="n">
        <f aca="false">O49</f>
        <v>0</v>
      </c>
      <c r="T49" s="59" t="n">
        <f aca="false">S49*(Curves!B35+Curves!H35+Curves!I35)</f>
        <v>0</v>
      </c>
      <c r="U49" s="0" t="n">
        <v>0</v>
      </c>
      <c r="V49" s="59" t="n">
        <f aca="false">(O49/N49)/C49</f>
        <v>0</v>
      </c>
      <c r="W49" s="59" t="n">
        <v>0</v>
      </c>
      <c r="Y49" s="59" t="n">
        <v>0</v>
      </c>
      <c r="Z49" s="68" t="n">
        <v>0</v>
      </c>
    </row>
    <row r="50" customFormat="false" ht="12.75" hidden="false" customHeight="false" outlineLevel="0" collapsed="false">
      <c r="B50" s="155" t="n">
        <v>37926</v>
      </c>
      <c r="C50" s="0" t="n">
        <f aca="false">EOMONTH(B50,0)-EOMONTH(B50,-1)</f>
        <v>30</v>
      </c>
      <c r="D50" s="66" t="n">
        <f aca="false">WORKDAY(EOMONTH(B50,0)+24,1,'Financing Assumptions'!E68:E74)</f>
        <v>37980</v>
      </c>
      <c r="E50" s="156" t="str">
        <f aca="false">TEXT(D50,"DDD")</f>
        <v>Thu</v>
      </c>
      <c r="F50" s="41" t="n">
        <f aca="false">D50-$D$14</f>
        <v>1092</v>
      </c>
      <c r="H50" s="0" t="n">
        <f aca="false">(1+Curves!U36/12)^(-12*F50/360)</f>
        <v>0.842104630740119</v>
      </c>
      <c r="I50" s="152" t="n">
        <f aca="false">$F$4*H50*C50</f>
        <v>0</v>
      </c>
      <c r="J50" s="59" t="n">
        <f aca="false">I50*(Curves!B36+Curves!H36+Curves!I36)</f>
        <v>0</v>
      </c>
      <c r="K50" s="68" t="n">
        <v>0</v>
      </c>
      <c r="L50" s="59" t="n">
        <v>0</v>
      </c>
      <c r="N50" s="74" t="n">
        <f aca="false">(1+Curves!V36/12)^(-12*F50/360)</f>
        <v>0.820158158727249</v>
      </c>
      <c r="O50" s="59" t="n">
        <f aca="false">$F$4*N50*C50</f>
        <v>0</v>
      </c>
      <c r="P50" s="59" t="n">
        <v>0</v>
      </c>
      <c r="Q50" s="59" t="n">
        <f aca="false">P50+Q49</f>
        <v>0</v>
      </c>
      <c r="S50" s="59" t="n">
        <f aca="false">O50</f>
        <v>0</v>
      </c>
      <c r="T50" s="59" t="n">
        <f aca="false">S50*(Curves!B36+Curves!H36+Curves!I36)</f>
        <v>0</v>
      </c>
      <c r="U50" s="0" t="n">
        <v>0</v>
      </c>
      <c r="V50" s="59" t="n">
        <f aca="false">(O50/N50)/C50</f>
        <v>0</v>
      </c>
      <c r="W50" s="59" t="n">
        <v>0</v>
      </c>
      <c r="Y50" s="59" t="n">
        <v>0</v>
      </c>
      <c r="Z50" s="68" t="n">
        <v>0</v>
      </c>
    </row>
    <row r="51" customFormat="false" ht="12.75" hidden="false" customHeight="false" outlineLevel="0" collapsed="false">
      <c r="B51" s="155" t="n">
        <v>37956</v>
      </c>
      <c r="C51" s="0" t="n">
        <f aca="false">EOMONTH(B51,0)-EOMONTH(B51,-1)</f>
        <v>31</v>
      </c>
      <c r="D51" s="66" t="n">
        <f aca="false">WORKDAY(EOMONTH(B51,0)+24,1,'Financing Assumptions'!E69:E75)</f>
        <v>38012</v>
      </c>
      <c r="E51" s="156" t="str">
        <f aca="false">TEXT(D51,"DDD")</f>
        <v>Mon</v>
      </c>
      <c r="F51" s="41" t="n">
        <f aca="false">D51-$D$14</f>
        <v>1124</v>
      </c>
      <c r="H51" s="0" t="n">
        <f aca="false">(1+Curves!U37/12)^(-12*F51/360)</f>
        <v>0.837826620299008</v>
      </c>
      <c r="I51" s="152" t="n">
        <f aca="false">$F$4*H51*C51</f>
        <v>0</v>
      </c>
      <c r="J51" s="59" t="n">
        <f aca="false">I51*(Curves!B37+Curves!H37+Curves!I37)</f>
        <v>0</v>
      </c>
      <c r="K51" s="68" t="n">
        <v>0</v>
      </c>
      <c r="L51" s="59" t="n">
        <v>0</v>
      </c>
      <c r="N51" s="74" t="n">
        <f aca="false">(1+Curves!V37/12)^(-12*F51/360)</f>
        <v>0.815360475736595</v>
      </c>
      <c r="O51" s="59" t="n">
        <f aca="false">$F$4*N51*C51</f>
        <v>0</v>
      </c>
      <c r="P51" s="59" t="n">
        <v>0</v>
      </c>
      <c r="Q51" s="59" t="n">
        <f aca="false">P51+Q50</f>
        <v>0</v>
      </c>
      <c r="S51" s="59" t="n">
        <f aca="false">O51</f>
        <v>0</v>
      </c>
      <c r="T51" s="59" t="n">
        <f aca="false">S51*(Curves!B37+Curves!H37+Curves!I37)</f>
        <v>0</v>
      </c>
      <c r="U51" s="0" t="n">
        <v>0</v>
      </c>
      <c r="V51" s="59" t="n">
        <f aca="false">(O51/N51)/C51</f>
        <v>0</v>
      </c>
      <c r="W51" s="59" t="n">
        <v>0</v>
      </c>
      <c r="Y51" s="59" t="n">
        <v>0</v>
      </c>
      <c r="Z51" s="68" t="n">
        <v>0</v>
      </c>
    </row>
    <row r="52" customFormat="false" ht="12.75" hidden="false" customHeight="false" outlineLevel="0" collapsed="false">
      <c r="B52" s="155" t="n">
        <v>37987</v>
      </c>
      <c r="C52" s="0" t="n">
        <f aca="false">EOMONTH(B52,0)-EOMONTH(B52,-1)</f>
        <v>31</v>
      </c>
      <c r="D52" s="66" t="n">
        <f aca="false">WORKDAY(EOMONTH(B52,0)+24,1,'Financing Assumptions'!E70:E76)</f>
        <v>38042</v>
      </c>
      <c r="E52" s="156" t="str">
        <f aca="false">TEXT(D52,"DDD")</f>
        <v>Wed</v>
      </c>
      <c r="F52" s="41" t="n">
        <f aca="false">D52-$D$14</f>
        <v>1154</v>
      </c>
      <c r="H52" s="0" t="n">
        <f aca="false">(1+Curves!U38/12)^(-12*F52/360)</f>
        <v>0.833803608275523</v>
      </c>
      <c r="I52" s="152" t="n">
        <f aca="false">$F$4*H52*C52</f>
        <v>0</v>
      </c>
      <c r="J52" s="59" t="n">
        <f aca="false">I52*(Curves!B38+Curves!H38+Curves!I38)</f>
        <v>0</v>
      </c>
      <c r="K52" s="68" t="n">
        <v>0</v>
      </c>
      <c r="L52" s="59" t="n">
        <v>0</v>
      </c>
      <c r="N52" s="74" t="n">
        <f aca="false">(1+Curves!V38/12)^(-12*F52/360)</f>
        <v>0.810856929110818</v>
      </c>
      <c r="O52" s="59" t="n">
        <f aca="false">$F$4*N52*C52</f>
        <v>0</v>
      </c>
      <c r="P52" s="59" t="n">
        <v>0</v>
      </c>
      <c r="Q52" s="59" t="n">
        <f aca="false">P52+Q51</f>
        <v>0</v>
      </c>
      <c r="S52" s="59" t="n">
        <f aca="false">O52</f>
        <v>0</v>
      </c>
      <c r="T52" s="59" t="n">
        <f aca="false">S52*(Curves!B38+Curves!H38+Curves!I38)</f>
        <v>0</v>
      </c>
      <c r="U52" s="0" t="n">
        <v>0</v>
      </c>
      <c r="V52" s="59" t="n">
        <f aca="false">(O52/N52)/C52</f>
        <v>0</v>
      </c>
      <c r="W52" s="59" t="n">
        <v>0</v>
      </c>
      <c r="Y52" s="59" t="n">
        <v>0</v>
      </c>
      <c r="Z52" s="68" t="n">
        <v>0</v>
      </c>
    </row>
    <row r="53" customFormat="false" ht="12.75" hidden="false" customHeight="false" outlineLevel="0" collapsed="false">
      <c r="B53" s="155" t="n">
        <v>38018</v>
      </c>
      <c r="C53" s="0" t="n">
        <f aca="false">EOMONTH(B53,0)-EOMONTH(B53,-1)</f>
        <v>29</v>
      </c>
      <c r="D53" s="66" t="n">
        <f aca="false">WORKDAY(EOMONTH(B53,0)+24,1,'Financing Assumptions'!E71:E77)</f>
        <v>38071</v>
      </c>
      <c r="E53" s="156" t="str">
        <f aca="false">TEXT(D53,"DDD")</f>
        <v>Thu</v>
      </c>
      <c r="F53" s="41" t="n">
        <f aca="false">D53-$D$14</f>
        <v>1183</v>
      </c>
      <c r="H53" s="0" t="n">
        <f aca="false">(1+Curves!U39/12)^(-12*F53/360)</f>
        <v>0.829899608462734</v>
      </c>
      <c r="I53" s="152" t="n">
        <f aca="false">$F$4*H53*C53</f>
        <v>0</v>
      </c>
      <c r="J53" s="59" t="n">
        <f aca="false">I53*(Curves!B39+Curves!H39+Curves!I39)</f>
        <v>0</v>
      </c>
      <c r="K53" s="68" t="n">
        <v>0</v>
      </c>
      <c r="L53" s="59" t="n">
        <v>0</v>
      </c>
      <c r="N53" s="74" t="n">
        <f aca="false">(1+Curves!V39/12)^(-12*F53/360)</f>
        <v>0.806494662593674</v>
      </c>
      <c r="O53" s="59" t="n">
        <f aca="false">$F$4*N53*C53</f>
        <v>0</v>
      </c>
      <c r="P53" s="59" t="n">
        <v>0</v>
      </c>
      <c r="Q53" s="59" t="n">
        <f aca="false">P53+Q52</f>
        <v>0</v>
      </c>
      <c r="S53" s="59" t="n">
        <f aca="false">O53</f>
        <v>0</v>
      </c>
      <c r="T53" s="59" t="n">
        <f aca="false">S53*(Curves!B39+Curves!H39+Curves!I39)</f>
        <v>0</v>
      </c>
      <c r="U53" s="0" t="n">
        <v>0</v>
      </c>
      <c r="V53" s="59" t="n">
        <f aca="false">(O53/N53)/C53</f>
        <v>0</v>
      </c>
      <c r="W53" s="59" t="n">
        <v>0</v>
      </c>
      <c r="Y53" s="59" t="n">
        <v>0</v>
      </c>
      <c r="Z53" s="68" t="n">
        <v>0</v>
      </c>
    </row>
    <row r="54" customFormat="false" ht="12.75" hidden="false" customHeight="false" outlineLevel="0" collapsed="false">
      <c r="B54" s="155" t="n">
        <v>38047</v>
      </c>
      <c r="C54" s="0" t="n">
        <f aca="false">EOMONTH(B54,0)-EOMONTH(B54,-1)</f>
        <v>31</v>
      </c>
      <c r="D54" s="66" t="n">
        <f aca="false">WORKDAY(EOMONTH(B54,0)+24,1,'Financing Assumptions'!E72:E78)</f>
        <v>38103</v>
      </c>
      <c r="E54" s="156" t="str">
        <f aca="false">TEXT(D54,"DDD")</f>
        <v>Mon</v>
      </c>
      <c r="F54" s="41" t="n">
        <f aca="false">D54-$D$14</f>
        <v>1215</v>
      </c>
      <c r="H54" s="0" t="n">
        <f aca="false">(1+Curves!U40/12)^(-12*F54/360)</f>
        <v>0.825624946254818</v>
      </c>
      <c r="I54" s="152" t="n">
        <f aca="false">$F$4*H54*C54</f>
        <v>0</v>
      </c>
      <c r="J54" s="59" t="n">
        <f aca="false">I54*(Curves!B40+Curves!H40+Curves!I40)</f>
        <v>0</v>
      </c>
      <c r="K54" s="68" t="n">
        <v>0</v>
      </c>
      <c r="L54" s="59" t="n">
        <v>0</v>
      </c>
      <c r="N54" s="74" t="n">
        <f aca="false">(1+Curves!V40/12)^(-12*F54/360)</f>
        <v>0.801719991606022</v>
      </c>
      <c r="O54" s="59" t="n">
        <f aca="false">$F$4*N54*C54</f>
        <v>0</v>
      </c>
      <c r="P54" s="59" t="n">
        <v>0</v>
      </c>
      <c r="Q54" s="59" t="n">
        <f aca="false">P54+Q53</f>
        <v>0</v>
      </c>
      <c r="S54" s="59" t="n">
        <f aca="false">O54</f>
        <v>0</v>
      </c>
      <c r="T54" s="59" t="n">
        <f aca="false">S54*(Curves!B40+Curves!H40+Curves!I40)</f>
        <v>0</v>
      </c>
      <c r="U54" s="0" t="n">
        <v>0</v>
      </c>
      <c r="V54" s="59" t="n">
        <f aca="false">(O54/N54)/C54</f>
        <v>0</v>
      </c>
      <c r="W54" s="59" t="n">
        <v>0</v>
      </c>
      <c r="Y54" s="59" t="n">
        <v>0</v>
      </c>
      <c r="Z54" s="68" t="n">
        <v>0</v>
      </c>
    </row>
    <row r="55" customFormat="false" ht="12.75" hidden="false" customHeight="false" outlineLevel="0" collapsed="false">
      <c r="B55" s="155" t="n">
        <v>38078</v>
      </c>
      <c r="C55" s="0" t="n">
        <f aca="false">EOMONTH(B55,0)-EOMONTH(B55,-1)</f>
        <v>30</v>
      </c>
      <c r="D55" s="66" t="n">
        <f aca="false">WORKDAY(EOMONTH(B55,0)+24,1,'Financing Assumptions'!E73:E79)</f>
        <v>38132</v>
      </c>
      <c r="E55" s="156" t="str">
        <f aca="false">TEXT(D55,"DDD")</f>
        <v>Tue</v>
      </c>
      <c r="F55" s="41" t="n">
        <f aca="false">D55-$D$14</f>
        <v>1244</v>
      </c>
      <c r="H55" s="0" t="n">
        <f aca="false">(1+Curves!U41/12)^(-12*F55/360)</f>
        <v>0.821771580772632</v>
      </c>
      <c r="I55" s="152" t="n">
        <f aca="false">$F$4*H55*C55</f>
        <v>0</v>
      </c>
      <c r="J55" s="59" t="n">
        <f aca="false">I55*(Curves!B41+Curves!H41+Curves!I41)</f>
        <v>0</v>
      </c>
      <c r="K55" s="68" t="n">
        <v>0</v>
      </c>
      <c r="L55" s="59" t="n">
        <v>0</v>
      </c>
      <c r="N55" s="74" t="n">
        <f aca="false">(1+Curves!V41/12)^(-12*F55/360)</f>
        <v>0.797418846350071</v>
      </c>
      <c r="O55" s="59" t="n">
        <f aca="false">$F$4*N55*C55</f>
        <v>0</v>
      </c>
      <c r="P55" s="59" t="n">
        <v>0</v>
      </c>
      <c r="Q55" s="59" t="n">
        <f aca="false">P55+Q54</f>
        <v>0</v>
      </c>
      <c r="S55" s="59" t="n">
        <f aca="false">O55</f>
        <v>0</v>
      </c>
      <c r="T55" s="59" t="n">
        <f aca="false">S55*(Curves!B41+Curves!H41+Curves!I41)</f>
        <v>0</v>
      </c>
      <c r="U55" s="0" t="n">
        <v>0</v>
      </c>
      <c r="V55" s="59" t="n">
        <f aca="false">(O55/N55)/C55</f>
        <v>0</v>
      </c>
      <c r="W55" s="59" t="n">
        <v>0</v>
      </c>
      <c r="Y55" s="59" t="n">
        <v>0</v>
      </c>
      <c r="Z55" s="68" t="n">
        <v>0</v>
      </c>
    </row>
    <row r="56" customFormat="false" ht="12.75" hidden="false" customHeight="false" outlineLevel="0" collapsed="false">
      <c r="B56" s="155" t="n">
        <v>38108</v>
      </c>
      <c r="C56" s="0" t="n">
        <f aca="false">EOMONTH(B56,0)-EOMONTH(B56,-1)</f>
        <v>31</v>
      </c>
      <c r="D56" s="66" t="n">
        <f aca="false">WORKDAY(EOMONTH(B56,0)+24,1,'Financing Assumptions'!E74:E80)</f>
        <v>38163</v>
      </c>
      <c r="E56" s="156" t="str">
        <f aca="false">TEXT(D56,"DDD")</f>
        <v>Fri</v>
      </c>
      <c r="F56" s="41" t="n">
        <f aca="false">D56-$D$14</f>
        <v>1275</v>
      </c>
      <c r="H56" s="0" t="n">
        <f aca="false">(1+Curves!U42/12)^(-12*F56/360)</f>
        <v>0.817700561304303</v>
      </c>
      <c r="I56" s="152" t="n">
        <f aca="false">$F$4*H56*C56</f>
        <v>0</v>
      </c>
      <c r="J56" s="59" t="n">
        <f aca="false">I56*(Curves!B42+Curves!H42+Curves!I42)</f>
        <v>0</v>
      </c>
      <c r="K56" s="68" t="n">
        <v>0</v>
      </c>
      <c r="L56" s="59" t="n">
        <v>0</v>
      </c>
      <c r="N56" s="74" t="n">
        <f aca="false">(1+Curves!V42/12)^(-12*F56/360)</f>
        <v>0.792873917868023</v>
      </c>
      <c r="O56" s="59" t="n">
        <f aca="false">$F$4*N56*C56</f>
        <v>0</v>
      </c>
      <c r="P56" s="59" t="n">
        <v>0</v>
      </c>
      <c r="Q56" s="59" t="n">
        <f aca="false">P56+Q55</f>
        <v>0</v>
      </c>
      <c r="S56" s="59" t="n">
        <f aca="false">O56</f>
        <v>0</v>
      </c>
      <c r="T56" s="59" t="n">
        <f aca="false">S56*(Curves!B42+Curves!H42+Curves!I42)</f>
        <v>0</v>
      </c>
      <c r="U56" s="0" t="n">
        <v>0</v>
      </c>
      <c r="V56" s="59" t="n">
        <f aca="false">(O56/N56)/C56</f>
        <v>0</v>
      </c>
      <c r="W56" s="59" t="n">
        <v>0</v>
      </c>
      <c r="Y56" s="59" t="n">
        <v>0</v>
      </c>
      <c r="Z56" s="68" t="n">
        <v>0</v>
      </c>
    </row>
    <row r="57" customFormat="false" ht="12.75" hidden="false" customHeight="false" outlineLevel="0" collapsed="false">
      <c r="B57" s="155" t="n">
        <v>38139</v>
      </c>
      <c r="C57" s="0" t="n">
        <f aca="false">EOMONTH(B57,0)-EOMONTH(B57,-1)</f>
        <v>30</v>
      </c>
      <c r="D57" s="66" t="n">
        <f aca="false">WORKDAY(EOMONTH(B57,0)+24,1,'Financing Assumptions'!E75:E81)</f>
        <v>38194</v>
      </c>
      <c r="E57" s="156" t="str">
        <f aca="false">TEXT(D57,"DDD")</f>
        <v>Mon</v>
      </c>
      <c r="F57" s="41" t="n">
        <f aca="false">D57-$D$14</f>
        <v>1306</v>
      </c>
      <c r="H57" s="0" t="n">
        <f aca="false">(1+Curves!U43/12)^(-12*F57/360)</f>
        <v>0.813644677677439</v>
      </c>
      <c r="I57" s="152" t="n">
        <f aca="false">$F$4*H57*C57</f>
        <v>0</v>
      </c>
      <c r="J57" s="59" t="n">
        <f aca="false">I57*(Curves!B43+Curves!H43+Curves!I43)</f>
        <v>0</v>
      </c>
      <c r="K57" s="68" t="n">
        <v>0</v>
      </c>
      <c r="L57" s="59" t="n">
        <v>0</v>
      </c>
      <c r="N57" s="74" t="n">
        <f aca="false">(1+Curves!V43/12)^(-12*F57/360)</f>
        <v>0.788350021591299</v>
      </c>
      <c r="O57" s="59" t="n">
        <f aca="false">$F$4*N57*C57</f>
        <v>0</v>
      </c>
      <c r="P57" s="59" t="n">
        <v>0</v>
      </c>
      <c r="Q57" s="59" t="n">
        <f aca="false">P57+Q56</f>
        <v>0</v>
      </c>
      <c r="S57" s="59" t="n">
        <f aca="false">O57</f>
        <v>0</v>
      </c>
      <c r="T57" s="59" t="n">
        <f aca="false">S57*(Curves!B43+Curves!H43+Curves!I43)</f>
        <v>0</v>
      </c>
      <c r="U57" s="0" t="n">
        <v>0</v>
      </c>
      <c r="V57" s="59" t="n">
        <f aca="false">(O57/N57)/C57</f>
        <v>0</v>
      </c>
      <c r="W57" s="59" t="n">
        <v>0</v>
      </c>
      <c r="Y57" s="59" t="n">
        <v>0</v>
      </c>
      <c r="Z57" s="68" t="n">
        <v>0</v>
      </c>
    </row>
    <row r="58" customFormat="false" ht="12.75" hidden="false" customHeight="false" outlineLevel="0" collapsed="false">
      <c r="B58" s="155" t="n">
        <v>38169</v>
      </c>
      <c r="C58" s="0" t="n">
        <f aca="false">EOMONTH(B58,0)-EOMONTH(B58,-1)</f>
        <v>31</v>
      </c>
      <c r="D58" s="66" t="n">
        <f aca="false">WORKDAY(EOMONTH(B58,0)+24,1,'Financing Assumptions'!E76:E82)</f>
        <v>38224</v>
      </c>
      <c r="E58" s="156" t="str">
        <f aca="false">TEXT(D58,"DDD")</f>
        <v>Wed</v>
      </c>
      <c r="F58" s="41" t="n">
        <f aca="false">D58-$D$14</f>
        <v>1336</v>
      </c>
      <c r="H58" s="0" t="n">
        <f aca="false">(1+Curves!U44/12)^(-12*F58/360)</f>
        <v>0.809730802538379</v>
      </c>
      <c r="I58" s="152" t="n">
        <f aca="false">$F$4*H58*C58</f>
        <v>0</v>
      </c>
      <c r="J58" s="59" t="n">
        <f aca="false">I58*(Curves!B44+Curves!H44+Curves!I44)</f>
        <v>0</v>
      </c>
      <c r="K58" s="68" t="n">
        <v>0</v>
      </c>
      <c r="L58" s="59" t="n">
        <v>0</v>
      </c>
      <c r="N58" s="74" t="n">
        <f aca="false">(1+Curves!V44/12)^(-12*F58/360)</f>
        <v>0.783988912610207</v>
      </c>
      <c r="O58" s="59" t="n">
        <f aca="false">$F$4*N58*C58</f>
        <v>0</v>
      </c>
      <c r="P58" s="59" t="n">
        <v>0</v>
      </c>
      <c r="Q58" s="59" t="n">
        <f aca="false">P58+Q57</f>
        <v>0</v>
      </c>
      <c r="S58" s="59" t="n">
        <f aca="false">O58</f>
        <v>0</v>
      </c>
      <c r="T58" s="59" t="n">
        <f aca="false">S58*(Curves!B44+Curves!H44+Curves!I44)</f>
        <v>0</v>
      </c>
      <c r="U58" s="0" t="n">
        <v>0</v>
      </c>
      <c r="V58" s="59" t="n">
        <f aca="false">(O58/N58)/C58</f>
        <v>0</v>
      </c>
      <c r="W58" s="59" t="n">
        <v>0</v>
      </c>
      <c r="Y58" s="59" t="n">
        <v>0</v>
      </c>
      <c r="Z58" s="68" t="n">
        <v>0</v>
      </c>
    </row>
    <row r="59" customFormat="false" ht="12.75" hidden="false" customHeight="false" outlineLevel="0" collapsed="false">
      <c r="B59" s="155" t="n">
        <v>38200</v>
      </c>
      <c r="C59" s="0" t="n">
        <f aca="false">EOMONTH(B59,0)-EOMONTH(B59,-1)</f>
        <v>31</v>
      </c>
      <c r="D59" s="66" t="n">
        <f aca="false">WORKDAY(EOMONTH(B59,0)+24,1,'Financing Assumptions'!E77:E83)</f>
        <v>38257</v>
      </c>
      <c r="E59" s="156" t="str">
        <f aca="false">TEXT(D59,"DDD")</f>
        <v>Mon</v>
      </c>
      <c r="F59" s="41" t="n">
        <f aca="false">D59-$D$14</f>
        <v>1369</v>
      </c>
      <c r="H59" s="0" t="n">
        <f aca="false">(1+Curves!U45/12)^(-12*F59/360)</f>
        <v>0.805442702899947</v>
      </c>
      <c r="I59" s="152" t="n">
        <f aca="false">$F$4*H59*C59</f>
        <v>0</v>
      </c>
      <c r="J59" s="59" t="n">
        <f aca="false">I59*(Curves!B45+Curves!H45+Curves!I45)</f>
        <v>0</v>
      </c>
      <c r="K59" s="68" t="n">
        <v>0</v>
      </c>
      <c r="L59" s="59" t="n">
        <v>0</v>
      </c>
      <c r="N59" s="74" t="n">
        <f aca="false">(1+Curves!V45/12)^(-12*F59/360)</f>
        <v>0.779215126164012</v>
      </c>
      <c r="O59" s="59" t="n">
        <f aca="false">$F$4*N59*C59</f>
        <v>0</v>
      </c>
      <c r="P59" s="59" t="n">
        <v>0</v>
      </c>
      <c r="Q59" s="59" t="n">
        <f aca="false">P59+Q58</f>
        <v>0</v>
      </c>
      <c r="S59" s="59" t="n">
        <f aca="false">O59</f>
        <v>0</v>
      </c>
      <c r="T59" s="59" t="n">
        <f aca="false">S59*(Curves!B45+Curves!H45+Curves!I45)</f>
        <v>0</v>
      </c>
      <c r="U59" s="0" t="n">
        <v>0</v>
      </c>
      <c r="V59" s="59" t="n">
        <f aca="false">(O59/N59)/C59</f>
        <v>0</v>
      </c>
      <c r="W59" s="59" t="n">
        <v>0</v>
      </c>
      <c r="Y59" s="59" t="n">
        <v>0</v>
      </c>
      <c r="Z59" s="68" t="n">
        <v>0</v>
      </c>
    </row>
    <row r="60" customFormat="false" ht="12.75" hidden="false" customHeight="false" outlineLevel="0" collapsed="false">
      <c r="B60" s="155" t="n">
        <v>38231</v>
      </c>
      <c r="C60" s="0" t="n">
        <f aca="false">EOMONTH(B60,0)-EOMONTH(B60,-1)</f>
        <v>30</v>
      </c>
      <c r="D60" s="66" t="n">
        <f aca="false">WORKDAY(EOMONTH(B60,0)+24,1,'Financing Assumptions'!E78:E84)</f>
        <v>38285</v>
      </c>
      <c r="E60" s="156" t="str">
        <f aca="false">TEXT(D60,"DDD")</f>
        <v>Mon</v>
      </c>
      <c r="F60" s="41" t="n">
        <f aca="false">D60-$D$14</f>
        <v>1397</v>
      </c>
      <c r="H60" s="0" t="n">
        <f aca="false">(1+Curves!U46/12)^(-12*F60/360)</f>
        <v>0.801807219706937</v>
      </c>
      <c r="I60" s="152" t="n">
        <f aca="false">$F$4*H60*C60</f>
        <v>0</v>
      </c>
      <c r="J60" s="59" t="n">
        <f aca="false">I60*(Curves!B46+Curves!H46+Curves!I46)</f>
        <v>0</v>
      </c>
      <c r="K60" s="68" t="n">
        <v>0</v>
      </c>
      <c r="L60" s="59" t="n">
        <v>0</v>
      </c>
      <c r="N60" s="74" t="n">
        <f aca="false">(1+Curves!V46/12)^(-12*F60/360)</f>
        <v>0.775173040183522</v>
      </c>
      <c r="O60" s="59" t="n">
        <f aca="false">$F$4*N60*C60</f>
        <v>0</v>
      </c>
      <c r="P60" s="59" t="n">
        <v>0</v>
      </c>
      <c r="Q60" s="59" t="n">
        <f aca="false">P60+Q59</f>
        <v>0</v>
      </c>
      <c r="S60" s="59" t="n">
        <f aca="false">O60</f>
        <v>0</v>
      </c>
      <c r="T60" s="59" t="n">
        <f aca="false">S60*(Curves!B46+Curves!H46+Curves!I46)</f>
        <v>0</v>
      </c>
      <c r="U60" s="0" t="n">
        <v>0</v>
      </c>
      <c r="V60" s="59" t="n">
        <f aca="false">(O60/N60)/C60</f>
        <v>0</v>
      </c>
      <c r="W60" s="59" t="n">
        <v>0</v>
      </c>
      <c r="Y60" s="59" t="n">
        <v>0</v>
      </c>
      <c r="Z60" s="68" t="n">
        <v>0</v>
      </c>
    </row>
    <row r="61" customFormat="false" ht="12.75" hidden="false" customHeight="false" outlineLevel="0" collapsed="false">
      <c r="B61" s="155" t="n">
        <v>38261</v>
      </c>
      <c r="C61" s="0" t="n">
        <f aca="false">EOMONTH(B61,0)-EOMONTH(B61,-1)</f>
        <v>31</v>
      </c>
      <c r="D61" s="66" t="n">
        <f aca="false">WORKDAY(EOMONTH(B61,0)+24,1,'Financing Assumptions'!E79:E85)</f>
        <v>38316</v>
      </c>
      <c r="E61" s="156" t="str">
        <f aca="false">TEXT(D61,"DDD")</f>
        <v>Thu</v>
      </c>
      <c r="F61" s="41" t="n">
        <f aca="false">D61-$D$14</f>
        <v>1428</v>
      </c>
      <c r="H61" s="0" t="n">
        <f aca="false">(1+Curves!U47/12)^(-12*F61/360)</f>
        <v>0.797805407784611</v>
      </c>
      <c r="I61" s="152" t="n">
        <f aca="false">$F$4*H61*C61</f>
        <v>0</v>
      </c>
      <c r="J61" s="59" t="n">
        <f aca="false">I61*(Curves!B47+Curves!H47+Curves!I47)</f>
        <v>0</v>
      </c>
      <c r="K61" s="68" t="n">
        <v>0</v>
      </c>
      <c r="L61" s="59" t="n">
        <v>0</v>
      </c>
      <c r="N61" s="74" t="n">
        <f aca="false">(1+Curves!V47/12)^(-12*F61/360)</f>
        <v>0.770726236495442</v>
      </c>
      <c r="O61" s="59" t="n">
        <f aca="false">$F$4*N61*C61</f>
        <v>0</v>
      </c>
      <c r="P61" s="59" t="n">
        <v>0</v>
      </c>
      <c r="Q61" s="59" t="n">
        <f aca="false">P61+Q60</f>
        <v>0</v>
      </c>
      <c r="S61" s="59" t="n">
        <f aca="false">O61</f>
        <v>0</v>
      </c>
      <c r="T61" s="59" t="n">
        <f aca="false">S61*(Curves!B47+Curves!H47+Curves!I47)</f>
        <v>0</v>
      </c>
      <c r="U61" s="0" t="n">
        <v>0</v>
      </c>
      <c r="V61" s="59" t="n">
        <f aca="false">(O61/N61)/C61</f>
        <v>0</v>
      </c>
      <c r="W61" s="59" t="n">
        <v>0</v>
      </c>
      <c r="Y61" s="59" t="n">
        <v>0</v>
      </c>
      <c r="Z61" s="68" t="n">
        <v>0</v>
      </c>
    </row>
    <row r="62" customFormat="false" ht="12.75" hidden="false" customHeight="false" outlineLevel="0" collapsed="false">
      <c r="B62" s="155" t="n">
        <v>38292</v>
      </c>
      <c r="C62" s="0" t="n">
        <f aca="false">EOMONTH(B62,0)-EOMONTH(B62,-1)</f>
        <v>30</v>
      </c>
      <c r="D62" s="66" t="n">
        <f aca="false">WORKDAY(EOMONTH(B62,0)+24,1,'Financing Assumptions'!E80:E86)</f>
        <v>38348</v>
      </c>
      <c r="E62" s="156" t="str">
        <f aca="false">TEXT(D62,"DDD")</f>
        <v>Mon</v>
      </c>
      <c r="F62" s="41" t="n">
        <f aca="false">D62-$D$14</f>
        <v>1460</v>
      </c>
      <c r="H62" s="0" t="n">
        <f aca="false">(1+Curves!U48/12)^(-12*F62/360)</f>
        <v>0.793688272938632</v>
      </c>
      <c r="I62" s="152" t="n">
        <f aca="false">$F$4*H62*C62</f>
        <v>0</v>
      </c>
      <c r="J62" s="59" t="n">
        <f aca="false">I62*(Curves!B48+Curves!H48+Curves!I48)</f>
        <v>0</v>
      </c>
      <c r="K62" s="68" t="n">
        <v>0</v>
      </c>
      <c r="L62" s="59" t="n">
        <v>0</v>
      </c>
      <c r="N62" s="74" t="n">
        <f aca="false">(1+Curves!V48/12)^(-12*F62/360)</f>
        <v>0.76615581589385</v>
      </c>
      <c r="O62" s="59" t="n">
        <f aca="false">$F$4*N62*C62</f>
        <v>0</v>
      </c>
      <c r="P62" s="59" t="n">
        <v>0</v>
      </c>
      <c r="Q62" s="59" t="n">
        <f aca="false">P62+Q61</f>
        <v>0</v>
      </c>
      <c r="S62" s="59" t="n">
        <f aca="false">O62</f>
        <v>0</v>
      </c>
      <c r="T62" s="59" t="n">
        <f aca="false">S62*(Curves!B48+Curves!H48+Curves!I48)</f>
        <v>0</v>
      </c>
      <c r="U62" s="0" t="n">
        <v>0</v>
      </c>
      <c r="V62" s="59" t="n">
        <f aca="false">(O62/N62)/C62</f>
        <v>0</v>
      </c>
      <c r="W62" s="59" t="n">
        <v>0</v>
      </c>
      <c r="Y62" s="59" t="n">
        <v>0</v>
      </c>
      <c r="Z62" s="68" t="n">
        <v>0</v>
      </c>
    </row>
    <row r="63" customFormat="false" ht="12.75" hidden="false" customHeight="false" outlineLevel="0" collapsed="false">
      <c r="B63" s="155" t="n">
        <v>38322</v>
      </c>
      <c r="C63" s="0" t="n">
        <f aca="false">EOMONTH(B63,0)-EOMONTH(B63,-1)</f>
        <v>31</v>
      </c>
      <c r="D63" s="66" t="n">
        <f aca="false">WORKDAY(EOMONTH(B63,0)+24,1,'Financing Assumptions'!E81:E87)</f>
        <v>38377</v>
      </c>
      <c r="E63" s="156" t="str">
        <f aca="false">TEXT(D63,"DDD")</f>
        <v>Tue</v>
      </c>
      <c r="F63" s="41" t="n">
        <f aca="false">D63-$D$14</f>
        <v>1489</v>
      </c>
      <c r="H63" s="0" t="n">
        <f aca="false">(1+Curves!U49/12)^(-12*F63/360)</f>
        <v>0.789966580131595</v>
      </c>
      <c r="I63" s="152" t="n">
        <f aca="false">$F$4*H63*C63</f>
        <v>0</v>
      </c>
      <c r="J63" s="59" t="n">
        <f aca="false">I63*(Curves!B49+Curves!H49+Curves!I49)</f>
        <v>0</v>
      </c>
      <c r="K63" s="68" t="n">
        <v>0</v>
      </c>
      <c r="L63" s="59" t="n">
        <v>0</v>
      </c>
      <c r="N63" s="74" t="n">
        <f aca="false">(1+Curves!V49/12)^(-12*F63/360)</f>
        <v>0.762028713183236</v>
      </c>
      <c r="O63" s="59" t="n">
        <f aca="false">$F$4*N63*C63</f>
        <v>0</v>
      </c>
      <c r="P63" s="59" t="n">
        <v>0</v>
      </c>
      <c r="Q63" s="59" t="n">
        <f aca="false">P63+Q62</f>
        <v>0</v>
      </c>
      <c r="S63" s="59" t="n">
        <f aca="false">O63</f>
        <v>0</v>
      </c>
      <c r="T63" s="59" t="n">
        <f aca="false">S63*(Curves!B49+Curves!H49+Curves!I49)</f>
        <v>0</v>
      </c>
      <c r="U63" s="0" t="n">
        <v>0</v>
      </c>
      <c r="V63" s="59" t="n">
        <f aca="false">(O63/N63)/C63</f>
        <v>0</v>
      </c>
      <c r="W63" s="59" t="n">
        <v>0</v>
      </c>
      <c r="Y63" s="59" t="n">
        <v>0</v>
      </c>
      <c r="Z63" s="68" t="n">
        <v>0</v>
      </c>
    </row>
    <row r="64" customFormat="false" ht="12.75" hidden="false" customHeight="false" outlineLevel="0" collapsed="false">
      <c r="B64" s="155" t="n">
        <v>38353</v>
      </c>
      <c r="C64" s="0" t="n">
        <f aca="false">EOMONTH(B64,0)-EOMONTH(B64,-1)</f>
        <v>31</v>
      </c>
      <c r="D64" s="66" t="n">
        <f aca="false">WORKDAY(EOMONTH(B64,0)+24,1,'Financing Assumptions'!E82:E88)</f>
        <v>38408</v>
      </c>
      <c r="E64" s="156" t="str">
        <f aca="false">TEXT(D64,"DDD")</f>
        <v>Fri</v>
      </c>
      <c r="F64" s="41" t="n">
        <f aca="false">D64-$D$14</f>
        <v>1520</v>
      </c>
      <c r="H64" s="0" t="n">
        <f aca="false">(1+Curves!U50/12)^(-12*F64/360)</f>
        <v>0.785980988372765</v>
      </c>
      <c r="I64" s="152" t="n">
        <f aca="false">$F$4*H64*C64</f>
        <v>0</v>
      </c>
      <c r="J64" s="59" t="n">
        <f aca="false">I64*(Curves!B50+Curves!H50+Curves!I50)</f>
        <v>0</v>
      </c>
      <c r="K64" s="68" t="n">
        <v>0</v>
      </c>
      <c r="L64" s="59" t="n">
        <v>0</v>
      </c>
      <c r="N64" s="74" t="n">
        <f aca="false">(1+Curves!V50/12)^(-12*F64/360)</f>
        <v>0.757616013294662</v>
      </c>
      <c r="O64" s="59" t="n">
        <f aca="false">$F$4*N64*C64</f>
        <v>0</v>
      </c>
      <c r="P64" s="59" t="n">
        <v>0</v>
      </c>
      <c r="Q64" s="59" t="n">
        <f aca="false">P64+Q63</f>
        <v>0</v>
      </c>
      <c r="S64" s="59" t="n">
        <f aca="false">O64</f>
        <v>0</v>
      </c>
      <c r="T64" s="59" t="n">
        <f aca="false">S64*(Curves!B50+Curves!H50+Curves!I50)</f>
        <v>0</v>
      </c>
      <c r="U64" s="0" t="n">
        <v>0</v>
      </c>
      <c r="V64" s="59" t="n">
        <f aca="false">(O64/N64)/C64</f>
        <v>0</v>
      </c>
      <c r="W64" s="59" t="n">
        <v>0</v>
      </c>
      <c r="Y64" s="59" t="n">
        <v>0</v>
      </c>
      <c r="Z64" s="68" t="n">
        <v>0</v>
      </c>
    </row>
    <row r="65" customFormat="false" ht="12.75" hidden="false" customHeight="false" outlineLevel="0" collapsed="false">
      <c r="B65" s="155" t="n">
        <v>38384</v>
      </c>
      <c r="C65" s="0" t="n">
        <f aca="false">EOMONTH(B65,0)-EOMONTH(B65,-1)</f>
        <v>28</v>
      </c>
      <c r="D65" s="66" t="n">
        <f aca="false">WORKDAY(EOMONTH(B65,0)+24,1,'Financing Assumptions'!E83:E89)</f>
        <v>38436</v>
      </c>
      <c r="E65" s="156" t="str">
        <f aca="false">TEXT(D65,"DDD")</f>
        <v>Fri</v>
      </c>
      <c r="F65" s="41" t="n">
        <f aca="false">D65-$D$14</f>
        <v>1548</v>
      </c>
      <c r="H65" s="0" t="n">
        <f aca="false">(1+Curves!U51/12)^(-12*F65/360)</f>
        <v>0.782361091207357</v>
      </c>
      <c r="I65" s="152" t="n">
        <f aca="false">$F$4*H65*C65</f>
        <v>0</v>
      </c>
      <c r="J65" s="59" t="n">
        <f aca="false">I65*(Curves!B51+Curves!H51+Curves!I51)</f>
        <v>0</v>
      </c>
      <c r="K65" s="68" t="n">
        <v>0</v>
      </c>
      <c r="L65" s="59" t="n">
        <v>0</v>
      </c>
      <c r="N65" s="74" t="n">
        <f aca="false">(1+Curves!V51/12)^(-12*F65/360)</f>
        <v>0.753616418162224</v>
      </c>
      <c r="O65" s="59" t="n">
        <f aca="false">$F$4*N65*C65</f>
        <v>0</v>
      </c>
      <c r="P65" s="59" t="n">
        <v>0</v>
      </c>
      <c r="Q65" s="59" t="n">
        <f aca="false">P65+Q64</f>
        <v>0</v>
      </c>
      <c r="S65" s="59" t="n">
        <f aca="false">O65</f>
        <v>0</v>
      </c>
      <c r="T65" s="59" t="n">
        <f aca="false">S65*(Curves!B51+Curves!H51+Curves!I51)</f>
        <v>0</v>
      </c>
      <c r="U65" s="0" t="n">
        <v>0</v>
      </c>
      <c r="V65" s="59" t="n">
        <f aca="false">(O65/N65)/C65</f>
        <v>0</v>
      </c>
      <c r="W65" s="59" t="n">
        <v>0</v>
      </c>
      <c r="Y65" s="59" t="n">
        <v>0</v>
      </c>
      <c r="Z65" s="68" t="n">
        <v>0</v>
      </c>
    </row>
    <row r="66" customFormat="false" ht="12.75" hidden="false" customHeight="false" outlineLevel="0" collapsed="false">
      <c r="B66" s="155" t="n">
        <v>38412</v>
      </c>
      <c r="C66" s="0" t="n">
        <f aca="false">EOMONTH(B66,0)-EOMONTH(B66,-1)</f>
        <v>31</v>
      </c>
      <c r="D66" s="66" t="n">
        <f aca="false">WORKDAY(EOMONTH(B66,0)+24,1,'Financing Assumptions'!E84:E90)</f>
        <v>38467</v>
      </c>
      <c r="E66" s="156" t="str">
        <f aca="false">TEXT(D66,"DDD")</f>
        <v>Mon</v>
      </c>
      <c r="F66" s="41" t="n">
        <f aca="false">D66-$D$14</f>
        <v>1579</v>
      </c>
      <c r="H66" s="0" t="n">
        <f aca="false">(1+Curves!U52/12)^(-12*F66/360)</f>
        <v>0.778396025979389</v>
      </c>
      <c r="I66" s="152" t="n">
        <f aca="false">$F$4*H66*C66</f>
        <v>0</v>
      </c>
      <c r="J66" s="59" t="n">
        <f aca="false">I66*(Curves!B52+Curves!H52+Curves!I52)</f>
        <v>0</v>
      </c>
      <c r="K66" s="68" t="n">
        <v>0</v>
      </c>
      <c r="L66" s="59" t="n">
        <v>0</v>
      </c>
      <c r="N66" s="74" t="n">
        <f aca="false">(1+Curves!V52/12)^(-12*F66/360)</f>
        <v>0.74923526737089</v>
      </c>
      <c r="O66" s="59" t="n">
        <f aca="false">$F$4*N66*C66</f>
        <v>0</v>
      </c>
      <c r="P66" s="59" t="n">
        <v>0</v>
      </c>
      <c r="Q66" s="59" t="n">
        <f aca="false">P66+Q65</f>
        <v>0</v>
      </c>
      <c r="S66" s="59" t="n">
        <f aca="false">O66</f>
        <v>0</v>
      </c>
      <c r="T66" s="59" t="n">
        <f aca="false">S66*(Curves!B52+Curves!H52+Curves!I52)</f>
        <v>0</v>
      </c>
      <c r="U66" s="0" t="n">
        <v>0</v>
      </c>
      <c r="V66" s="59" t="n">
        <f aca="false">(O66/N66)/C66</f>
        <v>0</v>
      </c>
      <c r="W66" s="59" t="n">
        <v>0</v>
      </c>
      <c r="Y66" s="59" t="n">
        <v>0</v>
      </c>
      <c r="Z66" s="68" t="n">
        <v>0</v>
      </c>
    </row>
    <row r="67" customFormat="false" ht="12.75" hidden="false" customHeight="false" outlineLevel="0" collapsed="false">
      <c r="B67" s="155" t="n">
        <v>38443</v>
      </c>
      <c r="C67" s="0" t="n">
        <f aca="false">EOMONTH(B67,0)-EOMONTH(B67,-1)</f>
        <v>30</v>
      </c>
      <c r="D67" s="66" t="n">
        <f aca="false">WORKDAY(EOMONTH(B67,0)+24,1,'Financing Assumptions'!E85:E91)</f>
        <v>38497</v>
      </c>
      <c r="E67" s="156" t="str">
        <f aca="false">TEXT(D67,"DDD")</f>
        <v>Wed</v>
      </c>
      <c r="F67" s="41" t="n">
        <f aca="false">D67-$D$14</f>
        <v>1609</v>
      </c>
      <c r="H67" s="0" t="n">
        <f aca="false">(1+Curves!U53/12)^(-12*F67/360)</f>
        <v>0.774595728192005</v>
      </c>
      <c r="I67" s="152" t="n">
        <f aca="false">$F$4*H67*C67</f>
        <v>0</v>
      </c>
      <c r="J67" s="59" t="n">
        <f aca="false">I67*(Curves!B53+Curves!H53+Curves!I53)</f>
        <v>0</v>
      </c>
      <c r="K67" s="68" t="n">
        <v>0</v>
      </c>
      <c r="L67" s="59" t="n">
        <v>0</v>
      </c>
      <c r="N67" s="74" t="n">
        <f aca="false">(1+Curves!V53/12)^(-12*F67/360)</f>
        <v>0.745036735060537</v>
      </c>
      <c r="O67" s="59" t="n">
        <f aca="false">$F$4*N67*C67</f>
        <v>0</v>
      </c>
      <c r="P67" s="59" t="n">
        <v>0</v>
      </c>
      <c r="Q67" s="59" t="n">
        <f aca="false">P67+Q66</f>
        <v>0</v>
      </c>
      <c r="S67" s="59" t="n">
        <f aca="false">O67</f>
        <v>0</v>
      </c>
      <c r="T67" s="59" t="n">
        <f aca="false">S67*(Curves!B53+Curves!H53+Curves!I53)</f>
        <v>0</v>
      </c>
      <c r="U67" s="0" t="n">
        <v>0</v>
      </c>
      <c r="V67" s="59" t="n">
        <f aca="false">(O67/N67)/C67</f>
        <v>0</v>
      </c>
      <c r="W67" s="59" t="n">
        <v>0</v>
      </c>
      <c r="Y67" s="59" t="n">
        <v>0</v>
      </c>
      <c r="Z67" s="68" t="n">
        <v>0</v>
      </c>
    </row>
    <row r="68" customFormat="false" ht="12.75" hidden="false" customHeight="false" outlineLevel="0" collapsed="false">
      <c r="B68" s="155" t="n">
        <v>38473</v>
      </c>
      <c r="C68" s="0" t="n">
        <f aca="false">EOMONTH(B68,0)-EOMONTH(B68,-1)</f>
        <v>31</v>
      </c>
      <c r="D68" s="66" t="n">
        <f aca="false">WORKDAY(EOMONTH(B68,0)+24,1,'Financing Assumptions'!E86:E92)</f>
        <v>38530</v>
      </c>
      <c r="E68" s="156" t="str">
        <f aca="false">TEXT(D68,"DDD")</f>
        <v>Mon</v>
      </c>
      <c r="F68" s="41" t="n">
        <f aca="false">D68-$D$14</f>
        <v>1642</v>
      </c>
      <c r="H68" s="0" t="n">
        <f aca="false">(1+Curves!U54/12)^(-12*F68/360)</f>
        <v>0.770479334013903</v>
      </c>
      <c r="I68" s="152" t="n">
        <f aca="false">$F$4*H68*C68</f>
        <v>0</v>
      </c>
      <c r="J68" s="59" t="n">
        <f aca="false">I68*(Curves!B54+Curves!H54+Curves!I54)</f>
        <v>0</v>
      </c>
      <c r="K68" s="68" t="n">
        <v>0</v>
      </c>
      <c r="L68" s="59" t="n">
        <v>0</v>
      </c>
      <c r="N68" s="74" t="n">
        <f aca="false">(1+Curves!V54/12)^(-12*F68/360)</f>
        <v>0.740486341584416</v>
      </c>
      <c r="O68" s="59" t="n">
        <f aca="false">$F$4*N68*C68</f>
        <v>0</v>
      </c>
      <c r="P68" s="59" t="n">
        <v>0</v>
      </c>
      <c r="Q68" s="59" t="n">
        <f aca="false">P68+Q67</f>
        <v>0</v>
      </c>
      <c r="S68" s="59" t="n">
        <f aca="false">O68</f>
        <v>0</v>
      </c>
      <c r="T68" s="59" t="n">
        <f aca="false">S68*(Curves!B54+Curves!H54+Curves!I54)</f>
        <v>0</v>
      </c>
      <c r="U68" s="0" t="n">
        <v>0</v>
      </c>
      <c r="V68" s="59" t="n">
        <f aca="false">(O68/N68)/C68</f>
        <v>0</v>
      </c>
      <c r="W68" s="59" t="n">
        <v>0</v>
      </c>
      <c r="Y68" s="59" t="n">
        <v>0</v>
      </c>
      <c r="Z68" s="68" t="n">
        <v>0</v>
      </c>
    </row>
    <row r="69" customFormat="false" ht="12.75" hidden="false" customHeight="false" outlineLevel="0" collapsed="false">
      <c r="B69" s="155" t="n">
        <v>38504</v>
      </c>
      <c r="C69" s="0" t="n">
        <f aca="false">EOMONTH(B69,0)-EOMONTH(B69,-1)</f>
        <v>30</v>
      </c>
      <c r="D69" s="66" t="n">
        <f aca="false">WORKDAY(EOMONTH(B69,0)+24,1,'Financing Assumptions'!E87:E93)</f>
        <v>38558</v>
      </c>
      <c r="E69" s="156" t="str">
        <f aca="false">TEXT(D69,"DDD")</f>
        <v>Mon</v>
      </c>
      <c r="F69" s="41" t="n">
        <f aca="false">D69-$D$14</f>
        <v>1670</v>
      </c>
      <c r="H69" s="0" t="n">
        <f aca="false">(1+Curves!U55/12)^(-12*F69/360)</f>
        <v>0.766988647532492</v>
      </c>
      <c r="I69" s="152" t="n">
        <f aca="false">$F$4*H69*C69</f>
        <v>0</v>
      </c>
      <c r="J69" s="59" t="n">
        <f aca="false">I69*(Curves!B55+Curves!H55+Curves!I55)</f>
        <v>0</v>
      </c>
      <c r="K69" s="68" t="n">
        <v>0</v>
      </c>
      <c r="L69" s="59" t="n">
        <v>0</v>
      </c>
      <c r="N69" s="74" t="n">
        <f aca="false">(1+Curves!V55/12)^(-12*F69/360)</f>
        <v>0.736632665215931</v>
      </c>
      <c r="O69" s="59" t="n">
        <f aca="false">$F$4*N69*C69</f>
        <v>0</v>
      </c>
      <c r="P69" s="59" t="n">
        <v>0</v>
      </c>
      <c r="Q69" s="59" t="n">
        <f aca="false">P69+Q68</f>
        <v>0</v>
      </c>
      <c r="S69" s="59" t="n">
        <f aca="false">O69</f>
        <v>0</v>
      </c>
      <c r="T69" s="59" t="n">
        <f aca="false">S69*(Curves!B55+Curves!H55+Curves!I55)</f>
        <v>0</v>
      </c>
      <c r="U69" s="0" t="n">
        <v>0</v>
      </c>
      <c r="V69" s="59" t="n">
        <f aca="false">(O69/N69)/C69</f>
        <v>0</v>
      </c>
      <c r="W69" s="59" t="n">
        <v>0</v>
      </c>
      <c r="Y69" s="59" t="n">
        <v>0</v>
      </c>
      <c r="Z69" s="68" t="n">
        <v>0</v>
      </c>
    </row>
    <row r="70" customFormat="false" ht="12.75" hidden="false" customHeight="false" outlineLevel="0" collapsed="false">
      <c r="B70" s="155" t="n">
        <v>38534</v>
      </c>
      <c r="C70" s="0" t="n">
        <f aca="false">EOMONTH(B70,0)-EOMONTH(B70,-1)</f>
        <v>31</v>
      </c>
      <c r="D70" s="66" t="n">
        <f aca="false">WORKDAY(EOMONTH(B70,0)+24,1,'Financing Assumptions'!E88:E94)</f>
        <v>38589</v>
      </c>
      <c r="E70" s="156" t="str">
        <f aca="false">TEXT(D70,"DDD")</f>
        <v>Thu</v>
      </c>
      <c r="F70" s="41" t="n">
        <f aca="false">D70-$D$14</f>
        <v>1701</v>
      </c>
      <c r="H70" s="0" t="n">
        <f aca="false">(1+Curves!U56/12)^(-12*F70/360)</f>
        <v>0.763149827073883</v>
      </c>
      <c r="I70" s="152" t="n">
        <f aca="false">$F$4*H70*C70</f>
        <v>0</v>
      </c>
      <c r="J70" s="59" t="n">
        <f aca="false">I70*(Curves!B56+Curves!H56+Curves!I56)</f>
        <v>0</v>
      </c>
      <c r="K70" s="68" t="n">
        <v>0</v>
      </c>
      <c r="L70" s="59" t="n">
        <v>0</v>
      </c>
      <c r="N70" s="74" t="n">
        <f aca="false">(1+Curves!V56/12)^(-12*F70/360)</f>
        <v>0.732396604099147</v>
      </c>
      <c r="O70" s="59" t="n">
        <f aca="false">$F$4*N70*C70</f>
        <v>0</v>
      </c>
      <c r="P70" s="59" t="n">
        <v>0</v>
      </c>
      <c r="Q70" s="59" t="n">
        <f aca="false">P70+Q69</f>
        <v>0</v>
      </c>
      <c r="S70" s="59" t="n">
        <f aca="false">O70</f>
        <v>0</v>
      </c>
      <c r="T70" s="59" t="n">
        <f aca="false">S70*(Curves!B56+Curves!H56+Curves!I56)</f>
        <v>0</v>
      </c>
      <c r="U70" s="0" t="n">
        <v>0</v>
      </c>
      <c r="V70" s="59" t="n">
        <f aca="false">(O70/N70)/C70</f>
        <v>0</v>
      </c>
      <c r="W70" s="59" t="n">
        <v>0</v>
      </c>
      <c r="Y70" s="59" t="n">
        <v>0</v>
      </c>
      <c r="Z70" s="68" t="n">
        <v>0</v>
      </c>
    </row>
    <row r="71" customFormat="false" ht="12.75" hidden="false" customHeight="false" outlineLevel="0" collapsed="false">
      <c r="B71" s="155" t="n">
        <v>38565</v>
      </c>
      <c r="C71" s="0" t="n">
        <f aca="false">EOMONTH(B71,0)-EOMONTH(B71,-1)</f>
        <v>31</v>
      </c>
      <c r="D71" s="66" t="n">
        <f aca="false">WORKDAY(EOMONTH(B71,0)+24,1,'Financing Assumptions'!E89:E95)</f>
        <v>38621</v>
      </c>
      <c r="E71" s="156" t="str">
        <f aca="false">TEXT(D71,"DDD")</f>
        <v>Mon</v>
      </c>
      <c r="F71" s="41" t="n">
        <f aca="false">D71-$D$14</f>
        <v>1733</v>
      </c>
      <c r="H71" s="0" t="n">
        <f aca="false">(1+Curves!U57/12)^(-12*F71/360)</f>
        <v>0.759204543783095</v>
      </c>
      <c r="I71" s="152" t="n">
        <f aca="false">$F$4*H71*C71</f>
        <v>0</v>
      </c>
      <c r="J71" s="59" t="n">
        <f aca="false">I71*(Curves!B57+Curves!H57+Curves!I57)</f>
        <v>0</v>
      </c>
      <c r="K71" s="68" t="n">
        <v>0</v>
      </c>
      <c r="L71" s="59" t="n">
        <v>0</v>
      </c>
      <c r="N71" s="74" t="n">
        <f aca="false">(1+Curves!V57/12)^(-12*F71/360)</f>
        <v>0.728046779516424</v>
      </c>
      <c r="O71" s="59" t="n">
        <f aca="false">$F$4*N71*C71</f>
        <v>0</v>
      </c>
      <c r="P71" s="59" t="n">
        <v>0</v>
      </c>
      <c r="Q71" s="59" t="n">
        <f aca="false">P71+Q70</f>
        <v>0</v>
      </c>
      <c r="S71" s="59" t="n">
        <f aca="false">O71</f>
        <v>0</v>
      </c>
      <c r="T71" s="59" t="n">
        <f aca="false">S71*(Curves!B57+Curves!H57+Curves!I57)</f>
        <v>0</v>
      </c>
      <c r="U71" s="0" t="n">
        <v>0</v>
      </c>
      <c r="V71" s="59" t="n">
        <f aca="false">(O71/N71)/C71</f>
        <v>0</v>
      </c>
      <c r="W71" s="59" t="n">
        <v>0</v>
      </c>
      <c r="Y71" s="59" t="n">
        <v>0</v>
      </c>
      <c r="Z71" s="68" t="n">
        <v>0</v>
      </c>
    </row>
    <row r="72" customFormat="false" ht="12.75" hidden="false" customHeight="false" outlineLevel="0" collapsed="false">
      <c r="B72" s="155" t="n">
        <v>38596</v>
      </c>
      <c r="C72" s="0" t="n">
        <f aca="false">EOMONTH(B72,0)-EOMONTH(B72,-1)</f>
        <v>30</v>
      </c>
      <c r="D72" s="66" t="n">
        <f aca="false">WORKDAY(EOMONTH(B72,0)+24,1,'Financing Assumptions'!E90:E96)</f>
        <v>38650</v>
      </c>
      <c r="E72" s="156" t="str">
        <f aca="false">TEXT(D72,"DDD")</f>
        <v>Tue</v>
      </c>
      <c r="F72" s="41" t="n">
        <f aca="false">D72-$D$14</f>
        <v>1762</v>
      </c>
      <c r="H72" s="0" t="n">
        <f aca="false">(1+Curves!U58/12)^(-12*F72/360)</f>
        <v>0.75563731957216</v>
      </c>
      <c r="I72" s="152" t="n">
        <f aca="false">$F$4*H72*C72</f>
        <v>0</v>
      </c>
      <c r="J72" s="59" t="n">
        <f aca="false">I72*(Curves!B58+Curves!H58+Curves!I58)</f>
        <v>0</v>
      </c>
      <c r="K72" s="68" t="n">
        <v>0</v>
      </c>
      <c r="L72" s="59" t="n">
        <v>0</v>
      </c>
      <c r="N72" s="74" t="n">
        <f aca="false">(1+Curves!V58/12)^(-12*F72/360)</f>
        <v>0.724118038422028</v>
      </c>
      <c r="O72" s="59" t="n">
        <f aca="false">$F$4*N72*C72</f>
        <v>0</v>
      </c>
      <c r="P72" s="59" t="n">
        <v>0</v>
      </c>
      <c r="Q72" s="59" t="n">
        <f aca="false">P72+Q71</f>
        <v>0</v>
      </c>
      <c r="S72" s="59" t="n">
        <f aca="false">O72</f>
        <v>0</v>
      </c>
      <c r="T72" s="59" t="n">
        <f aca="false">S72*(Curves!B58+Curves!H58+Curves!I58)</f>
        <v>0</v>
      </c>
      <c r="U72" s="0" t="n">
        <v>0</v>
      </c>
      <c r="V72" s="59" t="n">
        <f aca="false">(O72/N72)/C72</f>
        <v>0</v>
      </c>
      <c r="W72" s="59" t="n">
        <v>0</v>
      </c>
      <c r="Y72" s="59" t="n">
        <v>0</v>
      </c>
      <c r="Z72" s="68" t="n">
        <v>0</v>
      </c>
    </row>
    <row r="73" customFormat="false" ht="12.75" hidden="false" customHeight="false" outlineLevel="0" collapsed="false">
      <c r="B73" s="155" t="n">
        <v>38626</v>
      </c>
      <c r="C73" s="0" t="n">
        <f aca="false">EOMONTH(B73,0)-EOMONTH(B73,-1)</f>
        <v>31</v>
      </c>
      <c r="D73" s="66" t="n">
        <f aca="false">WORKDAY(EOMONTH(B73,0)+24,1,'Financing Assumptions'!E91:E97)</f>
        <v>38681</v>
      </c>
      <c r="E73" s="156" t="str">
        <f aca="false">TEXT(D73,"DDD")</f>
        <v>Fri</v>
      </c>
      <c r="F73" s="41" t="n">
        <f aca="false">D73-$D$14</f>
        <v>1793</v>
      </c>
      <c r="H73" s="0" t="n">
        <f aca="false">(1+Curves!U59/12)^(-12*F73/360)</f>
        <v>0.751847609090296</v>
      </c>
      <c r="I73" s="152" t="n">
        <f aca="false">$F$4*H73*C73</f>
        <v>0</v>
      </c>
      <c r="J73" s="59" t="n">
        <f aca="false">I73*(Curves!B59+Curves!H59+Curves!I59)</f>
        <v>0</v>
      </c>
      <c r="K73" s="68" t="n">
        <v>0</v>
      </c>
      <c r="L73" s="59" t="n">
        <v>0</v>
      </c>
      <c r="N73" s="74" t="n">
        <f aca="false">(1+Curves!V59/12)^(-12*F73/360)</f>
        <v>0.719946571788794</v>
      </c>
      <c r="O73" s="59" t="n">
        <f aca="false">$F$4*N73*C73</f>
        <v>0</v>
      </c>
      <c r="P73" s="59" t="n">
        <v>0</v>
      </c>
      <c r="Q73" s="59" t="n">
        <f aca="false">P73+Q72</f>
        <v>0</v>
      </c>
      <c r="S73" s="59" t="n">
        <f aca="false">O73</f>
        <v>0</v>
      </c>
      <c r="T73" s="59" t="n">
        <f aca="false">S73*(Curves!B59+Curves!H59+Curves!I59)</f>
        <v>0</v>
      </c>
      <c r="U73" s="0" t="n">
        <v>0</v>
      </c>
      <c r="V73" s="59" t="n">
        <f aca="false">(O73/N73)/C73</f>
        <v>0</v>
      </c>
      <c r="W73" s="59" t="n">
        <v>0</v>
      </c>
      <c r="Y73" s="59" t="n">
        <v>0</v>
      </c>
      <c r="Z73" s="68" t="n">
        <v>0</v>
      </c>
    </row>
    <row r="74" customFormat="false" ht="12.75" hidden="false" customHeight="false" outlineLevel="0" collapsed="false">
      <c r="B74" s="155" t="n">
        <v>38657</v>
      </c>
      <c r="C74" s="0" t="n">
        <f aca="false">EOMONTH(B74,0)-EOMONTH(B74,-1)</f>
        <v>30</v>
      </c>
      <c r="D74" s="66" t="n">
        <f aca="false">WORKDAY(EOMONTH(B74,0)+24,1,'Financing Assumptions'!E92:E98)</f>
        <v>38712</v>
      </c>
      <c r="E74" s="156" t="str">
        <f aca="false">TEXT(D74,"DDD")</f>
        <v>Mon</v>
      </c>
      <c r="F74" s="41" t="n">
        <f aca="false">D74-$D$14</f>
        <v>1824</v>
      </c>
      <c r="H74" s="0" t="n">
        <f aca="false">(1+Curves!U60/12)^(-12*F74/360)</f>
        <v>0.748071872465204</v>
      </c>
      <c r="I74" s="152" t="n">
        <f aca="false">$F$4*H74*C74</f>
        <v>0</v>
      </c>
      <c r="J74" s="59" t="n">
        <f aca="false">I74*(Curves!B60+Curves!H60+Curves!I60)</f>
        <v>0</v>
      </c>
      <c r="K74" s="68" t="n">
        <v>0</v>
      </c>
      <c r="L74" s="59" t="n">
        <v>0</v>
      </c>
      <c r="N74" s="74" t="n">
        <f aca="false">(1+Curves!V60/12)^(-12*F74/360)</f>
        <v>0.715794324094208</v>
      </c>
      <c r="O74" s="59" t="n">
        <f aca="false">$F$4*N74*C74</f>
        <v>0</v>
      </c>
      <c r="P74" s="59" t="n">
        <v>0</v>
      </c>
      <c r="Q74" s="59" t="n">
        <f aca="false">P74+Q73</f>
        <v>0</v>
      </c>
      <c r="S74" s="59" t="n">
        <f aca="false">O74</f>
        <v>0</v>
      </c>
      <c r="T74" s="59" t="n">
        <f aca="false">S74*(Curves!B60+Curves!H60+Curves!I60)</f>
        <v>0</v>
      </c>
      <c r="U74" s="0" t="n">
        <v>0</v>
      </c>
      <c r="V74" s="59" t="n">
        <f aca="false">(O74/N74)/C74</f>
        <v>0</v>
      </c>
      <c r="W74" s="59" t="n">
        <v>0</v>
      </c>
      <c r="Y74" s="59" t="n">
        <v>0</v>
      </c>
      <c r="Z74" s="68" t="n">
        <v>0</v>
      </c>
    </row>
  </sheetData>
  <mergeCells count="2">
    <mergeCell ref="H9:L9"/>
    <mergeCell ref="N9:Q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3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6" width="14.14"/>
    <col collapsed="false" customWidth="true" hidden="false" outlineLevel="0" max="2" min="2" style="76" width="14.56"/>
    <col collapsed="false" customWidth="true" hidden="false" outlineLevel="0" max="4" min="3" style="76" width="16.42"/>
    <col collapsed="false" customWidth="true" hidden="false" outlineLevel="0" max="5" min="5" style="76" width="14.85"/>
    <col collapsed="false" customWidth="true" hidden="false" outlineLevel="0" max="6" min="6" style="76" width="13.85"/>
    <col collapsed="false" customWidth="true" hidden="false" outlineLevel="0" max="7" min="7" style="76" width="10.71"/>
    <col collapsed="false" customWidth="true" hidden="false" outlineLevel="0" max="9" min="8" style="76" width="18.14"/>
    <col collapsed="false" customWidth="true" hidden="false" outlineLevel="0" max="10" min="10" style="76" width="22.56"/>
    <col collapsed="false" customWidth="true" hidden="false" outlineLevel="0" max="12" min="11" style="76" width="15.99"/>
    <col collapsed="false" customWidth="true" hidden="false" outlineLevel="0" max="13" min="13" style="76" width="24.99"/>
    <col collapsed="false" customWidth="true" hidden="false" outlineLevel="0" max="14" min="14" style="76" width="14.56"/>
    <col collapsed="false" customWidth="true" hidden="false" outlineLevel="0" max="15" min="15" style="76" width="15.41"/>
    <col collapsed="false" customWidth="true" hidden="false" outlineLevel="0" max="16" min="16" style="76" width="3.14"/>
    <col collapsed="false" customWidth="true" hidden="false" outlineLevel="0" max="18" min="17" style="76" width="15.41"/>
    <col collapsed="false" customWidth="true" hidden="false" outlineLevel="0" max="19" min="19" style="76" width="3.14"/>
    <col collapsed="false" customWidth="true" hidden="false" outlineLevel="0" max="26" min="20" style="71" width="10.71"/>
    <col collapsed="false" customWidth="true" hidden="false" outlineLevel="0" max="27" min="27" style="76" width="4.28"/>
    <col collapsed="false" customWidth="true" hidden="false" outlineLevel="0" max="28" min="28" style="76" width="12.28"/>
    <col collapsed="false" customWidth="true" hidden="false" outlineLevel="0" max="29" min="29" style="76" width="18.85"/>
    <col collapsed="false" customWidth="true" hidden="false" outlineLevel="0" max="30" min="30" style="76" width="15.85"/>
    <col collapsed="false" customWidth="true" hidden="false" outlineLevel="0" max="31" min="31" style="76" width="17.14"/>
    <col collapsed="false" customWidth="true" hidden="false" outlineLevel="0" max="32" min="32" style="76" width="20.56"/>
    <col collapsed="false" customWidth="true" hidden="false" outlineLevel="0" max="33" min="33" style="76" width="20.7"/>
    <col collapsed="false" customWidth="true" hidden="false" outlineLevel="0" max="34" min="34" style="76" width="14.28"/>
    <col collapsed="false" customWidth="true" hidden="false" outlineLevel="0" max="35" min="35" style="76" width="16.42"/>
    <col collapsed="false" customWidth="true" hidden="false" outlineLevel="0" max="36" min="36" style="76" width="15.13"/>
    <col collapsed="false" customWidth="true" hidden="false" outlineLevel="0" max="37" min="37" style="77" width="6.56"/>
    <col collapsed="false" customWidth="true" hidden="false" outlineLevel="0" max="39" min="38" style="76" width="15.13"/>
    <col collapsed="false" customWidth="true" hidden="false" outlineLevel="0" max="40" min="40" style="76" width="16.84"/>
    <col collapsed="false" customWidth="true" hidden="false" outlineLevel="0" max="41" min="41" style="76" width="15.99"/>
    <col collapsed="false" customWidth="true" hidden="false" outlineLevel="0" max="42" min="42" style="0" width="5.85"/>
    <col collapsed="false" customWidth="true" hidden="false" outlineLevel="0" max="44" min="43" style="76" width="15.13"/>
    <col collapsed="false" customWidth="true" hidden="false" outlineLevel="0" max="45" min="45" style="76" width="16.84"/>
    <col collapsed="false" customWidth="true" hidden="false" outlineLevel="0" max="46" min="46" style="76" width="15.99"/>
    <col collapsed="false" customWidth="true" hidden="false" outlineLevel="0" max="47" min="47" style="76" width="6.28"/>
    <col collapsed="false" customWidth="true" hidden="false" outlineLevel="0" max="48" min="48" style="76" width="18.41"/>
    <col collapsed="false" customWidth="true" hidden="false" outlineLevel="0" max="49" min="49" style="76" width="3.85"/>
    <col collapsed="false" customWidth="true" hidden="false" outlineLevel="0" max="50" min="50" style="76" width="18.41"/>
    <col collapsed="false" customWidth="false" hidden="false" outlineLevel="0" max="51" min="51" style="76" width="9.14"/>
    <col collapsed="false" customWidth="true" hidden="false" outlineLevel="0" max="52" min="52" style="76" width="15.28"/>
    <col collapsed="false" customWidth="false" hidden="false" outlineLevel="0" max="53" min="53" style="76" width="9.14"/>
    <col collapsed="false" customWidth="true" hidden="false" outlineLevel="0" max="54" min="54" style="76" width="15.28"/>
    <col collapsed="false" customWidth="false" hidden="false" outlineLevel="0" max="257" min="55" style="76" width="9.14"/>
  </cols>
  <sheetData>
    <row r="1" customFormat="false" ht="13.5" hidden="false" customHeight="false" outlineLevel="0" collapsed="false">
      <c r="A1" s="78"/>
      <c r="B1" s="79" t="s">
        <v>136</v>
      </c>
      <c r="C1" s="80"/>
      <c r="D1" s="80"/>
      <c r="E1" s="0"/>
      <c r="H1" s="81" t="s">
        <v>137</v>
      </c>
      <c r="I1" s="81" t="s">
        <v>138</v>
      </c>
      <c r="J1" s="82" t="s">
        <v>139</v>
      </c>
      <c r="K1" s="82" t="s">
        <v>140</v>
      </c>
      <c r="L1" s="83" t="s">
        <v>141</v>
      </c>
      <c r="M1" s="84"/>
      <c r="AB1" s="85"/>
      <c r="AC1" s="86"/>
      <c r="AD1" s="85"/>
      <c r="AE1" s="85"/>
      <c r="AF1" s="86"/>
      <c r="AG1" s="85"/>
      <c r="AH1" s="87"/>
    </row>
    <row r="2" customFormat="false" ht="12.75" hidden="false" customHeight="false" outlineLevel="0" collapsed="false">
      <c r="A2" s="81" t="s">
        <v>34</v>
      </c>
      <c r="B2" s="88" t="s">
        <v>142</v>
      </c>
      <c r="C2" s="88" t="s">
        <v>143</v>
      </c>
      <c r="D2" s="89" t="s">
        <v>20</v>
      </c>
      <c r="E2" s="88" t="s">
        <v>144</v>
      </c>
      <c r="F2" s="88" t="s">
        <v>145</v>
      </c>
      <c r="G2" s="88" t="s">
        <v>146</v>
      </c>
      <c r="H2" s="90" t="s">
        <v>147</v>
      </c>
      <c r="I2" s="91" t="s">
        <v>148</v>
      </c>
      <c r="J2" s="92" t="s">
        <v>148</v>
      </c>
      <c r="K2" s="92" t="s">
        <v>149</v>
      </c>
      <c r="L2" s="93"/>
      <c r="AB2" s="85"/>
      <c r="AC2" s="85"/>
      <c r="AD2" s="85"/>
      <c r="AE2" s="85"/>
      <c r="AF2" s="85"/>
      <c r="AG2" s="85"/>
      <c r="AH2" s="85"/>
      <c r="AO2" s="94" t="s">
        <v>150</v>
      </c>
      <c r="AT2" s="94" t="s">
        <v>151</v>
      </c>
    </row>
    <row r="3" customFormat="false" ht="13.5" hidden="false" customHeight="false" outlineLevel="0" collapsed="false">
      <c r="A3" s="95" t="n">
        <f aca="false">Summary!C5</f>
        <v>36982</v>
      </c>
      <c r="B3" s="96" t="n">
        <f aca="false">Summary!D5</f>
        <v>38657</v>
      </c>
      <c r="C3" s="97" t="n">
        <f aca="false">Summary!B5</f>
        <v>36888</v>
      </c>
      <c r="D3" s="97" t="n">
        <f aca="true">IF(WEEKDAY(TODAY())=2,TODAY()-3,TODAY()-1)</f>
        <v>45925</v>
      </c>
      <c r="E3" s="98" t="str">
        <f aca="false">CONCATENATE(INT(Y8/12)," Y - ",Y8-INT(Y8/12)*12," M")</f>
        <v>4 Y - 8 M</v>
      </c>
      <c r="F3" s="99" t="n">
        <f aca="false">'Transco Z3'!F3</f>
        <v>1</v>
      </c>
      <c r="G3" s="99" t="n">
        <v>2</v>
      </c>
      <c r="H3" s="100" t="n">
        <v>1</v>
      </c>
      <c r="I3" s="101" t="s">
        <v>204</v>
      </c>
      <c r="J3" s="101" t="s">
        <v>204</v>
      </c>
      <c r="K3" s="101" t="n">
        <f aca="false">'ColGulf-LA'!K3</f>
        <v>0</v>
      </c>
      <c r="L3" s="102"/>
      <c r="AB3" s="85"/>
      <c r="AE3" s="85"/>
    </row>
    <row r="4" customFormat="false" ht="12.75" hidden="false" customHeight="false" outlineLevel="0" collapsed="false">
      <c r="A4" s="103"/>
      <c r="B4" s="103"/>
      <c r="C4" s="103"/>
      <c r="D4" s="103" t="s">
        <v>153</v>
      </c>
      <c r="E4" s="103" t="s">
        <v>154</v>
      </c>
      <c r="F4" s="103" t="s">
        <v>117</v>
      </c>
      <c r="G4" s="104" t="s">
        <v>155</v>
      </c>
      <c r="H4" s="105"/>
      <c r="I4" s="105"/>
      <c r="J4" s="104" t="str">
        <f aca="false">CONCATENATE(I3,"-","D")</f>
        <v>IF-TETCO/ELA-D</v>
      </c>
      <c r="K4" s="105" t="str">
        <f aca="false">I3</f>
        <v>IF-TETCO/ELA</v>
      </c>
      <c r="L4" s="105" t="str">
        <f aca="false">I3</f>
        <v>IF-TETCO/ELA</v>
      </c>
      <c r="M4" s="104" t="str">
        <f aca="false">CONCATENATE(J3,"-","I")</f>
        <v>IF-TETCO/ELA-I</v>
      </c>
      <c r="N4" s="105" t="str">
        <f aca="false">J3</f>
        <v>IF-TETCO/ELA</v>
      </c>
      <c r="O4" s="105" t="str">
        <f aca="false">J3</f>
        <v>IF-TETCO/ELA</v>
      </c>
      <c r="Q4" s="105" t="str">
        <f aca="false">J4</f>
        <v>IF-TETCO/ELA-D</v>
      </c>
      <c r="R4" s="105" t="str">
        <f aca="false">K4</f>
        <v>IF-TETCO/ELA</v>
      </c>
      <c r="T4" s="106"/>
      <c r="U4" s="106"/>
      <c r="V4" s="106" t="s">
        <v>156</v>
      </c>
      <c r="W4" s="104" t="s">
        <v>157</v>
      </c>
      <c r="X4" s="106"/>
      <c r="Y4" s="106"/>
      <c r="Z4" s="106"/>
      <c r="AB4" s="107"/>
      <c r="AC4" s="107"/>
      <c r="AD4" s="107"/>
      <c r="AE4" s="107" t="str">
        <f aca="false">K4</f>
        <v>IF-TETCO/ELA</v>
      </c>
      <c r="AF4" s="107" t="str">
        <f aca="false">AE4</f>
        <v>IF-TETCO/ELA</v>
      </c>
      <c r="AG4" s="107" t="str">
        <f aca="false">AF4</f>
        <v>IF-TETCO/ELA</v>
      </c>
      <c r="AH4" s="107" t="str">
        <f aca="false">AG4</f>
        <v>IF-TETCO/ELA</v>
      </c>
      <c r="AI4" s="107" t="str">
        <f aca="false">AH4</f>
        <v>IF-TETCO/ELA</v>
      </c>
      <c r="AJ4" s="107" t="str">
        <f aca="false">AI4</f>
        <v>IF-TETCO/ELA</v>
      </c>
      <c r="AK4" s="108"/>
      <c r="AL4" s="109" t="s">
        <v>158</v>
      </c>
      <c r="AM4" s="109" t="s">
        <v>159</v>
      </c>
      <c r="AN4" s="109" t="s">
        <v>160</v>
      </c>
      <c r="AO4" s="109" t="s">
        <v>153</v>
      </c>
      <c r="AQ4" s="109" t="s">
        <v>158</v>
      </c>
      <c r="AR4" s="109" t="s">
        <v>138</v>
      </c>
      <c r="AS4" s="109" t="s">
        <v>160</v>
      </c>
      <c r="AT4" s="109" t="s">
        <v>153</v>
      </c>
      <c r="AU4" s="110"/>
      <c r="AV4" s="111"/>
      <c r="AX4" s="111"/>
    </row>
    <row r="5" customFormat="false" ht="12.75" hidden="false" customHeight="false" outlineLevel="0" collapsed="false">
      <c r="A5" s="103" t="s">
        <v>69</v>
      </c>
      <c r="B5" s="103" t="s">
        <v>70</v>
      </c>
      <c r="C5" s="103"/>
      <c r="D5" s="103" t="s">
        <v>70</v>
      </c>
      <c r="E5" s="103" t="s">
        <v>70</v>
      </c>
      <c r="F5" s="103" t="s">
        <v>70</v>
      </c>
      <c r="G5" s="103" t="s">
        <v>113</v>
      </c>
      <c r="H5" s="103" t="s">
        <v>113</v>
      </c>
      <c r="I5" s="103" t="s">
        <v>113</v>
      </c>
      <c r="J5" s="103" t="s">
        <v>138</v>
      </c>
      <c r="K5" s="103" t="s">
        <v>138</v>
      </c>
      <c r="L5" s="103" t="s">
        <v>138</v>
      </c>
      <c r="M5" s="103" t="s">
        <v>139</v>
      </c>
      <c r="N5" s="103" t="s">
        <v>139</v>
      </c>
      <c r="O5" s="103" t="s">
        <v>139</v>
      </c>
      <c r="Q5" s="103" t="s">
        <v>67</v>
      </c>
      <c r="R5" s="103" t="s">
        <v>67</v>
      </c>
      <c r="T5" s="112" t="s">
        <v>161</v>
      </c>
      <c r="U5" s="112" t="s">
        <v>90</v>
      </c>
      <c r="V5" s="112" t="s">
        <v>90</v>
      </c>
      <c r="W5" s="113" t="s">
        <v>162</v>
      </c>
      <c r="X5" s="112" t="s">
        <v>90</v>
      </c>
      <c r="Y5" s="112" t="s">
        <v>163</v>
      </c>
      <c r="Z5" s="112" t="s">
        <v>163</v>
      </c>
      <c r="AB5" s="114" t="str">
        <f aca="false">G5</f>
        <v>Nymex</v>
      </c>
      <c r="AC5" s="114" t="str">
        <f aca="false">H5</f>
        <v>Nymex</v>
      </c>
      <c r="AD5" s="114" t="str">
        <f aca="false">I5</f>
        <v>Nymex</v>
      </c>
      <c r="AE5" s="114" t="str">
        <f aca="false">J5</f>
        <v>Basis</v>
      </c>
      <c r="AF5" s="114" t="str">
        <f aca="false">K5</f>
        <v>Basis</v>
      </c>
      <c r="AG5" s="114" t="str">
        <f aca="false">L5</f>
        <v>Basis</v>
      </c>
      <c r="AH5" s="114" t="str">
        <f aca="false">M5</f>
        <v>Index</v>
      </c>
      <c r="AI5" s="114" t="str">
        <f aca="false">N5</f>
        <v>Index</v>
      </c>
      <c r="AJ5" s="114" t="str">
        <f aca="false">O5</f>
        <v>Index</v>
      </c>
      <c r="AK5" s="108"/>
      <c r="AL5" s="115" t="str">
        <f aca="false">CHOOSE(G3,"Bid-Contract","Contract-Offer")</f>
        <v>Contract-Offer</v>
      </c>
      <c r="AM5" s="115" t="str">
        <f aca="false">AL5</f>
        <v>Contract-Offer</v>
      </c>
      <c r="AN5" s="115" t="str">
        <f aca="false">AL5</f>
        <v>Contract-Offer</v>
      </c>
      <c r="AO5" s="115" t="str">
        <f aca="false">AL5</f>
        <v>Contract-Offer</v>
      </c>
      <c r="AQ5" s="115" t="str">
        <f aca="false">CHOOSE(G3,"Mid-Bid","Offer-Mid")</f>
        <v>Offer-Mid</v>
      </c>
      <c r="AR5" s="115" t="str">
        <f aca="false">AQ5</f>
        <v>Offer-Mid</v>
      </c>
      <c r="AS5" s="115" t="str">
        <f aca="false">AQ5</f>
        <v>Offer-Mid</v>
      </c>
      <c r="AT5" s="115" t="str">
        <f aca="false">AQ5</f>
        <v>Offer-Mid</v>
      </c>
      <c r="AU5" s="110"/>
      <c r="AV5" s="116" t="s">
        <v>153</v>
      </c>
      <c r="AX5" s="116" t="s">
        <v>153</v>
      </c>
    </row>
    <row r="6" customFormat="false" ht="12.75" hidden="false" customHeight="false" outlineLevel="0" collapsed="false">
      <c r="A6" s="117" t="s">
        <v>164</v>
      </c>
      <c r="B6" s="117" t="s">
        <v>165</v>
      </c>
      <c r="C6" s="117"/>
      <c r="D6" s="117" t="s">
        <v>165</v>
      </c>
      <c r="E6" s="117" t="s">
        <v>166</v>
      </c>
      <c r="F6" s="117" t="s">
        <v>166</v>
      </c>
      <c r="G6" s="117" t="s">
        <v>167</v>
      </c>
      <c r="H6" s="117" t="str">
        <f aca="false">CHOOSE(G3,"Bid","Offer")</f>
        <v>Offer</v>
      </c>
      <c r="I6" s="117" t="s">
        <v>116</v>
      </c>
      <c r="J6" s="117" t="s">
        <v>167</v>
      </c>
      <c r="K6" s="117" t="str">
        <f aca="false">H6</f>
        <v>Offer</v>
      </c>
      <c r="L6" s="117" t="s">
        <v>116</v>
      </c>
      <c r="M6" s="117" t="s">
        <v>167</v>
      </c>
      <c r="N6" s="117" t="str">
        <f aca="false">K6</f>
        <v>Offer</v>
      </c>
      <c r="O6" s="117" t="s">
        <v>116</v>
      </c>
      <c r="Q6" s="117" t="s">
        <v>167</v>
      </c>
      <c r="R6" s="117" t="s">
        <v>116</v>
      </c>
      <c r="T6" s="118" t="s">
        <v>76</v>
      </c>
      <c r="U6" s="118" t="s">
        <v>75</v>
      </c>
      <c r="V6" s="118" t="s">
        <v>76</v>
      </c>
      <c r="W6" s="119" t="s">
        <v>168</v>
      </c>
      <c r="X6" s="118" t="s">
        <v>122</v>
      </c>
      <c r="Y6" s="118" t="s">
        <v>169</v>
      </c>
      <c r="Z6" s="118" t="s">
        <v>76</v>
      </c>
      <c r="AB6" s="120" t="str">
        <f aca="false">G6</f>
        <v>Mid</v>
      </c>
      <c r="AC6" s="120" t="str">
        <f aca="false">H6</f>
        <v>Offer</v>
      </c>
      <c r="AD6" s="120" t="str">
        <f aca="false">I6</f>
        <v>Contract</v>
      </c>
      <c r="AE6" s="120" t="str">
        <f aca="false">J6</f>
        <v>Mid</v>
      </c>
      <c r="AF6" s="120" t="str">
        <f aca="false">K6</f>
        <v>Offer</v>
      </c>
      <c r="AG6" s="120" t="str">
        <f aca="false">L6</f>
        <v>Contract</v>
      </c>
      <c r="AH6" s="120" t="str">
        <f aca="false">M6</f>
        <v>Mid</v>
      </c>
      <c r="AI6" s="120" t="str">
        <f aca="false">N6</f>
        <v>Offer</v>
      </c>
      <c r="AJ6" s="120" t="str">
        <f aca="false">O6</f>
        <v>Contract</v>
      </c>
      <c r="AK6" s="108"/>
      <c r="AL6" s="121" t="s">
        <v>3</v>
      </c>
      <c r="AM6" s="121" t="s">
        <v>3</v>
      </c>
      <c r="AN6" s="121" t="s">
        <v>3</v>
      </c>
      <c r="AO6" s="121" t="s">
        <v>3</v>
      </c>
      <c r="AQ6" s="121" t="s">
        <v>3</v>
      </c>
      <c r="AR6" s="121" t="s">
        <v>3</v>
      </c>
      <c r="AS6" s="121" t="s">
        <v>3</v>
      </c>
      <c r="AT6" s="121" t="s">
        <v>3</v>
      </c>
      <c r="AU6" s="110"/>
      <c r="AV6" s="116" t="s">
        <v>170</v>
      </c>
      <c r="AX6" s="116" t="s">
        <v>116</v>
      </c>
    </row>
    <row r="7" customFormat="false" ht="13.5" hidden="false" customHeight="false" outlineLevel="0" collapsed="false">
      <c r="A7" s="122"/>
      <c r="B7" s="122"/>
      <c r="C7" s="122"/>
      <c r="D7" s="122"/>
      <c r="V7" s="123"/>
      <c r="AV7" s="124"/>
      <c r="AX7" s="124"/>
    </row>
    <row r="8" customFormat="false" ht="13.5" hidden="false" customHeight="false" outlineLevel="0" collapsed="false">
      <c r="A8" s="125" t="s">
        <v>171</v>
      </c>
      <c r="B8" s="126"/>
      <c r="C8" s="126"/>
      <c r="D8" s="126" t="n">
        <f aca="false">SUM(D10:D370)</f>
        <v>0</v>
      </c>
      <c r="E8" s="126" t="n">
        <f aca="false">SUM(E10:E370)</f>
        <v>0</v>
      </c>
      <c r="F8" s="126" t="n">
        <f aca="false">SUM(F10:F370)</f>
        <v>0</v>
      </c>
      <c r="G8" s="127" t="e">
        <f aca="false">AB8/$F$8</f>
        <v>#DIV/0!</v>
      </c>
      <c r="H8" s="127" t="e">
        <f aca="false">AC8/$F$8</f>
        <v>#DIV/0!</v>
      </c>
      <c r="I8" s="127" t="e">
        <f aca="false">AD8/$F$8</f>
        <v>#DIV/0!</v>
      </c>
      <c r="J8" s="127" t="e">
        <f aca="false">AE8/$F$8</f>
        <v>#DIV/0!</v>
      </c>
      <c r="K8" s="127" t="e">
        <f aca="false">AF8/$F$8</f>
        <v>#DIV/0!</v>
      </c>
      <c r="L8" s="127" t="e">
        <f aca="false">AG8/$F$8</f>
        <v>#DIV/0!</v>
      </c>
      <c r="M8" s="128" t="e">
        <f aca="false">AH8/$F$8</f>
        <v>#DIV/0!</v>
      </c>
      <c r="N8" s="127" t="e">
        <f aca="false">AI8/$F$8</f>
        <v>#DIV/0!</v>
      </c>
      <c r="O8" s="127" t="e">
        <f aca="false">AJ8/$F$8</f>
        <v>#DIV/0!</v>
      </c>
      <c r="Q8" s="129" t="e">
        <f aca="false">M8+J8+G8</f>
        <v>#DIV/0!</v>
      </c>
      <c r="R8" s="127" t="e">
        <f aca="false">AX8/$F$8</f>
        <v>#DIV/0!</v>
      </c>
      <c r="W8" s="130"/>
      <c r="Y8" s="131" t="n">
        <f aca="false">SUM(Y10:Y370)</f>
        <v>56</v>
      </c>
      <c r="Z8" s="131" t="n">
        <f aca="false">SUM(Z10:Z370)</f>
        <v>1705</v>
      </c>
      <c r="AB8" s="132" t="n">
        <f aca="false">SUM(AB10:AB370)</f>
        <v>0</v>
      </c>
      <c r="AC8" s="132" t="n">
        <f aca="false">SUM(AC10:AC370)</f>
        <v>0</v>
      </c>
      <c r="AD8" s="132" t="n">
        <f aca="false">SUM(AD10:AD370)</f>
        <v>0</v>
      </c>
      <c r="AE8" s="132" t="n">
        <f aca="false">SUM(AE10:AE370)</f>
        <v>0</v>
      </c>
      <c r="AF8" s="132" t="n">
        <f aca="false">SUM(AF10:AF370)</f>
        <v>0</v>
      </c>
      <c r="AG8" s="132" t="n">
        <f aca="false">SUM(AG10:AG370)</f>
        <v>0</v>
      </c>
      <c r="AH8" s="132" t="n">
        <f aca="false">SUM(AH10:AH370)</f>
        <v>0</v>
      </c>
      <c r="AI8" s="132" t="n">
        <f aca="false">SUM(AI10:AI370)</f>
        <v>0</v>
      </c>
      <c r="AJ8" s="132" t="n">
        <f aca="false">SUM(AJ10:AJ370)</f>
        <v>0</v>
      </c>
      <c r="AK8" s="132"/>
      <c r="AL8" s="132" t="n">
        <f aca="false">SUM(AL10:AL370)</f>
        <v>0</v>
      </c>
      <c r="AM8" s="132" t="n">
        <f aca="false">SUM(AM10:AM370)</f>
        <v>0</v>
      </c>
      <c r="AN8" s="132" t="n">
        <f aca="false">SUM(AN10:AN370)</f>
        <v>0</v>
      </c>
      <c r="AO8" s="132" t="n">
        <f aca="false">SUM(AO10:AO370)</f>
        <v>0</v>
      </c>
      <c r="AQ8" s="132" t="n">
        <f aca="false">SUM(AQ10:AQ370)</f>
        <v>0</v>
      </c>
      <c r="AR8" s="132" t="n">
        <f aca="false">SUM(AR10:AR370)</f>
        <v>0</v>
      </c>
      <c r="AS8" s="132" t="n">
        <f aca="false">SUM(AS10:AS370)</f>
        <v>0</v>
      </c>
      <c r="AT8" s="132" t="n">
        <f aca="false">SUM(AT10:AT370)</f>
        <v>0</v>
      </c>
      <c r="AU8" s="132"/>
      <c r="AV8" s="133" t="n">
        <f aca="false">SUM(AV10:AV370)</f>
        <v>0</v>
      </c>
      <c r="AX8" s="133" t="n">
        <f aca="false">SUM(AX10:AX370)</f>
        <v>0</v>
      </c>
      <c r="AZ8" s="134" t="n">
        <f aca="false">SUM(AZ10:AZ369)</f>
        <v>0</v>
      </c>
      <c r="BB8" s="134" t="n">
        <f aca="false">AZ8+'ColGulf-LA'!AZ8+'TGT ZSL'!AZ8+'Transco Z3'!AZ8</f>
        <v>393577752.2</v>
      </c>
    </row>
    <row r="9" customFormat="false" ht="12.75" hidden="false" customHeight="false" outlineLevel="0" collapsed="false">
      <c r="B9" s="135"/>
      <c r="C9" s="135"/>
      <c r="D9" s="135"/>
      <c r="E9" s="135"/>
      <c r="F9" s="135"/>
      <c r="G9" s="136"/>
      <c r="H9" s="136"/>
      <c r="I9" s="136"/>
      <c r="J9" s="136"/>
      <c r="K9" s="136"/>
      <c r="L9" s="136"/>
      <c r="M9" s="136"/>
      <c r="N9" s="136"/>
      <c r="O9" s="136"/>
      <c r="Q9" s="136"/>
      <c r="R9" s="136"/>
      <c r="AB9" s="132"/>
      <c r="AC9" s="132"/>
      <c r="AD9" s="132"/>
      <c r="AE9" s="132"/>
      <c r="AF9" s="132"/>
      <c r="AG9" s="132"/>
      <c r="AH9" s="132"/>
      <c r="AI9" s="132"/>
      <c r="AJ9" s="132"/>
      <c r="AK9" s="137"/>
      <c r="AV9" s="124"/>
      <c r="AX9" s="124"/>
    </row>
    <row r="10" customFormat="false" ht="12.75" hidden="false" customHeight="false" outlineLevel="0" collapsed="false">
      <c r="A10" s="138" t="n">
        <f aca="false">A3</f>
        <v>36982</v>
      </c>
      <c r="B10" s="139" t="n">
        <f aca="false">VLOOKUP($A10,Table2,MATCH(I$3,Curves2,0))</f>
        <v>0</v>
      </c>
      <c r="C10" s="140"/>
      <c r="D10" s="141" t="n">
        <f aca="false">B10+C10</f>
        <v>0</v>
      </c>
      <c r="E10" s="126" t="n">
        <f aca="false">IF(Y10=0,0,IF(AND(Y10=1,$H$3=1),D10*T10,IF($H$3=2,D10,"N/A")))</f>
        <v>0</v>
      </c>
      <c r="F10" s="126" t="n">
        <f aca="false">E10*X10</f>
        <v>0</v>
      </c>
      <c r="G10" s="142" t="n">
        <f aca="false">VLOOKUP($A10,Table,MATCH(G$4,Curves,0))</f>
        <v>6.01</v>
      </c>
      <c r="H10" s="143" t="n">
        <f aca="false">G10</f>
        <v>6.01</v>
      </c>
      <c r="I10" s="142" t="n">
        <f aca="false">VLOOKUP($A10,Table1,MATCH(I$3,Curves1,0))</f>
        <v>0</v>
      </c>
      <c r="J10" s="142" t="n">
        <f aca="false">VLOOKUP($A10,Table,MATCH(J$4,Curves,0))</f>
        <v>-0.0625</v>
      </c>
      <c r="K10" s="143" t="n">
        <f aca="false">J10</f>
        <v>-0.0625</v>
      </c>
      <c r="L10" s="144" t="n">
        <v>0</v>
      </c>
      <c r="M10" s="142" t="n">
        <f aca="false">VLOOKUP($A10,Table,MATCH(M$4,Curves,0))</f>
        <v>0.0075</v>
      </c>
      <c r="N10" s="143" t="n">
        <f aca="false">M10</f>
        <v>0.0075</v>
      </c>
      <c r="O10" s="144" t="n">
        <v>0</v>
      </c>
      <c r="P10" s="145"/>
      <c r="Q10" s="144" t="n">
        <f aca="false">M10+J10+G10</f>
        <v>5.955</v>
      </c>
      <c r="R10" s="144" t="n">
        <f aca="false">O10+L10+I10</f>
        <v>0</v>
      </c>
      <c r="S10" s="145"/>
      <c r="T10" s="71" t="n">
        <f aca="false">A11-A10</f>
        <v>30</v>
      </c>
      <c r="U10" s="146" t="n">
        <f aca="false">CHOOSE(F$3,A11+24,A10)</f>
        <v>37036</v>
      </c>
      <c r="V10" s="71" t="n">
        <f aca="false">U10-C$3</f>
        <v>148</v>
      </c>
      <c r="W10" s="142" t="n">
        <f aca="false">VLOOKUP($A10,Table,MATCH(W$4,Curves,0))</f>
        <v>0.066009899863733</v>
      </c>
      <c r="X10" s="147" t="n">
        <f aca="false">1/(1+CHOOSE(F$3,(W11+($K$3/10000))/2,(W10+($K$3/10000))/2))^(2*V10/365.25)</f>
        <v>0.974421293837232</v>
      </c>
      <c r="Y10" s="71" t="n">
        <f aca="false">IF(AND(mthbeg&lt;=A10,mthend&gt;=A10),1,0)</f>
        <v>1</v>
      </c>
      <c r="Z10" s="71" t="n">
        <f aca="false">T10*Y10</f>
        <v>30</v>
      </c>
      <c r="AB10" s="132" t="n">
        <f aca="false">F10*G10</f>
        <v>0</v>
      </c>
      <c r="AC10" s="132" t="n">
        <f aca="false">$F10*H10</f>
        <v>0</v>
      </c>
      <c r="AD10" s="132" t="n">
        <f aca="false">$F10*I10</f>
        <v>0</v>
      </c>
      <c r="AE10" s="132" t="n">
        <f aca="false">$F10*J10</f>
        <v>-0</v>
      </c>
      <c r="AF10" s="132" t="n">
        <f aca="false">$F10*K10</f>
        <v>-0</v>
      </c>
      <c r="AG10" s="132" t="n">
        <f aca="false">$F10*L10</f>
        <v>0</v>
      </c>
      <c r="AH10" s="132" t="n">
        <f aca="false">$F10*M10</f>
        <v>0</v>
      </c>
      <c r="AI10" s="132" t="n">
        <f aca="false">$F10*N10</f>
        <v>0</v>
      </c>
      <c r="AJ10" s="132" t="n">
        <f aca="false">F10*O10</f>
        <v>0</v>
      </c>
      <c r="AK10" s="137"/>
      <c r="AL10" s="132" t="n">
        <f aca="false">CHOOSE($G$3,AC10-AD10,AD10-AC10)</f>
        <v>0</v>
      </c>
      <c r="AM10" s="132" t="n">
        <f aca="false">CHOOSE($G$3,AF10-AG10,AG10-AF10)</f>
        <v>0</v>
      </c>
      <c r="AN10" s="132" t="n">
        <f aca="false">CHOOSE($G$3,AI10-AJ10,AJ10-AI10)</f>
        <v>0</v>
      </c>
      <c r="AO10" s="148" t="n">
        <f aca="false">SUM(AL10:AN10)</f>
        <v>0</v>
      </c>
      <c r="AQ10" s="132" t="n">
        <f aca="false">CHOOSE($G$3,AB10-AC10,AC10-AB10)</f>
        <v>0</v>
      </c>
      <c r="AR10" s="132" t="n">
        <f aca="false">CHOOSE($G$3,AE10-AF10,AF10-AE10)</f>
        <v>0</v>
      </c>
      <c r="AS10" s="132" t="n">
        <f aca="false">CHOOSE($G$3,AH10-AI10,AI10-AH10)</f>
        <v>0</v>
      </c>
      <c r="AT10" s="148" t="n">
        <f aca="false">AQ10+AR10+AS10</f>
        <v>0</v>
      </c>
      <c r="AU10" s="148"/>
      <c r="AV10" s="133" t="n">
        <f aca="false">AT10+AO10</f>
        <v>0</v>
      </c>
      <c r="AX10" s="133" t="n">
        <f aca="false">AJ10+AG10+AD10</f>
        <v>0</v>
      </c>
      <c r="AY10" s="149"/>
      <c r="AZ10" s="76" t="n">
        <f aca="false">R10*E10</f>
        <v>0</v>
      </c>
      <c r="BB10" s="150"/>
    </row>
    <row r="11" customFormat="false" ht="12.75" hidden="false" customHeight="false" outlineLevel="0" collapsed="false">
      <c r="A11" s="138" t="n">
        <f aca="false">EDATE(A10,1)</f>
        <v>37012</v>
      </c>
      <c r="B11" s="139" t="n">
        <f aca="false">VLOOKUP($A11,Table2,MATCH(I$3,Curves2,0))</f>
        <v>0</v>
      </c>
      <c r="C11" s="140"/>
      <c r="D11" s="141" t="n">
        <f aca="false">B11+C11</f>
        <v>0</v>
      </c>
      <c r="E11" s="126" t="n">
        <f aca="false">IF(Y11=0,0,IF(AND(Y11=1,$H$3=1),D11*T11,IF($H$3=2,D11,"N/A")))</f>
        <v>0</v>
      </c>
      <c r="F11" s="126" t="n">
        <f aca="false">E11*X11</f>
        <v>0</v>
      </c>
      <c r="G11" s="142" t="n">
        <f aca="false">VLOOKUP($A11,Table,MATCH(G$4,Curves,0))</f>
        <v>5.36</v>
      </c>
      <c r="H11" s="143" t="n">
        <f aca="false">G11</f>
        <v>5.36</v>
      </c>
      <c r="I11" s="142" t="n">
        <f aca="false">VLOOKUP($A11,Table1,MATCH(I$3,Curves1,0))</f>
        <v>0</v>
      </c>
      <c r="J11" s="142" t="n">
        <f aca="false">VLOOKUP($A11,Table,MATCH(J$4,Curves,0))</f>
        <v>-0.0625</v>
      </c>
      <c r="K11" s="143" t="n">
        <f aca="false">J11</f>
        <v>-0.0625</v>
      </c>
      <c r="L11" s="144" t="n">
        <v>0</v>
      </c>
      <c r="M11" s="142" t="n">
        <f aca="false">VLOOKUP($A11,Table,MATCH(M$4,Curves,0))</f>
        <v>0.0075</v>
      </c>
      <c r="N11" s="143" t="n">
        <f aca="false">M11</f>
        <v>0.0075</v>
      </c>
      <c r="O11" s="144" t="n">
        <v>0</v>
      </c>
      <c r="P11" s="145"/>
      <c r="Q11" s="144" t="n">
        <f aca="false">M11+J11+G11</f>
        <v>5.305</v>
      </c>
      <c r="R11" s="144" t="n">
        <f aca="false">O11+L11+I11</f>
        <v>0</v>
      </c>
      <c r="S11" s="145"/>
      <c r="T11" s="71" t="n">
        <f aca="false">A12-A11</f>
        <v>31</v>
      </c>
      <c r="U11" s="146" t="n">
        <f aca="false">CHOOSE(F$3,A12+24,A11)</f>
        <v>37067</v>
      </c>
      <c r="V11" s="71" t="n">
        <f aca="false">U11-C$3</f>
        <v>179</v>
      </c>
      <c r="W11" s="142" t="n">
        <f aca="false">VLOOKUP($A11,Table,MATCH(W$4,Curves,0))</f>
        <v>0.06498049692698</v>
      </c>
      <c r="X11" s="147" t="n">
        <f aca="false">1/(1+CHOOSE(F$3,(W12+($K$3/10000))/2,(W11+($K$3/10000))/2))^(2*V11/365.25)</f>
        <v>0.969636599816097</v>
      </c>
      <c r="Y11" s="71" t="n">
        <f aca="false">IF(AND(mthbeg&lt;=A11,mthend&gt;=A11),1,0)</f>
        <v>1</v>
      </c>
      <c r="Z11" s="71" t="n">
        <f aca="false">T11*Y11</f>
        <v>31</v>
      </c>
      <c r="AB11" s="132" t="n">
        <f aca="false">F11*G11</f>
        <v>0</v>
      </c>
      <c r="AC11" s="132" t="n">
        <f aca="false">$F11*H11</f>
        <v>0</v>
      </c>
      <c r="AD11" s="132" t="n">
        <f aca="false">$F11*I11</f>
        <v>0</v>
      </c>
      <c r="AE11" s="132" t="n">
        <f aca="false">$F11*J11</f>
        <v>-0</v>
      </c>
      <c r="AF11" s="132" t="n">
        <f aca="false">$F11*K11</f>
        <v>-0</v>
      </c>
      <c r="AG11" s="132" t="n">
        <f aca="false">$F11*L11</f>
        <v>0</v>
      </c>
      <c r="AH11" s="132" t="n">
        <f aca="false">$F11*M11</f>
        <v>0</v>
      </c>
      <c r="AI11" s="132" t="n">
        <f aca="false">$F11*N11</f>
        <v>0</v>
      </c>
      <c r="AJ11" s="132" t="n">
        <f aca="false">F11*O11</f>
        <v>0</v>
      </c>
      <c r="AK11" s="137"/>
      <c r="AL11" s="132" t="n">
        <f aca="false">CHOOSE($G$3,AC11-AD11,AD11-AC11)</f>
        <v>0</v>
      </c>
      <c r="AM11" s="132" t="n">
        <f aca="false">CHOOSE($G$3,AF11-AG11,AG11-AF11)</f>
        <v>0</v>
      </c>
      <c r="AN11" s="132" t="n">
        <f aca="false">CHOOSE($G$3,AI11-AJ11,AJ11-AI11)</f>
        <v>0</v>
      </c>
      <c r="AO11" s="148" t="n">
        <f aca="false">SUM(AL11:AN11)</f>
        <v>0</v>
      </c>
      <c r="AQ11" s="132" t="n">
        <f aca="false">CHOOSE($G$3,AB11-AC11,AC11-AB11)</f>
        <v>0</v>
      </c>
      <c r="AR11" s="132" t="n">
        <f aca="false">CHOOSE($G$3,AE11-AF11,AF11-AE11)</f>
        <v>0</v>
      </c>
      <c r="AS11" s="132" t="n">
        <f aca="false">CHOOSE($G$3,AH11-AI11,AI11-AH11)</f>
        <v>0</v>
      </c>
      <c r="AT11" s="148" t="n">
        <f aca="false">AQ11+AR11+AS11</f>
        <v>0</v>
      </c>
      <c r="AU11" s="148"/>
      <c r="AV11" s="133" t="n">
        <f aca="false">AT11+AO11</f>
        <v>0</v>
      </c>
      <c r="AX11" s="133" t="n">
        <f aca="false">AJ11+AG11+AD11</f>
        <v>0</v>
      </c>
      <c r="AY11" s="149"/>
      <c r="AZ11" s="76" t="n">
        <f aca="false">R11*E11</f>
        <v>0</v>
      </c>
    </row>
    <row r="12" customFormat="false" ht="12.75" hidden="false" customHeight="false" outlineLevel="0" collapsed="false">
      <c r="A12" s="138" t="n">
        <f aca="false">EDATE(A11,1)</f>
        <v>37043</v>
      </c>
      <c r="B12" s="139" t="n">
        <f aca="false">VLOOKUP($A12,Table2,MATCH(I$3,Curves2,0))</f>
        <v>0</v>
      </c>
      <c r="C12" s="140"/>
      <c r="D12" s="141" t="n">
        <f aca="false">B12+C12</f>
        <v>0</v>
      </c>
      <c r="E12" s="126" t="n">
        <f aca="false">IF(Y12=0,0,IF(AND(Y12=1,$H$3=1),D12*T12,IF($H$3=2,D12,"N/A")))</f>
        <v>0</v>
      </c>
      <c r="F12" s="126" t="n">
        <f aca="false">E12*X12</f>
        <v>0</v>
      </c>
      <c r="G12" s="142" t="n">
        <f aca="false">VLOOKUP($A12,Table,MATCH(G$4,Curves,0))</f>
        <v>5.31</v>
      </c>
      <c r="H12" s="143" t="n">
        <f aca="false">G12</f>
        <v>5.31</v>
      </c>
      <c r="I12" s="142" t="n">
        <f aca="false">VLOOKUP($A12,Table1,MATCH(I$3,Curves1,0))</f>
        <v>0</v>
      </c>
      <c r="J12" s="142" t="n">
        <f aca="false">VLOOKUP($A12,Table,MATCH(J$4,Curves,0))</f>
        <v>-0.0625</v>
      </c>
      <c r="K12" s="143" t="n">
        <f aca="false">J12</f>
        <v>-0.0625</v>
      </c>
      <c r="L12" s="144" t="n">
        <v>0</v>
      </c>
      <c r="M12" s="142" t="n">
        <f aca="false">VLOOKUP($A12,Table,MATCH(M$4,Curves,0))</f>
        <v>0.0075</v>
      </c>
      <c r="N12" s="143" t="n">
        <f aca="false">M12</f>
        <v>0.0075</v>
      </c>
      <c r="O12" s="144" t="n">
        <v>0</v>
      </c>
      <c r="P12" s="145"/>
      <c r="Q12" s="144" t="n">
        <f aca="false">M12+J12+G12</f>
        <v>5.255</v>
      </c>
      <c r="R12" s="144" t="n">
        <f aca="false">O12+L12+I12</f>
        <v>0</v>
      </c>
      <c r="S12" s="145"/>
      <c r="T12" s="71" t="n">
        <f aca="false">A13-A12</f>
        <v>30</v>
      </c>
      <c r="U12" s="146" t="n">
        <f aca="false">CHOOSE(F$3,A13+24,A12)</f>
        <v>37097</v>
      </c>
      <c r="V12" s="71" t="n">
        <f aca="false">U12-C$3</f>
        <v>209</v>
      </c>
      <c r="W12" s="142" t="n">
        <f aca="false">VLOOKUP($A12,Table,MATCH(W$4,Curves,0))</f>
        <v>0.063916780928</v>
      </c>
      <c r="X12" s="147" t="n">
        <f aca="false">1/(1+CHOOSE(F$3,(W13+($K$3/10000))/2,(W12+($K$3/10000))/2))^(2*V12/365.25)</f>
        <v>0.965125995167278</v>
      </c>
      <c r="Y12" s="71" t="n">
        <f aca="false">IF(AND(mthbeg&lt;=A12,mthend&gt;=A12),1,0)</f>
        <v>1</v>
      </c>
      <c r="Z12" s="71" t="n">
        <f aca="false">T12*Y12</f>
        <v>30</v>
      </c>
      <c r="AB12" s="132" t="n">
        <f aca="false">F12*G12</f>
        <v>0</v>
      </c>
      <c r="AC12" s="132" t="n">
        <f aca="false">$F12*H12</f>
        <v>0</v>
      </c>
      <c r="AD12" s="132" t="n">
        <f aca="false">$F12*I12</f>
        <v>0</v>
      </c>
      <c r="AE12" s="132" t="n">
        <f aca="false">$F12*J12</f>
        <v>-0</v>
      </c>
      <c r="AF12" s="132" t="n">
        <f aca="false">$F12*K12</f>
        <v>-0</v>
      </c>
      <c r="AG12" s="132" t="n">
        <f aca="false">$F12*L12</f>
        <v>0</v>
      </c>
      <c r="AH12" s="132" t="n">
        <f aca="false">$F12*M12</f>
        <v>0</v>
      </c>
      <c r="AI12" s="132" t="n">
        <f aca="false">$F12*N12</f>
        <v>0</v>
      </c>
      <c r="AJ12" s="132" t="n">
        <f aca="false">F12*O12</f>
        <v>0</v>
      </c>
      <c r="AK12" s="137"/>
      <c r="AL12" s="132" t="n">
        <f aca="false">CHOOSE($G$3,AC12-AD12,AD12-AC12)</f>
        <v>0</v>
      </c>
      <c r="AM12" s="132" t="n">
        <f aca="false">CHOOSE($G$3,AF12-AG12,AG12-AF12)</f>
        <v>0</v>
      </c>
      <c r="AN12" s="132" t="n">
        <f aca="false">CHOOSE($G$3,AI12-AJ12,AJ12-AI12)</f>
        <v>0</v>
      </c>
      <c r="AO12" s="148" t="n">
        <f aca="false">SUM(AL12:AN12)</f>
        <v>0</v>
      </c>
      <c r="AQ12" s="132" t="n">
        <f aca="false">CHOOSE($G$3,AB12-AC12,AC12-AB12)</f>
        <v>0</v>
      </c>
      <c r="AR12" s="132" t="n">
        <f aca="false">CHOOSE($G$3,AE12-AF12,AF12-AE12)</f>
        <v>0</v>
      </c>
      <c r="AS12" s="132" t="n">
        <f aca="false">CHOOSE($G$3,AH12-AI12,AI12-AH12)</f>
        <v>0</v>
      </c>
      <c r="AT12" s="148" t="n">
        <f aca="false">AQ12+AR12+AS12</f>
        <v>0</v>
      </c>
      <c r="AU12" s="148"/>
      <c r="AV12" s="133" t="n">
        <f aca="false">AT12+AO12</f>
        <v>0</v>
      </c>
      <c r="AX12" s="133" t="n">
        <f aca="false">AJ12+AG12+AD12</f>
        <v>0</v>
      </c>
      <c r="AY12" s="149"/>
      <c r="AZ12" s="76" t="n">
        <f aca="false">R12*E12</f>
        <v>0</v>
      </c>
    </row>
    <row r="13" customFormat="false" ht="12.75" hidden="false" customHeight="false" outlineLevel="0" collapsed="false">
      <c r="A13" s="138" t="n">
        <f aca="false">EDATE(A12,1)</f>
        <v>37073</v>
      </c>
      <c r="B13" s="139" t="n">
        <f aca="false">VLOOKUP($A13,Table2,MATCH(I$3,Curves2,0))</f>
        <v>0</v>
      </c>
      <c r="C13" s="140"/>
      <c r="D13" s="141" t="n">
        <f aca="false">B13+C13</f>
        <v>0</v>
      </c>
      <c r="E13" s="126" t="n">
        <f aca="false">IF(Y13=0,0,IF(AND(Y13=1,$H$3=1),D13*T13,IF($H$3=2,D13,"N/A")))</f>
        <v>0</v>
      </c>
      <c r="F13" s="126" t="n">
        <f aca="false">E13*X13</f>
        <v>0</v>
      </c>
      <c r="G13" s="142" t="n">
        <f aca="false">VLOOKUP($A13,Table,MATCH(G$4,Curves,0))</f>
        <v>5.295</v>
      </c>
      <c r="H13" s="143" t="n">
        <f aca="false">G13</f>
        <v>5.295</v>
      </c>
      <c r="I13" s="142" t="n">
        <f aca="false">VLOOKUP($A13,Table1,MATCH(I$3,Curves1,0))</f>
        <v>0</v>
      </c>
      <c r="J13" s="142" t="n">
        <f aca="false">VLOOKUP($A13,Table,MATCH(J$4,Curves,0))</f>
        <v>-0.0625</v>
      </c>
      <c r="K13" s="143" t="n">
        <f aca="false">J13</f>
        <v>-0.0625</v>
      </c>
      <c r="L13" s="144" t="n">
        <v>0</v>
      </c>
      <c r="M13" s="142" t="n">
        <f aca="false">VLOOKUP($A13,Table,MATCH(M$4,Curves,0))</f>
        <v>0.0075</v>
      </c>
      <c r="N13" s="143" t="n">
        <f aca="false">M13</f>
        <v>0.0075</v>
      </c>
      <c r="O13" s="144" t="n">
        <v>0</v>
      </c>
      <c r="P13" s="145"/>
      <c r="Q13" s="144" t="n">
        <f aca="false">M13+J13+G13</f>
        <v>5.24</v>
      </c>
      <c r="R13" s="144" t="n">
        <f aca="false">O13+L13+I13</f>
        <v>0</v>
      </c>
      <c r="S13" s="145"/>
      <c r="T13" s="71" t="n">
        <f aca="false">A14-A13</f>
        <v>31</v>
      </c>
      <c r="U13" s="146" t="n">
        <f aca="false">CHOOSE(F$3,A14+24,A13)</f>
        <v>37128</v>
      </c>
      <c r="V13" s="71" t="n">
        <f aca="false">U13-C$3</f>
        <v>240</v>
      </c>
      <c r="W13" s="142" t="n">
        <f aca="false">VLOOKUP($A13,Table,MATCH(W$4,Curves,0))</f>
        <v>0.063006250837977</v>
      </c>
      <c r="X13" s="147" t="n">
        <f aca="false">1/(1+CHOOSE(F$3,(W14+($K$3/10000))/2,(W13+($K$3/10000))/2))^(2*V13/365.25)</f>
        <v>0.960498083174075</v>
      </c>
      <c r="Y13" s="71" t="n">
        <f aca="false">IF(AND(mthbeg&lt;=A13,mthend&gt;=A13),1,0)</f>
        <v>1</v>
      </c>
      <c r="Z13" s="71" t="n">
        <f aca="false">T13*Y13</f>
        <v>31</v>
      </c>
      <c r="AB13" s="132" t="n">
        <f aca="false">F13*G13</f>
        <v>0</v>
      </c>
      <c r="AC13" s="132" t="n">
        <f aca="false">$F13*H13</f>
        <v>0</v>
      </c>
      <c r="AD13" s="132" t="n">
        <f aca="false">$F13*I13</f>
        <v>0</v>
      </c>
      <c r="AE13" s="132" t="n">
        <f aca="false">$F13*J13</f>
        <v>-0</v>
      </c>
      <c r="AF13" s="132" t="n">
        <f aca="false">$F13*K13</f>
        <v>-0</v>
      </c>
      <c r="AG13" s="132" t="n">
        <f aca="false">$F13*L13</f>
        <v>0</v>
      </c>
      <c r="AH13" s="132" t="n">
        <f aca="false">$F13*M13</f>
        <v>0</v>
      </c>
      <c r="AI13" s="132" t="n">
        <f aca="false">$F13*N13</f>
        <v>0</v>
      </c>
      <c r="AJ13" s="132" t="n">
        <f aca="false">F13*O13</f>
        <v>0</v>
      </c>
      <c r="AK13" s="137"/>
      <c r="AL13" s="132" t="n">
        <f aca="false">CHOOSE($G$3,AC13-AD13,AD13-AC13)</f>
        <v>0</v>
      </c>
      <c r="AM13" s="132" t="n">
        <f aca="false">CHOOSE($G$3,AF13-AG13,AG13-AF13)</f>
        <v>0</v>
      </c>
      <c r="AN13" s="132" t="n">
        <f aca="false">CHOOSE($G$3,AI13-AJ13,AJ13-AI13)</f>
        <v>0</v>
      </c>
      <c r="AO13" s="148" t="n">
        <f aca="false">SUM(AL13:AN13)</f>
        <v>0</v>
      </c>
      <c r="AQ13" s="132" t="n">
        <f aca="false">CHOOSE($G$3,AB13-AC13,AC13-AB13)</f>
        <v>0</v>
      </c>
      <c r="AR13" s="132" t="n">
        <f aca="false">CHOOSE($G$3,AE13-AF13,AF13-AE13)</f>
        <v>0</v>
      </c>
      <c r="AS13" s="132" t="n">
        <f aca="false">CHOOSE($G$3,AH13-AI13,AI13-AH13)</f>
        <v>0</v>
      </c>
      <c r="AT13" s="148" t="n">
        <f aca="false">AQ13+AR13+AS13</f>
        <v>0</v>
      </c>
      <c r="AU13" s="148"/>
      <c r="AV13" s="133" t="n">
        <f aca="false">AT13+AO13</f>
        <v>0</v>
      </c>
      <c r="AX13" s="133" t="n">
        <f aca="false">AJ13+AG13+AD13</f>
        <v>0</v>
      </c>
      <c r="AY13" s="149"/>
      <c r="AZ13" s="76" t="n">
        <f aca="false">R13*E13</f>
        <v>0</v>
      </c>
    </row>
    <row r="14" customFormat="false" ht="12.75" hidden="false" customHeight="false" outlineLevel="0" collapsed="false">
      <c r="A14" s="138" t="n">
        <f aca="false">EDATE(A13,1)</f>
        <v>37104</v>
      </c>
      <c r="B14" s="139" t="n">
        <f aca="false">VLOOKUP($A14,Table2,MATCH(I$3,Curves2,0))</f>
        <v>0</v>
      </c>
      <c r="C14" s="140"/>
      <c r="D14" s="141" t="n">
        <f aca="false">B14+C14</f>
        <v>0</v>
      </c>
      <c r="E14" s="126" t="n">
        <f aca="false">IF(Y14=0,0,IF(AND(Y14=1,$H$3=1),D14*T14,IF($H$3=2,D14,"N/A")))</f>
        <v>0</v>
      </c>
      <c r="F14" s="126" t="n">
        <f aca="false">E14*X14</f>
        <v>0</v>
      </c>
      <c r="G14" s="142" t="n">
        <f aca="false">VLOOKUP($A14,Table,MATCH(G$4,Curves,0))</f>
        <v>5.275</v>
      </c>
      <c r="H14" s="143" t="n">
        <f aca="false">G14</f>
        <v>5.275</v>
      </c>
      <c r="I14" s="142" t="n">
        <f aca="false">VLOOKUP($A14,Table1,MATCH(I$3,Curves1,0))</f>
        <v>0</v>
      </c>
      <c r="J14" s="142" t="n">
        <f aca="false">VLOOKUP($A14,Table,MATCH(J$4,Curves,0))</f>
        <v>-0.0625</v>
      </c>
      <c r="K14" s="143" t="n">
        <f aca="false">J14</f>
        <v>-0.0625</v>
      </c>
      <c r="L14" s="144" t="n">
        <v>0</v>
      </c>
      <c r="M14" s="142" t="n">
        <f aca="false">VLOOKUP($A14,Table,MATCH(M$4,Curves,0))</f>
        <v>0.0075</v>
      </c>
      <c r="N14" s="143" t="n">
        <f aca="false">M14</f>
        <v>0.0075</v>
      </c>
      <c r="O14" s="144" t="n">
        <v>0</v>
      </c>
      <c r="P14" s="145"/>
      <c r="Q14" s="144" t="n">
        <f aca="false">M14+J14+G14</f>
        <v>5.22</v>
      </c>
      <c r="R14" s="144" t="n">
        <f aca="false">O14+L14+I14</f>
        <v>0</v>
      </c>
      <c r="S14" s="145"/>
      <c r="T14" s="71" t="n">
        <f aca="false">A15-A14</f>
        <v>31</v>
      </c>
      <c r="U14" s="146" t="n">
        <f aca="false">CHOOSE(F$3,A15+24,A14)</f>
        <v>37159</v>
      </c>
      <c r="V14" s="71" t="n">
        <f aca="false">U14-C$3</f>
        <v>271</v>
      </c>
      <c r="W14" s="142" t="n">
        <f aca="false">VLOOKUP($A14,Table,MATCH(W$4,Curves,0))</f>
        <v>0.062286806097195</v>
      </c>
      <c r="X14" s="147" t="n">
        <f aca="false">1/(1+CHOOSE(F$3,(W15+($K$3/10000))/2,(W14+($K$3/10000))/2))^(2*V14/365.25)</f>
        <v>0.956005733200222</v>
      </c>
      <c r="Y14" s="71" t="n">
        <f aca="false">IF(AND(mthbeg&lt;=A14,mthend&gt;=A14),1,0)</f>
        <v>1</v>
      </c>
      <c r="Z14" s="71" t="n">
        <f aca="false">T14*Y14</f>
        <v>31</v>
      </c>
      <c r="AB14" s="132" t="n">
        <f aca="false">F14*G14</f>
        <v>0</v>
      </c>
      <c r="AC14" s="132" t="n">
        <f aca="false">$F14*H14</f>
        <v>0</v>
      </c>
      <c r="AD14" s="132" t="n">
        <f aca="false">$F14*I14</f>
        <v>0</v>
      </c>
      <c r="AE14" s="132" t="n">
        <f aca="false">$F14*J14</f>
        <v>-0</v>
      </c>
      <c r="AF14" s="132" t="n">
        <f aca="false">$F14*K14</f>
        <v>-0</v>
      </c>
      <c r="AG14" s="132" t="n">
        <f aca="false">$F14*L14</f>
        <v>0</v>
      </c>
      <c r="AH14" s="132" t="n">
        <f aca="false">$F14*M14</f>
        <v>0</v>
      </c>
      <c r="AI14" s="132" t="n">
        <f aca="false">$F14*N14</f>
        <v>0</v>
      </c>
      <c r="AJ14" s="132" t="n">
        <f aca="false">F14*O14</f>
        <v>0</v>
      </c>
      <c r="AK14" s="137"/>
      <c r="AL14" s="132" t="n">
        <f aca="false">CHOOSE($G$3,AC14-AD14,AD14-AC14)</f>
        <v>0</v>
      </c>
      <c r="AM14" s="132" t="n">
        <f aca="false">CHOOSE($G$3,AF14-AG14,AG14-AF14)</f>
        <v>0</v>
      </c>
      <c r="AN14" s="132" t="n">
        <f aca="false">CHOOSE($G$3,AI14-AJ14,AJ14-AI14)</f>
        <v>0</v>
      </c>
      <c r="AO14" s="148" t="n">
        <f aca="false">SUM(AL14:AN14)</f>
        <v>0</v>
      </c>
      <c r="AQ14" s="132" t="n">
        <f aca="false">CHOOSE($G$3,AB14-AC14,AC14-AB14)</f>
        <v>0</v>
      </c>
      <c r="AR14" s="132" t="n">
        <f aca="false">CHOOSE($G$3,AE14-AF14,AF14-AE14)</f>
        <v>0</v>
      </c>
      <c r="AS14" s="132" t="n">
        <f aca="false">CHOOSE($G$3,AH14-AI14,AI14-AH14)</f>
        <v>0</v>
      </c>
      <c r="AT14" s="148" t="n">
        <f aca="false">AQ14+AR14+AS14</f>
        <v>0</v>
      </c>
      <c r="AU14" s="148"/>
      <c r="AV14" s="133" t="n">
        <f aca="false">AT14+AO14</f>
        <v>0</v>
      </c>
      <c r="AX14" s="133" t="n">
        <f aca="false">AJ14+AG14+AD14</f>
        <v>0</v>
      </c>
      <c r="AY14" s="149"/>
      <c r="AZ14" s="76" t="n">
        <f aca="false">R14*E14</f>
        <v>0</v>
      </c>
    </row>
    <row r="15" customFormat="false" ht="12.75" hidden="false" customHeight="false" outlineLevel="0" collapsed="false">
      <c r="A15" s="138" t="n">
        <f aca="false">EDATE(A14,1)</f>
        <v>37135</v>
      </c>
      <c r="B15" s="139" t="n">
        <f aca="false">VLOOKUP($A15,Table2,MATCH(I$3,Curves2,0))</f>
        <v>0</v>
      </c>
      <c r="C15" s="140"/>
      <c r="D15" s="141" t="n">
        <f aca="false">B15+C15</f>
        <v>0</v>
      </c>
      <c r="E15" s="126" t="n">
        <f aca="false">IF(Y15=0,0,IF(AND(Y15=1,$H$3=1),D15*T15,IF($H$3=2,D15,"N/A")))</f>
        <v>0</v>
      </c>
      <c r="F15" s="126" t="n">
        <f aca="false">E15*X15</f>
        <v>0</v>
      </c>
      <c r="G15" s="142" t="n">
        <f aca="false">VLOOKUP($A15,Table,MATCH(G$4,Curves,0))</f>
        <v>5.245</v>
      </c>
      <c r="H15" s="143" t="n">
        <f aca="false">G15</f>
        <v>5.245</v>
      </c>
      <c r="I15" s="142" t="n">
        <f aca="false">VLOOKUP($A15,Table1,MATCH(I$3,Curves1,0))</f>
        <v>0</v>
      </c>
      <c r="J15" s="142" t="n">
        <f aca="false">VLOOKUP($A15,Table,MATCH(J$4,Curves,0))</f>
        <v>-0.0625</v>
      </c>
      <c r="K15" s="143" t="n">
        <f aca="false">J15</f>
        <v>-0.0625</v>
      </c>
      <c r="L15" s="144" t="n">
        <v>0</v>
      </c>
      <c r="M15" s="142" t="n">
        <f aca="false">VLOOKUP($A15,Table,MATCH(M$4,Curves,0))</f>
        <v>0.0075</v>
      </c>
      <c r="N15" s="143" t="n">
        <f aca="false">M15</f>
        <v>0.0075</v>
      </c>
      <c r="O15" s="144" t="n">
        <v>0</v>
      </c>
      <c r="P15" s="145"/>
      <c r="Q15" s="144" t="n">
        <f aca="false">M15+J15+G15</f>
        <v>5.19</v>
      </c>
      <c r="R15" s="144" t="n">
        <f aca="false">O15+L15+I15</f>
        <v>0</v>
      </c>
      <c r="S15" s="145"/>
      <c r="T15" s="71" t="n">
        <f aca="false">A16-A15</f>
        <v>30</v>
      </c>
      <c r="U15" s="146" t="n">
        <f aca="false">CHOOSE(F$3,A16+24,A15)</f>
        <v>37189</v>
      </c>
      <c r="V15" s="71" t="n">
        <f aca="false">U15-C$3</f>
        <v>301</v>
      </c>
      <c r="W15" s="142" t="n">
        <f aca="false">VLOOKUP($A15,Table,MATCH(W$4,Curves,0))</f>
        <v>0.061567361528203</v>
      </c>
      <c r="X15" s="147" t="n">
        <f aca="false">1/(1+CHOOSE(F$3,(W16+($K$3/10000))/2,(W15+($K$3/10000))/2))^(2*V15/365.25)</f>
        <v>0.951724843853342</v>
      </c>
      <c r="Y15" s="71" t="n">
        <f aca="false">IF(AND(mthbeg&lt;=A15,mthend&gt;=A15),1,0)</f>
        <v>1</v>
      </c>
      <c r="Z15" s="71" t="n">
        <f aca="false">T15*Y15</f>
        <v>30</v>
      </c>
      <c r="AB15" s="132" t="n">
        <f aca="false">F15*G15</f>
        <v>0</v>
      </c>
      <c r="AC15" s="132" t="n">
        <f aca="false">$F15*H15</f>
        <v>0</v>
      </c>
      <c r="AD15" s="132" t="n">
        <f aca="false">$F15*I15</f>
        <v>0</v>
      </c>
      <c r="AE15" s="132" t="n">
        <f aca="false">$F15*J15</f>
        <v>-0</v>
      </c>
      <c r="AF15" s="132" t="n">
        <f aca="false">$F15*K15</f>
        <v>-0</v>
      </c>
      <c r="AG15" s="132" t="n">
        <f aca="false">$F15*L15</f>
        <v>0</v>
      </c>
      <c r="AH15" s="132" t="n">
        <f aca="false">$F15*M15</f>
        <v>0</v>
      </c>
      <c r="AI15" s="132" t="n">
        <f aca="false">$F15*N15</f>
        <v>0</v>
      </c>
      <c r="AJ15" s="132" t="n">
        <f aca="false">F15*O15</f>
        <v>0</v>
      </c>
      <c r="AK15" s="137"/>
      <c r="AL15" s="132" t="n">
        <f aca="false">CHOOSE($G$3,AC15-AD15,AD15-AC15)</f>
        <v>0</v>
      </c>
      <c r="AM15" s="132" t="n">
        <f aca="false">CHOOSE($G$3,AF15-AG15,AG15-AF15)</f>
        <v>0</v>
      </c>
      <c r="AN15" s="132" t="n">
        <f aca="false">CHOOSE($G$3,AI15-AJ15,AJ15-AI15)</f>
        <v>0</v>
      </c>
      <c r="AO15" s="148" t="n">
        <f aca="false">SUM(AL15:AN15)</f>
        <v>0</v>
      </c>
      <c r="AQ15" s="132" t="n">
        <f aca="false">CHOOSE($G$3,AB15-AC15,AC15-AB15)</f>
        <v>0</v>
      </c>
      <c r="AR15" s="132" t="n">
        <f aca="false">CHOOSE($G$3,AE15-AF15,AF15-AE15)</f>
        <v>0</v>
      </c>
      <c r="AS15" s="132" t="n">
        <f aca="false">CHOOSE($G$3,AH15-AI15,AI15-AH15)</f>
        <v>0</v>
      </c>
      <c r="AT15" s="148" t="n">
        <f aca="false">AQ15+AR15+AS15</f>
        <v>0</v>
      </c>
      <c r="AU15" s="148"/>
      <c r="AV15" s="133" t="n">
        <f aca="false">AT15+AO15</f>
        <v>0</v>
      </c>
      <c r="AX15" s="133" t="n">
        <f aca="false">AJ15+AG15+AD15</f>
        <v>0</v>
      </c>
      <c r="AY15" s="149"/>
      <c r="AZ15" s="76" t="n">
        <f aca="false">R15*E15</f>
        <v>0</v>
      </c>
    </row>
    <row r="16" customFormat="false" ht="12.75" hidden="false" customHeight="false" outlineLevel="0" collapsed="false">
      <c r="A16" s="138" t="n">
        <f aca="false">EDATE(A15,1)</f>
        <v>37165</v>
      </c>
      <c r="B16" s="139" t="n">
        <f aca="false">VLOOKUP($A16,Table2,MATCH(I$3,Curves2,0))</f>
        <v>0</v>
      </c>
      <c r="C16" s="140"/>
      <c r="D16" s="141" t="n">
        <f aca="false">B16+C16</f>
        <v>0</v>
      </c>
      <c r="E16" s="126" t="n">
        <f aca="false">IF(Y16=0,0,IF(AND(Y16=1,$H$3=1),D16*T16,IF($H$3=2,D16,"N/A")))</f>
        <v>0</v>
      </c>
      <c r="F16" s="126" t="n">
        <f aca="false">E16*X16</f>
        <v>0</v>
      </c>
      <c r="G16" s="142" t="n">
        <f aca="false">VLOOKUP($A16,Table,MATCH(G$4,Curves,0))</f>
        <v>5.225</v>
      </c>
      <c r="H16" s="143" t="n">
        <f aca="false">G16</f>
        <v>5.225</v>
      </c>
      <c r="I16" s="142" t="n">
        <f aca="false">VLOOKUP($A16,Table1,MATCH(I$3,Curves1,0))</f>
        <v>0</v>
      </c>
      <c r="J16" s="142" t="n">
        <f aca="false">VLOOKUP($A16,Table,MATCH(J$4,Curves,0))</f>
        <v>-0.0625</v>
      </c>
      <c r="K16" s="143" t="n">
        <f aca="false">J16</f>
        <v>-0.0625</v>
      </c>
      <c r="L16" s="144" t="n">
        <v>0</v>
      </c>
      <c r="M16" s="142" t="n">
        <f aca="false">VLOOKUP($A16,Table,MATCH(M$4,Curves,0))</f>
        <v>0.0075</v>
      </c>
      <c r="N16" s="143" t="n">
        <f aca="false">M16</f>
        <v>0.0075</v>
      </c>
      <c r="O16" s="144" t="n">
        <v>0</v>
      </c>
      <c r="P16" s="145"/>
      <c r="Q16" s="144" t="n">
        <f aca="false">M16+J16+G16</f>
        <v>5.17</v>
      </c>
      <c r="R16" s="144" t="n">
        <f aca="false">O16+L16+I16</f>
        <v>0</v>
      </c>
      <c r="S16" s="145"/>
      <c r="T16" s="71" t="n">
        <f aca="false">A17-A16</f>
        <v>31</v>
      </c>
      <c r="U16" s="146" t="n">
        <f aca="false">CHOOSE(F$3,A17+24,A16)</f>
        <v>37220</v>
      </c>
      <c r="V16" s="71" t="n">
        <f aca="false">U16-C$3</f>
        <v>332</v>
      </c>
      <c r="W16" s="142" t="n">
        <f aca="false">VLOOKUP($A16,Table,MATCH(W$4,Curves,0))</f>
        <v>0.060951245077802</v>
      </c>
      <c r="X16" s="147" t="n">
        <f aca="false">1/(1+CHOOSE(F$3,(W17+($K$3/10000))/2,(W16+($K$3/10000))/2))^(2*V16/365.25)</f>
        <v>0.947310536474598</v>
      </c>
      <c r="Y16" s="71" t="n">
        <f aca="false">IF(AND(mthbeg&lt;=A16,mthend&gt;=A16),1,0)</f>
        <v>1</v>
      </c>
      <c r="Z16" s="71" t="n">
        <f aca="false">T16*Y16</f>
        <v>31</v>
      </c>
      <c r="AB16" s="132" t="n">
        <f aca="false">F16*G16</f>
        <v>0</v>
      </c>
      <c r="AC16" s="132" t="n">
        <f aca="false">$F16*H16</f>
        <v>0</v>
      </c>
      <c r="AD16" s="132" t="n">
        <f aca="false">$F16*I16</f>
        <v>0</v>
      </c>
      <c r="AE16" s="132" t="n">
        <f aca="false">$F16*J16</f>
        <v>-0</v>
      </c>
      <c r="AF16" s="132" t="n">
        <f aca="false">$F16*K16</f>
        <v>-0</v>
      </c>
      <c r="AG16" s="132" t="n">
        <f aca="false">$F16*L16</f>
        <v>0</v>
      </c>
      <c r="AH16" s="132" t="n">
        <f aca="false">$F16*M16</f>
        <v>0</v>
      </c>
      <c r="AI16" s="132" t="n">
        <f aca="false">$F16*N16</f>
        <v>0</v>
      </c>
      <c r="AJ16" s="132" t="n">
        <f aca="false">F16*O16</f>
        <v>0</v>
      </c>
      <c r="AK16" s="137"/>
      <c r="AL16" s="132" t="n">
        <f aca="false">CHOOSE($G$3,AC16-AD16,AD16-AC16)</f>
        <v>0</v>
      </c>
      <c r="AM16" s="132" t="n">
        <f aca="false">CHOOSE($G$3,AF16-AG16,AG16-AF16)</f>
        <v>0</v>
      </c>
      <c r="AN16" s="132" t="n">
        <f aca="false">CHOOSE($G$3,AI16-AJ16,AJ16-AI16)</f>
        <v>0</v>
      </c>
      <c r="AO16" s="148" t="n">
        <f aca="false">SUM(AL16:AN16)</f>
        <v>0</v>
      </c>
      <c r="AQ16" s="132" t="n">
        <f aca="false">CHOOSE($G$3,AB16-AC16,AC16-AB16)</f>
        <v>0</v>
      </c>
      <c r="AR16" s="132" t="n">
        <f aca="false">CHOOSE($G$3,AE16-AF16,AF16-AE16)</f>
        <v>0</v>
      </c>
      <c r="AS16" s="132" t="n">
        <f aca="false">CHOOSE($G$3,AH16-AI16,AI16-AH16)</f>
        <v>0</v>
      </c>
      <c r="AT16" s="148" t="n">
        <f aca="false">AQ16+AR16+AS16</f>
        <v>0</v>
      </c>
      <c r="AU16" s="148"/>
      <c r="AV16" s="133" t="n">
        <f aca="false">AT16+AO16</f>
        <v>0</v>
      </c>
      <c r="AX16" s="133" t="n">
        <f aca="false">AJ16+AG16+AD16</f>
        <v>0</v>
      </c>
      <c r="AY16" s="149"/>
      <c r="AZ16" s="76" t="n">
        <f aca="false">R16*E16</f>
        <v>0</v>
      </c>
    </row>
    <row r="17" customFormat="false" ht="12.75" hidden="false" customHeight="false" outlineLevel="0" collapsed="false">
      <c r="A17" s="138" t="n">
        <f aca="false">EDATE(A16,1)</f>
        <v>37196</v>
      </c>
      <c r="B17" s="139" t="n">
        <f aca="false">VLOOKUP($A17,Table2,MATCH(I$3,Curves2,0))</f>
        <v>0</v>
      </c>
      <c r="C17" s="140"/>
      <c r="D17" s="141" t="n">
        <f aca="false">B17+C17</f>
        <v>0</v>
      </c>
      <c r="E17" s="126" t="n">
        <f aca="false">IF(Y17=0,0,IF(AND(Y17=1,$H$3=1),D17*T17,IF($H$3=2,D17,"N/A")))</f>
        <v>0</v>
      </c>
      <c r="F17" s="126" t="n">
        <f aca="false">E17*X17</f>
        <v>0</v>
      </c>
      <c r="G17" s="142" t="n">
        <f aca="false">VLOOKUP($A17,Table,MATCH(G$4,Curves,0))</f>
        <v>5.3</v>
      </c>
      <c r="H17" s="143" t="n">
        <f aca="false">G17</f>
        <v>5.3</v>
      </c>
      <c r="I17" s="142" t="n">
        <f aca="false">VLOOKUP($A17,Table1,MATCH(I$3,Curves1,0))</f>
        <v>0</v>
      </c>
      <c r="J17" s="142" t="n">
        <f aca="false">VLOOKUP($A17,Table,MATCH(J$4,Curves,0))</f>
        <v>-0.065</v>
      </c>
      <c r="K17" s="143" t="n">
        <f aca="false">J17</f>
        <v>-0.065</v>
      </c>
      <c r="L17" s="144" t="n">
        <v>0</v>
      </c>
      <c r="M17" s="142" t="n">
        <f aca="false">VLOOKUP($A17,Table,MATCH(M$4,Curves,0))</f>
        <v>0.005</v>
      </c>
      <c r="N17" s="143" t="n">
        <f aca="false">M17</f>
        <v>0.005</v>
      </c>
      <c r="O17" s="144" t="n">
        <v>0</v>
      </c>
      <c r="P17" s="145"/>
      <c r="Q17" s="144" t="n">
        <f aca="false">M17+J17+G17</f>
        <v>5.24</v>
      </c>
      <c r="R17" s="144" t="n">
        <f aca="false">O17+L17+I17</f>
        <v>0</v>
      </c>
      <c r="S17" s="145"/>
      <c r="T17" s="71" t="n">
        <f aca="false">A18-A17</f>
        <v>30</v>
      </c>
      <c r="U17" s="146" t="n">
        <f aca="false">CHOOSE(F$3,A18+24,A17)</f>
        <v>37250</v>
      </c>
      <c r="V17" s="71" t="n">
        <f aca="false">U17-C$3</f>
        <v>362</v>
      </c>
      <c r="W17" s="142" t="n">
        <f aca="false">VLOOKUP($A17,Table,MATCH(W$4,Curves,0))</f>
        <v>0.060444702340902</v>
      </c>
      <c r="X17" s="147" t="n">
        <f aca="false">1/(1+CHOOSE(F$3,(W18+($K$3/10000))/2,(W17+($K$3/10000))/2))^(2*V17/365.25)</f>
        <v>0.943133164388334</v>
      </c>
      <c r="Y17" s="71" t="n">
        <f aca="false">IF(AND(mthbeg&lt;=A17,mthend&gt;=A17),1,0)</f>
        <v>1</v>
      </c>
      <c r="Z17" s="71" t="n">
        <f aca="false">T17*Y17</f>
        <v>30</v>
      </c>
      <c r="AB17" s="132" t="n">
        <f aca="false">F17*G17</f>
        <v>0</v>
      </c>
      <c r="AC17" s="132" t="n">
        <f aca="false">$F17*H17</f>
        <v>0</v>
      </c>
      <c r="AD17" s="132" t="n">
        <f aca="false">$F17*I17</f>
        <v>0</v>
      </c>
      <c r="AE17" s="132" t="n">
        <f aca="false">$F17*J17</f>
        <v>-0</v>
      </c>
      <c r="AF17" s="132" t="n">
        <f aca="false">$F17*K17</f>
        <v>-0</v>
      </c>
      <c r="AG17" s="132" t="n">
        <f aca="false">$F17*L17</f>
        <v>0</v>
      </c>
      <c r="AH17" s="132" t="n">
        <f aca="false">$F17*M17</f>
        <v>0</v>
      </c>
      <c r="AI17" s="132" t="n">
        <f aca="false">$F17*N17</f>
        <v>0</v>
      </c>
      <c r="AJ17" s="132" t="n">
        <f aca="false">F17*O17</f>
        <v>0</v>
      </c>
      <c r="AK17" s="137"/>
      <c r="AL17" s="132" t="n">
        <f aca="false">CHOOSE($G$3,AC17-AD17,AD17-AC17)</f>
        <v>0</v>
      </c>
      <c r="AM17" s="132" t="n">
        <f aca="false">CHOOSE($G$3,AF17-AG17,AG17-AF17)</f>
        <v>0</v>
      </c>
      <c r="AN17" s="132" t="n">
        <f aca="false">CHOOSE($G$3,AI17-AJ17,AJ17-AI17)</f>
        <v>0</v>
      </c>
      <c r="AO17" s="148" t="n">
        <f aca="false">SUM(AL17:AN17)</f>
        <v>0</v>
      </c>
      <c r="AQ17" s="132" t="n">
        <f aca="false">CHOOSE($G$3,AB17-AC17,AC17-AB17)</f>
        <v>0</v>
      </c>
      <c r="AR17" s="132" t="n">
        <f aca="false">CHOOSE($G$3,AE17-AF17,AF17-AE17)</f>
        <v>0</v>
      </c>
      <c r="AS17" s="132" t="n">
        <f aca="false">CHOOSE($G$3,AH17-AI17,AI17-AH17)</f>
        <v>0</v>
      </c>
      <c r="AT17" s="148" t="n">
        <f aca="false">AQ17+AR17+AS17</f>
        <v>0</v>
      </c>
      <c r="AU17" s="148"/>
      <c r="AV17" s="133" t="n">
        <f aca="false">AT17+AO17</f>
        <v>0</v>
      </c>
      <c r="AX17" s="133" t="n">
        <f aca="false">AJ17+AG17+AD17</f>
        <v>0</v>
      </c>
      <c r="AY17" s="149"/>
      <c r="AZ17" s="76" t="n">
        <f aca="false">R17*E17</f>
        <v>0</v>
      </c>
    </row>
    <row r="18" customFormat="false" ht="12.75" hidden="false" customHeight="false" outlineLevel="0" collapsed="false">
      <c r="A18" s="138" t="n">
        <f aca="false">EDATE(A17,1)</f>
        <v>37226</v>
      </c>
      <c r="B18" s="139" t="n">
        <f aca="false">VLOOKUP($A18,Table2,MATCH(I$3,Curves2,0))</f>
        <v>0</v>
      </c>
      <c r="C18" s="140"/>
      <c r="D18" s="141" t="n">
        <f aca="false">B18+C18</f>
        <v>0</v>
      </c>
      <c r="E18" s="126" t="n">
        <f aca="false">IF(Y18=0,0,IF(AND(Y18=1,$H$3=1),D18*T18,IF($H$3=2,D18,"N/A")))</f>
        <v>0</v>
      </c>
      <c r="F18" s="126" t="n">
        <f aca="false">E18*X18</f>
        <v>0</v>
      </c>
      <c r="G18" s="142" t="n">
        <f aca="false">VLOOKUP($A18,Table,MATCH(G$4,Curves,0))</f>
        <v>5.375</v>
      </c>
      <c r="H18" s="143" t="n">
        <f aca="false">G18</f>
        <v>5.375</v>
      </c>
      <c r="I18" s="142" t="n">
        <f aca="false">VLOOKUP($A18,Table1,MATCH(I$3,Curves1,0))</f>
        <v>0</v>
      </c>
      <c r="J18" s="142" t="n">
        <f aca="false">VLOOKUP($A18,Table,MATCH(J$4,Curves,0))</f>
        <v>-0.065</v>
      </c>
      <c r="K18" s="143" t="n">
        <f aca="false">J18</f>
        <v>-0.065</v>
      </c>
      <c r="L18" s="144" t="n">
        <v>0</v>
      </c>
      <c r="M18" s="142" t="n">
        <f aca="false">VLOOKUP($A18,Table,MATCH(M$4,Curves,0))</f>
        <v>0.005</v>
      </c>
      <c r="N18" s="143" t="n">
        <f aca="false">M18</f>
        <v>0.005</v>
      </c>
      <c r="O18" s="144" t="n">
        <v>0</v>
      </c>
      <c r="P18" s="145"/>
      <c r="Q18" s="144" t="n">
        <f aca="false">M18+J18+G18</f>
        <v>5.315</v>
      </c>
      <c r="R18" s="144" t="n">
        <f aca="false">O18+L18+I18</f>
        <v>0</v>
      </c>
      <c r="S18" s="145"/>
      <c r="T18" s="71" t="n">
        <f aca="false">A19-A18</f>
        <v>31</v>
      </c>
      <c r="U18" s="146" t="n">
        <f aca="false">CHOOSE(F$3,A19+24,A18)</f>
        <v>37281</v>
      </c>
      <c r="V18" s="71" t="n">
        <f aca="false">U18-C$3</f>
        <v>393</v>
      </c>
      <c r="W18" s="142" t="n">
        <f aca="false">VLOOKUP($A18,Table,MATCH(W$4,Curves,0))</f>
        <v>0.059954499773445</v>
      </c>
      <c r="X18" s="147" t="n">
        <f aca="false">1/(1+CHOOSE(F$3,(W19+($K$3/10000))/2,(W18+($K$3/10000))/2))^(2*V18/365.25)</f>
        <v>0.938803177129092</v>
      </c>
      <c r="Y18" s="71" t="n">
        <f aca="false">IF(AND(mthbeg&lt;=A18,mthend&gt;=A18),1,0)</f>
        <v>1</v>
      </c>
      <c r="Z18" s="71" t="n">
        <f aca="false">T18*Y18</f>
        <v>31</v>
      </c>
      <c r="AB18" s="132" t="n">
        <f aca="false">F18*G18</f>
        <v>0</v>
      </c>
      <c r="AC18" s="132" t="n">
        <f aca="false">$F18*H18</f>
        <v>0</v>
      </c>
      <c r="AD18" s="132" t="n">
        <f aca="false">$F18*I18</f>
        <v>0</v>
      </c>
      <c r="AE18" s="132" t="n">
        <f aca="false">$F18*J18</f>
        <v>-0</v>
      </c>
      <c r="AF18" s="132" t="n">
        <f aca="false">$F18*K18</f>
        <v>-0</v>
      </c>
      <c r="AG18" s="132" t="n">
        <f aca="false">$F18*L18</f>
        <v>0</v>
      </c>
      <c r="AH18" s="132" t="n">
        <f aca="false">$F18*M18</f>
        <v>0</v>
      </c>
      <c r="AI18" s="132" t="n">
        <f aca="false">$F18*N18</f>
        <v>0</v>
      </c>
      <c r="AJ18" s="132" t="n">
        <f aca="false">F18*O18</f>
        <v>0</v>
      </c>
      <c r="AK18" s="137"/>
      <c r="AL18" s="132" t="n">
        <f aca="false">CHOOSE($G$3,AC18-AD18,AD18-AC18)</f>
        <v>0</v>
      </c>
      <c r="AM18" s="132" t="n">
        <f aca="false">CHOOSE($G$3,AF18-AG18,AG18-AF18)</f>
        <v>0</v>
      </c>
      <c r="AN18" s="132" t="n">
        <f aca="false">CHOOSE($G$3,AI18-AJ18,AJ18-AI18)</f>
        <v>0</v>
      </c>
      <c r="AO18" s="148" t="n">
        <f aca="false">SUM(AL18:AN18)</f>
        <v>0</v>
      </c>
      <c r="AQ18" s="132" t="n">
        <f aca="false">CHOOSE($G$3,AB18-AC18,AC18-AB18)</f>
        <v>0</v>
      </c>
      <c r="AR18" s="132" t="n">
        <f aca="false">CHOOSE($G$3,AE18-AF18,AF18-AE18)</f>
        <v>0</v>
      </c>
      <c r="AS18" s="132" t="n">
        <f aca="false">CHOOSE($G$3,AH18-AI18,AI18-AH18)</f>
        <v>0</v>
      </c>
      <c r="AT18" s="148" t="n">
        <f aca="false">AQ18+AR18+AS18</f>
        <v>0</v>
      </c>
      <c r="AU18" s="148"/>
      <c r="AV18" s="133" t="n">
        <f aca="false">AT18+AO18</f>
        <v>0</v>
      </c>
      <c r="AX18" s="133" t="n">
        <f aca="false">AJ18+AG18+AD18</f>
        <v>0</v>
      </c>
      <c r="AY18" s="149"/>
      <c r="AZ18" s="76" t="n">
        <f aca="false">R18*E18</f>
        <v>0</v>
      </c>
    </row>
    <row r="19" customFormat="false" ht="12.75" hidden="false" customHeight="false" outlineLevel="0" collapsed="false">
      <c r="A19" s="138" t="n">
        <f aca="false">EDATE(A18,1)</f>
        <v>37257</v>
      </c>
      <c r="B19" s="139" t="n">
        <f aca="false">VLOOKUP($A19,Table2,MATCH(I$3,Curves2,0))</f>
        <v>0</v>
      </c>
      <c r="C19" s="140"/>
      <c r="D19" s="141" t="n">
        <f aca="false">B19+C19</f>
        <v>0</v>
      </c>
      <c r="E19" s="126" t="n">
        <f aca="false">IF(Y19=0,0,IF(AND(Y19=1,$H$3=1),D19*T19,IF($H$3=2,D19,"N/A")))</f>
        <v>0</v>
      </c>
      <c r="F19" s="126" t="n">
        <f aca="false">E19*X19</f>
        <v>0</v>
      </c>
      <c r="G19" s="142" t="n">
        <f aca="false">VLOOKUP($A19,Table,MATCH(G$4,Curves,0))</f>
        <v>5.365</v>
      </c>
      <c r="H19" s="143" t="n">
        <f aca="false">G19</f>
        <v>5.365</v>
      </c>
      <c r="I19" s="142" t="n">
        <f aca="false">VLOOKUP($A19,Table1,MATCH(I$3,Curves1,0))</f>
        <v>0</v>
      </c>
      <c r="J19" s="142" t="n">
        <f aca="false">VLOOKUP($A19,Table,MATCH(J$4,Curves,0))</f>
        <v>-0.065</v>
      </c>
      <c r="K19" s="143" t="n">
        <f aca="false">J19</f>
        <v>-0.065</v>
      </c>
      <c r="L19" s="144" t="n">
        <v>0</v>
      </c>
      <c r="M19" s="142" t="n">
        <f aca="false">VLOOKUP($A19,Table,MATCH(M$4,Curves,0))</f>
        <v>0.01</v>
      </c>
      <c r="N19" s="143" t="n">
        <f aca="false">M19</f>
        <v>0.01</v>
      </c>
      <c r="O19" s="144" t="n">
        <v>0</v>
      </c>
      <c r="P19" s="145"/>
      <c r="Q19" s="144" t="n">
        <f aca="false">M19+J19+G19</f>
        <v>5.31</v>
      </c>
      <c r="R19" s="144" t="n">
        <f aca="false">O19+L19+I19</f>
        <v>0</v>
      </c>
      <c r="S19" s="145"/>
      <c r="T19" s="71" t="n">
        <f aca="false">A20-A19</f>
        <v>31</v>
      </c>
      <c r="U19" s="146" t="n">
        <f aca="false">CHOOSE(F$3,A20+24,A19)</f>
        <v>37312</v>
      </c>
      <c r="V19" s="71" t="n">
        <f aca="false">U19-C$3</f>
        <v>424</v>
      </c>
      <c r="W19" s="142" t="n">
        <f aca="false">VLOOKUP($A19,Table,MATCH(W$4,Curves,0))</f>
        <v>0.059560032629286</v>
      </c>
      <c r="X19" s="147" t="n">
        <f aca="false">1/(1+CHOOSE(F$3,(W20+($K$3/10000))/2,(W19+($K$3/10000))/2))^(2*V19/365.25)</f>
        <v>0.934390413714025</v>
      </c>
      <c r="Y19" s="71" t="n">
        <f aca="false">IF(AND(mthbeg&lt;=A19,mthend&gt;=A19),1,0)</f>
        <v>1</v>
      </c>
      <c r="Z19" s="71" t="n">
        <f aca="false">T19*Y19</f>
        <v>31</v>
      </c>
      <c r="AB19" s="132" t="n">
        <f aca="false">F19*G19</f>
        <v>0</v>
      </c>
      <c r="AC19" s="132" t="n">
        <f aca="false">$F19*H19</f>
        <v>0</v>
      </c>
      <c r="AD19" s="132" t="n">
        <f aca="false">$F19*I19</f>
        <v>0</v>
      </c>
      <c r="AE19" s="132" t="n">
        <f aca="false">$F19*J19</f>
        <v>-0</v>
      </c>
      <c r="AF19" s="132" t="n">
        <f aca="false">$F19*K19</f>
        <v>-0</v>
      </c>
      <c r="AG19" s="132" t="n">
        <f aca="false">$F19*L19</f>
        <v>0</v>
      </c>
      <c r="AH19" s="132" t="n">
        <f aca="false">$F19*M19</f>
        <v>0</v>
      </c>
      <c r="AI19" s="132" t="n">
        <f aca="false">$F19*N19</f>
        <v>0</v>
      </c>
      <c r="AJ19" s="132" t="n">
        <f aca="false">F19*O19</f>
        <v>0</v>
      </c>
      <c r="AK19" s="137"/>
      <c r="AL19" s="132" t="n">
        <f aca="false">CHOOSE($G$3,AC19-AD19,AD19-AC19)</f>
        <v>0</v>
      </c>
      <c r="AM19" s="132" t="n">
        <f aca="false">CHOOSE($G$3,AF19-AG19,AG19-AF19)</f>
        <v>0</v>
      </c>
      <c r="AN19" s="132" t="n">
        <f aca="false">CHOOSE($G$3,AI19-AJ19,AJ19-AI19)</f>
        <v>0</v>
      </c>
      <c r="AO19" s="148" t="n">
        <f aca="false">SUM(AL19:AN19)</f>
        <v>0</v>
      </c>
      <c r="AQ19" s="132" t="n">
        <f aca="false">CHOOSE($G$3,AB19-AC19,AC19-AB19)</f>
        <v>0</v>
      </c>
      <c r="AR19" s="132" t="n">
        <f aca="false">CHOOSE($G$3,AE19-AF19,AF19-AE19)</f>
        <v>0</v>
      </c>
      <c r="AS19" s="132" t="n">
        <f aca="false">CHOOSE($G$3,AH19-AI19,AI19-AH19)</f>
        <v>0</v>
      </c>
      <c r="AT19" s="148" t="n">
        <f aca="false">AQ19+AR19+AS19</f>
        <v>0</v>
      </c>
      <c r="AU19" s="148"/>
      <c r="AV19" s="133" t="n">
        <f aca="false">AT19+AO19</f>
        <v>0</v>
      </c>
      <c r="AX19" s="133" t="n">
        <f aca="false">AJ19+AG19+AD19</f>
        <v>0</v>
      </c>
      <c r="AY19" s="149"/>
      <c r="AZ19" s="76" t="n">
        <f aca="false">R19*E19</f>
        <v>0</v>
      </c>
    </row>
    <row r="20" customFormat="false" ht="12.75" hidden="false" customHeight="false" outlineLevel="0" collapsed="false">
      <c r="A20" s="138" t="n">
        <f aca="false">EDATE(A19,1)</f>
        <v>37288</v>
      </c>
      <c r="B20" s="139" t="n">
        <f aca="false">VLOOKUP($A20,Table2,MATCH(I$3,Curves2,0))</f>
        <v>0</v>
      </c>
      <c r="C20" s="140"/>
      <c r="D20" s="141" t="n">
        <f aca="false">B20+C20</f>
        <v>0</v>
      </c>
      <c r="E20" s="126" t="n">
        <f aca="false">IF(Y20=0,0,IF(AND(Y20=1,$H$3=1),D20*T20,IF($H$3=2,D20,"N/A")))</f>
        <v>0</v>
      </c>
      <c r="F20" s="126" t="n">
        <f aca="false">E20*X20</f>
        <v>0</v>
      </c>
      <c r="G20" s="142" t="n">
        <f aca="false">VLOOKUP($A20,Table,MATCH(G$4,Curves,0))</f>
        <v>5.11</v>
      </c>
      <c r="H20" s="143" t="n">
        <f aca="false">G20</f>
        <v>5.11</v>
      </c>
      <c r="I20" s="142" t="n">
        <f aca="false">VLOOKUP($A20,Table1,MATCH(I$3,Curves1,0))</f>
        <v>0</v>
      </c>
      <c r="J20" s="142" t="n">
        <f aca="false">VLOOKUP($A20,Table,MATCH(J$4,Curves,0))</f>
        <v>-0.065</v>
      </c>
      <c r="K20" s="143" t="n">
        <f aca="false">J20</f>
        <v>-0.065</v>
      </c>
      <c r="L20" s="144" t="n">
        <v>0</v>
      </c>
      <c r="M20" s="142" t="n">
        <f aca="false">VLOOKUP($A20,Table,MATCH(M$4,Curves,0))</f>
        <v>0.01</v>
      </c>
      <c r="N20" s="143" t="n">
        <f aca="false">M20</f>
        <v>0.01</v>
      </c>
      <c r="O20" s="144" t="n">
        <v>0</v>
      </c>
      <c r="P20" s="145"/>
      <c r="Q20" s="144" t="n">
        <f aca="false">M20+J20+G20</f>
        <v>5.055</v>
      </c>
      <c r="R20" s="144" t="n">
        <f aca="false">O20+L20+I20</f>
        <v>0</v>
      </c>
      <c r="S20" s="145"/>
      <c r="T20" s="71" t="n">
        <f aca="false">A21-A20</f>
        <v>28</v>
      </c>
      <c r="U20" s="146" t="n">
        <f aca="false">CHOOSE(F$3,A21+24,A20)</f>
        <v>37340</v>
      </c>
      <c r="V20" s="71" t="n">
        <f aca="false">U20-C$3</f>
        <v>452</v>
      </c>
      <c r="W20" s="142" t="n">
        <f aca="false">VLOOKUP($A20,Table,MATCH(W$4,Curves,0))</f>
        <v>0.059320746881078</v>
      </c>
      <c r="X20" s="147" t="n">
        <f aca="false">1/(1+CHOOSE(F$3,(W21+($K$3/10000))/2,(W20+($K$3/10000))/2))^(2*V20/365.25)</f>
        <v>0.930454095292277</v>
      </c>
      <c r="Y20" s="71" t="n">
        <f aca="false">IF(AND(mthbeg&lt;=A20,mthend&gt;=A20),1,0)</f>
        <v>1</v>
      </c>
      <c r="Z20" s="71" t="n">
        <f aca="false">T20*Y20</f>
        <v>28</v>
      </c>
      <c r="AB20" s="132" t="n">
        <f aca="false">F20*G20</f>
        <v>0</v>
      </c>
      <c r="AC20" s="132" t="n">
        <f aca="false">$F20*H20</f>
        <v>0</v>
      </c>
      <c r="AD20" s="132" t="n">
        <f aca="false">$F20*I20</f>
        <v>0</v>
      </c>
      <c r="AE20" s="132" t="n">
        <f aca="false">$F20*J20</f>
        <v>-0</v>
      </c>
      <c r="AF20" s="132" t="n">
        <f aca="false">$F20*K20</f>
        <v>-0</v>
      </c>
      <c r="AG20" s="132" t="n">
        <f aca="false">$F20*L20</f>
        <v>0</v>
      </c>
      <c r="AH20" s="132" t="n">
        <f aca="false">$F20*M20</f>
        <v>0</v>
      </c>
      <c r="AI20" s="132" t="n">
        <f aca="false">$F20*N20</f>
        <v>0</v>
      </c>
      <c r="AJ20" s="132" t="n">
        <f aca="false">F20*O20</f>
        <v>0</v>
      </c>
      <c r="AK20" s="137"/>
      <c r="AL20" s="132" t="n">
        <f aca="false">CHOOSE($G$3,AC20-AD20,AD20-AC20)</f>
        <v>0</v>
      </c>
      <c r="AM20" s="132" t="n">
        <f aca="false">CHOOSE($G$3,AF20-AG20,AG20-AF20)</f>
        <v>0</v>
      </c>
      <c r="AN20" s="132" t="n">
        <f aca="false">CHOOSE($G$3,AI20-AJ20,AJ20-AI20)</f>
        <v>0</v>
      </c>
      <c r="AO20" s="148" t="n">
        <f aca="false">SUM(AL20:AN20)</f>
        <v>0</v>
      </c>
      <c r="AQ20" s="132" t="n">
        <f aca="false">CHOOSE($G$3,AB20-AC20,AC20-AB20)</f>
        <v>0</v>
      </c>
      <c r="AR20" s="132" t="n">
        <f aca="false">CHOOSE($G$3,AE20-AF20,AF20-AE20)</f>
        <v>0</v>
      </c>
      <c r="AS20" s="132" t="n">
        <f aca="false">CHOOSE($G$3,AH20-AI20,AI20-AH20)</f>
        <v>0</v>
      </c>
      <c r="AT20" s="148" t="n">
        <f aca="false">AQ20+AR20+AS20</f>
        <v>0</v>
      </c>
      <c r="AU20" s="148"/>
      <c r="AV20" s="133" t="n">
        <f aca="false">AT20+AO20</f>
        <v>0</v>
      </c>
      <c r="AX20" s="133" t="n">
        <f aca="false">AJ20+AG20+AD20</f>
        <v>0</v>
      </c>
      <c r="AY20" s="149"/>
      <c r="AZ20" s="76" t="n">
        <f aca="false">R20*E20</f>
        <v>0</v>
      </c>
    </row>
    <row r="21" customFormat="false" ht="12.75" hidden="false" customHeight="false" outlineLevel="0" collapsed="false">
      <c r="A21" s="138" t="n">
        <f aca="false">EDATE(A20,1)</f>
        <v>37316</v>
      </c>
      <c r="B21" s="139" t="n">
        <f aca="false">VLOOKUP($A21,Table2,MATCH(I$3,Curves2,0))</f>
        <v>0</v>
      </c>
      <c r="C21" s="140"/>
      <c r="D21" s="141" t="n">
        <f aca="false">B21+C21</f>
        <v>0</v>
      </c>
      <c r="E21" s="126" t="n">
        <f aca="false">IF(Y21=0,0,IF(AND(Y21=1,$H$3=1),D21*T21,IF($H$3=2,D21,"N/A")))</f>
        <v>0</v>
      </c>
      <c r="F21" s="126" t="n">
        <f aca="false">E21*X21</f>
        <v>0</v>
      </c>
      <c r="G21" s="142" t="n">
        <f aca="false">VLOOKUP($A21,Table,MATCH(G$4,Curves,0))</f>
        <v>4.777</v>
      </c>
      <c r="H21" s="143" t="n">
        <f aca="false">G21</f>
        <v>4.777</v>
      </c>
      <c r="I21" s="142" t="n">
        <f aca="false">VLOOKUP($A21,Table1,MATCH(I$3,Curves1,0))</f>
        <v>0</v>
      </c>
      <c r="J21" s="142" t="n">
        <f aca="false">VLOOKUP($A21,Table,MATCH(J$4,Curves,0))</f>
        <v>-0.065</v>
      </c>
      <c r="K21" s="143" t="n">
        <f aca="false">J21</f>
        <v>-0.065</v>
      </c>
      <c r="L21" s="144" t="n">
        <v>0</v>
      </c>
      <c r="M21" s="142" t="n">
        <f aca="false">VLOOKUP($A21,Table,MATCH(M$4,Curves,0))</f>
        <v>0.01</v>
      </c>
      <c r="N21" s="143" t="n">
        <f aca="false">M21</f>
        <v>0.01</v>
      </c>
      <c r="O21" s="144" t="n">
        <v>0</v>
      </c>
      <c r="P21" s="145"/>
      <c r="Q21" s="144" t="n">
        <f aca="false">M21+J21+G21</f>
        <v>4.722</v>
      </c>
      <c r="R21" s="144" t="n">
        <f aca="false">O21+L21+I21</f>
        <v>0</v>
      </c>
      <c r="S21" s="145"/>
      <c r="T21" s="71" t="n">
        <f aca="false">A22-A21</f>
        <v>31</v>
      </c>
      <c r="U21" s="146" t="n">
        <f aca="false">CHOOSE(F$3,A22+24,A21)</f>
        <v>37371</v>
      </c>
      <c r="V21" s="71" t="n">
        <f aca="false">U21-C$3</f>
        <v>483</v>
      </c>
      <c r="W21" s="142" t="n">
        <f aca="false">VLOOKUP($A21,Table,MATCH(W$4,Curves,0))</f>
        <v>0.059104617834538</v>
      </c>
      <c r="X21" s="147" t="n">
        <f aca="false">1/(1+CHOOSE(F$3,(W22+($K$3/10000))/2,(W21+($K$3/10000))/2))^(2*V21/365.25)</f>
        <v>0.926116370440044</v>
      </c>
      <c r="Y21" s="71" t="n">
        <f aca="false">IF(AND(mthbeg&lt;=A21,mthend&gt;=A21),1,0)</f>
        <v>1</v>
      </c>
      <c r="Z21" s="71" t="n">
        <f aca="false">T21*Y21</f>
        <v>31</v>
      </c>
      <c r="AB21" s="132" t="n">
        <f aca="false">F21*G21</f>
        <v>0</v>
      </c>
      <c r="AC21" s="132" t="n">
        <f aca="false">$F21*H21</f>
        <v>0</v>
      </c>
      <c r="AD21" s="132" t="n">
        <f aca="false">$F21*I21</f>
        <v>0</v>
      </c>
      <c r="AE21" s="132" t="n">
        <f aca="false">$F21*J21</f>
        <v>-0</v>
      </c>
      <c r="AF21" s="132" t="n">
        <f aca="false">$F21*K21</f>
        <v>-0</v>
      </c>
      <c r="AG21" s="132" t="n">
        <f aca="false">$F21*L21</f>
        <v>0</v>
      </c>
      <c r="AH21" s="132" t="n">
        <f aca="false">$F21*M21</f>
        <v>0</v>
      </c>
      <c r="AI21" s="132" t="n">
        <f aca="false">$F21*N21</f>
        <v>0</v>
      </c>
      <c r="AJ21" s="132" t="n">
        <f aca="false">F21*O21</f>
        <v>0</v>
      </c>
      <c r="AK21" s="137"/>
      <c r="AL21" s="132" t="n">
        <f aca="false">CHOOSE($G$3,AC21-AD21,AD21-AC21)</f>
        <v>0</v>
      </c>
      <c r="AM21" s="132" t="n">
        <f aca="false">CHOOSE($G$3,AF21-AG21,AG21-AF21)</f>
        <v>0</v>
      </c>
      <c r="AN21" s="132" t="n">
        <f aca="false">CHOOSE($G$3,AI21-AJ21,AJ21-AI21)</f>
        <v>0</v>
      </c>
      <c r="AO21" s="148" t="n">
        <f aca="false">SUM(AL21:AN21)</f>
        <v>0</v>
      </c>
      <c r="AQ21" s="132" t="n">
        <f aca="false">CHOOSE($G$3,AB21-AC21,AC21-AB21)</f>
        <v>0</v>
      </c>
      <c r="AR21" s="132" t="n">
        <f aca="false">CHOOSE($G$3,AE21-AF21,AF21-AE21)</f>
        <v>0</v>
      </c>
      <c r="AS21" s="132" t="n">
        <f aca="false">CHOOSE($G$3,AH21-AI21,AI21-AH21)</f>
        <v>0</v>
      </c>
      <c r="AT21" s="148" t="n">
        <f aca="false">AQ21+AR21+AS21</f>
        <v>0</v>
      </c>
      <c r="AU21" s="148"/>
      <c r="AV21" s="133" t="n">
        <f aca="false">AT21+AO21</f>
        <v>0</v>
      </c>
      <c r="AX21" s="133" t="n">
        <f aca="false">AJ21+AG21+AD21</f>
        <v>0</v>
      </c>
      <c r="AY21" s="149"/>
      <c r="AZ21" s="76" t="n">
        <f aca="false">R21*E21</f>
        <v>0</v>
      </c>
    </row>
    <row r="22" customFormat="false" ht="12.75" hidden="false" customHeight="false" outlineLevel="0" collapsed="false">
      <c r="A22" s="138" t="n">
        <f aca="false">EDATE(A21,1)</f>
        <v>37347</v>
      </c>
      <c r="B22" s="139" t="n">
        <f aca="false">VLOOKUP($A22,Table2,MATCH(I$3,Curves2,0))</f>
        <v>0</v>
      </c>
      <c r="C22" s="140"/>
      <c r="D22" s="141" t="n">
        <f aca="false">B22+C22</f>
        <v>0</v>
      </c>
      <c r="E22" s="126" t="n">
        <f aca="false">IF(Y22=0,0,IF(AND(Y22=1,$H$3=1),D22*T22,IF($H$3=2,D22,"N/A")))</f>
        <v>0</v>
      </c>
      <c r="F22" s="126" t="n">
        <f aca="false">E22*X22</f>
        <v>0</v>
      </c>
      <c r="G22" s="142" t="n">
        <f aca="false">VLOOKUP($A22,Table,MATCH(G$4,Curves,0))</f>
        <v>4.317</v>
      </c>
      <c r="H22" s="143" t="n">
        <f aca="false">G22</f>
        <v>4.317</v>
      </c>
      <c r="I22" s="142" t="n">
        <f aca="false">VLOOKUP($A22,Table1,MATCH(I$3,Curves1,0))</f>
        <v>0</v>
      </c>
      <c r="J22" s="142" t="n">
        <f aca="false">VLOOKUP($A22,Table,MATCH(J$4,Curves,0))</f>
        <v>-0.0625</v>
      </c>
      <c r="K22" s="143" t="n">
        <f aca="false">J22</f>
        <v>-0.0625</v>
      </c>
      <c r="L22" s="144" t="n">
        <v>0</v>
      </c>
      <c r="M22" s="142" t="n">
        <f aca="false">VLOOKUP($A22,Table,MATCH(M$4,Curves,0))</f>
        <v>0.0075</v>
      </c>
      <c r="N22" s="143" t="n">
        <f aca="false">M22</f>
        <v>0.0075</v>
      </c>
      <c r="O22" s="144" t="n">
        <v>0</v>
      </c>
      <c r="P22" s="145"/>
      <c r="Q22" s="144" t="n">
        <f aca="false">M22+J22+G22</f>
        <v>4.262</v>
      </c>
      <c r="R22" s="144" t="n">
        <f aca="false">O22+L22+I22</f>
        <v>0</v>
      </c>
      <c r="S22" s="145"/>
      <c r="T22" s="71" t="n">
        <f aca="false">A23-A22</f>
        <v>30</v>
      </c>
      <c r="U22" s="146" t="n">
        <f aca="false">CHOOSE(F$3,A23+24,A22)</f>
        <v>37401</v>
      </c>
      <c r="V22" s="71" t="n">
        <f aca="false">U22-C$3</f>
        <v>513</v>
      </c>
      <c r="W22" s="142" t="n">
        <f aca="false">VLOOKUP($A22,Table,MATCH(W$4,Curves,0))</f>
        <v>0.058893741036666</v>
      </c>
      <c r="X22" s="147" t="n">
        <f aca="false">1/(1+CHOOSE(F$3,(W23+($K$3/10000))/2,(W22+($K$3/10000))/2))^(2*V22/365.25)</f>
        <v>0.921919722856329</v>
      </c>
      <c r="Y22" s="71" t="n">
        <f aca="false">IF(AND(mthbeg&lt;=A22,mthend&gt;=A22),1,0)</f>
        <v>1</v>
      </c>
      <c r="Z22" s="71" t="n">
        <f aca="false">T22*Y22</f>
        <v>30</v>
      </c>
      <c r="AB22" s="132" t="n">
        <f aca="false">F22*G22</f>
        <v>0</v>
      </c>
      <c r="AC22" s="132" t="n">
        <f aca="false">$F22*H22</f>
        <v>0</v>
      </c>
      <c r="AD22" s="132" t="n">
        <f aca="false">$F22*I22</f>
        <v>0</v>
      </c>
      <c r="AE22" s="132" t="n">
        <f aca="false">$F22*J22</f>
        <v>-0</v>
      </c>
      <c r="AF22" s="132" t="n">
        <f aca="false">$F22*K22</f>
        <v>-0</v>
      </c>
      <c r="AG22" s="132" t="n">
        <f aca="false">$F22*L22</f>
        <v>0</v>
      </c>
      <c r="AH22" s="132" t="n">
        <f aca="false">$F22*M22</f>
        <v>0</v>
      </c>
      <c r="AI22" s="132" t="n">
        <f aca="false">$F22*N22</f>
        <v>0</v>
      </c>
      <c r="AJ22" s="132" t="n">
        <f aca="false">F22*O22</f>
        <v>0</v>
      </c>
      <c r="AK22" s="137"/>
      <c r="AL22" s="132" t="n">
        <f aca="false">CHOOSE($G$3,AC22-AD22,AD22-AC22)</f>
        <v>0</v>
      </c>
      <c r="AM22" s="132" t="n">
        <f aca="false">CHOOSE($G$3,AF22-AG22,AG22-AF22)</f>
        <v>0</v>
      </c>
      <c r="AN22" s="132" t="n">
        <f aca="false">CHOOSE($G$3,AI22-AJ22,AJ22-AI22)</f>
        <v>0</v>
      </c>
      <c r="AO22" s="148" t="n">
        <f aca="false">SUM(AL22:AN22)</f>
        <v>0</v>
      </c>
      <c r="AQ22" s="132" t="n">
        <f aca="false">CHOOSE($G$3,AB22-AC22,AC22-AB22)</f>
        <v>0</v>
      </c>
      <c r="AR22" s="132" t="n">
        <f aca="false">CHOOSE($G$3,AE22-AF22,AF22-AE22)</f>
        <v>0</v>
      </c>
      <c r="AS22" s="132" t="n">
        <f aca="false">CHOOSE($G$3,AH22-AI22,AI22-AH22)</f>
        <v>0</v>
      </c>
      <c r="AT22" s="148" t="n">
        <f aca="false">AQ22+AR22+AS22</f>
        <v>0</v>
      </c>
      <c r="AU22" s="148"/>
      <c r="AV22" s="133" t="n">
        <f aca="false">AT22+AO22</f>
        <v>0</v>
      </c>
      <c r="AX22" s="133" t="n">
        <f aca="false">AJ22+AG22+AD22</f>
        <v>0</v>
      </c>
      <c r="AY22" s="149"/>
      <c r="AZ22" s="76" t="n">
        <f aca="false">R22*E22</f>
        <v>0</v>
      </c>
    </row>
    <row r="23" customFormat="false" ht="12.75" hidden="false" customHeight="false" outlineLevel="0" collapsed="false">
      <c r="A23" s="138" t="n">
        <f aca="false">EDATE(A22,1)</f>
        <v>37377</v>
      </c>
      <c r="B23" s="139" t="n">
        <f aca="false">VLOOKUP($A23,Table2,MATCH(I$3,Curves2,0))</f>
        <v>0</v>
      </c>
      <c r="C23" s="140"/>
      <c r="D23" s="141" t="n">
        <f aca="false">B23+C23</f>
        <v>0</v>
      </c>
      <c r="E23" s="126" t="n">
        <f aca="false">IF(Y23=0,0,IF(AND(Y23=1,$H$3=1),D23*T23,IF($H$3=2,D23,"N/A")))</f>
        <v>0</v>
      </c>
      <c r="F23" s="126" t="n">
        <f aca="false">E23*X23</f>
        <v>0</v>
      </c>
      <c r="G23" s="142" t="n">
        <f aca="false">VLOOKUP($A23,Table,MATCH(G$4,Curves,0))</f>
        <v>4.212</v>
      </c>
      <c r="H23" s="143" t="n">
        <f aca="false">G23</f>
        <v>4.212</v>
      </c>
      <c r="I23" s="142" t="n">
        <f aca="false">VLOOKUP($A23,Table1,MATCH(I$3,Curves1,0))</f>
        <v>0</v>
      </c>
      <c r="J23" s="142" t="n">
        <f aca="false">VLOOKUP($A23,Table,MATCH(J$4,Curves,0))</f>
        <v>-0.0625</v>
      </c>
      <c r="K23" s="143" t="n">
        <f aca="false">J23</f>
        <v>-0.0625</v>
      </c>
      <c r="L23" s="144" t="n">
        <v>0</v>
      </c>
      <c r="M23" s="142" t="n">
        <f aca="false">VLOOKUP($A23,Table,MATCH(M$4,Curves,0))</f>
        <v>0.0075</v>
      </c>
      <c r="N23" s="143" t="n">
        <f aca="false">M23</f>
        <v>0.0075</v>
      </c>
      <c r="O23" s="144" t="n">
        <v>0</v>
      </c>
      <c r="P23" s="145"/>
      <c r="Q23" s="144" t="n">
        <f aca="false">M23+J23+G23</f>
        <v>4.157</v>
      </c>
      <c r="R23" s="144" t="n">
        <f aca="false">O23+L23+I23</f>
        <v>0</v>
      </c>
      <c r="S23" s="145"/>
      <c r="T23" s="71" t="n">
        <f aca="false">A24-A23</f>
        <v>31</v>
      </c>
      <c r="U23" s="146" t="n">
        <f aca="false">CHOOSE(F$3,A24+24,A23)</f>
        <v>37432</v>
      </c>
      <c r="V23" s="71" t="n">
        <f aca="false">U23-C$3</f>
        <v>544</v>
      </c>
      <c r="W23" s="142" t="n">
        <f aca="false">VLOOKUP($A23,Table,MATCH(W$4,Curves,0))</f>
        <v>0.058728342249746</v>
      </c>
      <c r="X23" s="147" t="n">
        <f aca="false">1/(1+CHOOSE(F$3,(W24+($K$3/10000))/2,(W23+($K$3/10000))/2))^(2*V23/365.25)</f>
        <v>0.917628626914862</v>
      </c>
      <c r="Y23" s="71" t="n">
        <f aca="false">IF(AND(mthbeg&lt;=A23,mthend&gt;=A23),1,0)</f>
        <v>1</v>
      </c>
      <c r="Z23" s="71" t="n">
        <f aca="false">T23*Y23</f>
        <v>31</v>
      </c>
      <c r="AB23" s="132" t="n">
        <f aca="false">F23*G23</f>
        <v>0</v>
      </c>
      <c r="AC23" s="132" t="n">
        <f aca="false">$F23*H23</f>
        <v>0</v>
      </c>
      <c r="AD23" s="132" t="n">
        <f aca="false">$F23*I23</f>
        <v>0</v>
      </c>
      <c r="AE23" s="132" t="n">
        <f aca="false">$F23*J23</f>
        <v>-0</v>
      </c>
      <c r="AF23" s="132" t="n">
        <f aca="false">$F23*K23</f>
        <v>-0</v>
      </c>
      <c r="AG23" s="132" t="n">
        <f aca="false">$F23*L23</f>
        <v>0</v>
      </c>
      <c r="AH23" s="132" t="n">
        <f aca="false">$F23*M23</f>
        <v>0</v>
      </c>
      <c r="AI23" s="132" t="n">
        <f aca="false">$F23*N23</f>
        <v>0</v>
      </c>
      <c r="AJ23" s="132" t="n">
        <f aca="false">F23*O23</f>
        <v>0</v>
      </c>
      <c r="AK23" s="137"/>
      <c r="AL23" s="132" t="n">
        <f aca="false">CHOOSE($G$3,AC23-AD23,AD23-AC23)</f>
        <v>0</v>
      </c>
      <c r="AM23" s="132" t="n">
        <f aca="false">CHOOSE($G$3,AF23-AG23,AG23-AF23)</f>
        <v>0</v>
      </c>
      <c r="AN23" s="132" t="n">
        <f aca="false">CHOOSE($G$3,AI23-AJ23,AJ23-AI23)</f>
        <v>0</v>
      </c>
      <c r="AO23" s="148" t="n">
        <f aca="false">SUM(AL23:AN23)</f>
        <v>0</v>
      </c>
      <c r="AQ23" s="132" t="n">
        <f aca="false">CHOOSE($G$3,AB23-AC23,AC23-AB23)</f>
        <v>0</v>
      </c>
      <c r="AR23" s="132" t="n">
        <f aca="false">CHOOSE($G$3,AE23-AF23,AF23-AE23)</f>
        <v>0</v>
      </c>
      <c r="AS23" s="132" t="n">
        <f aca="false">CHOOSE($G$3,AH23-AI23,AI23-AH23)</f>
        <v>0</v>
      </c>
      <c r="AT23" s="148" t="n">
        <f aca="false">AQ23+AR23+AS23</f>
        <v>0</v>
      </c>
      <c r="AU23" s="148"/>
      <c r="AV23" s="133" t="n">
        <f aca="false">AT23+AO23</f>
        <v>0</v>
      </c>
      <c r="AX23" s="133" t="n">
        <f aca="false">AJ23+AG23+AD23</f>
        <v>0</v>
      </c>
      <c r="AY23" s="149"/>
      <c r="AZ23" s="76" t="n">
        <f aca="false">R23*E23</f>
        <v>0</v>
      </c>
    </row>
    <row r="24" customFormat="false" ht="12.75" hidden="false" customHeight="false" outlineLevel="0" collapsed="false">
      <c r="A24" s="138" t="n">
        <f aca="false">EDATE(A23,1)</f>
        <v>37408</v>
      </c>
      <c r="B24" s="139" t="n">
        <f aca="false">VLOOKUP($A24,Table2,MATCH(I$3,Curves2,0))</f>
        <v>0</v>
      </c>
      <c r="C24" s="140"/>
      <c r="D24" s="141" t="n">
        <f aca="false">B24+C24</f>
        <v>0</v>
      </c>
      <c r="E24" s="126" t="n">
        <f aca="false">IF(Y24=0,0,IF(AND(Y24=1,$H$3=1),D24*T24,IF($H$3=2,D24,"N/A")))</f>
        <v>0</v>
      </c>
      <c r="F24" s="126" t="n">
        <f aca="false">E24*X24</f>
        <v>0</v>
      </c>
      <c r="G24" s="142" t="n">
        <f aca="false">VLOOKUP($A24,Table,MATCH(G$4,Curves,0))</f>
        <v>4.192</v>
      </c>
      <c r="H24" s="143" t="n">
        <f aca="false">G24</f>
        <v>4.192</v>
      </c>
      <c r="I24" s="142" t="n">
        <f aca="false">VLOOKUP($A24,Table1,MATCH(I$3,Curves1,0))</f>
        <v>0</v>
      </c>
      <c r="J24" s="142" t="n">
        <f aca="false">VLOOKUP($A24,Table,MATCH(J$4,Curves,0))</f>
        <v>-0.0625</v>
      </c>
      <c r="K24" s="143" t="n">
        <f aca="false">J24</f>
        <v>-0.0625</v>
      </c>
      <c r="L24" s="144" t="n">
        <v>0</v>
      </c>
      <c r="M24" s="142" t="n">
        <f aca="false">VLOOKUP($A24,Table,MATCH(M$4,Curves,0))</f>
        <v>0.0075</v>
      </c>
      <c r="N24" s="143" t="n">
        <f aca="false">M24</f>
        <v>0.0075</v>
      </c>
      <c r="O24" s="144" t="n">
        <v>0</v>
      </c>
      <c r="P24" s="145"/>
      <c r="Q24" s="144" t="n">
        <f aca="false">M24+J24+G24</f>
        <v>4.137</v>
      </c>
      <c r="R24" s="144" t="n">
        <f aca="false">O24+L24+I24</f>
        <v>0</v>
      </c>
      <c r="S24" s="145"/>
      <c r="T24" s="71" t="n">
        <f aca="false">A25-A24</f>
        <v>30</v>
      </c>
      <c r="U24" s="146" t="n">
        <f aca="false">CHOOSE(F$3,A25+24,A24)</f>
        <v>37462</v>
      </c>
      <c r="V24" s="71" t="n">
        <f aca="false">U24-C$3</f>
        <v>574</v>
      </c>
      <c r="W24" s="142" t="n">
        <f aca="false">VLOOKUP($A24,Table,MATCH(W$4,Curves,0))</f>
        <v>0.058557430179484</v>
      </c>
      <c r="X24" s="147" t="n">
        <f aca="false">1/(1+CHOOSE(F$3,(W25+($K$3/10000))/2,(W24+($K$3/10000))/2))^(2*V24/365.25)</f>
        <v>0.913470181117722</v>
      </c>
      <c r="Y24" s="71" t="n">
        <f aca="false">IF(AND(mthbeg&lt;=A24,mthend&gt;=A24),1,0)</f>
        <v>1</v>
      </c>
      <c r="Z24" s="71" t="n">
        <f aca="false">T24*Y24</f>
        <v>30</v>
      </c>
      <c r="AB24" s="132" t="n">
        <f aca="false">F24*G24</f>
        <v>0</v>
      </c>
      <c r="AC24" s="132" t="n">
        <f aca="false">$F24*H24</f>
        <v>0</v>
      </c>
      <c r="AD24" s="132" t="n">
        <f aca="false">$F24*I24</f>
        <v>0</v>
      </c>
      <c r="AE24" s="132" t="n">
        <f aca="false">$F24*J24</f>
        <v>-0</v>
      </c>
      <c r="AF24" s="132" t="n">
        <f aca="false">$F24*K24</f>
        <v>-0</v>
      </c>
      <c r="AG24" s="132" t="n">
        <f aca="false">$F24*L24</f>
        <v>0</v>
      </c>
      <c r="AH24" s="132" t="n">
        <f aca="false">$F24*M24</f>
        <v>0</v>
      </c>
      <c r="AI24" s="132" t="n">
        <f aca="false">$F24*N24</f>
        <v>0</v>
      </c>
      <c r="AJ24" s="132" t="n">
        <f aca="false">F24*O24</f>
        <v>0</v>
      </c>
      <c r="AK24" s="137"/>
      <c r="AL24" s="132" t="n">
        <f aca="false">CHOOSE($G$3,AC24-AD24,AD24-AC24)</f>
        <v>0</v>
      </c>
      <c r="AM24" s="132" t="n">
        <f aca="false">CHOOSE($G$3,AF24-AG24,AG24-AF24)</f>
        <v>0</v>
      </c>
      <c r="AN24" s="132" t="n">
        <f aca="false">CHOOSE($G$3,AI24-AJ24,AJ24-AI24)</f>
        <v>0</v>
      </c>
      <c r="AO24" s="148" t="n">
        <f aca="false">SUM(AL24:AN24)</f>
        <v>0</v>
      </c>
      <c r="AQ24" s="132" t="n">
        <f aca="false">CHOOSE($G$3,AB24-AC24,AC24-AB24)</f>
        <v>0</v>
      </c>
      <c r="AR24" s="132" t="n">
        <f aca="false">CHOOSE($G$3,AE24-AF24,AF24-AE24)</f>
        <v>0</v>
      </c>
      <c r="AS24" s="132" t="n">
        <f aca="false">CHOOSE($G$3,AH24-AI24,AI24-AH24)</f>
        <v>0</v>
      </c>
      <c r="AT24" s="148" t="n">
        <f aca="false">AQ24+AR24+AS24</f>
        <v>0</v>
      </c>
      <c r="AU24" s="148"/>
      <c r="AV24" s="133" t="n">
        <f aca="false">AT24+AO24</f>
        <v>0</v>
      </c>
      <c r="AX24" s="133" t="n">
        <f aca="false">AJ24+AG24+AD24</f>
        <v>0</v>
      </c>
      <c r="AY24" s="149"/>
      <c r="AZ24" s="76" t="n">
        <f aca="false">R24*E24</f>
        <v>0</v>
      </c>
    </row>
    <row r="25" customFormat="false" ht="12.75" hidden="false" customHeight="false" outlineLevel="0" collapsed="false">
      <c r="A25" s="138" t="n">
        <f aca="false">EDATE(A24,1)</f>
        <v>37438</v>
      </c>
      <c r="B25" s="139" t="n">
        <f aca="false">VLOOKUP($A25,Table2,MATCH(I$3,Curves2,0))</f>
        <v>0</v>
      </c>
      <c r="C25" s="140"/>
      <c r="D25" s="141" t="n">
        <f aca="false">B25+C25</f>
        <v>0</v>
      </c>
      <c r="E25" s="126" t="n">
        <f aca="false">IF(Y25=0,0,IF(AND(Y25=1,$H$3=1),D25*T25,IF($H$3=2,D25,"N/A")))</f>
        <v>0</v>
      </c>
      <c r="F25" s="126" t="n">
        <f aca="false">E25*X25</f>
        <v>0</v>
      </c>
      <c r="G25" s="142" t="n">
        <f aca="false">VLOOKUP($A25,Table,MATCH(G$4,Curves,0))</f>
        <v>4.192</v>
      </c>
      <c r="H25" s="143" t="n">
        <f aca="false">G25</f>
        <v>4.192</v>
      </c>
      <c r="I25" s="142" t="n">
        <f aca="false">VLOOKUP($A25,Table1,MATCH(I$3,Curves1,0))</f>
        <v>0</v>
      </c>
      <c r="J25" s="142" t="n">
        <f aca="false">VLOOKUP($A25,Table,MATCH(J$4,Curves,0))</f>
        <v>-0.0625</v>
      </c>
      <c r="K25" s="143" t="n">
        <f aca="false">J25</f>
        <v>-0.0625</v>
      </c>
      <c r="L25" s="144" t="n">
        <v>0</v>
      </c>
      <c r="M25" s="142" t="n">
        <f aca="false">VLOOKUP($A25,Table,MATCH(M$4,Curves,0))</f>
        <v>0.0075</v>
      </c>
      <c r="N25" s="143" t="n">
        <f aca="false">M25</f>
        <v>0.0075</v>
      </c>
      <c r="O25" s="144" t="n">
        <v>0</v>
      </c>
      <c r="P25" s="145"/>
      <c r="Q25" s="144" t="n">
        <f aca="false">M25+J25+G25</f>
        <v>4.137</v>
      </c>
      <c r="R25" s="144" t="n">
        <f aca="false">O25+L25+I25</f>
        <v>0</v>
      </c>
      <c r="S25" s="145"/>
      <c r="T25" s="71" t="n">
        <f aca="false">A26-A25</f>
        <v>31</v>
      </c>
      <c r="U25" s="146" t="n">
        <f aca="false">CHOOSE(F$3,A26+24,A25)</f>
        <v>37493</v>
      </c>
      <c r="V25" s="71" t="n">
        <f aca="false">U25-C$3</f>
        <v>605</v>
      </c>
      <c r="W25" s="142" t="n">
        <f aca="false">VLOOKUP($A25,Table,MATCH(W$4,Curves,0))</f>
        <v>0.058427393120956</v>
      </c>
      <c r="X25" s="147" t="n">
        <f aca="false">1/(1+CHOOSE(F$3,(W26+($K$3/10000))/2,(W25+($K$3/10000))/2))^(2*V25/365.25)</f>
        <v>0.9091277697465</v>
      </c>
      <c r="Y25" s="71" t="n">
        <f aca="false">IF(AND(mthbeg&lt;=A25,mthend&gt;=A25),1,0)</f>
        <v>1</v>
      </c>
      <c r="Z25" s="71" t="n">
        <f aca="false">T25*Y25</f>
        <v>31</v>
      </c>
      <c r="AB25" s="132" t="n">
        <f aca="false">F25*G25</f>
        <v>0</v>
      </c>
      <c r="AC25" s="132" t="n">
        <f aca="false">$F25*H25</f>
        <v>0</v>
      </c>
      <c r="AD25" s="132" t="n">
        <f aca="false">$F25*I25</f>
        <v>0</v>
      </c>
      <c r="AE25" s="132" t="n">
        <f aca="false">$F25*J25</f>
        <v>-0</v>
      </c>
      <c r="AF25" s="132" t="n">
        <f aca="false">$F25*K25</f>
        <v>-0</v>
      </c>
      <c r="AG25" s="132" t="n">
        <f aca="false">$F25*L25</f>
        <v>0</v>
      </c>
      <c r="AH25" s="132" t="n">
        <f aca="false">$F25*M25</f>
        <v>0</v>
      </c>
      <c r="AI25" s="132" t="n">
        <f aca="false">$F25*N25</f>
        <v>0</v>
      </c>
      <c r="AJ25" s="132" t="n">
        <f aca="false">F25*O25</f>
        <v>0</v>
      </c>
      <c r="AK25" s="137"/>
      <c r="AL25" s="132" t="n">
        <f aca="false">CHOOSE($G$3,AC25-AD25,AD25-AC25)</f>
        <v>0</v>
      </c>
      <c r="AM25" s="132" t="n">
        <f aca="false">CHOOSE($G$3,AF25-AG25,AG25-AF25)</f>
        <v>0</v>
      </c>
      <c r="AN25" s="132" t="n">
        <f aca="false">CHOOSE($G$3,AI25-AJ25,AJ25-AI25)</f>
        <v>0</v>
      </c>
      <c r="AO25" s="148" t="n">
        <f aca="false">SUM(AL25:AN25)</f>
        <v>0</v>
      </c>
      <c r="AQ25" s="132" t="n">
        <f aca="false">CHOOSE($G$3,AB25-AC25,AC25-AB25)</f>
        <v>0</v>
      </c>
      <c r="AR25" s="132" t="n">
        <f aca="false">CHOOSE($G$3,AE25-AF25,AF25-AE25)</f>
        <v>0</v>
      </c>
      <c r="AS25" s="132" t="n">
        <f aca="false">CHOOSE($G$3,AH25-AI25,AI25-AH25)</f>
        <v>0</v>
      </c>
      <c r="AT25" s="148" t="n">
        <f aca="false">AQ25+AR25+AS25</f>
        <v>0</v>
      </c>
      <c r="AU25" s="148"/>
      <c r="AV25" s="133" t="n">
        <f aca="false">AT25+AO25</f>
        <v>0</v>
      </c>
      <c r="AX25" s="133" t="n">
        <f aca="false">AJ25+AG25+AD25</f>
        <v>0</v>
      </c>
      <c r="AY25" s="149"/>
      <c r="AZ25" s="76" t="n">
        <f aca="false">R25*E25</f>
        <v>0</v>
      </c>
    </row>
    <row r="26" customFormat="false" ht="12.75" hidden="false" customHeight="false" outlineLevel="0" collapsed="false">
      <c r="A26" s="138" t="n">
        <f aca="false">EDATE(A25,1)</f>
        <v>37469</v>
      </c>
      <c r="B26" s="139" t="n">
        <f aca="false">VLOOKUP($A26,Table2,MATCH(I$3,Curves2,0))</f>
        <v>0</v>
      </c>
      <c r="C26" s="140"/>
      <c r="D26" s="141" t="n">
        <f aca="false">B26+C26</f>
        <v>0</v>
      </c>
      <c r="E26" s="126" t="n">
        <f aca="false">IF(Y26=0,0,IF(AND(Y26=1,$H$3=1),D26*T26,IF($H$3=2,D26,"N/A")))</f>
        <v>0</v>
      </c>
      <c r="F26" s="126" t="n">
        <f aca="false">E26*X26</f>
        <v>0</v>
      </c>
      <c r="G26" s="142" t="n">
        <f aca="false">VLOOKUP($A26,Table,MATCH(G$4,Curves,0))</f>
        <v>4.192</v>
      </c>
      <c r="H26" s="143" t="n">
        <f aca="false">G26</f>
        <v>4.192</v>
      </c>
      <c r="I26" s="142" t="n">
        <f aca="false">VLOOKUP($A26,Table1,MATCH(I$3,Curves1,0))</f>
        <v>0</v>
      </c>
      <c r="J26" s="142" t="n">
        <f aca="false">VLOOKUP($A26,Table,MATCH(J$4,Curves,0))</f>
        <v>-0.0625</v>
      </c>
      <c r="K26" s="143" t="n">
        <f aca="false">J26</f>
        <v>-0.0625</v>
      </c>
      <c r="L26" s="144" t="n">
        <v>0</v>
      </c>
      <c r="M26" s="142" t="n">
        <f aca="false">VLOOKUP($A26,Table,MATCH(M$4,Curves,0))</f>
        <v>0.0075</v>
      </c>
      <c r="N26" s="143" t="n">
        <f aca="false">M26</f>
        <v>0.0075</v>
      </c>
      <c r="O26" s="144" t="n">
        <v>0</v>
      </c>
      <c r="P26" s="145"/>
      <c r="Q26" s="144" t="n">
        <f aca="false">M26+J26+G26</f>
        <v>4.137</v>
      </c>
      <c r="R26" s="144" t="n">
        <f aca="false">O26+L26+I26</f>
        <v>0</v>
      </c>
      <c r="S26" s="145"/>
      <c r="T26" s="71" t="n">
        <f aca="false">A27-A26</f>
        <v>31</v>
      </c>
      <c r="U26" s="146" t="n">
        <f aca="false">CHOOSE(F$3,A27+24,A26)</f>
        <v>37524</v>
      </c>
      <c r="V26" s="71" t="n">
        <f aca="false">U26-C$3</f>
        <v>636</v>
      </c>
      <c r="W26" s="142" t="n">
        <f aca="false">VLOOKUP($A26,Table,MATCH(W$4,Curves,0))</f>
        <v>0.058351099221517</v>
      </c>
      <c r="X26" s="147" t="n">
        <f aca="false">1/(1+CHOOSE(F$3,(W27+($K$3/10000))/2,(W26+($K$3/10000))/2))^(2*V26/365.25)</f>
        <v>0.904817390947842</v>
      </c>
      <c r="Y26" s="71" t="n">
        <f aca="false">IF(AND(mthbeg&lt;=A26,mthend&gt;=A26),1,0)</f>
        <v>1</v>
      </c>
      <c r="Z26" s="71" t="n">
        <f aca="false">T26*Y26</f>
        <v>31</v>
      </c>
      <c r="AB26" s="132" t="n">
        <f aca="false">F26*G26</f>
        <v>0</v>
      </c>
      <c r="AC26" s="132" t="n">
        <f aca="false">$F26*H26</f>
        <v>0</v>
      </c>
      <c r="AD26" s="132" t="n">
        <f aca="false">$F26*I26</f>
        <v>0</v>
      </c>
      <c r="AE26" s="132" t="n">
        <f aca="false">$F26*J26</f>
        <v>-0</v>
      </c>
      <c r="AF26" s="132" t="n">
        <f aca="false">$F26*K26</f>
        <v>-0</v>
      </c>
      <c r="AG26" s="132" t="n">
        <f aca="false">$F26*L26</f>
        <v>0</v>
      </c>
      <c r="AH26" s="132" t="n">
        <f aca="false">$F26*M26</f>
        <v>0</v>
      </c>
      <c r="AI26" s="132" t="n">
        <f aca="false">$F26*N26</f>
        <v>0</v>
      </c>
      <c r="AJ26" s="132" t="n">
        <f aca="false">F26*O26</f>
        <v>0</v>
      </c>
      <c r="AK26" s="137"/>
      <c r="AL26" s="132" t="n">
        <f aca="false">CHOOSE($G$3,AC26-AD26,AD26-AC26)</f>
        <v>0</v>
      </c>
      <c r="AM26" s="132" t="n">
        <f aca="false">CHOOSE($G$3,AF26-AG26,AG26-AF26)</f>
        <v>0</v>
      </c>
      <c r="AN26" s="132" t="n">
        <f aca="false">CHOOSE($G$3,AI26-AJ26,AJ26-AI26)</f>
        <v>0</v>
      </c>
      <c r="AO26" s="148" t="n">
        <f aca="false">SUM(AL26:AN26)</f>
        <v>0</v>
      </c>
      <c r="AQ26" s="132" t="n">
        <f aca="false">CHOOSE($G$3,AB26-AC26,AC26-AB26)</f>
        <v>0</v>
      </c>
      <c r="AR26" s="132" t="n">
        <f aca="false">CHOOSE($G$3,AE26-AF26,AF26-AE26)</f>
        <v>0</v>
      </c>
      <c r="AS26" s="132" t="n">
        <f aca="false">CHOOSE($G$3,AH26-AI26,AI26-AH26)</f>
        <v>0</v>
      </c>
      <c r="AT26" s="148" t="n">
        <f aca="false">AQ26+AR26+AS26</f>
        <v>0</v>
      </c>
      <c r="AU26" s="148"/>
      <c r="AV26" s="133" t="n">
        <f aca="false">AT26+AO26</f>
        <v>0</v>
      </c>
      <c r="AX26" s="133" t="n">
        <f aca="false">AJ26+AG26+AD26</f>
        <v>0</v>
      </c>
      <c r="AY26" s="149"/>
      <c r="AZ26" s="76" t="n">
        <f aca="false">R26*E26</f>
        <v>0</v>
      </c>
    </row>
    <row r="27" customFormat="false" ht="12.75" hidden="false" customHeight="false" outlineLevel="0" collapsed="false">
      <c r="A27" s="138" t="n">
        <f aca="false">EDATE(A26,1)</f>
        <v>37500</v>
      </c>
      <c r="B27" s="139" t="n">
        <f aca="false">VLOOKUP($A27,Table2,MATCH(I$3,Curves2,0))</f>
        <v>0</v>
      </c>
      <c r="C27" s="140"/>
      <c r="D27" s="141" t="n">
        <f aca="false">B27+C27</f>
        <v>0</v>
      </c>
      <c r="E27" s="126" t="n">
        <f aca="false">IF(Y27=0,0,IF(AND(Y27=1,$H$3=1),D27*T27,IF($H$3=2,D27,"N/A")))</f>
        <v>0</v>
      </c>
      <c r="F27" s="126" t="n">
        <f aca="false">E27*X27</f>
        <v>0</v>
      </c>
      <c r="G27" s="142" t="n">
        <f aca="false">VLOOKUP($A27,Table,MATCH(G$4,Curves,0))</f>
        <v>4.187</v>
      </c>
      <c r="H27" s="143" t="n">
        <f aca="false">G27</f>
        <v>4.187</v>
      </c>
      <c r="I27" s="142" t="n">
        <f aca="false">VLOOKUP($A27,Table1,MATCH(I$3,Curves1,0))</f>
        <v>0</v>
      </c>
      <c r="J27" s="142" t="n">
        <f aca="false">VLOOKUP($A27,Table,MATCH(J$4,Curves,0))</f>
        <v>-0.0625</v>
      </c>
      <c r="K27" s="143" t="n">
        <f aca="false">J27</f>
        <v>-0.0625</v>
      </c>
      <c r="L27" s="144" t="n">
        <v>0</v>
      </c>
      <c r="M27" s="142" t="n">
        <f aca="false">VLOOKUP($A27,Table,MATCH(M$4,Curves,0))</f>
        <v>0.0075</v>
      </c>
      <c r="N27" s="143" t="n">
        <f aca="false">M27</f>
        <v>0.0075</v>
      </c>
      <c r="O27" s="144" t="n">
        <v>0</v>
      </c>
      <c r="P27" s="145"/>
      <c r="Q27" s="144" t="n">
        <f aca="false">M27+J27+G27</f>
        <v>4.132</v>
      </c>
      <c r="R27" s="144" t="n">
        <f aca="false">O27+L27+I27</f>
        <v>0</v>
      </c>
      <c r="S27" s="145"/>
      <c r="T27" s="71" t="n">
        <f aca="false">A28-A27</f>
        <v>30</v>
      </c>
      <c r="U27" s="146" t="n">
        <f aca="false">CHOOSE(F$3,A28+24,A27)</f>
        <v>37554</v>
      </c>
      <c r="V27" s="71" t="n">
        <f aca="false">U27-C$3</f>
        <v>666</v>
      </c>
      <c r="W27" s="142" t="n">
        <f aca="false">VLOOKUP($A27,Table,MATCH(W$4,Curves,0))</f>
        <v>0.058274805324013</v>
      </c>
      <c r="X27" s="147" t="n">
        <f aca="false">1/(1+CHOOSE(F$3,(W28+($K$3/10000))/2,(W27+($K$3/10000))/2))^(2*V27/365.25)</f>
        <v>0.900647616416714</v>
      </c>
      <c r="Y27" s="71" t="n">
        <f aca="false">IF(AND(mthbeg&lt;=A27,mthend&gt;=A27),1,0)</f>
        <v>1</v>
      </c>
      <c r="Z27" s="71" t="n">
        <f aca="false">T27*Y27</f>
        <v>30</v>
      </c>
      <c r="AB27" s="132" t="n">
        <f aca="false">F27*G27</f>
        <v>0</v>
      </c>
      <c r="AC27" s="132" t="n">
        <f aca="false">$F27*H27</f>
        <v>0</v>
      </c>
      <c r="AD27" s="132" t="n">
        <f aca="false">$F27*I27</f>
        <v>0</v>
      </c>
      <c r="AE27" s="132" t="n">
        <f aca="false">$F27*J27</f>
        <v>-0</v>
      </c>
      <c r="AF27" s="132" t="n">
        <f aca="false">$F27*K27</f>
        <v>-0</v>
      </c>
      <c r="AG27" s="132" t="n">
        <f aca="false">$F27*L27</f>
        <v>0</v>
      </c>
      <c r="AH27" s="132" t="n">
        <f aca="false">$F27*M27</f>
        <v>0</v>
      </c>
      <c r="AI27" s="132" t="n">
        <f aca="false">$F27*N27</f>
        <v>0</v>
      </c>
      <c r="AJ27" s="132" t="n">
        <f aca="false">F27*O27</f>
        <v>0</v>
      </c>
      <c r="AK27" s="137"/>
      <c r="AL27" s="132" t="n">
        <f aca="false">CHOOSE($G$3,AC27-AD27,AD27-AC27)</f>
        <v>0</v>
      </c>
      <c r="AM27" s="132" t="n">
        <f aca="false">CHOOSE($G$3,AF27-AG27,AG27-AF27)</f>
        <v>0</v>
      </c>
      <c r="AN27" s="132" t="n">
        <f aca="false">CHOOSE($G$3,AI27-AJ27,AJ27-AI27)</f>
        <v>0</v>
      </c>
      <c r="AO27" s="148" t="n">
        <f aca="false">SUM(AL27:AN27)</f>
        <v>0</v>
      </c>
      <c r="AQ27" s="132" t="n">
        <f aca="false">CHOOSE($G$3,AB27-AC27,AC27-AB27)</f>
        <v>0</v>
      </c>
      <c r="AR27" s="132" t="n">
        <f aca="false">CHOOSE($G$3,AE27-AF27,AF27-AE27)</f>
        <v>0</v>
      </c>
      <c r="AS27" s="132" t="n">
        <f aca="false">CHOOSE($G$3,AH27-AI27,AI27-AH27)</f>
        <v>0</v>
      </c>
      <c r="AT27" s="148" t="n">
        <f aca="false">AQ27+AR27+AS27</f>
        <v>0</v>
      </c>
      <c r="AU27" s="148"/>
      <c r="AV27" s="133" t="n">
        <f aca="false">AT27+AO27</f>
        <v>0</v>
      </c>
      <c r="AX27" s="133" t="n">
        <f aca="false">AJ27+AG27+AD27</f>
        <v>0</v>
      </c>
      <c r="AY27" s="149"/>
      <c r="AZ27" s="76" t="n">
        <f aca="false">R27*E27</f>
        <v>0</v>
      </c>
    </row>
    <row r="28" customFormat="false" ht="12.75" hidden="false" customHeight="false" outlineLevel="0" collapsed="false">
      <c r="A28" s="138" t="n">
        <f aca="false">EDATE(A27,1)</f>
        <v>37530</v>
      </c>
      <c r="B28" s="139" t="n">
        <f aca="false">VLOOKUP($A28,Table2,MATCH(I$3,Curves2,0))</f>
        <v>0</v>
      </c>
      <c r="C28" s="140"/>
      <c r="D28" s="141" t="n">
        <f aca="false">B28+C28</f>
        <v>0</v>
      </c>
      <c r="E28" s="126" t="n">
        <f aca="false">IF(Y28=0,0,IF(AND(Y28=1,$H$3=1),D28*T28,IF($H$3=2,D28,"N/A")))</f>
        <v>0</v>
      </c>
      <c r="F28" s="126" t="n">
        <f aca="false">E28*X28</f>
        <v>0</v>
      </c>
      <c r="G28" s="142" t="n">
        <f aca="false">VLOOKUP($A28,Table,MATCH(G$4,Curves,0))</f>
        <v>4.177</v>
      </c>
      <c r="H28" s="143" t="n">
        <f aca="false">G28</f>
        <v>4.177</v>
      </c>
      <c r="I28" s="142" t="n">
        <f aca="false">VLOOKUP($A28,Table1,MATCH(I$3,Curves1,0))</f>
        <v>0</v>
      </c>
      <c r="J28" s="142" t="n">
        <f aca="false">VLOOKUP($A28,Table,MATCH(J$4,Curves,0))</f>
        <v>-0.0625</v>
      </c>
      <c r="K28" s="143" t="n">
        <f aca="false">J28</f>
        <v>-0.0625</v>
      </c>
      <c r="L28" s="144" t="n">
        <v>0</v>
      </c>
      <c r="M28" s="142" t="n">
        <f aca="false">VLOOKUP($A28,Table,MATCH(M$4,Curves,0))</f>
        <v>0.0075</v>
      </c>
      <c r="N28" s="143" t="n">
        <f aca="false">M28</f>
        <v>0.0075</v>
      </c>
      <c r="O28" s="144" t="n">
        <v>0</v>
      </c>
      <c r="P28" s="145"/>
      <c r="Q28" s="144" t="n">
        <f aca="false">M28+J28+G28</f>
        <v>4.122</v>
      </c>
      <c r="R28" s="144" t="n">
        <f aca="false">O28+L28+I28</f>
        <v>0</v>
      </c>
      <c r="S28" s="145"/>
      <c r="T28" s="71" t="n">
        <f aca="false">A29-A28</f>
        <v>31</v>
      </c>
      <c r="U28" s="146" t="n">
        <f aca="false">CHOOSE(F$3,A29+24,A28)</f>
        <v>37585</v>
      </c>
      <c r="V28" s="71" t="n">
        <f aca="false">U28-C$3</f>
        <v>697</v>
      </c>
      <c r="W28" s="142" t="n">
        <f aca="false">VLOOKUP($A28,Table,MATCH(W$4,Curves,0))</f>
        <v>0.058218953805259</v>
      </c>
      <c r="X28" s="147" t="n">
        <f aca="false">1/(1+CHOOSE(F$3,(W29+($K$3/10000))/2,(W28+($K$3/10000))/2))^(2*V28/365.25)</f>
        <v>0.896324616124709</v>
      </c>
      <c r="Y28" s="71" t="n">
        <f aca="false">IF(AND(mthbeg&lt;=A28,mthend&gt;=A28),1,0)</f>
        <v>1</v>
      </c>
      <c r="Z28" s="71" t="n">
        <f aca="false">T28*Y28</f>
        <v>31</v>
      </c>
      <c r="AB28" s="132" t="n">
        <f aca="false">F28*G28</f>
        <v>0</v>
      </c>
      <c r="AC28" s="132" t="n">
        <f aca="false">$F28*H28</f>
        <v>0</v>
      </c>
      <c r="AD28" s="132" t="n">
        <f aca="false">$F28*I28</f>
        <v>0</v>
      </c>
      <c r="AE28" s="132" t="n">
        <f aca="false">$F28*J28</f>
        <v>-0</v>
      </c>
      <c r="AF28" s="132" t="n">
        <f aca="false">$F28*K28</f>
        <v>-0</v>
      </c>
      <c r="AG28" s="132" t="n">
        <f aca="false">$F28*L28</f>
        <v>0</v>
      </c>
      <c r="AH28" s="132" t="n">
        <f aca="false">$F28*M28</f>
        <v>0</v>
      </c>
      <c r="AI28" s="132" t="n">
        <f aca="false">$F28*N28</f>
        <v>0</v>
      </c>
      <c r="AJ28" s="132" t="n">
        <f aca="false">F28*O28</f>
        <v>0</v>
      </c>
      <c r="AK28" s="137"/>
      <c r="AL28" s="132" t="n">
        <f aca="false">CHOOSE($G$3,AC28-AD28,AD28-AC28)</f>
        <v>0</v>
      </c>
      <c r="AM28" s="132" t="n">
        <f aca="false">CHOOSE($G$3,AF28-AG28,AG28-AF28)</f>
        <v>0</v>
      </c>
      <c r="AN28" s="132" t="n">
        <f aca="false">CHOOSE($G$3,AI28-AJ28,AJ28-AI28)</f>
        <v>0</v>
      </c>
      <c r="AO28" s="148" t="n">
        <f aca="false">SUM(AL28:AN28)</f>
        <v>0</v>
      </c>
      <c r="AQ28" s="132" t="n">
        <f aca="false">CHOOSE($G$3,AB28-AC28,AC28-AB28)</f>
        <v>0</v>
      </c>
      <c r="AR28" s="132" t="n">
        <f aca="false">CHOOSE($G$3,AE28-AF28,AF28-AE28)</f>
        <v>0</v>
      </c>
      <c r="AS28" s="132" t="n">
        <f aca="false">CHOOSE($G$3,AH28-AI28,AI28-AH28)</f>
        <v>0</v>
      </c>
      <c r="AT28" s="148" t="n">
        <f aca="false">AQ28+AR28+AS28</f>
        <v>0</v>
      </c>
      <c r="AU28" s="148"/>
      <c r="AV28" s="133" t="n">
        <f aca="false">AT28+AO28</f>
        <v>0</v>
      </c>
      <c r="AX28" s="133" t="n">
        <f aca="false">AJ28+AG28+AD28</f>
        <v>0</v>
      </c>
      <c r="AY28" s="149"/>
      <c r="AZ28" s="76" t="n">
        <f aca="false">R28*E28</f>
        <v>0</v>
      </c>
    </row>
    <row r="29" customFormat="false" ht="12.75" hidden="false" customHeight="false" outlineLevel="0" collapsed="false">
      <c r="A29" s="138" t="n">
        <f aca="false">EDATE(A28,1)</f>
        <v>37561</v>
      </c>
      <c r="B29" s="139" t="n">
        <f aca="false">VLOOKUP($A29,Table2,MATCH(I$3,Curves2,0))</f>
        <v>0</v>
      </c>
      <c r="C29" s="140"/>
      <c r="D29" s="141" t="n">
        <f aca="false">B29+C29</f>
        <v>0</v>
      </c>
      <c r="E29" s="126" t="n">
        <f aca="false">IF(Y29=0,0,IF(AND(Y29=1,$H$3=1),D29*T29,IF($H$3=2,D29,"N/A")))</f>
        <v>0</v>
      </c>
      <c r="F29" s="126" t="n">
        <f aca="false">E29*X29</f>
        <v>0</v>
      </c>
      <c r="G29" s="142" t="n">
        <f aca="false">VLOOKUP($A29,Table,MATCH(G$4,Curves,0))</f>
        <v>4.267</v>
      </c>
      <c r="H29" s="143" t="n">
        <f aca="false">G29</f>
        <v>4.267</v>
      </c>
      <c r="I29" s="142" t="n">
        <f aca="false">VLOOKUP($A29,Table1,MATCH(I$3,Curves1,0))</f>
        <v>0</v>
      </c>
      <c r="J29" s="142" t="n">
        <f aca="false">VLOOKUP($A29,Table,MATCH(J$4,Curves,0))</f>
        <v>-0.065</v>
      </c>
      <c r="K29" s="143" t="n">
        <f aca="false">J29</f>
        <v>-0.065</v>
      </c>
      <c r="L29" s="144" t="n">
        <v>0</v>
      </c>
      <c r="M29" s="142" t="n">
        <f aca="false">VLOOKUP($A29,Table,MATCH(M$4,Curves,0))</f>
        <v>0.005</v>
      </c>
      <c r="N29" s="143" t="n">
        <f aca="false">M29</f>
        <v>0.005</v>
      </c>
      <c r="O29" s="144" t="n">
        <v>0</v>
      </c>
      <c r="P29" s="145"/>
      <c r="Q29" s="144" t="n">
        <f aca="false">M29+J29+G29</f>
        <v>4.207</v>
      </c>
      <c r="R29" s="144" t="n">
        <f aca="false">O29+L29+I29</f>
        <v>0</v>
      </c>
      <c r="S29" s="145"/>
      <c r="T29" s="71" t="n">
        <f aca="false">A30-A29</f>
        <v>30</v>
      </c>
      <c r="U29" s="146" t="n">
        <f aca="false">CHOOSE(F$3,A30+24,A29)</f>
        <v>37615</v>
      </c>
      <c r="V29" s="71" t="n">
        <f aca="false">U29-C$3</f>
        <v>727</v>
      </c>
      <c r="W29" s="142" t="n">
        <f aca="false">VLOOKUP($A29,Table,MATCH(W$4,Curves,0))</f>
        <v>0.058187001200475</v>
      </c>
      <c r="X29" s="147" t="n">
        <f aca="false">1/(1+CHOOSE(F$3,(W30+($K$3/10000))/2,(W29+($K$3/10000))/2))^(2*V29/365.25)</f>
        <v>0.892165302986719</v>
      </c>
      <c r="Y29" s="71" t="n">
        <f aca="false">IF(AND(mthbeg&lt;=A29,mthend&gt;=A29),1,0)</f>
        <v>1</v>
      </c>
      <c r="Z29" s="71" t="n">
        <f aca="false">T29*Y29</f>
        <v>30</v>
      </c>
      <c r="AB29" s="132" t="n">
        <f aca="false">F29*G29</f>
        <v>0</v>
      </c>
      <c r="AC29" s="132" t="n">
        <f aca="false">$F29*H29</f>
        <v>0</v>
      </c>
      <c r="AD29" s="132" t="n">
        <f aca="false">$F29*I29</f>
        <v>0</v>
      </c>
      <c r="AE29" s="132" t="n">
        <f aca="false">$F29*J29</f>
        <v>-0</v>
      </c>
      <c r="AF29" s="132" t="n">
        <f aca="false">$F29*K29</f>
        <v>-0</v>
      </c>
      <c r="AG29" s="132" t="n">
        <f aca="false">$F29*L29</f>
        <v>0</v>
      </c>
      <c r="AH29" s="132" t="n">
        <f aca="false">$F29*M29</f>
        <v>0</v>
      </c>
      <c r="AI29" s="132" t="n">
        <f aca="false">$F29*N29</f>
        <v>0</v>
      </c>
      <c r="AJ29" s="132" t="n">
        <f aca="false">F29*O29</f>
        <v>0</v>
      </c>
      <c r="AK29" s="137"/>
      <c r="AL29" s="132" t="n">
        <f aca="false">CHOOSE($G$3,AC29-AD29,AD29-AC29)</f>
        <v>0</v>
      </c>
      <c r="AM29" s="132" t="n">
        <f aca="false">CHOOSE($G$3,AF29-AG29,AG29-AF29)</f>
        <v>0</v>
      </c>
      <c r="AN29" s="132" t="n">
        <f aca="false">CHOOSE($G$3,AI29-AJ29,AJ29-AI29)</f>
        <v>0</v>
      </c>
      <c r="AO29" s="148" t="n">
        <f aca="false">SUM(AL29:AN29)</f>
        <v>0</v>
      </c>
      <c r="AQ29" s="132" t="n">
        <f aca="false">CHOOSE($G$3,AB29-AC29,AC29-AB29)</f>
        <v>0</v>
      </c>
      <c r="AR29" s="132" t="n">
        <f aca="false">CHOOSE($G$3,AE29-AF29,AF29-AE29)</f>
        <v>0</v>
      </c>
      <c r="AS29" s="132" t="n">
        <f aca="false">CHOOSE($G$3,AH29-AI29,AI29-AH29)</f>
        <v>0</v>
      </c>
      <c r="AT29" s="148" t="n">
        <f aca="false">AQ29+AR29+AS29</f>
        <v>0</v>
      </c>
      <c r="AU29" s="148"/>
      <c r="AV29" s="133" t="n">
        <f aca="false">AT29+AO29</f>
        <v>0</v>
      </c>
      <c r="AX29" s="133" t="n">
        <f aca="false">AJ29+AG29+AD29</f>
        <v>0</v>
      </c>
      <c r="AY29" s="149"/>
      <c r="AZ29" s="76" t="n">
        <f aca="false">R29*E29</f>
        <v>0</v>
      </c>
    </row>
    <row r="30" customFormat="false" ht="12.75" hidden="false" customHeight="false" outlineLevel="0" collapsed="false">
      <c r="A30" s="138" t="n">
        <f aca="false">EDATE(A29,1)</f>
        <v>37591</v>
      </c>
      <c r="B30" s="139" t="n">
        <f aca="false">VLOOKUP($A30,Table2,MATCH(I$3,Curves2,0))</f>
        <v>0</v>
      </c>
      <c r="C30" s="140"/>
      <c r="D30" s="141" t="n">
        <f aca="false">B30+C30</f>
        <v>0</v>
      </c>
      <c r="E30" s="126" t="n">
        <f aca="false">IF(Y30=0,0,IF(AND(Y30=1,$H$3=1),D30*T30,IF($H$3=2,D30,"N/A")))</f>
        <v>0</v>
      </c>
      <c r="F30" s="126" t="n">
        <f aca="false">E30*X30</f>
        <v>0</v>
      </c>
      <c r="G30" s="142" t="n">
        <f aca="false">VLOOKUP($A30,Table,MATCH(G$4,Curves,0))</f>
        <v>4.36</v>
      </c>
      <c r="H30" s="143" t="n">
        <f aca="false">G30</f>
        <v>4.36</v>
      </c>
      <c r="I30" s="142" t="n">
        <f aca="false">VLOOKUP($A30,Table1,MATCH(I$3,Curves1,0))</f>
        <v>0</v>
      </c>
      <c r="J30" s="142" t="n">
        <f aca="false">VLOOKUP($A30,Table,MATCH(J$4,Curves,0))</f>
        <v>-0.065</v>
      </c>
      <c r="K30" s="143" t="n">
        <f aca="false">J30</f>
        <v>-0.065</v>
      </c>
      <c r="L30" s="144" t="n">
        <v>0</v>
      </c>
      <c r="M30" s="142" t="n">
        <f aca="false">VLOOKUP($A30,Table,MATCH(M$4,Curves,0))</f>
        <v>0.005</v>
      </c>
      <c r="N30" s="143" t="n">
        <f aca="false">M30</f>
        <v>0.005</v>
      </c>
      <c r="O30" s="144" t="n">
        <v>0</v>
      </c>
      <c r="P30" s="145"/>
      <c r="Q30" s="144" t="n">
        <f aca="false">M30+J30+G30</f>
        <v>4.3</v>
      </c>
      <c r="R30" s="144" t="n">
        <f aca="false">O30+L30+I30</f>
        <v>0</v>
      </c>
      <c r="S30" s="145"/>
      <c r="T30" s="71" t="n">
        <f aca="false">A31-A30</f>
        <v>31</v>
      </c>
      <c r="U30" s="146" t="n">
        <f aca="false">CHOOSE(F$3,A31+24,A30)</f>
        <v>37646</v>
      </c>
      <c r="V30" s="71" t="n">
        <f aca="false">U30-C$3</f>
        <v>758</v>
      </c>
      <c r="W30" s="142" t="n">
        <f aca="false">VLOOKUP($A30,Table,MATCH(W$4,Curves,0))</f>
        <v>0.058156079325201</v>
      </c>
      <c r="X30" s="147" t="n">
        <f aca="false">1/(1+CHOOSE(F$3,(W31+($K$3/10000))/2,(W30+($K$3/10000))/2))^(2*V30/365.25)</f>
        <v>0.887849539555606</v>
      </c>
      <c r="Y30" s="71" t="n">
        <f aca="false">IF(AND(mthbeg&lt;=A30,mthend&gt;=A30),1,0)</f>
        <v>1</v>
      </c>
      <c r="Z30" s="71" t="n">
        <f aca="false">T30*Y30</f>
        <v>31</v>
      </c>
      <c r="AB30" s="132" t="n">
        <f aca="false">F30*G30</f>
        <v>0</v>
      </c>
      <c r="AC30" s="132" t="n">
        <f aca="false">$F30*H30</f>
        <v>0</v>
      </c>
      <c r="AD30" s="132" t="n">
        <f aca="false">$F30*I30</f>
        <v>0</v>
      </c>
      <c r="AE30" s="132" t="n">
        <f aca="false">$F30*J30</f>
        <v>-0</v>
      </c>
      <c r="AF30" s="132" t="n">
        <f aca="false">$F30*K30</f>
        <v>-0</v>
      </c>
      <c r="AG30" s="132" t="n">
        <f aca="false">$F30*L30</f>
        <v>0</v>
      </c>
      <c r="AH30" s="132" t="n">
        <f aca="false">$F30*M30</f>
        <v>0</v>
      </c>
      <c r="AI30" s="132" t="n">
        <f aca="false">$F30*N30</f>
        <v>0</v>
      </c>
      <c r="AJ30" s="132" t="n">
        <f aca="false">F30*O30</f>
        <v>0</v>
      </c>
      <c r="AK30" s="137"/>
      <c r="AL30" s="132" t="n">
        <f aca="false">CHOOSE($G$3,AC30-AD30,AD30-AC30)</f>
        <v>0</v>
      </c>
      <c r="AM30" s="132" t="n">
        <f aca="false">CHOOSE($G$3,AF30-AG30,AG30-AF30)</f>
        <v>0</v>
      </c>
      <c r="AN30" s="132" t="n">
        <f aca="false">CHOOSE($G$3,AI30-AJ30,AJ30-AI30)</f>
        <v>0</v>
      </c>
      <c r="AO30" s="148" t="n">
        <f aca="false">SUM(AL30:AN30)</f>
        <v>0</v>
      </c>
      <c r="AQ30" s="132" t="n">
        <f aca="false">CHOOSE($G$3,AB30-AC30,AC30-AB30)</f>
        <v>0</v>
      </c>
      <c r="AR30" s="132" t="n">
        <f aca="false">CHOOSE($G$3,AE30-AF30,AF30-AE30)</f>
        <v>0</v>
      </c>
      <c r="AS30" s="132" t="n">
        <f aca="false">CHOOSE($G$3,AH30-AI30,AI30-AH30)</f>
        <v>0</v>
      </c>
      <c r="AT30" s="148" t="n">
        <f aca="false">AQ30+AR30+AS30</f>
        <v>0</v>
      </c>
      <c r="AU30" s="148"/>
      <c r="AV30" s="133" t="n">
        <f aca="false">AT30+AO30</f>
        <v>0</v>
      </c>
      <c r="AX30" s="133" t="n">
        <f aca="false">AJ30+AG30+AD30</f>
        <v>0</v>
      </c>
      <c r="AY30" s="149"/>
      <c r="AZ30" s="76" t="n">
        <f aca="false">R30*E30</f>
        <v>0</v>
      </c>
    </row>
    <row r="31" customFormat="false" ht="12.75" hidden="false" customHeight="false" outlineLevel="0" collapsed="false">
      <c r="A31" s="138" t="n">
        <f aca="false">EDATE(A30,1)</f>
        <v>37622</v>
      </c>
      <c r="B31" s="139" t="n">
        <f aca="false">VLOOKUP($A31,Table2,MATCH(I$3,Curves2,0))</f>
        <v>0</v>
      </c>
      <c r="C31" s="140"/>
      <c r="D31" s="141" t="n">
        <f aca="false">B31+C31</f>
        <v>0</v>
      </c>
      <c r="E31" s="126" t="n">
        <f aca="false">IF(Y31=0,0,IF(AND(Y31=1,$H$3=1),D31*T31,IF($H$3=2,D31,"N/A")))</f>
        <v>0</v>
      </c>
      <c r="F31" s="126" t="n">
        <f aca="false">E31*X31</f>
        <v>0</v>
      </c>
      <c r="G31" s="142" t="n">
        <f aca="false">VLOOKUP($A31,Table,MATCH(G$4,Curves,0))</f>
        <v>4.382</v>
      </c>
      <c r="H31" s="143" t="n">
        <f aca="false">G31</f>
        <v>4.382</v>
      </c>
      <c r="I31" s="142" t="n">
        <f aca="false">VLOOKUP($A31,Table1,MATCH(I$3,Curves1,0))</f>
        <v>0</v>
      </c>
      <c r="J31" s="142" t="n">
        <f aca="false">VLOOKUP($A31,Table,MATCH(J$4,Curves,0))</f>
        <v>-0.065</v>
      </c>
      <c r="K31" s="143" t="n">
        <f aca="false">J31</f>
        <v>-0.065</v>
      </c>
      <c r="L31" s="144" t="n">
        <v>0</v>
      </c>
      <c r="M31" s="142" t="n">
        <f aca="false">VLOOKUP($A31,Table,MATCH(M$4,Curves,0))</f>
        <v>0.01</v>
      </c>
      <c r="N31" s="143" t="n">
        <f aca="false">M31</f>
        <v>0.01</v>
      </c>
      <c r="O31" s="144" t="n">
        <v>0</v>
      </c>
      <c r="P31" s="145"/>
      <c r="Q31" s="144" t="n">
        <f aca="false">M31+J31+G31</f>
        <v>4.327</v>
      </c>
      <c r="R31" s="144" t="n">
        <f aca="false">O31+L31+I31</f>
        <v>0</v>
      </c>
      <c r="S31" s="145"/>
      <c r="T31" s="71" t="n">
        <f aca="false">A32-A31</f>
        <v>31</v>
      </c>
      <c r="U31" s="146" t="n">
        <f aca="false">CHOOSE(F$3,A32+24,A31)</f>
        <v>37677</v>
      </c>
      <c r="V31" s="71" t="n">
        <f aca="false">U31-C$3</f>
        <v>789</v>
      </c>
      <c r="W31" s="142" t="n">
        <f aca="false">VLOOKUP($A31,Table,MATCH(W$4,Curves,0))</f>
        <v>0.058147967103</v>
      </c>
      <c r="X31" s="147" t="n">
        <f aca="false">1/(1+CHOOSE(F$3,(W32+($K$3/10000))/2,(W31+($K$3/10000))/2))^(2*V31/365.25)</f>
        <v>0.883502145530632</v>
      </c>
      <c r="Y31" s="71" t="n">
        <f aca="false">IF(AND(mthbeg&lt;=A31,mthend&gt;=A31),1,0)</f>
        <v>1</v>
      </c>
      <c r="Z31" s="71" t="n">
        <f aca="false">T31*Y31</f>
        <v>31</v>
      </c>
      <c r="AB31" s="132" t="n">
        <f aca="false">F31*G31</f>
        <v>0</v>
      </c>
      <c r="AC31" s="132" t="n">
        <f aca="false">$F31*H31</f>
        <v>0</v>
      </c>
      <c r="AD31" s="132" t="n">
        <f aca="false">$F31*I31</f>
        <v>0</v>
      </c>
      <c r="AE31" s="132" t="n">
        <f aca="false">$F31*J31</f>
        <v>-0</v>
      </c>
      <c r="AF31" s="132" t="n">
        <f aca="false">$F31*K31</f>
        <v>-0</v>
      </c>
      <c r="AG31" s="132" t="n">
        <f aca="false">$F31*L31</f>
        <v>0</v>
      </c>
      <c r="AH31" s="132" t="n">
        <f aca="false">$F31*M31</f>
        <v>0</v>
      </c>
      <c r="AI31" s="132" t="n">
        <f aca="false">$F31*N31</f>
        <v>0</v>
      </c>
      <c r="AJ31" s="132" t="n">
        <f aca="false">F31*O31</f>
        <v>0</v>
      </c>
      <c r="AK31" s="137"/>
      <c r="AL31" s="132" t="n">
        <f aca="false">CHOOSE($G$3,AC31-AD31,AD31-AC31)</f>
        <v>0</v>
      </c>
      <c r="AM31" s="132" t="n">
        <f aca="false">CHOOSE($G$3,AF31-AG31,AG31-AF31)</f>
        <v>0</v>
      </c>
      <c r="AN31" s="132" t="n">
        <f aca="false">CHOOSE($G$3,AI31-AJ31,AJ31-AI31)</f>
        <v>0</v>
      </c>
      <c r="AO31" s="148" t="n">
        <f aca="false">SUM(AL31:AN31)</f>
        <v>0</v>
      </c>
      <c r="AQ31" s="132" t="n">
        <f aca="false">CHOOSE($G$3,AB31-AC31,AC31-AB31)</f>
        <v>0</v>
      </c>
      <c r="AR31" s="132" t="n">
        <f aca="false">CHOOSE($G$3,AE31-AF31,AF31-AE31)</f>
        <v>0</v>
      </c>
      <c r="AS31" s="132" t="n">
        <f aca="false">CHOOSE($G$3,AH31-AI31,AI31-AH31)</f>
        <v>0</v>
      </c>
      <c r="AT31" s="148" t="n">
        <f aca="false">AQ31+AR31+AS31</f>
        <v>0</v>
      </c>
      <c r="AU31" s="148"/>
      <c r="AV31" s="133" t="n">
        <f aca="false">AT31+AO31</f>
        <v>0</v>
      </c>
      <c r="AX31" s="133" t="n">
        <f aca="false">AJ31+AG31+AD31</f>
        <v>0</v>
      </c>
      <c r="AY31" s="149"/>
      <c r="AZ31" s="76" t="n">
        <f aca="false">R31*E31</f>
        <v>0</v>
      </c>
    </row>
    <row r="32" customFormat="false" ht="12.75" hidden="false" customHeight="false" outlineLevel="0" collapsed="false">
      <c r="A32" s="138" t="n">
        <f aca="false">EDATE(A31,1)</f>
        <v>37653</v>
      </c>
      <c r="B32" s="139" t="n">
        <f aca="false">VLOOKUP($A32,Table2,MATCH(I$3,Curves2,0))</f>
        <v>0</v>
      </c>
      <c r="C32" s="140"/>
      <c r="D32" s="141" t="n">
        <f aca="false">B32+C32</f>
        <v>0</v>
      </c>
      <c r="E32" s="126" t="n">
        <f aca="false">IF(Y32=0,0,IF(AND(Y32=1,$H$3=1),D32*T32,IF($H$3=2,D32,"N/A")))</f>
        <v>0</v>
      </c>
      <c r="F32" s="126" t="n">
        <f aca="false">E32*X32</f>
        <v>0</v>
      </c>
      <c r="G32" s="142" t="n">
        <f aca="false">VLOOKUP($A32,Table,MATCH(G$4,Curves,0))</f>
        <v>4.227</v>
      </c>
      <c r="H32" s="143" t="n">
        <f aca="false">G32</f>
        <v>4.227</v>
      </c>
      <c r="I32" s="142" t="n">
        <f aca="false">VLOOKUP($A32,Table1,MATCH(I$3,Curves1,0))</f>
        <v>0</v>
      </c>
      <c r="J32" s="142" t="n">
        <f aca="false">VLOOKUP($A32,Table,MATCH(J$4,Curves,0))</f>
        <v>-0.065</v>
      </c>
      <c r="K32" s="143" t="n">
        <f aca="false">J32</f>
        <v>-0.065</v>
      </c>
      <c r="L32" s="144" t="n">
        <v>0</v>
      </c>
      <c r="M32" s="142" t="n">
        <f aca="false">VLOOKUP($A32,Table,MATCH(M$4,Curves,0))</f>
        <v>0.01</v>
      </c>
      <c r="N32" s="143" t="n">
        <f aca="false">M32</f>
        <v>0.01</v>
      </c>
      <c r="O32" s="144" t="n">
        <v>0</v>
      </c>
      <c r="P32" s="145"/>
      <c r="Q32" s="144" t="n">
        <f aca="false">M32+J32+G32</f>
        <v>4.172</v>
      </c>
      <c r="R32" s="144" t="n">
        <f aca="false">O32+L32+I32</f>
        <v>0</v>
      </c>
      <c r="S32" s="145"/>
      <c r="T32" s="71" t="n">
        <f aca="false">A33-A32</f>
        <v>28</v>
      </c>
      <c r="U32" s="146" t="n">
        <f aca="false">CHOOSE(F$3,A33+24,A32)</f>
        <v>37705</v>
      </c>
      <c r="V32" s="71" t="n">
        <f aca="false">U32-C$3</f>
        <v>817</v>
      </c>
      <c r="W32" s="142" t="n">
        <f aca="false">VLOOKUP($A32,Table,MATCH(W$4,Curves,0))</f>
        <v>0.058168803916155</v>
      </c>
      <c r="X32" s="147" t="n">
        <f aca="false">1/(1+CHOOSE(F$3,(W33+($K$3/10000))/2,(W32+($K$3/10000))/2))^(2*V32/365.25)</f>
        <v>0.87959116860681</v>
      </c>
      <c r="Y32" s="71" t="n">
        <f aca="false">IF(AND(mthbeg&lt;=A32,mthend&gt;=A32),1,0)</f>
        <v>1</v>
      </c>
      <c r="Z32" s="71" t="n">
        <f aca="false">T32*Y32</f>
        <v>28</v>
      </c>
      <c r="AB32" s="132" t="n">
        <f aca="false">F32*G32</f>
        <v>0</v>
      </c>
      <c r="AC32" s="132" t="n">
        <f aca="false">$F32*H32</f>
        <v>0</v>
      </c>
      <c r="AD32" s="132" t="n">
        <f aca="false">$F32*I32</f>
        <v>0</v>
      </c>
      <c r="AE32" s="132" t="n">
        <f aca="false">$F32*J32</f>
        <v>-0</v>
      </c>
      <c r="AF32" s="132" t="n">
        <f aca="false">$F32*K32</f>
        <v>-0</v>
      </c>
      <c r="AG32" s="132" t="n">
        <f aca="false">$F32*L32</f>
        <v>0</v>
      </c>
      <c r="AH32" s="132" t="n">
        <f aca="false">$F32*M32</f>
        <v>0</v>
      </c>
      <c r="AI32" s="132" t="n">
        <f aca="false">$F32*N32</f>
        <v>0</v>
      </c>
      <c r="AJ32" s="132" t="n">
        <f aca="false">F32*O32</f>
        <v>0</v>
      </c>
      <c r="AK32" s="137"/>
      <c r="AL32" s="132" t="n">
        <f aca="false">CHOOSE($G$3,AC32-AD32,AD32-AC32)</f>
        <v>0</v>
      </c>
      <c r="AM32" s="132" t="n">
        <f aca="false">CHOOSE($G$3,AF32-AG32,AG32-AF32)</f>
        <v>0</v>
      </c>
      <c r="AN32" s="132" t="n">
        <f aca="false">CHOOSE($G$3,AI32-AJ32,AJ32-AI32)</f>
        <v>0</v>
      </c>
      <c r="AO32" s="148" t="n">
        <f aca="false">SUM(AL32:AN32)</f>
        <v>0</v>
      </c>
      <c r="AQ32" s="132" t="n">
        <f aca="false">CHOOSE($G$3,AB32-AC32,AC32-AB32)</f>
        <v>0</v>
      </c>
      <c r="AR32" s="132" t="n">
        <f aca="false">CHOOSE($G$3,AE32-AF32,AF32-AE32)</f>
        <v>0</v>
      </c>
      <c r="AS32" s="132" t="n">
        <f aca="false">CHOOSE($G$3,AH32-AI32,AI32-AH32)</f>
        <v>0</v>
      </c>
      <c r="AT32" s="148" t="n">
        <f aca="false">AQ32+AR32+AS32</f>
        <v>0</v>
      </c>
      <c r="AU32" s="148"/>
      <c r="AV32" s="133" t="n">
        <f aca="false">AT32+AO32</f>
        <v>0</v>
      </c>
      <c r="AX32" s="133" t="n">
        <f aca="false">AJ32+AG32+AD32</f>
        <v>0</v>
      </c>
      <c r="AY32" s="149"/>
      <c r="AZ32" s="76" t="n">
        <f aca="false">R32*E32</f>
        <v>0</v>
      </c>
    </row>
    <row r="33" customFormat="false" ht="12.75" hidden="false" customHeight="false" outlineLevel="0" collapsed="false">
      <c r="A33" s="138" t="n">
        <f aca="false">EDATE(A32,1)</f>
        <v>37681</v>
      </c>
      <c r="B33" s="139" t="n">
        <f aca="false">VLOOKUP($A33,Table2,MATCH(I$3,Curves2,0))</f>
        <v>0</v>
      </c>
      <c r="C33" s="140"/>
      <c r="D33" s="141" t="n">
        <f aca="false">B33+C33</f>
        <v>0</v>
      </c>
      <c r="E33" s="126" t="n">
        <f aca="false">IF(Y33=0,0,IF(AND(Y33=1,$H$3=1),D33*T33,IF($H$3=2,D33,"N/A")))</f>
        <v>0</v>
      </c>
      <c r="F33" s="126" t="n">
        <f aca="false">E33*X33</f>
        <v>0</v>
      </c>
      <c r="G33" s="142" t="n">
        <f aca="false">VLOOKUP($A33,Table,MATCH(G$4,Curves,0))</f>
        <v>4.027</v>
      </c>
      <c r="H33" s="143" t="n">
        <f aca="false">G33</f>
        <v>4.027</v>
      </c>
      <c r="I33" s="142" t="n">
        <f aca="false">VLOOKUP($A33,Table1,MATCH(I$3,Curves1,0))</f>
        <v>0</v>
      </c>
      <c r="J33" s="142" t="n">
        <f aca="false">VLOOKUP($A33,Table,MATCH(J$4,Curves,0))</f>
        <v>-0.065</v>
      </c>
      <c r="K33" s="143" t="n">
        <f aca="false">J33</f>
        <v>-0.065</v>
      </c>
      <c r="L33" s="144" t="n">
        <v>0</v>
      </c>
      <c r="M33" s="142" t="n">
        <f aca="false">VLOOKUP($A33,Table,MATCH(M$4,Curves,0))</f>
        <v>0.01</v>
      </c>
      <c r="N33" s="143" t="n">
        <f aca="false">M33</f>
        <v>0.01</v>
      </c>
      <c r="O33" s="144" t="n">
        <v>0</v>
      </c>
      <c r="P33" s="145"/>
      <c r="Q33" s="144" t="n">
        <f aca="false">M33+J33+G33</f>
        <v>3.972</v>
      </c>
      <c r="R33" s="144" t="n">
        <f aca="false">O33+L33+I33</f>
        <v>0</v>
      </c>
      <c r="S33" s="145"/>
      <c r="T33" s="71" t="n">
        <f aca="false">A34-A33</f>
        <v>31</v>
      </c>
      <c r="U33" s="146" t="n">
        <f aca="false">CHOOSE(F$3,A34+24,A33)</f>
        <v>37736</v>
      </c>
      <c r="V33" s="71" t="n">
        <f aca="false">U33-C$3</f>
        <v>848</v>
      </c>
      <c r="W33" s="142" t="n">
        <f aca="false">VLOOKUP($A33,Table,MATCH(W$4,Curves,0))</f>
        <v>0.058187624263651</v>
      </c>
      <c r="X33" s="147" t="n">
        <f aca="false">1/(1+CHOOSE(F$3,(W34+($K$3/10000))/2,(W33+($K$3/10000))/2))^(2*V33/365.25)</f>
        <v>0.875291529453389</v>
      </c>
      <c r="Y33" s="71" t="n">
        <f aca="false">IF(AND(mthbeg&lt;=A33,mthend&gt;=A33),1,0)</f>
        <v>1</v>
      </c>
      <c r="Z33" s="71" t="n">
        <f aca="false">T33*Y33</f>
        <v>31</v>
      </c>
      <c r="AB33" s="132" t="n">
        <f aca="false">F33*G33</f>
        <v>0</v>
      </c>
      <c r="AC33" s="132" t="n">
        <f aca="false">$F33*H33</f>
        <v>0</v>
      </c>
      <c r="AD33" s="132" t="n">
        <f aca="false">$F33*I33</f>
        <v>0</v>
      </c>
      <c r="AE33" s="132" t="n">
        <f aca="false">$F33*J33</f>
        <v>-0</v>
      </c>
      <c r="AF33" s="132" t="n">
        <f aca="false">$F33*K33</f>
        <v>-0</v>
      </c>
      <c r="AG33" s="132" t="n">
        <f aca="false">$F33*L33</f>
        <v>0</v>
      </c>
      <c r="AH33" s="132" t="n">
        <f aca="false">$F33*M33</f>
        <v>0</v>
      </c>
      <c r="AI33" s="132" t="n">
        <f aca="false">$F33*N33</f>
        <v>0</v>
      </c>
      <c r="AJ33" s="132" t="n">
        <f aca="false">F33*O33</f>
        <v>0</v>
      </c>
      <c r="AK33" s="137"/>
      <c r="AL33" s="132" t="n">
        <f aca="false">CHOOSE($G$3,AC33-AD33,AD33-AC33)</f>
        <v>0</v>
      </c>
      <c r="AM33" s="132" t="n">
        <f aca="false">CHOOSE($G$3,AF33-AG33,AG33-AF33)</f>
        <v>0</v>
      </c>
      <c r="AN33" s="132" t="n">
        <f aca="false">CHOOSE($G$3,AI33-AJ33,AJ33-AI33)</f>
        <v>0</v>
      </c>
      <c r="AO33" s="148" t="n">
        <f aca="false">SUM(AL33:AN33)</f>
        <v>0</v>
      </c>
      <c r="AQ33" s="132" t="n">
        <f aca="false">CHOOSE($G$3,AB33-AC33,AC33-AB33)</f>
        <v>0</v>
      </c>
      <c r="AR33" s="132" t="n">
        <f aca="false">CHOOSE($G$3,AE33-AF33,AF33-AE33)</f>
        <v>0</v>
      </c>
      <c r="AS33" s="132" t="n">
        <f aca="false">CHOOSE($G$3,AH33-AI33,AI33-AH33)</f>
        <v>0</v>
      </c>
      <c r="AT33" s="148" t="n">
        <f aca="false">AQ33+AR33+AS33</f>
        <v>0</v>
      </c>
      <c r="AU33" s="148"/>
      <c r="AV33" s="133" t="n">
        <f aca="false">AT33+AO33</f>
        <v>0</v>
      </c>
      <c r="AX33" s="133" t="n">
        <f aca="false">AJ33+AG33+AD33</f>
        <v>0</v>
      </c>
      <c r="AY33" s="149"/>
      <c r="AZ33" s="76" t="n">
        <f aca="false">R33*E33</f>
        <v>0</v>
      </c>
    </row>
    <row r="34" customFormat="false" ht="12.75" hidden="false" customHeight="false" outlineLevel="0" collapsed="false">
      <c r="A34" s="138" t="n">
        <f aca="false">EDATE(A33,1)</f>
        <v>37712</v>
      </c>
      <c r="B34" s="139" t="n">
        <f aca="false">VLOOKUP($A34,Table2,MATCH(I$3,Curves2,0))</f>
        <v>0</v>
      </c>
      <c r="C34" s="140"/>
      <c r="D34" s="141" t="n">
        <f aca="false">B34+C34</f>
        <v>0</v>
      </c>
      <c r="E34" s="126" t="n">
        <f aca="false">IF(Y34=0,0,IF(AND(Y34=1,$H$3=1),D34*T34,IF($H$3=2,D34,"N/A")))</f>
        <v>0</v>
      </c>
      <c r="F34" s="126" t="n">
        <f aca="false">E34*X34</f>
        <v>0</v>
      </c>
      <c r="G34" s="142" t="n">
        <f aca="false">VLOOKUP($A34,Table,MATCH(G$4,Curves,0))</f>
        <v>3.792</v>
      </c>
      <c r="H34" s="143" t="n">
        <f aca="false">G34</f>
        <v>3.792</v>
      </c>
      <c r="I34" s="142" t="n">
        <f aca="false">VLOOKUP($A34,Table1,MATCH(I$3,Curves1,0))</f>
        <v>0</v>
      </c>
      <c r="J34" s="142" t="n">
        <f aca="false">VLOOKUP($A34,Table,MATCH(J$4,Curves,0))</f>
        <v>-0.065</v>
      </c>
      <c r="K34" s="143" t="n">
        <f aca="false">J34</f>
        <v>-0.065</v>
      </c>
      <c r="L34" s="144" t="n">
        <v>0</v>
      </c>
      <c r="M34" s="142" t="n">
        <f aca="false">VLOOKUP($A34,Table,MATCH(M$4,Curves,0))</f>
        <v>0.0075</v>
      </c>
      <c r="N34" s="143" t="n">
        <f aca="false">M34</f>
        <v>0.0075</v>
      </c>
      <c r="O34" s="144" t="n">
        <v>0</v>
      </c>
      <c r="P34" s="145"/>
      <c r="Q34" s="144" t="n">
        <f aca="false">M34+J34+G34</f>
        <v>3.7345</v>
      </c>
      <c r="R34" s="144" t="n">
        <f aca="false">O34+L34+I34</f>
        <v>0</v>
      </c>
      <c r="S34" s="145"/>
      <c r="T34" s="71" t="n">
        <f aca="false">A35-A34</f>
        <v>30</v>
      </c>
      <c r="U34" s="146" t="n">
        <f aca="false">CHOOSE(F$3,A35+24,A34)</f>
        <v>37766</v>
      </c>
      <c r="V34" s="71" t="n">
        <f aca="false">U34-C$3</f>
        <v>878</v>
      </c>
      <c r="W34" s="142" t="n">
        <f aca="false">VLOOKUP($A34,Table,MATCH(W$4,Curves,0))</f>
        <v>0.058201856354669</v>
      </c>
      <c r="X34" s="147" t="n">
        <f aca="false">1/(1+CHOOSE(F$3,(W35+($K$3/10000))/2,(W34+($K$3/10000))/2))^(2*V34/365.25)</f>
        <v>0.871166775818526</v>
      </c>
      <c r="Y34" s="71" t="n">
        <f aca="false">IF(AND(mthbeg&lt;=A34,mthend&gt;=A34),1,0)</f>
        <v>1</v>
      </c>
      <c r="Z34" s="71" t="n">
        <f aca="false">T34*Y34</f>
        <v>30</v>
      </c>
      <c r="AB34" s="132" t="n">
        <f aca="false">F34*G34</f>
        <v>0</v>
      </c>
      <c r="AC34" s="132" t="n">
        <f aca="false">$F34*H34</f>
        <v>0</v>
      </c>
      <c r="AD34" s="132" t="n">
        <f aca="false">$F34*I34</f>
        <v>0</v>
      </c>
      <c r="AE34" s="132" t="n">
        <f aca="false">$F34*J34</f>
        <v>-0</v>
      </c>
      <c r="AF34" s="132" t="n">
        <f aca="false">$F34*K34</f>
        <v>-0</v>
      </c>
      <c r="AG34" s="132" t="n">
        <f aca="false">$F34*L34</f>
        <v>0</v>
      </c>
      <c r="AH34" s="132" t="n">
        <f aca="false">$F34*M34</f>
        <v>0</v>
      </c>
      <c r="AI34" s="132" t="n">
        <f aca="false">$F34*N34</f>
        <v>0</v>
      </c>
      <c r="AJ34" s="132" t="n">
        <f aca="false">F34*O34</f>
        <v>0</v>
      </c>
      <c r="AK34" s="137"/>
      <c r="AL34" s="132" t="n">
        <f aca="false">CHOOSE($G$3,AC34-AD34,AD34-AC34)</f>
        <v>0</v>
      </c>
      <c r="AM34" s="132" t="n">
        <f aca="false">CHOOSE($G$3,AF34-AG34,AG34-AF34)</f>
        <v>0</v>
      </c>
      <c r="AN34" s="132" t="n">
        <f aca="false">CHOOSE($G$3,AI34-AJ34,AJ34-AI34)</f>
        <v>0</v>
      </c>
      <c r="AO34" s="148" t="n">
        <f aca="false">SUM(AL34:AN34)</f>
        <v>0</v>
      </c>
      <c r="AQ34" s="132" t="n">
        <f aca="false">CHOOSE($G$3,AB34-AC34,AC34-AB34)</f>
        <v>0</v>
      </c>
      <c r="AR34" s="132" t="n">
        <f aca="false">CHOOSE($G$3,AE34-AF34,AF34-AE34)</f>
        <v>0</v>
      </c>
      <c r="AS34" s="132" t="n">
        <f aca="false">CHOOSE($G$3,AH34-AI34,AI34-AH34)</f>
        <v>0</v>
      </c>
      <c r="AT34" s="148" t="n">
        <f aca="false">AQ34+AR34+AS34</f>
        <v>0</v>
      </c>
      <c r="AU34" s="148"/>
      <c r="AV34" s="133" t="n">
        <f aca="false">AT34+AO34</f>
        <v>0</v>
      </c>
      <c r="AX34" s="133" t="n">
        <f aca="false">AJ34+AG34+AD34</f>
        <v>0</v>
      </c>
      <c r="AY34" s="149"/>
      <c r="AZ34" s="76" t="n">
        <f aca="false">R34*E34</f>
        <v>0</v>
      </c>
    </row>
    <row r="35" customFormat="false" ht="12.75" hidden="false" customHeight="false" outlineLevel="0" collapsed="false">
      <c r="A35" s="138" t="n">
        <f aca="false">EDATE(A34,1)</f>
        <v>37742</v>
      </c>
      <c r="B35" s="139" t="n">
        <f aca="false">VLOOKUP($A35,Table2,MATCH(I$3,Curves2,0))</f>
        <v>0</v>
      </c>
      <c r="C35" s="140"/>
      <c r="D35" s="141" t="n">
        <f aca="false">B35+C35</f>
        <v>0</v>
      </c>
      <c r="E35" s="126" t="n">
        <f aca="false">IF(Y35=0,0,IF(AND(Y35=1,$H$3=1),D35*T35,IF($H$3=2,D35,"N/A")))</f>
        <v>0</v>
      </c>
      <c r="F35" s="126" t="n">
        <f aca="false">E35*X35</f>
        <v>0</v>
      </c>
      <c r="G35" s="142" t="n">
        <f aca="false">VLOOKUP($A35,Table,MATCH(G$4,Curves,0))</f>
        <v>3.742</v>
      </c>
      <c r="H35" s="143" t="n">
        <f aca="false">G35</f>
        <v>3.742</v>
      </c>
      <c r="I35" s="142" t="n">
        <f aca="false">VLOOKUP($A35,Table1,MATCH(I$3,Curves1,0))</f>
        <v>0</v>
      </c>
      <c r="J35" s="142" t="n">
        <f aca="false">VLOOKUP($A35,Table,MATCH(J$4,Curves,0))</f>
        <v>-0.065</v>
      </c>
      <c r="K35" s="143" t="n">
        <f aca="false">J35</f>
        <v>-0.065</v>
      </c>
      <c r="L35" s="144" t="n">
        <v>0</v>
      </c>
      <c r="M35" s="142" t="n">
        <f aca="false">VLOOKUP($A35,Table,MATCH(M$4,Curves,0))</f>
        <v>0.0075</v>
      </c>
      <c r="N35" s="143" t="n">
        <f aca="false">M35</f>
        <v>0.0075</v>
      </c>
      <c r="O35" s="144" t="n">
        <v>0</v>
      </c>
      <c r="P35" s="145"/>
      <c r="Q35" s="144" t="n">
        <f aca="false">M35+J35+G35</f>
        <v>3.6845</v>
      </c>
      <c r="R35" s="144" t="n">
        <f aca="false">O35+L35+I35</f>
        <v>0</v>
      </c>
      <c r="S35" s="145"/>
      <c r="T35" s="71" t="n">
        <f aca="false">A36-A35</f>
        <v>31</v>
      </c>
      <c r="U35" s="146" t="n">
        <f aca="false">CHOOSE(F$3,A36+24,A35)</f>
        <v>37797</v>
      </c>
      <c r="V35" s="71" t="n">
        <f aca="false">U35-C$3</f>
        <v>909</v>
      </c>
      <c r="W35" s="142" t="n">
        <f aca="false">VLOOKUP($A35,Table,MATCH(W$4,Curves,0))</f>
        <v>0.05820672378151</v>
      </c>
      <c r="X35" s="147" t="n">
        <f aca="false">1/(1+CHOOSE(F$3,(W36+($K$3/10000))/2,(W35+($K$3/10000))/2))^(2*V35/365.25)</f>
        <v>0.866924242036878</v>
      </c>
      <c r="Y35" s="71" t="n">
        <f aca="false">IF(AND(mthbeg&lt;=A35,mthend&gt;=A35),1,0)</f>
        <v>1</v>
      </c>
      <c r="Z35" s="71" t="n">
        <f aca="false">T35*Y35</f>
        <v>31</v>
      </c>
      <c r="AB35" s="132" t="n">
        <f aca="false">F35*G35</f>
        <v>0</v>
      </c>
      <c r="AC35" s="132" t="n">
        <f aca="false">$F35*H35</f>
        <v>0</v>
      </c>
      <c r="AD35" s="132" t="n">
        <f aca="false">$F35*I35</f>
        <v>0</v>
      </c>
      <c r="AE35" s="132" t="n">
        <f aca="false">$F35*J35</f>
        <v>-0</v>
      </c>
      <c r="AF35" s="132" t="n">
        <f aca="false">$F35*K35</f>
        <v>-0</v>
      </c>
      <c r="AG35" s="132" t="n">
        <f aca="false">$F35*L35</f>
        <v>0</v>
      </c>
      <c r="AH35" s="132" t="n">
        <f aca="false">$F35*M35</f>
        <v>0</v>
      </c>
      <c r="AI35" s="132" t="n">
        <f aca="false">$F35*N35</f>
        <v>0</v>
      </c>
      <c r="AJ35" s="132" t="n">
        <f aca="false">F35*O35</f>
        <v>0</v>
      </c>
      <c r="AK35" s="137"/>
      <c r="AL35" s="132" t="n">
        <f aca="false">CHOOSE($G$3,AC35-AD35,AD35-AC35)</f>
        <v>0</v>
      </c>
      <c r="AM35" s="132" t="n">
        <f aca="false">CHOOSE($G$3,AF35-AG35,AG35-AF35)</f>
        <v>0</v>
      </c>
      <c r="AN35" s="132" t="n">
        <f aca="false">CHOOSE($G$3,AI35-AJ35,AJ35-AI35)</f>
        <v>0</v>
      </c>
      <c r="AO35" s="148" t="n">
        <f aca="false">SUM(AL35:AN35)</f>
        <v>0</v>
      </c>
      <c r="AQ35" s="132" t="n">
        <f aca="false">CHOOSE($G$3,AB35-AC35,AC35-AB35)</f>
        <v>0</v>
      </c>
      <c r="AR35" s="132" t="n">
        <f aca="false">CHOOSE($G$3,AE35-AF35,AF35-AE35)</f>
        <v>0</v>
      </c>
      <c r="AS35" s="132" t="n">
        <f aca="false">CHOOSE($G$3,AH35-AI35,AI35-AH35)</f>
        <v>0</v>
      </c>
      <c r="AT35" s="148" t="n">
        <f aca="false">AQ35+AR35+AS35</f>
        <v>0</v>
      </c>
      <c r="AU35" s="148"/>
      <c r="AV35" s="133" t="n">
        <f aca="false">AT35+AO35</f>
        <v>0</v>
      </c>
      <c r="AX35" s="133" t="n">
        <f aca="false">AJ35+AG35+AD35</f>
        <v>0</v>
      </c>
      <c r="AY35" s="149"/>
      <c r="AZ35" s="76" t="n">
        <f aca="false">R35*E35</f>
        <v>0</v>
      </c>
    </row>
    <row r="36" customFormat="false" ht="12.75" hidden="false" customHeight="false" outlineLevel="0" collapsed="false">
      <c r="A36" s="138" t="n">
        <f aca="false">EDATE(A35,1)</f>
        <v>37773</v>
      </c>
      <c r="B36" s="139" t="n">
        <f aca="false">VLOOKUP($A36,Table2,MATCH(I$3,Curves2,0))</f>
        <v>0</v>
      </c>
      <c r="C36" s="140"/>
      <c r="D36" s="141" t="n">
        <f aca="false">B36+C36</f>
        <v>0</v>
      </c>
      <c r="E36" s="126" t="n">
        <f aca="false">IF(Y36=0,0,IF(AND(Y36=1,$H$3=1),D36*T36,IF($H$3=2,D36,"N/A")))</f>
        <v>0</v>
      </c>
      <c r="F36" s="126" t="n">
        <f aca="false">E36*X36</f>
        <v>0</v>
      </c>
      <c r="G36" s="142" t="n">
        <f aca="false">VLOOKUP($A36,Table,MATCH(G$4,Curves,0))</f>
        <v>3.752</v>
      </c>
      <c r="H36" s="143" t="n">
        <f aca="false">G36</f>
        <v>3.752</v>
      </c>
      <c r="I36" s="142" t="n">
        <f aca="false">VLOOKUP($A36,Table1,MATCH(I$3,Curves1,0))</f>
        <v>0</v>
      </c>
      <c r="J36" s="142" t="n">
        <f aca="false">VLOOKUP($A36,Table,MATCH(J$4,Curves,0))</f>
        <v>-0.065</v>
      </c>
      <c r="K36" s="143" t="n">
        <f aca="false">J36</f>
        <v>-0.065</v>
      </c>
      <c r="L36" s="144" t="n">
        <v>0</v>
      </c>
      <c r="M36" s="142" t="n">
        <f aca="false">VLOOKUP($A36,Table,MATCH(M$4,Curves,0))</f>
        <v>0.0075</v>
      </c>
      <c r="N36" s="143" t="n">
        <f aca="false">M36</f>
        <v>0.0075</v>
      </c>
      <c r="O36" s="144" t="n">
        <v>0</v>
      </c>
      <c r="P36" s="145"/>
      <c r="Q36" s="144" t="n">
        <f aca="false">M36+J36+G36</f>
        <v>3.6945</v>
      </c>
      <c r="R36" s="144" t="n">
        <f aca="false">O36+L36+I36</f>
        <v>0</v>
      </c>
      <c r="S36" s="145"/>
      <c r="T36" s="71" t="n">
        <f aca="false">A37-A36</f>
        <v>30</v>
      </c>
      <c r="U36" s="146" t="n">
        <f aca="false">CHOOSE(F$3,A37+24,A36)</f>
        <v>37827</v>
      </c>
      <c r="V36" s="71" t="n">
        <f aca="false">U36-C$3</f>
        <v>939</v>
      </c>
      <c r="W36" s="142" t="n">
        <f aca="false">VLOOKUP($A36,Table,MATCH(W$4,Curves,0))</f>
        <v>0.058211753455922</v>
      </c>
      <c r="X36" s="147" t="n">
        <f aca="false">1/(1+CHOOSE(F$3,(W37+($K$3/10000))/2,(W36+($K$3/10000))/2))^(2*V36/365.25)</f>
        <v>0.8628293966132</v>
      </c>
      <c r="Y36" s="71" t="n">
        <f aca="false">IF(AND(mthbeg&lt;=A36,mthend&gt;=A36),1,0)</f>
        <v>1</v>
      </c>
      <c r="Z36" s="71" t="n">
        <f aca="false">T36*Y36</f>
        <v>30</v>
      </c>
      <c r="AB36" s="132" t="n">
        <f aca="false">F36*G36</f>
        <v>0</v>
      </c>
      <c r="AC36" s="132" t="n">
        <f aca="false">$F36*H36</f>
        <v>0</v>
      </c>
      <c r="AD36" s="132" t="n">
        <f aca="false">$F36*I36</f>
        <v>0</v>
      </c>
      <c r="AE36" s="132" t="n">
        <f aca="false">$F36*J36</f>
        <v>-0</v>
      </c>
      <c r="AF36" s="132" t="n">
        <f aca="false">$F36*K36</f>
        <v>-0</v>
      </c>
      <c r="AG36" s="132" t="n">
        <f aca="false">$F36*L36</f>
        <v>0</v>
      </c>
      <c r="AH36" s="132" t="n">
        <f aca="false">$F36*M36</f>
        <v>0</v>
      </c>
      <c r="AI36" s="132" t="n">
        <f aca="false">$F36*N36</f>
        <v>0</v>
      </c>
      <c r="AJ36" s="132" t="n">
        <f aca="false">F36*O36</f>
        <v>0</v>
      </c>
      <c r="AK36" s="137"/>
      <c r="AL36" s="132" t="n">
        <f aca="false">CHOOSE($G$3,AC36-AD36,AD36-AC36)</f>
        <v>0</v>
      </c>
      <c r="AM36" s="132" t="n">
        <f aca="false">CHOOSE($G$3,AF36-AG36,AG36-AF36)</f>
        <v>0</v>
      </c>
      <c r="AN36" s="132" t="n">
        <f aca="false">CHOOSE($G$3,AI36-AJ36,AJ36-AI36)</f>
        <v>0</v>
      </c>
      <c r="AO36" s="148" t="n">
        <f aca="false">SUM(AL36:AN36)</f>
        <v>0</v>
      </c>
      <c r="AQ36" s="132" t="n">
        <f aca="false">CHOOSE($G$3,AB36-AC36,AC36-AB36)</f>
        <v>0</v>
      </c>
      <c r="AR36" s="132" t="n">
        <f aca="false">CHOOSE($G$3,AE36-AF36,AF36-AE36)</f>
        <v>0</v>
      </c>
      <c r="AS36" s="132" t="n">
        <f aca="false">CHOOSE($G$3,AH36-AI36,AI36-AH36)</f>
        <v>0</v>
      </c>
      <c r="AT36" s="148" t="n">
        <f aca="false">AQ36+AR36+AS36</f>
        <v>0</v>
      </c>
      <c r="AU36" s="148"/>
      <c r="AV36" s="133" t="n">
        <f aca="false">AT36+AO36</f>
        <v>0</v>
      </c>
      <c r="AX36" s="133" t="n">
        <f aca="false">AJ36+AG36+AD36</f>
        <v>0</v>
      </c>
      <c r="AY36" s="149"/>
      <c r="AZ36" s="76" t="n">
        <f aca="false">R36*E36</f>
        <v>0</v>
      </c>
    </row>
    <row r="37" customFormat="false" ht="12.75" hidden="false" customHeight="false" outlineLevel="0" collapsed="false">
      <c r="A37" s="138" t="n">
        <f aca="false">EDATE(A36,1)</f>
        <v>37803</v>
      </c>
      <c r="B37" s="139" t="n">
        <f aca="false">VLOOKUP($A37,Table2,MATCH(I$3,Curves2,0))</f>
        <v>0</v>
      </c>
      <c r="C37" s="140"/>
      <c r="D37" s="141" t="n">
        <f aca="false">B37+C37</f>
        <v>0</v>
      </c>
      <c r="E37" s="126" t="n">
        <f aca="false">IF(Y37=0,0,IF(AND(Y37=1,$H$3=1),D37*T37,IF($H$3=2,D37,"N/A")))</f>
        <v>0</v>
      </c>
      <c r="F37" s="126" t="n">
        <f aca="false">E37*X37</f>
        <v>0</v>
      </c>
      <c r="G37" s="142" t="n">
        <f aca="false">VLOOKUP($A37,Table,MATCH(G$4,Curves,0))</f>
        <v>3.767</v>
      </c>
      <c r="H37" s="143" t="n">
        <f aca="false">G37</f>
        <v>3.767</v>
      </c>
      <c r="I37" s="142" t="n">
        <f aca="false">VLOOKUP($A37,Table1,MATCH(I$3,Curves1,0))</f>
        <v>0</v>
      </c>
      <c r="J37" s="142" t="n">
        <f aca="false">VLOOKUP($A37,Table,MATCH(J$4,Curves,0))</f>
        <v>-0.065</v>
      </c>
      <c r="K37" s="143" t="n">
        <f aca="false">J37</f>
        <v>-0.065</v>
      </c>
      <c r="L37" s="144" t="n">
        <v>0</v>
      </c>
      <c r="M37" s="142" t="n">
        <f aca="false">VLOOKUP($A37,Table,MATCH(M$4,Curves,0))</f>
        <v>0.0075</v>
      </c>
      <c r="N37" s="143" t="n">
        <f aca="false">M37</f>
        <v>0.0075</v>
      </c>
      <c r="O37" s="144" t="n">
        <v>0</v>
      </c>
      <c r="P37" s="145"/>
      <c r="Q37" s="144" t="n">
        <f aca="false">M37+J37+G37</f>
        <v>3.7095</v>
      </c>
      <c r="R37" s="144" t="n">
        <f aca="false">O37+L37+I37</f>
        <v>0</v>
      </c>
      <c r="S37" s="145"/>
      <c r="T37" s="71" t="n">
        <f aca="false">A38-A37</f>
        <v>31</v>
      </c>
      <c r="U37" s="146" t="n">
        <f aca="false">CHOOSE(F$3,A38+24,A37)</f>
        <v>37858</v>
      </c>
      <c r="V37" s="71" t="n">
        <f aca="false">U37-C$3</f>
        <v>970</v>
      </c>
      <c r="W37" s="142" t="n">
        <f aca="false">VLOOKUP($A37,Table,MATCH(W$4,Curves,0))</f>
        <v>0.058220406142149</v>
      </c>
      <c r="X37" s="147" t="n">
        <f aca="false">1/(1+CHOOSE(F$3,(W38+($K$3/10000))/2,(W37+($K$3/10000))/2))^(2*V37/365.25)</f>
        <v>0.85860508220354</v>
      </c>
      <c r="Y37" s="71" t="n">
        <f aca="false">IF(AND(mthbeg&lt;=A37,mthend&gt;=A37),1,0)</f>
        <v>1</v>
      </c>
      <c r="Z37" s="71" t="n">
        <f aca="false">T37*Y37</f>
        <v>31</v>
      </c>
      <c r="AB37" s="132" t="n">
        <f aca="false">F37*G37</f>
        <v>0</v>
      </c>
      <c r="AC37" s="132" t="n">
        <f aca="false">$F37*H37</f>
        <v>0</v>
      </c>
      <c r="AD37" s="132" t="n">
        <f aca="false">$F37*I37</f>
        <v>0</v>
      </c>
      <c r="AE37" s="132" t="n">
        <f aca="false">$F37*J37</f>
        <v>-0</v>
      </c>
      <c r="AF37" s="132" t="n">
        <f aca="false">$F37*K37</f>
        <v>-0</v>
      </c>
      <c r="AG37" s="132" t="n">
        <f aca="false">$F37*L37</f>
        <v>0</v>
      </c>
      <c r="AH37" s="132" t="n">
        <f aca="false">$F37*M37</f>
        <v>0</v>
      </c>
      <c r="AI37" s="132" t="n">
        <f aca="false">$F37*N37</f>
        <v>0</v>
      </c>
      <c r="AJ37" s="132" t="n">
        <f aca="false">F37*O37</f>
        <v>0</v>
      </c>
      <c r="AK37" s="137"/>
      <c r="AL37" s="132" t="n">
        <f aca="false">CHOOSE($G$3,AC37-AD37,AD37-AC37)</f>
        <v>0</v>
      </c>
      <c r="AM37" s="132" t="n">
        <f aca="false">CHOOSE($G$3,AF37-AG37,AG37-AF37)</f>
        <v>0</v>
      </c>
      <c r="AN37" s="132" t="n">
        <f aca="false">CHOOSE($G$3,AI37-AJ37,AJ37-AI37)</f>
        <v>0</v>
      </c>
      <c r="AO37" s="148" t="n">
        <f aca="false">SUM(AL37:AN37)</f>
        <v>0</v>
      </c>
      <c r="AQ37" s="132" t="n">
        <f aca="false">CHOOSE($G$3,AB37-AC37,AC37-AB37)</f>
        <v>0</v>
      </c>
      <c r="AR37" s="132" t="n">
        <f aca="false">CHOOSE($G$3,AE37-AF37,AF37-AE37)</f>
        <v>0</v>
      </c>
      <c r="AS37" s="132" t="n">
        <f aca="false">CHOOSE($G$3,AH37-AI37,AI37-AH37)</f>
        <v>0</v>
      </c>
      <c r="AT37" s="148" t="n">
        <f aca="false">AQ37+AR37+AS37</f>
        <v>0</v>
      </c>
      <c r="AU37" s="148"/>
      <c r="AV37" s="133" t="n">
        <f aca="false">AT37+AO37</f>
        <v>0</v>
      </c>
      <c r="AX37" s="133" t="n">
        <f aca="false">AJ37+AG37+AD37</f>
        <v>0</v>
      </c>
      <c r="AY37" s="149"/>
      <c r="AZ37" s="76" t="n">
        <f aca="false">R37*E37</f>
        <v>0</v>
      </c>
    </row>
    <row r="38" customFormat="false" ht="12.75" hidden="false" customHeight="false" outlineLevel="0" collapsed="false">
      <c r="A38" s="138" t="n">
        <f aca="false">EDATE(A37,1)</f>
        <v>37834</v>
      </c>
      <c r="B38" s="139" t="n">
        <f aca="false">VLOOKUP($A38,Table2,MATCH(I$3,Curves2,0))</f>
        <v>0</v>
      </c>
      <c r="C38" s="140"/>
      <c r="D38" s="141" t="n">
        <f aca="false">B38+C38</f>
        <v>0</v>
      </c>
      <c r="E38" s="126" t="n">
        <f aca="false">IF(Y38=0,0,IF(AND(Y38=1,$H$3=1),D38*T38,IF($H$3=2,D38,"N/A")))</f>
        <v>0</v>
      </c>
      <c r="F38" s="126" t="n">
        <f aca="false">E38*X38</f>
        <v>0</v>
      </c>
      <c r="G38" s="142" t="n">
        <f aca="false">VLOOKUP($A38,Table,MATCH(G$4,Curves,0))</f>
        <v>3.762</v>
      </c>
      <c r="H38" s="143" t="n">
        <f aca="false">G38</f>
        <v>3.762</v>
      </c>
      <c r="I38" s="142" t="n">
        <f aca="false">VLOOKUP($A38,Table1,MATCH(I$3,Curves1,0))</f>
        <v>0</v>
      </c>
      <c r="J38" s="142" t="n">
        <f aca="false">VLOOKUP($A38,Table,MATCH(J$4,Curves,0))</f>
        <v>-0.065</v>
      </c>
      <c r="K38" s="143" t="n">
        <f aca="false">J38</f>
        <v>-0.065</v>
      </c>
      <c r="L38" s="144" t="n">
        <v>0</v>
      </c>
      <c r="M38" s="142" t="n">
        <f aca="false">VLOOKUP($A38,Table,MATCH(M$4,Curves,0))</f>
        <v>0.0075</v>
      </c>
      <c r="N38" s="143" t="n">
        <f aca="false">M38</f>
        <v>0.0075</v>
      </c>
      <c r="O38" s="144" t="n">
        <v>0</v>
      </c>
      <c r="P38" s="145"/>
      <c r="Q38" s="144" t="n">
        <f aca="false">M38+J38+G38</f>
        <v>3.7045</v>
      </c>
      <c r="R38" s="144" t="n">
        <f aca="false">O38+L38+I38</f>
        <v>0</v>
      </c>
      <c r="S38" s="145"/>
      <c r="T38" s="71" t="n">
        <f aca="false">A39-A38</f>
        <v>31</v>
      </c>
      <c r="U38" s="146" t="n">
        <f aca="false">CHOOSE(F$3,A39+24,A38)</f>
        <v>37889</v>
      </c>
      <c r="V38" s="71" t="n">
        <f aca="false">U38-C$3</f>
        <v>1001</v>
      </c>
      <c r="W38" s="142" t="n">
        <f aca="false">VLOOKUP($A38,Table,MATCH(W$4,Curves,0))</f>
        <v>0.058234784229674</v>
      </c>
      <c r="X38" s="147" t="n">
        <f aca="false">1/(1+CHOOSE(F$3,(W39+($K$3/10000))/2,(W38+($K$3/10000))/2))^(2*V38/365.25)</f>
        <v>0.854399423498708</v>
      </c>
      <c r="Y38" s="71" t="n">
        <f aca="false">IF(AND(mthbeg&lt;=A38,mthend&gt;=A38),1,0)</f>
        <v>1</v>
      </c>
      <c r="Z38" s="71" t="n">
        <f aca="false">T38*Y38</f>
        <v>31</v>
      </c>
      <c r="AB38" s="132" t="n">
        <f aca="false">F38*G38</f>
        <v>0</v>
      </c>
      <c r="AC38" s="132" t="n">
        <f aca="false">$F38*H38</f>
        <v>0</v>
      </c>
      <c r="AD38" s="132" t="n">
        <f aca="false">$F38*I38</f>
        <v>0</v>
      </c>
      <c r="AE38" s="132" t="n">
        <f aca="false">$F38*J38</f>
        <v>-0</v>
      </c>
      <c r="AF38" s="132" t="n">
        <f aca="false">$F38*K38</f>
        <v>-0</v>
      </c>
      <c r="AG38" s="132" t="n">
        <f aca="false">$F38*L38</f>
        <v>0</v>
      </c>
      <c r="AH38" s="132" t="n">
        <f aca="false">$F38*M38</f>
        <v>0</v>
      </c>
      <c r="AI38" s="132" t="n">
        <f aca="false">$F38*N38</f>
        <v>0</v>
      </c>
      <c r="AJ38" s="132" t="n">
        <f aca="false">F38*O38</f>
        <v>0</v>
      </c>
      <c r="AK38" s="137"/>
      <c r="AL38" s="132" t="n">
        <f aca="false">CHOOSE($G$3,AC38-AD38,AD38-AC38)</f>
        <v>0</v>
      </c>
      <c r="AM38" s="132" t="n">
        <f aca="false">CHOOSE($G$3,AF38-AG38,AG38-AF38)</f>
        <v>0</v>
      </c>
      <c r="AN38" s="132" t="n">
        <f aca="false">CHOOSE($G$3,AI38-AJ38,AJ38-AI38)</f>
        <v>0</v>
      </c>
      <c r="AO38" s="148" t="n">
        <f aca="false">SUM(AL38:AN38)</f>
        <v>0</v>
      </c>
      <c r="AQ38" s="132" t="n">
        <f aca="false">CHOOSE($G$3,AB38-AC38,AC38-AB38)</f>
        <v>0</v>
      </c>
      <c r="AR38" s="132" t="n">
        <f aca="false">CHOOSE($G$3,AE38-AF38,AF38-AE38)</f>
        <v>0</v>
      </c>
      <c r="AS38" s="132" t="n">
        <f aca="false">CHOOSE($G$3,AH38-AI38,AI38-AH38)</f>
        <v>0</v>
      </c>
      <c r="AT38" s="148" t="n">
        <f aca="false">AQ38+AR38+AS38</f>
        <v>0</v>
      </c>
      <c r="AU38" s="148"/>
      <c r="AV38" s="133" t="n">
        <f aca="false">AT38+AO38</f>
        <v>0</v>
      </c>
      <c r="AX38" s="133" t="n">
        <f aca="false">AJ38+AG38+AD38</f>
        <v>0</v>
      </c>
      <c r="AY38" s="149"/>
      <c r="AZ38" s="76" t="n">
        <f aca="false">R38*E38</f>
        <v>0</v>
      </c>
    </row>
    <row r="39" customFormat="false" ht="12.75" hidden="false" customHeight="false" outlineLevel="0" collapsed="false">
      <c r="A39" s="138" t="n">
        <f aca="false">EDATE(A38,1)</f>
        <v>37865</v>
      </c>
      <c r="B39" s="139" t="n">
        <f aca="false">VLOOKUP($A39,Table2,MATCH(I$3,Curves2,0))</f>
        <v>0</v>
      </c>
      <c r="C39" s="140"/>
      <c r="D39" s="141" t="n">
        <f aca="false">B39+C39</f>
        <v>0</v>
      </c>
      <c r="E39" s="126" t="n">
        <f aca="false">IF(Y39=0,0,IF(AND(Y39=1,$H$3=1),D39*T39,IF($H$3=2,D39,"N/A")))</f>
        <v>0</v>
      </c>
      <c r="F39" s="126" t="n">
        <f aca="false">E39*X39</f>
        <v>0</v>
      </c>
      <c r="G39" s="142" t="n">
        <f aca="false">VLOOKUP($A39,Table,MATCH(G$4,Curves,0))</f>
        <v>3.774</v>
      </c>
      <c r="H39" s="143" t="n">
        <f aca="false">G39</f>
        <v>3.774</v>
      </c>
      <c r="I39" s="142" t="n">
        <f aca="false">VLOOKUP($A39,Table1,MATCH(I$3,Curves1,0))</f>
        <v>0</v>
      </c>
      <c r="J39" s="142" t="n">
        <f aca="false">VLOOKUP($A39,Table,MATCH(J$4,Curves,0))</f>
        <v>-0.065</v>
      </c>
      <c r="K39" s="143" t="n">
        <f aca="false">J39</f>
        <v>-0.065</v>
      </c>
      <c r="L39" s="144" t="n">
        <v>0</v>
      </c>
      <c r="M39" s="142" t="n">
        <f aca="false">VLOOKUP($A39,Table,MATCH(M$4,Curves,0))</f>
        <v>0.0075</v>
      </c>
      <c r="N39" s="143" t="n">
        <f aca="false">M39</f>
        <v>0.0075</v>
      </c>
      <c r="O39" s="144" t="n">
        <v>0</v>
      </c>
      <c r="P39" s="145"/>
      <c r="Q39" s="144" t="n">
        <f aca="false">M39+J39+G39</f>
        <v>3.7165</v>
      </c>
      <c r="R39" s="144" t="n">
        <f aca="false">O39+L39+I39</f>
        <v>0</v>
      </c>
      <c r="S39" s="145"/>
      <c r="T39" s="71" t="n">
        <f aca="false">A40-A39</f>
        <v>30</v>
      </c>
      <c r="U39" s="146" t="n">
        <f aca="false">CHOOSE(F$3,A40+24,A39)</f>
        <v>37919</v>
      </c>
      <c r="V39" s="71" t="n">
        <f aca="false">U39-C$3</f>
        <v>1031</v>
      </c>
      <c r="W39" s="142" t="n">
        <f aca="false">VLOOKUP($A39,Table,MATCH(W$4,Curves,0))</f>
        <v>0.058249162317267</v>
      </c>
      <c r="X39" s="147" t="n">
        <f aca="false">1/(1+CHOOSE(F$3,(W40+($K$3/10000))/2,(W39+($K$3/10000))/2))^(2*V39/365.25)</f>
        <v>0.850341654467784</v>
      </c>
      <c r="Y39" s="71" t="n">
        <f aca="false">IF(AND(mthbeg&lt;=A39,mthend&gt;=A39),1,0)</f>
        <v>1</v>
      </c>
      <c r="Z39" s="71" t="n">
        <f aca="false">T39*Y39</f>
        <v>30</v>
      </c>
      <c r="AB39" s="132" t="n">
        <f aca="false">F39*G39</f>
        <v>0</v>
      </c>
      <c r="AC39" s="132" t="n">
        <f aca="false">$F39*H39</f>
        <v>0</v>
      </c>
      <c r="AD39" s="132" t="n">
        <f aca="false">$F39*I39</f>
        <v>0</v>
      </c>
      <c r="AE39" s="132" t="n">
        <f aca="false">$F39*J39</f>
        <v>-0</v>
      </c>
      <c r="AF39" s="132" t="n">
        <f aca="false">$F39*K39</f>
        <v>-0</v>
      </c>
      <c r="AG39" s="132" t="n">
        <f aca="false">$F39*L39</f>
        <v>0</v>
      </c>
      <c r="AH39" s="132" t="n">
        <f aca="false">$F39*M39</f>
        <v>0</v>
      </c>
      <c r="AI39" s="132" t="n">
        <f aca="false">$F39*N39</f>
        <v>0</v>
      </c>
      <c r="AJ39" s="132" t="n">
        <f aca="false">F39*O39</f>
        <v>0</v>
      </c>
      <c r="AK39" s="137"/>
      <c r="AL39" s="132" t="n">
        <f aca="false">CHOOSE($G$3,AC39-AD39,AD39-AC39)</f>
        <v>0</v>
      </c>
      <c r="AM39" s="132" t="n">
        <f aca="false">CHOOSE($G$3,AF39-AG39,AG39-AF39)</f>
        <v>0</v>
      </c>
      <c r="AN39" s="132" t="n">
        <f aca="false">CHOOSE($G$3,AI39-AJ39,AJ39-AI39)</f>
        <v>0</v>
      </c>
      <c r="AO39" s="148" t="n">
        <f aca="false">SUM(AL39:AN39)</f>
        <v>0</v>
      </c>
      <c r="AQ39" s="132" t="n">
        <f aca="false">CHOOSE($G$3,AB39-AC39,AC39-AB39)</f>
        <v>0</v>
      </c>
      <c r="AR39" s="132" t="n">
        <f aca="false">CHOOSE($G$3,AE39-AF39,AF39-AE39)</f>
        <v>0</v>
      </c>
      <c r="AS39" s="132" t="n">
        <f aca="false">CHOOSE($G$3,AH39-AI39,AI39-AH39)</f>
        <v>0</v>
      </c>
      <c r="AT39" s="148" t="n">
        <f aca="false">AQ39+AR39+AS39</f>
        <v>0</v>
      </c>
      <c r="AU39" s="148"/>
      <c r="AV39" s="133" t="n">
        <f aca="false">AT39+AO39</f>
        <v>0</v>
      </c>
      <c r="AX39" s="133" t="n">
        <f aca="false">AJ39+AG39+AD39</f>
        <v>0</v>
      </c>
      <c r="AY39" s="149"/>
      <c r="AZ39" s="76" t="n">
        <f aca="false">R39*E39</f>
        <v>0</v>
      </c>
    </row>
    <row r="40" customFormat="false" ht="12.75" hidden="false" customHeight="false" outlineLevel="0" collapsed="false">
      <c r="A40" s="138" t="n">
        <f aca="false">EDATE(A39,1)</f>
        <v>37895</v>
      </c>
      <c r="B40" s="139" t="n">
        <f aca="false">VLOOKUP($A40,Table2,MATCH(I$3,Curves2,0))</f>
        <v>0</v>
      </c>
      <c r="C40" s="140"/>
      <c r="D40" s="141" t="n">
        <f aca="false">B40+C40</f>
        <v>0</v>
      </c>
      <c r="E40" s="126" t="n">
        <f aca="false">IF(Y40=0,0,IF(AND(Y40=1,$H$3=1),D40*T40,IF($H$3=2,D40,"N/A")))</f>
        <v>0</v>
      </c>
      <c r="F40" s="126" t="n">
        <f aca="false">E40*X40</f>
        <v>0</v>
      </c>
      <c r="G40" s="142" t="n">
        <f aca="false">VLOOKUP($A40,Table,MATCH(G$4,Curves,0))</f>
        <v>3.792</v>
      </c>
      <c r="H40" s="143" t="n">
        <f aca="false">G40</f>
        <v>3.792</v>
      </c>
      <c r="I40" s="142" t="n">
        <f aca="false">VLOOKUP($A40,Table1,MATCH(I$3,Curves1,0))</f>
        <v>0</v>
      </c>
      <c r="J40" s="142" t="n">
        <f aca="false">VLOOKUP($A40,Table,MATCH(J$4,Curves,0))</f>
        <v>-0.065</v>
      </c>
      <c r="K40" s="143" t="n">
        <f aca="false">J40</f>
        <v>-0.065</v>
      </c>
      <c r="L40" s="144" t="n">
        <v>0</v>
      </c>
      <c r="M40" s="142" t="n">
        <f aca="false">VLOOKUP($A40,Table,MATCH(M$4,Curves,0))</f>
        <v>0.0075</v>
      </c>
      <c r="N40" s="143" t="n">
        <f aca="false">M40</f>
        <v>0.0075</v>
      </c>
      <c r="O40" s="144" t="n">
        <v>0</v>
      </c>
      <c r="P40" s="145"/>
      <c r="Q40" s="144" t="n">
        <f aca="false">M40+J40+G40</f>
        <v>3.7345</v>
      </c>
      <c r="R40" s="144" t="n">
        <f aca="false">O40+L40+I40</f>
        <v>0</v>
      </c>
      <c r="S40" s="145"/>
      <c r="T40" s="71" t="n">
        <f aca="false">A41-A40</f>
        <v>31</v>
      </c>
      <c r="U40" s="146" t="n">
        <f aca="false">CHOOSE(F$3,A41+24,A40)</f>
        <v>37950</v>
      </c>
      <c r="V40" s="71" t="n">
        <f aca="false">U40-C$3</f>
        <v>1062</v>
      </c>
      <c r="W40" s="142" t="n">
        <f aca="false">VLOOKUP($A40,Table,MATCH(W$4,Curves,0))</f>
        <v>0.058265422795858</v>
      </c>
      <c r="X40" s="147" t="n">
        <f aca="false">1/(1+CHOOSE(F$3,(W41+($K$3/10000))/2,(W40+($K$3/10000))/2))^(2*V40/365.25)</f>
        <v>0.846159523288873</v>
      </c>
      <c r="Y40" s="71" t="n">
        <f aca="false">IF(AND(mthbeg&lt;=A40,mthend&gt;=A40),1,0)</f>
        <v>1</v>
      </c>
      <c r="Z40" s="71" t="n">
        <f aca="false">T40*Y40</f>
        <v>31</v>
      </c>
      <c r="AB40" s="132" t="n">
        <f aca="false">F40*G40</f>
        <v>0</v>
      </c>
      <c r="AC40" s="132" t="n">
        <f aca="false">$F40*H40</f>
        <v>0</v>
      </c>
      <c r="AD40" s="132" t="n">
        <f aca="false">$F40*I40</f>
        <v>0</v>
      </c>
      <c r="AE40" s="132" t="n">
        <f aca="false">$F40*J40</f>
        <v>-0</v>
      </c>
      <c r="AF40" s="132" t="n">
        <f aca="false">$F40*K40</f>
        <v>-0</v>
      </c>
      <c r="AG40" s="132" t="n">
        <f aca="false">$F40*L40</f>
        <v>0</v>
      </c>
      <c r="AH40" s="132" t="n">
        <f aca="false">$F40*M40</f>
        <v>0</v>
      </c>
      <c r="AI40" s="132" t="n">
        <f aca="false">$F40*N40</f>
        <v>0</v>
      </c>
      <c r="AJ40" s="132" t="n">
        <f aca="false">F40*O40</f>
        <v>0</v>
      </c>
      <c r="AK40" s="137"/>
      <c r="AL40" s="132" t="n">
        <f aca="false">CHOOSE($G$3,AC40-AD40,AD40-AC40)</f>
        <v>0</v>
      </c>
      <c r="AM40" s="132" t="n">
        <f aca="false">CHOOSE($G$3,AF40-AG40,AG40-AF40)</f>
        <v>0</v>
      </c>
      <c r="AN40" s="132" t="n">
        <f aca="false">CHOOSE($G$3,AI40-AJ40,AJ40-AI40)</f>
        <v>0</v>
      </c>
      <c r="AO40" s="148" t="n">
        <f aca="false">SUM(AL40:AN40)</f>
        <v>0</v>
      </c>
      <c r="AQ40" s="132" t="n">
        <f aca="false">CHOOSE($G$3,AB40-AC40,AC40-AB40)</f>
        <v>0</v>
      </c>
      <c r="AR40" s="132" t="n">
        <f aca="false">CHOOSE($G$3,AE40-AF40,AF40-AE40)</f>
        <v>0</v>
      </c>
      <c r="AS40" s="132" t="n">
        <f aca="false">CHOOSE($G$3,AH40-AI40,AI40-AH40)</f>
        <v>0</v>
      </c>
      <c r="AT40" s="148" t="n">
        <f aca="false">AQ40+AR40+AS40</f>
        <v>0</v>
      </c>
      <c r="AU40" s="148"/>
      <c r="AV40" s="133" t="n">
        <f aca="false">AT40+AO40</f>
        <v>0</v>
      </c>
      <c r="AX40" s="133" t="n">
        <f aca="false">AJ40+AG40+AD40</f>
        <v>0</v>
      </c>
      <c r="AY40" s="149"/>
      <c r="AZ40" s="76" t="n">
        <f aca="false">R40*E40</f>
        <v>0</v>
      </c>
    </row>
    <row r="41" customFormat="false" ht="12.75" hidden="false" customHeight="false" outlineLevel="0" collapsed="false">
      <c r="A41" s="138" t="n">
        <f aca="false">EDATE(A40,1)</f>
        <v>37926</v>
      </c>
      <c r="B41" s="139" t="n">
        <f aca="false">VLOOKUP($A41,Table2,MATCH(I$3,Curves2,0))</f>
        <v>0</v>
      </c>
      <c r="C41" s="140"/>
      <c r="D41" s="141" t="n">
        <f aca="false">B41+C41</f>
        <v>0</v>
      </c>
      <c r="E41" s="126" t="n">
        <f aca="false">IF(Y41=0,0,IF(AND(Y41=1,$H$3=1),D41*T41,IF($H$3=2,D41,"N/A")))</f>
        <v>0</v>
      </c>
      <c r="F41" s="126" t="n">
        <f aca="false">E41*X41</f>
        <v>0</v>
      </c>
      <c r="G41" s="142" t="n">
        <f aca="false">VLOOKUP($A41,Table,MATCH(G$4,Curves,0))</f>
        <v>3.927</v>
      </c>
      <c r="H41" s="143" t="n">
        <f aca="false">G41</f>
        <v>3.927</v>
      </c>
      <c r="I41" s="142" t="n">
        <f aca="false">VLOOKUP($A41,Table1,MATCH(I$3,Curves1,0))</f>
        <v>0</v>
      </c>
      <c r="J41" s="142" t="n">
        <f aca="false">VLOOKUP($A41,Table,MATCH(J$4,Curves,0))</f>
        <v>-0.065</v>
      </c>
      <c r="K41" s="143" t="n">
        <f aca="false">J41</f>
        <v>-0.065</v>
      </c>
      <c r="L41" s="144" t="n">
        <v>0</v>
      </c>
      <c r="M41" s="142" t="n">
        <f aca="false">VLOOKUP($A41,Table,MATCH(M$4,Curves,0))</f>
        <v>0.005</v>
      </c>
      <c r="N41" s="143" t="n">
        <f aca="false">M41</f>
        <v>0.005</v>
      </c>
      <c r="O41" s="144" t="n">
        <v>0</v>
      </c>
      <c r="P41" s="145"/>
      <c r="Q41" s="144" t="n">
        <f aca="false">M41+J41+G41</f>
        <v>3.867</v>
      </c>
      <c r="R41" s="144" t="n">
        <f aca="false">O41+L41+I41</f>
        <v>0</v>
      </c>
      <c r="S41" s="145"/>
      <c r="T41" s="71" t="n">
        <f aca="false">A42-A41</f>
        <v>30</v>
      </c>
      <c r="U41" s="146" t="n">
        <f aca="false">CHOOSE(F$3,A42+24,A41)</f>
        <v>37980</v>
      </c>
      <c r="V41" s="71" t="n">
        <f aca="false">U41-C$3</f>
        <v>1092</v>
      </c>
      <c r="W41" s="142" t="n">
        <f aca="false">VLOOKUP($A41,Table,MATCH(W$4,Curves,0))</f>
        <v>0.058285170471645</v>
      </c>
      <c r="X41" s="147" t="n">
        <f aca="false">1/(1+CHOOSE(F$3,(W42+($K$3/10000))/2,(W41+($K$3/10000))/2))^(2*V41/365.25)</f>
        <v>0.842129273275098</v>
      </c>
      <c r="Y41" s="71" t="n">
        <f aca="false">IF(AND(mthbeg&lt;=A41,mthend&gt;=A41),1,0)</f>
        <v>1</v>
      </c>
      <c r="Z41" s="71" t="n">
        <f aca="false">T41*Y41</f>
        <v>30</v>
      </c>
      <c r="AB41" s="132" t="n">
        <f aca="false">F41*G41</f>
        <v>0</v>
      </c>
      <c r="AC41" s="132" t="n">
        <f aca="false">$F41*H41</f>
        <v>0</v>
      </c>
      <c r="AD41" s="132" t="n">
        <f aca="false">$F41*I41</f>
        <v>0</v>
      </c>
      <c r="AE41" s="132" t="n">
        <f aca="false">$F41*J41</f>
        <v>-0</v>
      </c>
      <c r="AF41" s="132" t="n">
        <f aca="false">$F41*K41</f>
        <v>-0</v>
      </c>
      <c r="AG41" s="132" t="n">
        <f aca="false">$F41*L41</f>
        <v>0</v>
      </c>
      <c r="AH41" s="132" t="n">
        <f aca="false">$F41*M41</f>
        <v>0</v>
      </c>
      <c r="AI41" s="132" t="n">
        <f aca="false">$F41*N41</f>
        <v>0</v>
      </c>
      <c r="AJ41" s="132" t="n">
        <f aca="false">F41*O41</f>
        <v>0</v>
      </c>
      <c r="AK41" s="137"/>
      <c r="AL41" s="132" t="n">
        <f aca="false">CHOOSE($G$3,AC41-AD41,AD41-AC41)</f>
        <v>0</v>
      </c>
      <c r="AM41" s="132" t="n">
        <f aca="false">CHOOSE($G$3,AF41-AG41,AG41-AF41)</f>
        <v>0</v>
      </c>
      <c r="AN41" s="132" t="n">
        <f aca="false">CHOOSE($G$3,AI41-AJ41,AJ41-AI41)</f>
        <v>0</v>
      </c>
      <c r="AO41" s="148" t="n">
        <f aca="false">SUM(AL41:AN41)</f>
        <v>0</v>
      </c>
      <c r="AQ41" s="132" t="n">
        <f aca="false">CHOOSE($G$3,AB41-AC41,AC41-AB41)</f>
        <v>0</v>
      </c>
      <c r="AR41" s="132" t="n">
        <f aca="false">CHOOSE($G$3,AE41-AF41,AF41-AE41)</f>
        <v>0</v>
      </c>
      <c r="AS41" s="132" t="n">
        <f aca="false">CHOOSE($G$3,AH41-AI41,AI41-AH41)</f>
        <v>0</v>
      </c>
      <c r="AT41" s="148" t="n">
        <f aca="false">AQ41+AR41+AS41</f>
        <v>0</v>
      </c>
      <c r="AU41" s="148"/>
      <c r="AV41" s="133" t="n">
        <f aca="false">AT41+AO41</f>
        <v>0</v>
      </c>
      <c r="AX41" s="133" t="n">
        <f aca="false">AJ41+AG41+AD41</f>
        <v>0</v>
      </c>
      <c r="AY41" s="149"/>
      <c r="AZ41" s="76" t="n">
        <f aca="false">R41*E41</f>
        <v>0</v>
      </c>
    </row>
    <row r="42" customFormat="false" ht="12.75" hidden="false" customHeight="false" outlineLevel="0" collapsed="false">
      <c r="A42" s="138" t="n">
        <f aca="false">EDATE(A41,1)</f>
        <v>37956</v>
      </c>
      <c r="B42" s="139" t="n">
        <f aca="false">VLOOKUP($A42,Table2,MATCH(I$3,Curves2,0))</f>
        <v>0</v>
      </c>
      <c r="C42" s="140"/>
      <c r="D42" s="141" t="n">
        <f aca="false">B42+C42</f>
        <v>0</v>
      </c>
      <c r="E42" s="126" t="n">
        <f aca="false">IF(Y42=0,0,IF(AND(Y42=1,$H$3=1),D42*T42,IF($H$3=2,D42,"N/A")))</f>
        <v>0</v>
      </c>
      <c r="F42" s="126" t="n">
        <f aca="false">E42*X42</f>
        <v>0</v>
      </c>
      <c r="G42" s="142" t="n">
        <f aca="false">VLOOKUP($A42,Table,MATCH(G$4,Curves,0))</f>
        <v>4.052</v>
      </c>
      <c r="H42" s="143" t="n">
        <f aca="false">G42</f>
        <v>4.052</v>
      </c>
      <c r="I42" s="142" t="n">
        <f aca="false">VLOOKUP($A42,Table1,MATCH(I$3,Curves1,0))</f>
        <v>0</v>
      </c>
      <c r="J42" s="142" t="n">
        <f aca="false">VLOOKUP($A42,Table,MATCH(J$4,Curves,0))</f>
        <v>-0.065</v>
      </c>
      <c r="K42" s="143" t="n">
        <f aca="false">J42</f>
        <v>-0.065</v>
      </c>
      <c r="L42" s="144" t="n">
        <v>0</v>
      </c>
      <c r="M42" s="142" t="n">
        <f aca="false">VLOOKUP($A42,Table,MATCH(M$4,Curves,0))</f>
        <v>0.005</v>
      </c>
      <c r="N42" s="143" t="n">
        <f aca="false">M42</f>
        <v>0.005</v>
      </c>
      <c r="O42" s="144" t="n">
        <v>0</v>
      </c>
      <c r="P42" s="145"/>
      <c r="Q42" s="144" t="n">
        <f aca="false">M42+J42+G42</f>
        <v>3.992</v>
      </c>
      <c r="R42" s="144" t="n">
        <f aca="false">O42+L42+I42</f>
        <v>0</v>
      </c>
      <c r="S42" s="145"/>
      <c r="T42" s="71" t="n">
        <f aca="false">A43-A42</f>
        <v>31</v>
      </c>
      <c r="U42" s="146" t="n">
        <f aca="false">CHOOSE(F$3,A43+24,A42)</f>
        <v>38011</v>
      </c>
      <c r="V42" s="71" t="n">
        <f aca="false">U42-C$3</f>
        <v>1123</v>
      </c>
      <c r="W42" s="142" t="n">
        <f aca="false">VLOOKUP($A42,Table,MATCH(W$4,Curves,0))</f>
        <v>0.058304281125756</v>
      </c>
      <c r="X42" s="147" t="n">
        <f aca="false">1/(1+CHOOSE(F$3,(W43+($K$3/10000))/2,(W42+($K$3/10000))/2))^(2*V42/365.25)</f>
        <v>0.837957755928416</v>
      </c>
      <c r="Y42" s="71" t="n">
        <f aca="false">IF(AND(mthbeg&lt;=A42,mthend&gt;=A42),1,0)</f>
        <v>1</v>
      </c>
      <c r="Z42" s="71" t="n">
        <f aca="false">T42*Y42</f>
        <v>31</v>
      </c>
      <c r="AB42" s="132" t="n">
        <f aca="false">F42*G42</f>
        <v>0</v>
      </c>
      <c r="AC42" s="132" t="n">
        <f aca="false">$F42*H42</f>
        <v>0</v>
      </c>
      <c r="AD42" s="132" t="n">
        <f aca="false">$F42*I42</f>
        <v>0</v>
      </c>
      <c r="AE42" s="132" t="n">
        <f aca="false">$F42*J42</f>
        <v>-0</v>
      </c>
      <c r="AF42" s="132" t="n">
        <f aca="false">$F42*K42</f>
        <v>-0</v>
      </c>
      <c r="AG42" s="132" t="n">
        <f aca="false">$F42*L42</f>
        <v>0</v>
      </c>
      <c r="AH42" s="132" t="n">
        <f aca="false">$F42*M42</f>
        <v>0</v>
      </c>
      <c r="AI42" s="132" t="n">
        <f aca="false">$F42*N42</f>
        <v>0</v>
      </c>
      <c r="AJ42" s="132" t="n">
        <f aca="false">F42*O42</f>
        <v>0</v>
      </c>
      <c r="AK42" s="137"/>
      <c r="AL42" s="132" t="n">
        <f aca="false">CHOOSE($G$3,AC42-AD42,AD42-AC42)</f>
        <v>0</v>
      </c>
      <c r="AM42" s="132" t="n">
        <f aca="false">CHOOSE($G$3,AF42-AG42,AG42-AF42)</f>
        <v>0</v>
      </c>
      <c r="AN42" s="132" t="n">
        <f aca="false">CHOOSE($G$3,AI42-AJ42,AJ42-AI42)</f>
        <v>0</v>
      </c>
      <c r="AO42" s="148" t="n">
        <f aca="false">SUM(AL42:AN42)</f>
        <v>0</v>
      </c>
      <c r="AQ42" s="132" t="n">
        <f aca="false">CHOOSE($G$3,AB42-AC42,AC42-AB42)</f>
        <v>0</v>
      </c>
      <c r="AR42" s="132" t="n">
        <f aca="false">CHOOSE($G$3,AE42-AF42,AF42-AE42)</f>
        <v>0</v>
      </c>
      <c r="AS42" s="132" t="n">
        <f aca="false">CHOOSE($G$3,AH42-AI42,AI42-AH42)</f>
        <v>0</v>
      </c>
      <c r="AT42" s="148" t="n">
        <f aca="false">AQ42+AR42+AS42</f>
        <v>0</v>
      </c>
      <c r="AU42" s="148"/>
      <c r="AV42" s="133" t="n">
        <f aca="false">AT42+AO42</f>
        <v>0</v>
      </c>
      <c r="AX42" s="133" t="n">
        <f aca="false">AJ42+AG42+AD42</f>
        <v>0</v>
      </c>
      <c r="AY42" s="149"/>
      <c r="AZ42" s="76" t="n">
        <f aca="false">R42*E42</f>
        <v>0</v>
      </c>
    </row>
    <row r="43" customFormat="false" ht="12.75" hidden="false" customHeight="false" outlineLevel="0" collapsed="false">
      <c r="A43" s="138" t="n">
        <f aca="false">EDATE(A42,1)</f>
        <v>37987</v>
      </c>
      <c r="B43" s="139" t="n">
        <f aca="false">VLOOKUP($A43,Table2,MATCH(I$3,Curves2,0))</f>
        <v>0</v>
      </c>
      <c r="C43" s="140"/>
      <c r="D43" s="141" t="n">
        <f aca="false">B43+C43</f>
        <v>0</v>
      </c>
      <c r="E43" s="126" t="n">
        <f aca="false">IF(Y43=0,0,IF(AND(Y43=1,$H$3=1),D43*T43,IF($H$3=2,D43,"N/A")))</f>
        <v>0</v>
      </c>
      <c r="F43" s="126" t="n">
        <f aca="false">E43*X43</f>
        <v>0</v>
      </c>
      <c r="G43" s="142" t="n">
        <f aca="false">VLOOKUP($A43,Table,MATCH(G$4,Curves,0))</f>
        <v>4.132</v>
      </c>
      <c r="H43" s="143" t="n">
        <f aca="false">G43</f>
        <v>4.132</v>
      </c>
      <c r="I43" s="142" t="n">
        <f aca="false">VLOOKUP($A43,Table1,MATCH(I$3,Curves1,0))</f>
        <v>0</v>
      </c>
      <c r="J43" s="142" t="n">
        <f aca="false">VLOOKUP($A43,Table,MATCH(J$4,Curves,0))</f>
        <v>-0.063</v>
      </c>
      <c r="K43" s="143" t="n">
        <f aca="false">J43</f>
        <v>-0.063</v>
      </c>
      <c r="L43" s="144" t="n">
        <v>0</v>
      </c>
      <c r="M43" s="142" t="n">
        <f aca="false">VLOOKUP($A43,Table,MATCH(M$4,Curves,0))</f>
        <v>0.01</v>
      </c>
      <c r="N43" s="143" t="n">
        <f aca="false">M43</f>
        <v>0.01</v>
      </c>
      <c r="O43" s="144" t="n">
        <v>0</v>
      </c>
      <c r="P43" s="145"/>
      <c r="Q43" s="144" t="n">
        <f aca="false">M43+J43+G43</f>
        <v>4.079</v>
      </c>
      <c r="R43" s="144" t="n">
        <f aca="false">O43+L43+I43</f>
        <v>0</v>
      </c>
      <c r="S43" s="145"/>
      <c r="T43" s="71" t="n">
        <f aca="false">A44-A43</f>
        <v>31</v>
      </c>
      <c r="U43" s="146" t="n">
        <f aca="false">CHOOSE(F$3,A44+24,A43)</f>
        <v>38042</v>
      </c>
      <c r="V43" s="71" t="n">
        <f aca="false">U43-C$3</f>
        <v>1154</v>
      </c>
      <c r="W43" s="142" t="n">
        <f aca="false">VLOOKUP($A43,Table,MATCH(W$4,Curves,0))</f>
        <v>0.058333777934929</v>
      </c>
      <c r="X43" s="147" t="n">
        <f aca="false">1/(1+CHOOSE(F$3,(W44+($K$3/10000))/2,(W43+($K$3/10000))/2))^(2*V43/365.25)</f>
        <v>0.833776228969362</v>
      </c>
      <c r="Y43" s="71" t="n">
        <f aca="false">IF(AND(mthbeg&lt;=A43,mthend&gt;=A43),1,0)</f>
        <v>1</v>
      </c>
      <c r="Z43" s="71" t="n">
        <f aca="false">T43*Y43</f>
        <v>31</v>
      </c>
      <c r="AB43" s="132" t="n">
        <f aca="false">F43*G43</f>
        <v>0</v>
      </c>
      <c r="AC43" s="132" t="n">
        <f aca="false">$F43*H43</f>
        <v>0</v>
      </c>
      <c r="AD43" s="132" t="n">
        <f aca="false">$F43*I43</f>
        <v>0</v>
      </c>
      <c r="AE43" s="132" t="n">
        <f aca="false">$F43*J43</f>
        <v>-0</v>
      </c>
      <c r="AF43" s="132" t="n">
        <f aca="false">$F43*K43</f>
        <v>-0</v>
      </c>
      <c r="AG43" s="132" t="n">
        <f aca="false">$F43*L43</f>
        <v>0</v>
      </c>
      <c r="AH43" s="132" t="n">
        <f aca="false">$F43*M43</f>
        <v>0</v>
      </c>
      <c r="AI43" s="132" t="n">
        <f aca="false">$F43*N43</f>
        <v>0</v>
      </c>
      <c r="AJ43" s="132" t="n">
        <f aca="false">F43*O43</f>
        <v>0</v>
      </c>
      <c r="AK43" s="137"/>
      <c r="AL43" s="132" t="n">
        <f aca="false">CHOOSE($G$3,AC43-AD43,AD43-AC43)</f>
        <v>0</v>
      </c>
      <c r="AM43" s="132" t="n">
        <f aca="false">CHOOSE($G$3,AF43-AG43,AG43-AF43)</f>
        <v>0</v>
      </c>
      <c r="AN43" s="132" t="n">
        <f aca="false">CHOOSE($G$3,AI43-AJ43,AJ43-AI43)</f>
        <v>0</v>
      </c>
      <c r="AO43" s="148" t="n">
        <f aca="false">SUM(AL43:AN43)</f>
        <v>0</v>
      </c>
      <c r="AQ43" s="132" t="n">
        <f aca="false">CHOOSE($G$3,AB43-AC43,AC43-AB43)</f>
        <v>0</v>
      </c>
      <c r="AR43" s="132" t="n">
        <f aca="false">CHOOSE($G$3,AE43-AF43,AF43-AE43)</f>
        <v>0</v>
      </c>
      <c r="AS43" s="132" t="n">
        <f aca="false">CHOOSE($G$3,AH43-AI43,AI43-AH43)</f>
        <v>0</v>
      </c>
      <c r="AT43" s="148" t="n">
        <f aca="false">AQ43+AR43+AS43</f>
        <v>0</v>
      </c>
      <c r="AU43" s="148"/>
      <c r="AV43" s="133" t="n">
        <f aca="false">AT43+AO43</f>
        <v>0</v>
      </c>
      <c r="AX43" s="133" t="n">
        <f aca="false">AJ43+AG43+AD43</f>
        <v>0</v>
      </c>
      <c r="AY43" s="149"/>
      <c r="AZ43" s="76" t="n">
        <f aca="false">R43*E43</f>
        <v>0</v>
      </c>
    </row>
    <row r="44" customFormat="false" ht="12.75" hidden="false" customHeight="false" outlineLevel="0" collapsed="false">
      <c r="A44" s="138" t="n">
        <f aca="false">EDATE(A43,1)</f>
        <v>38018</v>
      </c>
      <c r="B44" s="139" t="n">
        <f aca="false">VLOOKUP($A44,Table2,MATCH(I$3,Curves2,0))</f>
        <v>0</v>
      </c>
      <c r="C44" s="140"/>
      <c r="D44" s="141" t="n">
        <f aca="false">B44+C44</f>
        <v>0</v>
      </c>
      <c r="E44" s="126" t="n">
        <f aca="false">IF(Y44=0,0,IF(AND(Y44=1,$H$3=1),D44*T44,IF($H$3=2,D44,"N/A")))</f>
        <v>0</v>
      </c>
      <c r="F44" s="126" t="n">
        <f aca="false">E44*X44</f>
        <v>0</v>
      </c>
      <c r="G44" s="142" t="n">
        <f aca="false">VLOOKUP($A44,Table,MATCH(G$4,Curves,0))</f>
        <v>4.017</v>
      </c>
      <c r="H44" s="143" t="n">
        <f aca="false">G44</f>
        <v>4.017</v>
      </c>
      <c r="I44" s="142" t="n">
        <f aca="false">VLOOKUP($A44,Table1,MATCH(I$3,Curves1,0))</f>
        <v>0</v>
      </c>
      <c r="J44" s="142" t="n">
        <f aca="false">VLOOKUP($A44,Table,MATCH(J$4,Curves,0))</f>
        <v>-0.063</v>
      </c>
      <c r="K44" s="143" t="n">
        <f aca="false">J44</f>
        <v>-0.063</v>
      </c>
      <c r="L44" s="144" t="n">
        <v>0</v>
      </c>
      <c r="M44" s="142" t="n">
        <f aca="false">VLOOKUP($A44,Table,MATCH(M$4,Curves,0))</f>
        <v>0.01</v>
      </c>
      <c r="N44" s="143" t="n">
        <f aca="false">M44</f>
        <v>0.01</v>
      </c>
      <c r="O44" s="144" t="n">
        <v>0</v>
      </c>
      <c r="P44" s="145"/>
      <c r="Q44" s="144" t="n">
        <f aca="false">M44+J44+G44</f>
        <v>3.964</v>
      </c>
      <c r="R44" s="144" t="n">
        <f aca="false">O44+L44+I44</f>
        <v>0</v>
      </c>
      <c r="S44" s="145"/>
      <c r="T44" s="71" t="n">
        <f aca="false">A45-A44</f>
        <v>29</v>
      </c>
      <c r="U44" s="146" t="n">
        <f aca="false">CHOOSE(F$3,A45+24,A44)</f>
        <v>38071</v>
      </c>
      <c r="V44" s="71" t="n">
        <f aca="false">U44-C$3</f>
        <v>1183</v>
      </c>
      <c r="W44" s="142" t="n">
        <f aca="false">VLOOKUP($A44,Table,MATCH(W$4,Curves,0))</f>
        <v>0.058373673819866</v>
      </c>
      <c r="X44" s="147" t="n">
        <f aca="false">1/(1+CHOOSE(F$3,(W45+($K$3/10000))/2,(W44+($K$3/10000))/2))^(2*V44/365.25)</f>
        <v>0.829878428614467</v>
      </c>
      <c r="Y44" s="71" t="n">
        <f aca="false">IF(AND(mthbeg&lt;=A44,mthend&gt;=A44),1,0)</f>
        <v>1</v>
      </c>
      <c r="Z44" s="71" t="n">
        <f aca="false">T44*Y44</f>
        <v>29</v>
      </c>
      <c r="AB44" s="132" t="n">
        <f aca="false">F44*G44</f>
        <v>0</v>
      </c>
      <c r="AC44" s="132" t="n">
        <f aca="false">$F44*H44</f>
        <v>0</v>
      </c>
      <c r="AD44" s="132" t="n">
        <f aca="false">$F44*I44</f>
        <v>0</v>
      </c>
      <c r="AE44" s="132" t="n">
        <f aca="false">$F44*J44</f>
        <v>-0</v>
      </c>
      <c r="AF44" s="132" t="n">
        <f aca="false">$F44*K44</f>
        <v>-0</v>
      </c>
      <c r="AG44" s="132" t="n">
        <f aca="false">$F44*L44</f>
        <v>0</v>
      </c>
      <c r="AH44" s="132" t="n">
        <f aca="false">$F44*M44</f>
        <v>0</v>
      </c>
      <c r="AI44" s="132" t="n">
        <f aca="false">$F44*N44</f>
        <v>0</v>
      </c>
      <c r="AJ44" s="132" t="n">
        <f aca="false">F44*O44</f>
        <v>0</v>
      </c>
      <c r="AK44" s="137"/>
      <c r="AL44" s="132" t="n">
        <f aca="false">CHOOSE($G$3,AC44-AD44,AD44-AC44)</f>
        <v>0</v>
      </c>
      <c r="AM44" s="132" t="n">
        <f aca="false">CHOOSE($G$3,AF44-AG44,AG44-AF44)</f>
        <v>0</v>
      </c>
      <c r="AN44" s="132" t="n">
        <f aca="false">CHOOSE($G$3,AI44-AJ44,AJ44-AI44)</f>
        <v>0</v>
      </c>
      <c r="AO44" s="148" t="n">
        <f aca="false">SUM(AL44:AN44)</f>
        <v>0</v>
      </c>
      <c r="AQ44" s="132" t="n">
        <f aca="false">CHOOSE($G$3,AB44-AC44,AC44-AB44)</f>
        <v>0</v>
      </c>
      <c r="AR44" s="132" t="n">
        <f aca="false">CHOOSE($G$3,AE44-AF44,AF44-AE44)</f>
        <v>0</v>
      </c>
      <c r="AS44" s="132" t="n">
        <f aca="false">CHOOSE($G$3,AH44-AI44,AI44-AH44)</f>
        <v>0</v>
      </c>
      <c r="AT44" s="148" t="n">
        <f aca="false">AQ44+AR44+AS44</f>
        <v>0</v>
      </c>
      <c r="AU44" s="148"/>
      <c r="AV44" s="133" t="n">
        <f aca="false">AT44+AO44</f>
        <v>0</v>
      </c>
      <c r="AX44" s="133" t="n">
        <f aca="false">AJ44+AG44+AD44</f>
        <v>0</v>
      </c>
      <c r="AY44" s="149"/>
      <c r="AZ44" s="76" t="n">
        <f aca="false">R44*E44</f>
        <v>0</v>
      </c>
    </row>
    <row r="45" customFormat="false" ht="12.75" hidden="false" customHeight="false" outlineLevel="0" collapsed="false">
      <c r="A45" s="138" t="n">
        <f aca="false">EDATE(A44,1)</f>
        <v>38047</v>
      </c>
      <c r="B45" s="139" t="n">
        <f aca="false">VLOOKUP($A45,Table2,MATCH(I$3,Curves2,0))</f>
        <v>0</v>
      </c>
      <c r="C45" s="140"/>
      <c r="D45" s="141" t="n">
        <f aca="false">B45+C45</f>
        <v>0</v>
      </c>
      <c r="E45" s="126" t="n">
        <f aca="false">IF(Y45=0,0,IF(AND(Y45=1,$H$3=1),D45*T45,IF($H$3=2,D45,"N/A")))</f>
        <v>0</v>
      </c>
      <c r="F45" s="126" t="n">
        <f aca="false">E45*X45</f>
        <v>0</v>
      </c>
      <c r="G45" s="142" t="n">
        <f aca="false">VLOOKUP($A45,Table,MATCH(G$4,Curves,0))</f>
        <v>3.877</v>
      </c>
      <c r="H45" s="143" t="n">
        <f aca="false">G45</f>
        <v>3.877</v>
      </c>
      <c r="I45" s="142" t="n">
        <f aca="false">VLOOKUP($A45,Table1,MATCH(I$3,Curves1,0))</f>
        <v>0</v>
      </c>
      <c r="J45" s="142" t="n">
        <f aca="false">VLOOKUP($A45,Table,MATCH(J$4,Curves,0))</f>
        <v>-0.063</v>
      </c>
      <c r="K45" s="143" t="n">
        <f aca="false">J45</f>
        <v>-0.063</v>
      </c>
      <c r="L45" s="144" t="n">
        <v>0</v>
      </c>
      <c r="M45" s="142" t="n">
        <f aca="false">VLOOKUP($A45,Table,MATCH(M$4,Curves,0))</f>
        <v>0.01</v>
      </c>
      <c r="N45" s="143" t="n">
        <f aca="false">M45</f>
        <v>0.01</v>
      </c>
      <c r="O45" s="144" t="n">
        <v>0</v>
      </c>
      <c r="P45" s="145"/>
      <c r="Q45" s="144" t="n">
        <f aca="false">M45+J45+G45</f>
        <v>3.824</v>
      </c>
      <c r="R45" s="144" t="n">
        <f aca="false">O45+L45+I45</f>
        <v>0</v>
      </c>
      <c r="S45" s="145"/>
      <c r="T45" s="71" t="n">
        <f aca="false">A46-A45</f>
        <v>31</v>
      </c>
      <c r="U45" s="146" t="n">
        <f aca="false">CHOOSE(F$3,A46+24,A45)</f>
        <v>38102</v>
      </c>
      <c r="V45" s="71" t="n">
        <f aca="false">U45-C$3</f>
        <v>1214</v>
      </c>
      <c r="W45" s="142" t="n">
        <f aca="false">VLOOKUP($A45,Table,MATCH(W$4,Curves,0))</f>
        <v>0.058410995777223</v>
      </c>
      <c r="X45" s="147" t="n">
        <f aca="false">1/(1+CHOOSE(F$3,(W46+($K$3/10000))/2,(W45+($K$3/10000))/2))^(2*V45/365.25)</f>
        <v>0.825748816967081</v>
      </c>
      <c r="Y45" s="71" t="n">
        <f aca="false">IF(AND(mthbeg&lt;=A45,mthend&gt;=A45),1,0)</f>
        <v>1</v>
      </c>
      <c r="Z45" s="71" t="n">
        <f aca="false">T45*Y45</f>
        <v>31</v>
      </c>
      <c r="AB45" s="132" t="n">
        <f aca="false">F45*G45</f>
        <v>0</v>
      </c>
      <c r="AC45" s="132" t="n">
        <f aca="false">$F45*H45</f>
        <v>0</v>
      </c>
      <c r="AD45" s="132" t="n">
        <f aca="false">$F45*I45</f>
        <v>0</v>
      </c>
      <c r="AE45" s="132" t="n">
        <f aca="false">$F45*J45</f>
        <v>-0</v>
      </c>
      <c r="AF45" s="132" t="n">
        <f aca="false">$F45*K45</f>
        <v>-0</v>
      </c>
      <c r="AG45" s="132" t="n">
        <f aca="false">$F45*L45</f>
        <v>0</v>
      </c>
      <c r="AH45" s="132" t="n">
        <f aca="false">$F45*M45</f>
        <v>0</v>
      </c>
      <c r="AI45" s="132" t="n">
        <f aca="false">$F45*N45</f>
        <v>0</v>
      </c>
      <c r="AJ45" s="132" t="n">
        <f aca="false">F45*O45</f>
        <v>0</v>
      </c>
      <c r="AK45" s="137"/>
      <c r="AL45" s="132" t="n">
        <f aca="false">CHOOSE($G$3,AC45-AD45,AD45-AC45)</f>
        <v>0</v>
      </c>
      <c r="AM45" s="132" t="n">
        <f aca="false">CHOOSE($G$3,AF45-AG45,AG45-AF45)</f>
        <v>0</v>
      </c>
      <c r="AN45" s="132" t="n">
        <f aca="false">CHOOSE($G$3,AI45-AJ45,AJ45-AI45)</f>
        <v>0</v>
      </c>
      <c r="AO45" s="148" t="n">
        <f aca="false">SUM(AL45:AN45)</f>
        <v>0</v>
      </c>
      <c r="AQ45" s="132" t="n">
        <f aca="false">CHOOSE($G$3,AB45-AC45,AC45-AB45)</f>
        <v>0</v>
      </c>
      <c r="AR45" s="132" t="n">
        <f aca="false">CHOOSE($G$3,AE45-AF45,AF45-AE45)</f>
        <v>0</v>
      </c>
      <c r="AS45" s="132" t="n">
        <f aca="false">CHOOSE($G$3,AH45-AI45,AI45-AH45)</f>
        <v>0</v>
      </c>
      <c r="AT45" s="148" t="n">
        <f aca="false">AQ45+AR45+AS45</f>
        <v>0</v>
      </c>
      <c r="AU45" s="148"/>
      <c r="AV45" s="133" t="n">
        <f aca="false">AT45+AO45</f>
        <v>0</v>
      </c>
      <c r="AX45" s="133" t="n">
        <f aca="false">AJ45+AG45+AD45</f>
        <v>0</v>
      </c>
      <c r="AY45" s="149"/>
      <c r="AZ45" s="76" t="n">
        <f aca="false">R45*E45</f>
        <v>0</v>
      </c>
    </row>
    <row r="46" customFormat="false" ht="12.75" hidden="false" customHeight="false" outlineLevel="0" collapsed="false">
      <c r="A46" s="138" t="n">
        <f aca="false">EDATE(A45,1)</f>
        <v>38078</v>
      </c>
      <c r="B46" s="139" t="n">
        <f aca="false">VLOOKUP($A46,Table2,MATCH(I$3,Curves2,0))</f>
        <v>0</v>
      </c>
      <c r="C46" s="140"/>
      <c r="D46" s="141" t="n">
        <f aca="false">B46+C46</f>
        <v>0</v>
      </c>
      <c r="E46" s="126" t="n">
        <f aca="false">IF(Y46=0,0,IF(AND(Y46=1,$H$3=1),D46*T46,IF($H$3=2,D46,"N/A")))</f>
        <v>0</v>
      </c>
      <c r="F46" s="126" t="n">
        <f aca="false">E46*X46</f>
        <v>0</v>
      </c>
      <c r="G46" s="142" t="n">
        <f aca="false">VLOOKUP($A46,Table,MATCH(G$4,Curves,0))</f>
        <v>3.682</v>
      </c>
      <c r="H46" s="143" t="n">
        <f aca="false">G46</f>
        <v>3.682</v>
      </c>
      <c r="I46" s="142" t="n">
        <f aca="false">VLOOKUP($A46,Table1,MATCH(I$3,Curves1,0))</f>
        <v>0</v>
      </c>
      <c r="J46" s="142" t="n">
        <f aca="false">VLOOKUP($A46,Table,MATCH(J$4,Curves,0))</f>
        <v>-0.063</v>
      </c>
      <c r="K46" s="143" t="n">
        <f aca="false">J46</f>
        <v>-0.063</v>
      </c>
      <c r="L46" s="144" t="n">
        <v>0</v>
      </c>
      <c r="M46" s="142" t="n">
        <f aca="false">VLOOKUP($A46,Table,MATCH(M$4,Curves,0))</f>
        <v>0.0075</v>
      </c>
      <c r="N46" s="143" t="n">
        <f aca="false">M46</f>
        <v>0.0075</v>
      </c>
      <c r="O46" s="144" t="n">
        <v>0</v>
      </c>
      <c r="P46" s="145"/>
      <c r="Q46" s="144" t="n">
        <f aca="false">M46+J46+G46</f>
        <v>3.6265</v>
      </c>
      <c r="R46" s="144" t="n">
        <f aca="false">O46+L46+I46</f>
        <v>0</v>
      </c>
      <c r="S46" s="145"/>
      <c r="T46" s="71" t="n">
        <f aca="false">A47-A46</f>
        <v>30</v>
      </c>
      <c r="U46" s="146" t="n">
        <f aca="false">CHOOSE(F$3,A47+24,A46)</f>
        <v>38132</v>
      </c>
      <c r="V46" s="71" t="n">
        <f aca="false">U46-C$3</f>
        <v>1244</v>
      </c>
      <c r="W46" s="142" t="n">
        <f aca="false">VLOOKUP($A46,Table,MATCH(W$4,Curves,0))</f>
        <v>0.05844259999348</v>
      </c>
      <c r="X46" s="147" t="n">
        <f aca="false">1/(1+CHOOSE(F$3,(W47+($K$3/10000))/2,(W46+($K$3/10000))/2))^(2*V46/365.25)</f>
        <v>0.82179118412241</v>
      </c>
      <c r="Y46" s="71" t="n">
        <f aca="false">IF(AND(mthbeg&lt;=A46,mthend&gt;=A46),1,0)</f>
        <v>1</v>
      </c>
      <c r="Z46" s="71" t="n">
        <f aca="false">T46*Y46</f>
        <v>30</v>
      </c>
      <c r="AB46" s="132" t="n">
        <f aca="false">F46*G46</f>
        <v>0</v>
      </c>
      <c r="AC46" s="132" t="n">
        <f aca="false">$F46*H46</f>
        <v>0</v>
      </c>
      <c r="AD46" s="132" t="n">
        <f aca="false">$F46*I46</f>
        <v>0</v>
      </c>
      <c r="AE46" s="132" t="n">
        <f aca="false">$F46*J46</f>
        <v>-0</v>
      </c>
      <c r="AF46" s="132" t="n">
        <f aca="false">$F46*K46</f>
        <v>-0</v>
      </c>
      <c r="AG46" s="132" t="n">
        <f aca="false">$F46*L46</f>
        <v>0</v>
      </c>
      <c r="AH46" s="132" t="n">
        <f aca="false">$F46*M46</f>
        <v>0</v>
      </c>
      <c r="AI46" s="132" t="n">
        <f aca="false">$F46*N46</f>
        <v>0</v>
      </c>
      <c r="AJ46" s="132" t="n">
        <f aca="false">F46*O46</f>
        <v>0</v>
      </c>
      <c r="AK46" s="137"/>
      <c r="AL46" s="132" t="n">
        <f aca="false">CHOOSE($G$3,AC46-AD46,AD46-AC46)</f>
        <v>0</v>
      </c>
      <c r="AM46" s="132" t="n">
        <f aca="false">CHOOSE($G$3,AF46-AG46,AG46-AF46)</f>
        <v>0</v>
      </c>
      <c r="AN46" s="132" t="n">
        <f aca="false">CHOOSE($G$3,AI46-AJ46,AJ46-AI46)</f>
        <v>0</v>
      </c>
      <c r="AO46" s="148" t="n">
        <f aca="false">SUM(AL46:AN46)</f>
        <v>0</v>
      </c>
      <c r="AQ46" s="132" t="n">
        <f aca="false">CHOOSE($G$3,AB46-AC46,AC46-AB46)</f>
        <v>0</v>
      </c>
      <c r="AR46" s="132" t="n">
        <f aca="false">CHOOSE($G$3,AE46-AF46,AF46-AE46)</f>
        <v>0</v>
      </c>
      <c r="AS46" s="132" t="n">
        <f aca="false">CHOOSE($G$3,AH46-AI46,AI46-AH46)</f>
        <v>0</v>
      </c>
      <c r="AT46" s="148" t="n">
        <f aca="false">AQ46+AR46+AS46</f>
        <v>0</v>
      </c>
      <c r="AU46" s="148"/>
      <c r="AV46" s="133" t="n">
        <f aca="false">AT46+AO46</f>
        <v>0</v>
      </c>
      <c r="AX46" s="133" t="n">
        <f aca="false">AJ46+AG46+AD46</f>
        <v>0</v>
      </c>
      <c r="AY46" s="149"/>
      <c r="AZ46" s="76" t="n">
        <f aca="false">R46*E46</f>
        <v>0</v>
      </c>
    </row>
    <row r="47" customFormat="false" ht="12.75" hidden="false" customHeight="false" outlineLevel="0" collapsed="false">
      <c r="A47" s="138" t="n">
        <f aca="false">EDATE(A46,1)</f>
        <v>38108</v>
      </c>
      <c r="B47" s="139" t="n">
        <f aca="false">VLOOKUP($A47,Table2,MATCH(I$3,Curves2,0))</f>
        <v>0</v>
      </c>
      <c r="C47" s="140"/>
      <c r="D47" s="141" t="n">
        <f aca="false">B47+C47</f>
        <v>0</v>
      </c>
      <c r="E47" s="126" t="n">
        <f aca="false">IF(Y47=0,0,IF(AND(Y47=1,$H$3=1),D47*T47,IF($H$3=2,D47,"N/A")))</f>
        <v>0</v>
      </c>
      <c r="F47" s="126" t="n">
        <f aca="false">E47*X47</f>
        <v>0</v>
      </c>
      <c r="G47" s="142" t="n">
        <f aca="false">VLOOKUP($A47,Table,MATCH(G$4,Curves,0))</f>
        <v>3.637</v>
      </c>
      <c r="H47" s="143" t="n">
        <f aca="false">G47</f>
        <v>3.637</v>
      </c>
      <c r="I47" s="142" t="n">
        <f aca="false">VLOOKUP($A47,Table1,MATCH(I$3,Curves1,0))</f>
        <v>0</v>
      </c>
      <c r="J47" s="142" t="n">
        <f aca="false">VLOOKUP($A47,Table,MATCH(J$4,Curves,0))</f>
        <v>-0.063</v>
      </c>
      <c r="K47" s="143" t="n">
        <f aca="false">J47</f>
        <v>-0.063</v>
      </c>
      <c r="L47" s="144" t="n">
        <v>0</v>
      </c>
      <c r="M47" s="142" t="n">
        <f aca="false">VLOOKUP($A47,Table,MATCH(M$4,Curves,0))</f>
        <v>0.0075</v>
      </c>
      <c r="N47" s="143" t="n">
        <f aca="false">M47</f>
        <v>0.0075</v>
      </c>
      <c r="O47" s="144" t="n">
        <v>0</v>
      </c>
      <c r="P47" s="145"/>
      <c r="Q47" s="144" t="n">
        <f aca="false">M47+J47+G47</f>
        <v>3.5815</v>
      </c>
      <c r="R47" s="144" t="n">
        <f aca="false">O47+L47+I47</f>
        <v>0</v>
      </c>
      <c r="S47" s="145"/>
      <c r="T47" s="71" t="n">
        <f aca="false">A48-A47</f>
        <v>31</v>
      </c>
      <c r="U47" s="146" t="n">
        <f aca="false">CHOOSE(F$3,A48+24,A47)</f>
        <v>38163</v>
      </c>
      <c r="V47" s="71" t="n">
        <f aca="false">U47-C$3</f>
        <v>1275</v>
      </c>
      <c r="W47" s="142" t="n">
        <f aca="false">VLOOKUP($A47,Table,MATCH(W$4,Curves,0))</f>
        <v>0.058464625576222</v>
      </c>
      <c r="X47" s="147" t="n">
        <f aca="false">1/(1+CHOOSE(F$3,(W48+($K$3/10000))/2,(W47+($K$3/10000))/2))^(2*V47/365.25)</f>
        <v>0.817718536854636</v>
      </c>
      <c r="Y47" s="71" t="n">
        <f aca="false">IF(AND(mthbeg&lt;=A47,mthend&gt;=A47),1,0)</f>
        <v>1</v>
      </c>
      <c r="Z47" s="71" t="n">
        <f aca="false">T47*Y47</f>
        <v>31</v>
      </c>
      <c r="AB47" s="132" t="n">
        <f aca="false">F47*G47</f>
        <v>0</v>
      </c>
      <c r="AC47" s="132" t="n">
        <f aca="false">$F47*H47</f>
        <v>0</v>
      </c>
      <c r="AD47" s="132" t="n">
        <f aca="false">$F47*I47</f>
        <v>0</v>
      </c>
      <c r="AE47" s="132" t="n">
        <f aca="false">$F47*J47</f>
        <v>-0</v>
      </c>
      <c r="AF47" s="132" t="n">
        <f aca="false">$F47*K47</f>
        <v>-0</v>
      </c>
      <c r="AG47" s="132" t="n">
        <f aca="false">$F47*L47</f>
        <v>0</v>
      </c>
      <c r="AH47" s="132" t="n">
        <f aca="false">$F47*M47</f>
        <v>0</v>
      </c>
      <c r="AI47" s="132" t="n">
        <f aca="false">$F47*N47</f>
        <v>0</v>
      </c>
      <c r="AJ47" s="132" t="n">
        <f aca="false">F47*O47</f>
        <v>0</v>
      </c>
      <c r="AK47" s="137"/>
      <c r="AL47" s="132" t="n">
        <f aca="false">CHOOSE($G$3,AC47-AD47,AD47-AC47)</f>
        <v>0</v>
      </c>
      <c r="AM47" s="132" t="n">
        <f aca="false">CHOOSE($G$3,AF47-AG47,AG47-AF47)</f>
        <v>0</v>
      </c>
      <c r="AN47" s="132" t="n">
        <f aca="false">CHOOSE($G$3,AI47-AJ47,AJ47-AI47)</f>
        <v>0</v>
      </c>
      <c r="AO47" s="148" t="n">
        <f aca="false">SUM(AL47:AN47)</f>
        <v>0</v>
      </c>
      <c r="AQ47" s="132" t="n">
        <f aca="false">CHOOSE($G$3,AB47-AC47,AC47-AB47)</f>
        <v>0</v>
      </c>
      <c r="AR47" s="132" t="n">
        <f aca="false">CHOOSE($G$3,AE47-AF47,AF47-AE47)</f>
        <v>0</v>
      </c>
      <c r="AS47" s="132" t="n">
        <f aca="false">CHOOSE($G$3,AH47-AI47,AI47-AH47)</f>
        <v>0</v>
      </c>
      <c r="AT47" s="148" t="n">
        <f aca="false">AQ47+AR47+AS47</f>
        <v>0</v>
      </c>
      <c r="AU47" s="148"/>
      <c r="AV47" s="133" t="n">
        <f aca="false">AT47+AO47</f>
        <v>0</v>
      </c>
      <c r="AX47" s="133" t="n">
        <f aca="false">AJ47+AG47+AD47</f>
        <v>0</v>
      </c>
      <c r="AY47" s="149"/>
      <c r="AZ47" s="76" t="n">
        <f aca="false">R47*E47</f>
        <v>0</v>
      </c>
    </row>
    <row r="48" customFormat="false" ht="12.75" hidden="false" customHeight="false" outlineLevel="0" collapsed="false">
      <c r="A48" s="138" t="n">
        <f aca="false">EDATE(A47,1)</f>
        <v>38139</v>
      </c>
      <c r="B48" s="139" t="n">
        <f aca="false">VLOOKUP($A48,Table2,MATCH(I$3,Curves2,0))</f>
        <v>0</v>
      </c>
      <c r="C48" s="140"/>
      <c r="D48" s="141" t="n">
        <f aca="false">B48+C48</f>
        <v>0</v>
      </c>
      <c r="E48" s="126" t="n">
        <f aca="false">IF(Y48=0,0,IF(AND(Y48=1,$H$3=1),D48*T48,IF($H$3=2,D48,"N/A")))</f>
        <v>0</v>
      </c>
      <c r="F48" s="126" t="n">
        <f aca="false">E48*X48</f>
        <v>0</v>
      </c>
      <c r="G48" s="142" t="n">
        <f aca="false">VLOOKUP($A48,Table,MATCH(G$4,Curves,0))</f>
        <v>3.657</v>
      </c>
      <c r="H48" s="143" t="n">
        <f aca="false">G48</f>
        <v>3.657</v>
      </c>
      <c r="I48" s="142" t="n">
        <f aca="false">VLOOKUP($A48,Table1,MATCH(I$3,Curves1,0))</f>
        <v>0</v>
      </c>
      <c r="J48" s="142" t="n">
        <f aca="false">VLOOKUP($A48,Table,MATCH(J$4,Curves,0))</f>
        <v>-0.063</v>
      </c>
      <c r="K48" s="143" t="n">
        <f aca="false">J48</f>
        <v>-0.063</v>
      </c>
      <c r="L48" s="144" t="n">
        <v>0</v>
      </c>
      <c r="M48" s="142" t="n">
        <f aca="false">VLOOKUP($A48,Table,MATCH(M$4,Curves,0))</f>
        <v>0.0075</v>
      </c>
      <c r="N48" s="143" t="n">
        <f aca="false">M48</f>
        <v>0.0075</v>
      </c>
      <c r="O48" s="144" t="n">
        <v>0</v>
      </c>
      <c r="P48" s="145"/>
      <c r="Q48" s="144" t="n">
        <f aca="false">M48+J48+G48</f>
        <v>3.6015</v>
      </c>
      <c r="R48" s="144" t="n">
        <f aca="false">O48+L48+I48</f>
        <v>0</v>
      </c>
      <c r="S48" s="145"/>
      <c r="T48" s="71" t="n">
        <f aca="false">A49-A48</f>
        <v>30</v>
      </c>
      <c r="U48" s="146" t="n">
        <f aca="false">CHOOSE(F$3,A49+24,A48)</f>
        <v>38193</v>
      </c>
      <c r="V48" s="71" t="n">
        <f aca="false">U48-C$3</f>
        <v>1305</v>
      </c>
      <c r="W48" s="142" t="n">
        <f aca="false">VLOOKUP($A48,Table,MATCH(W$4,Curves,0))</f>
        <v>0.058487385345225</v>
      </c>
      <c r="X48" s="147" t="n">
        <f aca="false">1/(1+CHOOSE(F$3,(W49+($K$3/10000))/2,(W48+($K$3/10000))/2))^(2*V48/365.25)</f>
        <v>0.813788582416761</v>
      </c>
      <c r="Y48" s="71" t="n">
        <f aca="false">IF(AND(mthbeg&lt;=A48,mthend&gt;=A48),1,0)</f>
        <v>1</v>
      </c>
      <c r="Z48" s="71" t="n">
        <f aca="false">T48*Y48</f>
        <v>30</v>
      </c>
      <c r="AB48" s="132" t="n">
        <f aca="false">F48*G48</f>
        <v>0</v>
      </c>
      <c r="AC48" s="132" t="n">
        <f aca="false">$F48*H48</f>
        <v>0</v>
      </c>
      <c r="AD48" s="132" t="n">
        <f aca="false">$F48*I48</f>
        <v>0</v>
      </c>
      <c r="AE48" s="132" t="n">
        <f aca="false">$F48*J48</f>
        <v>-0</v>
      </c>
      <c r="AF48" s="132" t="n">
        <f aca="false">$F48*K48</f>
        <v>-0</v>
      </c>
      <c r="AG48" s="132" t="n">
        <f aca="false">$F48*L48</f>
        <v>0</v>
      </c>
      <c r="AH48" s="132" t="n">
        <f aca="false">$F48*M48</f>
        <v>0</v>
      </c>
      <c r="AI48" s="132" t="n">
        <f aca="false">$F48*N48</f>
        <v>0</v>
      </c>
      <c r="AJ48" s="132" t="n">
        <f aca="false">F48*O48</f>
        <v>0</v>
      </c>
      <c r="AK48" s="137"/>
      <c r="AL48" s="132" t="n">
        <f aca="false">CHOOSE($G$3,AC48-AD48,AD48-AC48)</f>
        <v>0</v>
      </c>
      <c r="AM48" s="132" t="n">
        <f aca="false">CHOOSE($G$3,AF48-AG48,AG48-AF48)</f>
        <v>0</v>
      </c>
      <c r="AN48" s="132" t="n">
        <f aca="false">CHOOSE($G$3,AI48-AJ48,AJ48-AI48)</f>
        <v>0</v>
      </c>
      <c r="AO48" s="148" t="n">
        <f aca="false">SUM(AL48:AN48)</f>
        <v>0</v>
      </c>
      <c r="AQ48" s="132" t="n">
        <f aca="false">CHOOSE($G$3,AB48-AC48,AC48-AB48)</f>
        <v>0</v>
      </c>
      <c r="AR48" s="132" t="n">
        <f aca="false">CHOOSE($G$3,AE48-AF48,AF48-AE48)</f>
        <v>0</v>
      </c>
      <c r="AS48" s="132" t="n">
        <f aca="false">CHOOSE($G$3,AH48-AI48,AI48-AH48)</f>
        <v>0</v>
      </c>
      <c r="AT48" s="148" t="n">
        <f aca="false">AQ48+AR48+AS48</f>
        <v>0</v>
      </c>
      <c r="AU48" s="148"/>
      <c r="AV48" s="133" t="n">
        <f aca="false">AT48+AO48</f>
        <v>0</v>
      </c>
      <c r="AX48" s="133" t="n">
        <f aca="false">AJ48+AG48+AD48</f>
        <v>0</v>
      </c>
      <c r="AY48" s="149"/>
      <c r="AZ48" s="76" t="n">
        <f aca="false">R48*E48</f>
        <v>0</v>
      </c>
    </row>
    <row r="49" customFormat="false" ht="12.75" hidden="false" customHeight="false" outlineLevel="0" collapsed="false">
      <c r="A49" s="138" t="n">
        <f aca="false">EDATE(A48,1)</f>
        <v>38169</v>
      </c>
      <c r="B49" s="139" t="n">
        <f aca="false">VLOOKUP($A49,Table2,MATCH(I$3,Curves2,0))</f>
        <v>0</v>
      </c>
      <c r="C49" s="140"/>
      <c r="D49" s="141" t="n">
        <f aca="false">B49+C49</f>
        <v>0</v>
      </c>
      <c r="E49" s="126" t="n">
        <f aca="false">IF(Y49=0,0,IF(AND(Y49=1,$H$3=1),D49*T49,IF($H$3=2,D49,"N/A")))</f>
        <v>0</v>
      </c>
      <c r="F49" s="126" t="n">
        <f aca="false">E49*X49</f>
        <v>0</v>
      </c>
      <c r="G49" s="142" t="n">
        <f aca="false">VLOOKUP($A49,Table,MATCH(G$4,Curves,0))</f>
        <v>3.672</v>
      </c>
      <c r="H49" s="143" t="n">
        <f aca="false">G49</f>
        <v>3.672</v>
      </c>
      <c r="I49" s="142" t="n">
        <f aca="false">VLOOKUP($A49,Table1,MATCH(I$3,Curves1,0))</f>
        <v>0</v>
      </c>
      <c r="J49" s="142" t="n">
        <f aca="false">VLOOKUP($A49,Table,MATCH(J$4,Curves,0))</f>
        <v>-0.063</v>
      </c>
      <c r="K49" s="143" t="n">
        <f aca="false">J49</f>
        <v>-0.063</v>
      </c>
      <c r="L49" s="144" t="n">
        <v>0</v>
      </c>
      <c r="M49" s="142" t="n">
        <f aca="false">VLOOKUP($A49,Table,MATCH(M$4,Curves,0))</f>
        <v>0.0075</v>
      </c>
      <c r="N49" s="143" t="n">
        <f aca="false">M49</f>
        <v>0.0075</v>
      </c>
      <c r="O49" s="144" t="n">
        <v>0</v>
      </c>
      <c r="P49" s="145"/>
      <c r="Q49" s="144" t="n">
        <f aca="false">M49+J49+G49</f>
        <v>3.6165</v>
      </c>
      <c r="R49" s="144" t="n">
        <f aca="false">O49+L49+I49</f>
        <v>0</v>
      </c>
      <c r="S49" s="145"/>
      <c r="T49" s="71" t="n">
        <f aca="false">A50-A49</f>
        <v>31</v>
      </c>
      <c r="U49" s="146" t="n">
        <f aca="false">CHOOSE(F$3,A50+24,A49)</f>
        <v>38224</v>
      </c>
      <c r="V49" s="71" t="n">
        <f aca="false">U49-C$3</f>
        <v>1336</v>
      </c>
      <c r="W49" s="142" t="n">
        <f aca="false">VLOOKUP($A49,Table,MATCH(W$4,Curves,0))</f>
        <v>0.058511178500586</v>
      </c>
      <c r="X49" s="147" t="n">
        <f aca="false">1/(1+CHOOSE(F$3,(W50+($K$3/10000))/2,(W49+($K$3/10000))/2))^(2*V49/365.25)</f>
        <v>0.809738650904168</v>
      </c>
      <c r="Y49" s="71" t="n">
        <f aca="false">IF(AND(mthbeg&lt;=A49,mthend&gt;=A49),1,0)</f>
        <v>1</v>
      </c>
      <c r="Z49" s="71" t="n">
        <f aca="false">T49*Y49</f>
        <v>31</v>
      </c>
      <c r="AB49" s="132" t="n">
        <f aca="false">F49*G49</f>
        <v>0</v>
      </c>
      <c r="AC49" s="132" t="n">
        <f aca="false">$F49*H49</f>
        <v>0</v>
      </c>
      <c r="AD49" s="132" t="n">
        <f aca="false">$F49*I49</f>
        <v>0</v>
      </c>
      <c r="AE49" s="132" t="n">
        <f aca="false">$F49*J49</f>
        <v>-0</v>
      </c>
      <c r="AF49" s="132" t="n">
        <f aca="false">$F49*K49</f>
        <v>-0</v>
      </c>
      <c r="AG49" s="132" t="n">
        <f aca="false">$F49*L49</f>
        <v>0</v>
      </c>
      <c r="AH49" s="132" t="n">
        <f aca="false">$F49*M49</f>
        <v>0</v>
      </c>
      <c r="AI49" s="132" t="n">
        <f aca="false">$F49*N49</f>
        <v>0</v>
      </c>
      <c r="AJ49" s="132" t="n">
        <f aca="false">F49*O49</f>
        <v>0</v>
      </c>
      <c r="AK49" s="137"/>
      <c r="AL49" s="132" t="n">
        <f aca="false">CHOOSE($G$3,AC49-AD49,AD49-AC49)</f>
        <v>0</v>
      </c>
      <c r="AM49" s="132" t="n">
        <f aca="false">CHOOSE($G$3,AF49-AG49,AG49-AF49)</f>
        <v>0</v>
      </c>
      <c r="AN49" s="132" t="n">
        <f aca="false">CHOOSE($G$3,AI49-AJ49,AJ49-AI49)</f>
        <v>0</v>
      </c>
      <c r="AO49" s="148" t="n">
        <f aca="false">SUM(AL49:AN49)</f>
        <v>0</v>
      </c>
      <c r="AQ49" s="132" t="n">
        <f aca="false">CHOOSE($G$3,AB49-AC49,AC49-AB49)</f>
        <v>0</v>
      </c>
      <c r="AR49" s="132" t="n">
        <f aca="false">CHOOSE($G$3,AE49-AF49,AF49-AE49)</f>
        <v>0</v>
      </c>
      <c r="AS49" s="132" t="n">
        <f aca="false">CHOOSE($G$3,AH49-AI49,AI49-AH49)</f>
        <v>0</v>
      </c>
      <c r="AT49" s="148" t="n">
        <f aca="false">AQ49+AR49+AS49</f>
        <v>0</v>
      </c>
      <c r="AU49" s="148"/>
      <c r="AV49" s="133" t="n">
        <f aca="false">AT49+AO49</f>
        <v>0</v>
      </c>
      <c r="AX49" s="133" t="n">
        <f aca="false">AJ49+AG49+AD49</f>
        <v>0</v>
      </c>
      <c r="AY49" s="149"/>
      <c r="AZ49" s="76" t="n">
        <f aca="false">R49*E49</f>
        <v>0</v>
      </c>
    </row>
    <row r="50" customFormat="false" ht="12.75" hidden="false" customHeight="false" outlineLevel="0" collapsed="false">
      <c r="A50" s="138" t="n">
        <f aca="false">EDATE(A49,1)</f>
        <v>38200</v>
      </c>
      <c r="B50" s="139" t="n">
        <f aca="false">VLOOKUP($A50,Table2,MATCH(I$3,Curves2,0))</f>
        <v>0</v>
      </c>
      <c r="C50" s="140"/>
      <c r="D50" s="141" t="n">
        <f aca="false">B50+C50</f>
        <v>0</v>
      </c>
      <c r="E50" s="126" t="n">
        <f aca="false">IF(Y50=0,0,IF(AND(Y50=1,$H$3=1),D50*T50,IF($H$3=2,D50,"N/A")))</f>
        <v>0</v>
      </c>
      <c r="F50" s="126" t="n">
        <f aca="false">E50*X50</f>
        <v>0</v>
      </c>
      <c r="G50" s="142" t="n">
        <f aca="false">VLOOKUP($A50,Table,MATCH(G$4,Curves,0))</f>
        <v>3.682</v>
      </c>
      <c r="H50" s="143" t="n">
        <f aca="false">G50</f>
        <v>3.682</v>
      </c>
      <c r="I50" s="142" t="n">
        <f aca="false">VLOOKUP($A50,Table1,MATCH(I$3,Curves1,0))</f>
        <v>0</v>
      </c>
      <c r="J50" s="142" t="n">
        <f aca="false">VLOOKUP($A50,Table,MATCH(J$4,Curves,0))</f>
        <v>-0.063</v>
      </c>
      <c r="K50" s="143" t="n">
        <f aca="false">J50</f>
        <v>-0.063</v>
      </c>
      <c r="L50" s="144" t="n">
        <v>0</v>
      </c>
      <c r="M50" s="142" t="n">
        <f aca="false">VLOOKUP($A50,Table,MATCH(M$4,Curves,0))</f>
        <v>0.0075</v>
      </c>
      <c r="N50" s="143" t="n">
        <f aca="false">M50</f>
        <v>0.0075</v>
      </c>
      <c r="O50" s="144" t="n">
        <v>0</v>
      </c>
      <c r="P50" s="145"/>
      <c r="Q50" s="144" t="n">
        <f aca="false">M50+J50+G50</f>
        <v>3.6265</v>
      </c>
      <c r="R50" s="144" t="n">
        <f aca="false">O50+L50+I50</f>
        <v>0</v>
      </c>
      <c r="S50" s="145"/>
      <c r="T50" s="71" t="n">
        <f aca="false">A51-A50</f>
        <v>31</v>
      </c>
      <c r="U50" s="146" t="n">
        <f aca="false">CHOOSE(F$3,A51+24,A50)</f>
        <v>38255</v>
      </c>
      <c r="V50" s="71" t="n">
        <f aca="false">U50-C$3</f>
        <v>1367</v>
      </c>
      <c r="W50" s="142" t="n">
        <f aca="false">VLOOKUP($A50,Table,MATCH(W$4,Curves,0))</f>
        <v>0.058537707389653</v>
      </c>
      <c r="X50" s="147" t="n">
        <f aca="false">1/(1+CHOOSE(F$3,(W51+($K$3/10000))/2,(W50+($K$3/10000))/2))^(2*V50/365.25)</f>
        <v>0.805705350335172</v>
      </c>
      <c r="Y50" s="71" t="n">
        <f aca="false">IF(AND(mthbeg&lt;=A50,mthend&gt;=A50),1,0)</f>
        <v>1</v>
      </c>
      <c r="Z50" s="71" t="n">
        <f aca="false">T50*Y50</f>
        <v>31</v>
      </c>
      <c r="AB50" s="132" t="n">
        <f aca="false">F50*G50</f>
        <v>0</v>
      </c>
      <c r="AC50" s="132" t="n">
        <f aca="false">$F50*H50</f>
        <v>0</v>
      </c>
      <c r="AD50" s="132" t="n">
        <f aca="false">$F50*I50</f>
        <v>0</v>
      </c>
      <c r="AE50" s="132" t="n">
        <f aca="false">$F50*J50</f>
        <v>-0</v>
      </c>
      <c r="AF50" s="132" t="n">
        <f aca="false">$F50*K50</f>
        <v>-0</v>
      </c>
      <c r="AG50" s="132" t="n">
        <f aca="false">$F50*L50</f>
        <v>0</v>
      </c>
      <c r="AH50" s="132" t="n">
        <f aca="false">$F50*M50</f>
        <v>0</v>
      </c>
      <c r="AI50" s="132" t="n">
        <f aca="false">$F50*N50</f>
        <v>0</v>
      </c>
      <c r="AJ50" s="132" t="n">
        <f aca="false">F50*O50</f>
        <v>0</v>
      </c>
      <c r="AK50" s="137"/>
      <c r="AL50" s="132" t="n">
        <f aca="false">CHOOSE($G$3,AC50-AD50,AD50-AC50)</f>
        <v>0</v>
      </c>
      <c r="AM50" s="132" t="n">
        <f aca="false">CHOOSE($G$3,AF50-AG50,AG50-AF50)</f>
        <v>0</v>
      </c>
      <c r="AN50" s="132" t="n">
        <f aca="false">CHOOSE($G$3,AI50-AJ50,AJ50-AI50)</f>
        <v>0</v>
      </c>
      <c r="AO50" s="148" t="n">
        <f aca="false">SUM(AL50:AN50)</f>
        <v>0</v>
      </c>
      <c r="AQ50" s="132" t="n">
        <f aca="false">CHOOSE($G$3,AB50-AC50,AC50-AB50)</f>
        <v>0</v>
      </c>
      <c r="AR50" s="132" t="n">
        <f aca="false">CHOOSE($G$3,AE50-AF50,AF50-AE50)</f>
        <v>0</v>
      </c>
      <c r="AS50" s="132" t="n">
        <f aca="false">CHOOSE($G$3,AH50-AI50,AI50-AH50)</f>
        <v>0</v>
      </c>
      <c r="AT50" s="148" t="n">
        <f aca="false">AQ50+AR50+AS50</f>
        <v>0</v>
      </c>
      <c r="AU50" s="148"/>
      <c r="AV50" s="133" t="n">
        <f aca="false">AT50+AO50</f>
        <v>0</v>
      </c>
      <c r="AX50" s="133" t="n">
        <f aca="false">AJ50+AG50+AD50</f>
        <v>0</v>
      </c>
      <c r="AY50" s="149"/>
      <c r="AZ50" s="76" t="n">
        <f aca="false">R50*E50</f>
        <v>0</v>
      </c>
    </row>
    <row r="51" customFormat="false" ht="12.75" hidden="false" customHeight="false" outlineLevel="0" collapsed="false">
      <c r="A51" s="138" t="n">
        <f aca="false">EDATE(A50,1)</f>
        <v>38231</v>
      </c>
      <c r="B51" s="139" t="n">
        <f aca="false">VLOOKUP($A51,Table2,MATCH(I$3,Curves2,0))</f>
        <v>0</v>
      </c>
      <c r="C51" s="140"/>
      <c r="D51" s="141" t="n">
        <f aca="false">B51+C51</f>
        <v>0</v>
      </c>
      <c r="E51" s="126" t="n">
        <f aca="false">IF(Y51=0,0,IF(AND(Y51=1,$H$3=1),D51*T51,IF($H$3=2,D51,"N/A")))</f>
        <v>0</v>
      </c>
      <c r="F51" s="126" t="n">
        <f aca="false">E51*X51</f>
        <v>0</v>
      </c>
      <c r="G51" s="142" t="n">
        <f aca="false">VLOOKUP($A51,Table,MATCH(G$4,Curves,0))</f>
        <v>3.699</v>
      </c>
      <c r="H51" s="143" t="n">
        <f aca="false">G51</f>
        <v>3.699</v>
      </c>
      <c r="I51" s="142" t="n">
        <f aca="false">VLOOKUP($A51,Table1,MATCH(I$3,Curves1,0))</f>
        <v>0</v>
      </c>
      <c r="J51" s="142" t="n">
        <f aca="false">VLOOKUP($A51,Table,MATCH(J$4,Curves,0))</f>
        <v>-0.063</v>
      </c>
      <c r="K51" s="143" t="n">
        <f aca="false">J51</f>
        <v>-0.063</v>
      </c>
      <c r="L51" s="144" t="n">
        <v>0</v>
      </c>
      <c r="M51" s="142" t="n">
        <f aca="false">VLOOKUP($A51,Table,MATCH(M$4,Curves,0))</f>
        <v>0.0075</v>
      </c>
      <c r="N51" s="143" t="n">
        <f aca="false">M51</f>
        <v>0.0075</v>
      </c>
      <c r="O51" s="144" t="n">
        <v>0</v>
      </c>
      <c r="P51" s="145"/>
      <c r="Q51" s="144" t="n">
        <f aca="false">M51+J51+G51</f>
        <v>3.6435</v>
      </c>
      <c r="R51" s="144" t="n">
        <f aca="false">O51+L51+I51</f>
        <v>0</v>
      </c>
      <c r="S51" s="145"/>
      <c r="T51" s="71" t="n">
        <f aca="false">A52-A51</f>
        <v>30</v>
      </c>
      <c r="U51" s="146" t="n">
        <f aca="false">CHOOSE(F$3,A52+24,A51)</f>
        <v>38285</v>
      </c>
      <c r="V51" s="71" t="n">
        <f aca="false">U51-C$3</f>
        <v>1397</v>
      </c>
      <c r="W51" s="142" t="n">
        <f aca="false">VLOOKUP($A51,Table,MATCH(W$4,Curves,0))</f>
        <v>0.058564236278954</v>
      </c>
      <c r="X51" s="147" t="n">
        <f aca="false">1/(1+CHOOSE(F$3,(W52+($K$3/10000))/2,(W51+($K$3/10000))/2))^(2*V51/365.25)</f>
        <v>0.801814522784125</v>
      </c>
      <c r="Y51" s="71" t="n">
        <f aca="false">IF(AND(mthbeg&lt;=A51,mthend&gt;=A51),1,0)</f>
        <v>1</v>
      </c>
      <c r="Z51" s="71" t="n">
        <f aca="false">T51*Y51</f>
        <v>30</v>
      </c>
      <c r="AB51" s="132" t="n">
        <f aca="false">F51*G51</f>
        <v>0</v>
      </c>
      <c r="AC51" s="132" t="n">
        <f aca="false">$F51*H51</f>
        <v>0</v>
      </c>
      <c r="AD51" s="132" t="n">
        <f aca="false">$F51*I51</f>
        <v>0</v>
      </c>
      <c r="AE51" s="132" t="n">
        <f aca="false">$F51*J51</f>
        <v>-0</v>
      </c>
      <c r="AF51" s="132" t="n">
        <f aca="false">$F51*K51</f>
        <v>-0</v>
      </c>
      <c r="AG51" s="132" t="n">
        <f aca="false">$F51*L51</f>
        <v>0</v>
      </c>
      <c r="AH51" s="132" t="n">
        <f aca="false">$F51*M51</f>
        <v>0</v>
      </c>
      <c r="AI51" s="132" t="n">
        <f aca="false">$F51*N51</f>
        <v>0</v>
      </c>
      <c r="AJ51" s="132" t="n">
        <f aca="false">F51*O51</f>
        <v>0</v>
      </c>
      <c r="AK51" s="137"/>
      <c r="AL51" s="132" t="n">
        <f aca="false">CHOOSE($G$3,AC51-AD51,AD51-AC51)</f>
        <v>0</v>
      </c>
      <c r="AM51" s="132" t="n">
        <f aca="false">CHOOSE($G$3,AF51-AG51,AG51-AF51)</f>
        <v>0</v>
      </c>
      <c r="AN51" s="132" t="n">
        <f aca="false">CHOOSE($G$3,AI51-AJ51,AJ51-AI51)</f>
        <v>0</v>
      </c>
      <c r="AO51" s="148" t="n">
        <f aca="false">SUM(AL51:AN51)</f>
        <v>0</v>
      </c>
      <c r="AQ51" s="132" t="n">
        <f aca="false">CHOOSE($G$3,AB51-AC51,AC51-AB51)</f>
        <v>0</v>
      </c>
      <c r="AR51" s="132" t="n">
        <f aca="false">CHOOSE($G$3,AE51-AF51,AF51-AE51)</f>
        <v>0</v>
      </c>
      <c r="AS51" s="132" t="n">
        <f aca="false">CHOOSE($G$3,AH51-AI51,AI51-AH51)</f>
        <v>0</v>
      </c>
      <c r="AT51" s="148" t="n">
        <f aca="false">AQ51+AR51+AS51</f>
        <v>0</v>
      </c>
      <c r="AU51" s="148"/>
      <c r="AV51" s="133" t="n">
        <f aca="false">AT51+AO51</f>
        <v>0</v>
      </c>
      <c r="AX51" s="133" t="n">
        <f aca="false">AJ51+AG51+AD51</f>
        <v>0</v>
      </c>
      <c r="AY51" s="149"/>
      <c r="AZ51" s="76" t="n">
        <f aca="false">R51*E51</f>
        <v>0</v>
      </c>
    </row>
    <row r="52" customFormat="false" ht="12.75" hidden="false" customHeight="false" outlineLevel="0" collapsed="false">
      <c r="A52" s="138" t="n">
        <f aca="false">EDATE(A51,1)</f>
        <v>38261</v>
      </c>
      <c r="B52" s="139" t="n">
        <f aca="false">VLOOKUP($A52,Table2,MATCH(I$3,Curves2,0))</f>
        <v>0</v>
      </c>
      <c r="C52" s="140"/>
      <c r="D52" s="141" t="n">
        <f aca="false">B52+C52</f>
        <v>0</v>
      </c>
      <c r="E52" s="126" t="n">
        <f aca="false">IF(Y52=0,0,IF(AND(Y52=1,$H$3=1),D52*T52,IF($H$3=2,D52,"N/A")))</f>
        <v>0</v>
      </c>
      <c r="F52" s="126" t="n">
        <f aca="false">E52*X52</f>
        <v>0</v>
      </c>
      <c r="G52" s="142" t="n">
        <f aca="false">VLOOKUP($A52,Table,MATCH(G$4,Curves,0))</f>
        <v>3.717</v>
      </c>
      <c r="H52" s="143" t="n">
        <f aca="false">G52</f>
        <v>3.717</v>
      </c>
      <c r="I52" s="142" t="n">
        <f aca="false">VLOOKUP($A52,Table1,MATCH(I$3,Curves1,0))</f>
        <v>0</v>
      </c>
      <c r="J52" s="142" t="n">
        <f aca="false">VLOOKUP($A52,Table,MATCH(J$4,Curves,0))</f>
        <v>-0.063</v>
      </c>
      <c r="K52" s="143" t="n">
        <f aca="false">J52</f>
        <v>-0.063</v>
      </c>
      <c r="L52" s="144" t="n">
        <v>0</v>
      </c>
      <c r="M52" s="142" t="n">
        <f aca="false">VLOOKUP($A52,Table,MATCH(M$4,Curves,0))</f>
        <v>0.0075</v>
      </c>
      <c r="N52" s="143" t="n">
        <f aca="false">M52</f>
        <v>0.0075</v>
      </c>
      <c r="O52" s="144" t="n">
        <v>0</v>
      </c>
      <c r="P52" s="145"/>
      <c r="Q52" s="144" t="n">
        <f aca="false">M52+J52+G52</f>
        <v>3.6615</v>
      </c>
      <c r="R52" s="144" t="n">
        <f aca="false">O52+L52+I52</f>
        <v>0</v>
      </c>
      <c r="S52" s="145"/>
      <c r="T52" s="71" t="n">
        <f aca="false">A53-A52</f>
        <v>31</v>
      </c>
      <c r="U52" s="146" t="n">
        <f aca="false">CHOOSE(F$3,A53+24,A52)</f>
        <v>38316</v>
      </c>
      <c r="V52" s="71" t="n">
        <f aca="false">U52-C$3</f>
        <v>1428</v>
      </c>
      <c r="W52" s="142" t="n">
        <f aca="false">VLOOKUP($A52,Table,MATCH(W$4,Curves,0))</f>
        <v>0.058591058426884</v>
      </c>
      <c r="X52" s="147" t="n">
        <f aca="false">1/(1+CHOOSE(F$3,(W53+($K$3/10000))/2,(W52+($K$3/10000))/2))^(2*V52/365.25)</f>
        <v>0.797806801207727</v>
      </c>
      <c r="Y52" s="71" t="n">
        <f aca="false">IF(AND(mthbeg&lt;=A52,mthend&gt;=A52),1,0)</f>
        <v>1</v>
      </c>
      <c r="Z52" s="71" t="n">
        <f aca="false">T52*Y52</f>
        <v>31</v>
      </c>
      <c r="AB52" s="132" t="n">
        <f aca="false">F52*G52</f>
        <v>0</v>
      </c>
      <c r="AC52" s="132" t="n">
        <f aca="false">$F52*H52</f>
        <v>0</v>
      </c>
      <c r="AD52" s="132" t="n">
        <f aca="false">$F52*I52</f>
        <v>0</v>
      </c>
      <c r="AE52" s="132" t="n">
        <f aca="false">$F52*J52</f>
        <v>-0</v>
      </c>
      <c r="AF52" s="132" t="n">
        <f aca="false">$F52*K52</f>
        <v>-0</v>
      </c>
      <c r="AG52" s="132" t="n">
        <f aca="false">$F52*L52</f>
        <v>0</v>
      </c>
      <c r="AH52" s="132" t="n">
        <f aca="false">$F52*M52</f>
        <v>0</v>
      </c>
      <c r="AI52" s="132" t="n">
        <f aca="false">$F52*N52</f>
        <v>0</v>
      </c>
      <c r="AJ52" s="132" t="n">
        <f aca="false">F52*O52</f>
        <v>0</v>
      </c>
      <c r="AK52" s="137"/>
      <c r="AL52" s="132" t="n">
        <f aca="false">CHOOSE($G$3,AC52-AD52,AD52-AC52)</f>
        <v>0</v>
      </c>
      <c r="AM52" s="132" t="n">
        <f aca="false">CHOOSE($G$3,AF52-AG52,AG52-AF52)</f>
        <v>0</v>
      </c>
      <c r="AN52" s="132" t="n">
        <f aca="false">CHOOSE($G$3,AI52-AJ52,AJ52-AI52)</f>
        <v>0</v>
      </c>
      <c r="AO52" s="148" t="n">
        <f aca="false">SUM(AL52:AN52)</f>
        <v>0</v>
      </c>
      <c r="AQ52" s="132" t="n">
        <f aca="false">CHOOSE($G$3,AB52-AC52,AC52-AB52)</f>
        <v>0</v>
      </c>
      <c r="AR52" s="132" t="n">
        <f aca="false">CHOOSE($G$3,AE52-AF52,AF52-AE52)</f>
        <v>0</v>
      </c>
      <c r="AS52" s="132" t="n">
        <f aca="false">CHOOSE($G$3,AH52-AI52,AI52-AH52)</f>
        <v>0</v>
      </c>
      <c r="AT52" s="148" t="n">
        <f aca="false">AQ52+AR52+AS52</f>
        <v>0</v>
      </c>
      <c r="AU52" s="148"/>
      <c r="AV52" s="133" t="n">
        <f aca="false">AT52+AO52</f>
        <v>0</v>
      </c>
      <c r="AX52" s="133" t="n">
        <f aca="false">AJ52+AG52+AD52</f>
        <v>0</v>
      </c>
      <c r="AY52" s="149"/>
      <c r="AZ52" s="76" t="n">
        <f aca="false">R52*E52</f>
        <v>0</v>
      </c>
    </row>
    <row r="53" customFormat="false" ht="12.75" hidden="false" customHeight="false" outlineLevel="0" collapsed="false">
      <c r="A53" s="138" t="n">
        <f aca="false">EDATE(A52,1)</f>
        <v>38292</v>
      </c>
      <c r="B53" s="139" t="n">
        <f aca="false">VLOOKUP($A53,Table2,MATCH(I$3,Curves2,0))</f>
        <v>0</v>
      </c>
      <c r="C53" s="140"/>
      <c r="D53" s="141" t="n">
        <f aca="false">B53+C53</f>
        <v>0</v>
      </c>
      <c r="E53" s="126" t="n">
        <f aca="false">IF(Y53=0,0,IF(AND(Y53=1,$H$3=1),D53*T53,IF($H$3=2,D53,"N/A")))</f>
        <v>0</v>
      </c>
      <c r="F53" s="126" t="n">
        <f aca="false">E53*X53</f>
        <v>0</v>
      </c>
      <c r="G53" s="142" t="n">
        <f aca="false">VLOOKUP($A53,Table,MATCH(G$4,Curves,0))</f>
        <v>3.862</v>
      </c>
      <c r="H53" s="143" t="n">
        <f aca="false">G53</f>
        <v>3.862</v>
      </c>
      <c r="I53" s="142" t="n">
        <f aca="false">VLOOKUP($A53,Table1,MATCH(I$3,Curves1,0))</f>
        <v>0</v>
      </c>
      <c r="J53" s="142" t="n">
        <f aca="false">VLOOKUP($A53,Table,MATCH(J$4,Curves,0))</f>
        <v>-0.063</v>
      </c>
      <c r="K53" s="143" t="n">
        <f aca="false">J53</f>
        <v>-0.063</v>
      </c>
      <c r="L53" s="144" t="n">
        <v>0</v>
      </c>
      <c r="M53" s="142" t="n">
        <f aca="false">VLOOKUP($A53,Table,MATCH(M$4,Curves,0))</f>
        <v>0.005</v>
      </c>
      <c r="N53" s="143" t="n">
        <f aca="false">M53</f>
        <v>0.005</v>
      </c>
      <c r="O53" s="144" t="n">
        <v>0</v>
      </c>
      <c r="P53" s="145"/>
      <c r="Q53" s="144" t="n">
        <f aca="false">M53+J53+G53</f>
        <v>3.804</v>
      </c>
      <c r="R53" s="144" t="n">
        <f aca="false">O53+L53+I53</f>
        <v>0</v>
      </c>
      <c r="S53" s="145"/>
      <c r="T53" s="71" t="n">
        <f aca="false">A54-A53</f>
        <v>30</v>
      </c>
      <c r="U53" s="146" t="n">
        <f aca="false">CHOOSE(F$3,A54+24,A53)</f>
        <v>38346</v>
      </c>
      <c r="V53" s="71" t="n">
        <f aca="false">U53-C$3</f>
        <v>1458</v>
      </c>
      <c r="W53" s="142" t="n">
        <f aca="false">VLOOKUP($A53,Table,MATCH(W$4,Curves,0))</f>
        <v>0.058619880473754</v>
      </c>
      <c r="X53" s="147" t="n">
        <f aca="false">1/(1+CHOOSE(F$3,(W54+($K$3/10000))/2,(W53+($K$3/10000))/2))^(2*V53/365.25)</f>
        <v>0.793943843055903</v>
      </c>
      <c r="Y53" s="71" t="n">
        <f aca="false">IF(AND(mthbeg&lt;=A53,mthend&gt;=A53),1,0)</f>
        <v>1</v>
      </c>
      <c r="Z53" s="71" t="n">
        <f aca="false">T53*Y53</f>
        <v>30</v>
      </c>
      <c r="AB53" s="132" t="n">
        <f aca="false">F53*G53</f>
        <v>0</v>
      </c>
      <c r="AC53" s="132" t="n">
        <f aca="false">$F53*H53</f>
        <v>0</v>
      </c>
      <c r="AD53" s="132" t="n">
        <f aca="false">$F53*I53</f>
        <v>0</v>
      </c>
      <c r="AE53" s="132" t="n">
        <f aca="false">$F53*J53</f>
        <v>-0</v>
      </c>
      <c r="AF53" s="132" t="n">
        <f aca="false">$F53*K53</f>
        <v>-0</v>
      </c>
      <c r="AG53" s="132" t="n">
        <f aca="false">$F53*L53</f>
        <v>0</v>
      </c>
      <c r="AH53" s="132" t="n">
        <f aca="false">$F53*M53</f>
        <v>0</v>
      </c>
      <c r="AI53" s="132" t="n">
        <f aca="false">$F53*N53</f>
        <v>0</v>
      </c>
      <c r="AJ53" s="132" t="n">
        <f aca="false">F53*O53</f>
        <v>0</v>
      </c>
      <c r="AK53" s="137"/>
      <c r="AL53" s="132" t="n">
        <f aca="false">CHOOSE($G$3,AC53-AD53,AD53-AC53)</f>
        <v>0</v>
      </c>
      <c r="AM53" s="132" t="n">
        <f aca="false">CHOOSE($G$3,AF53-AG53,AG53-AF53)</f>
        <v>0</v>
      </c>
      <c r="AN53" s="132" t="n">
        <f aca="false">CHOOSE($G$3,AI53-AJ53,AJ53-AI53)</f>
        <v>0</v>
      </c>
      <c r="AO53" s="148" t="n">
        <f aca="false">SUM(AL53:AN53)</f>
        <v>0</v>
      </c>
      <c r="AQ53" s="132" t="n">
        <f aca="false">CHOOSE($G$3,AB53-AC53,AC53-AB53)</f>
        <v>0</v>
      </c>
      <c r="AR53" s="132" t="n">
        <f aca="false">CHOOSE($G$3,AE53-AF53,AF53-AE53)</f>
        <v>0</v>
      </c>
      <c r="AS53" s="132" t="n">
        <f aca="false">CHOOSE($G$3,AH53-AI53,AI53-AH53)</f>
        <v>0</v>
      </c>
      <c r="AT53" s="148" t="n">
        <f aca="false">AQ53+AR53+AS53</f>
        <v>0</v>
      </c>
      <c r="AU53" s="148"/>
      <c r="AV53" s="133" t="n">
        <f aca="false">AT53+AO53</f>
        <v>0</v>
      </c>
      <c r="AX53" s="133" t="n">
        <f aca="false">AJ53+AG53+AD53</f>
        <v>0</v>
      </c>
      <c r="AY53" s="149"/>
      <c r="AZ53" s="76" t="n">
        <f aca="false">R53*E53</f>
        <v>0</v>
      </c>
    </row>
    <row r="54" customFormat="false" ht="12.75" hidden="false" customHeight="false" outlineLevel="0" collapsed="false">
      <c r="A54" s="138" t="n">
        <f aca="false">EDATE(A53,1)</f>
        <v>38322</v>
      </c>
      <c r="B54" s="139" t="n">
        <f aca="false">VLOOKUP($A54,Table2,MATCH(I$3,Curves2,0))</f>
        <v>0</v>
      </c>
      <c r="C54" s="140"/>
      <c r="D54" s="141" t="n">
        <f aca="false">B54+C54</f>
        <v>0</v>
      </c>
      <c r="E54" s="126" t="n">
        <f aca="false">IF(Y54=0,0,IF(AND(Y54=1,$H$3=1),D54*T54,IF($H$3=2,D54,"N/A")))</f>
        <v>0</v>
      </c>
      <c r="F54" s="126" t="n">
        <f aca="false">E54*X54</f>
        <v>0</v>
      </c>
      <c r="G54" s="142" t="n">
        <f aca="false">VLOOKUP($A54,Table,MATCH(G$4,Curves,0))</f>
        <v>3.997</v>
      </c>
      <c r="H54" s="143" t="n">
        <f aca="false">G54</f>
        <v>3.997</v>
      </c>
      <c r="I54" s="142" t="n">
        <f aca="false">VLOOKUP($A54,Table1,MATCH(I$3,Curves1,0))</f>
        <v>0</v>
      </c>
      <c r="J54" s="142" t="n">
        <f aca="false">VLOOKUP($A54,Table,MATCH(J$4,Curves,0))</f>
        <v>-0.063</v>
      </c>
      <c r="K54" s="143" t="n">
        <f aca="false">J54</f>
        <v>-0.063</v>
      </c>
      <c r="L54" s="144" t="n">
        <v>0</v>
      </c>
      <c r="M54" s="142" t="n">
        <f aca="false">VLOOKUP($A54,Table,MATCH(M$4,Curves,0))</f>
        <v>0.005</v>
      </c>
      <c r="N54" s="143" t="n">
        <f aca="false">M54</f>
        <v>0.005</v>
      </c>
      <c r="O54" s="144" t="n">
        <v>0</v>
      </c>
      <c r="P54" s="145"/>
      <c r="Q54" s="144" t="n">
        <f aca="false">M54+J54+G54</f>
        <v>3.939</v>
      </c>
      <c r="R54" s="144" t="n">
        <f aca="false">O54+L54+I54</f>
        <v>0</v>
      </c>
      <c r="S54" s="145"/>
      <c r="T54" s="71" t="n">
        <f aca="false">A55-A54</f>
        <v>31</v>
      </c>
      <c r="U54" s="146" t="n">
        <f aca="false">CHOOSE(F$3,A55+24,A54)</f>
        <v>38377</v>
      </c>
      <c r="V54" s="71" t="n">
        <f aca="false">U54-C$3</f>
        <v>1489</v>
      </c>
      <c r="W54" s="142" t="n">
        <f aca="false">VLOOKUP($A54,Table,MATCH(W$4,Curves,0))</f>
        <v>0.05864777277744</v>
      </c>
      <c r="X54" s="147" t="n">
        <f aca="false">1/(1+CHOOSE(F$3,(W55+($K$3/10000))/2,(W54+($K$3/10000))/2))^(2*V54/365.25)</f>
        <v>0.789942538412671</v>
      </c>
      <c r="Y54" s="71" t="n">
        <f aca="false">IF(AND(mthbeg&lt;=A54,mthend&gt;=A54),1,0)</f>
        <v>1</v>
      </c>
      <c r="Z54" s="71" t="n">
        <f aca="false">T54*Y54</f>
        <v>31</v>
      </c>
      <c r="AB54" s="132" t="n">
        <f aca="false">F54*G54</f>
        <v>0</v>
      </c>
      <c r="AC54" s="132" t="n">
        <f aca="false">$F54*H54</f>
        <v>0</v>
      </c>
      <c r="AD54" s="132" t="n">
        <f aca="false">$F54*I54</f>
        <v>0</v>
      </c>
      <c r="AE54" s="132" t="n">
        <f aca="false">$F54*J54</f>
        <v>-0</v>
      </c>
      <c r="AF54" s="132" t="n">
        <f aca="false">$F54*K54</f>
        <v>-0</v>
      </c>
      <c r="AG54" s="132" t="n">
        <f aca="false">$F54*L54</f>
        <v>0</v>
      </c>
      <c r="AH54" s="132" t="n">
        <f aca="false">$F54*M54</f>
        <v>0</v>
      </c>
      <c r="AI54" s="132" t="n">
        <f aca="false">$F54*N54</f>
        <v>0</v>
      </c>
      <c r="AJ54" s="132" t="n">
        <f aca="false">F54*O54</f>
        <v>0</v>
      </c>
      <c r="AK54" s="137"/>
      <c r="AL54" s="132" t="n">
        <f aca="false">CHOOSE($G$3,AC54-AD54,AD54-AC54)</f>
        <v>0</v>
      </c>
      <c r="AM54" s="132" t="n">
        <f aca="false">CHOOSE($G$3,AF54-AG54,AG54-AF54)</f>
        <v>0</v>
      </c>
      <c r="AN54" s="132" t="n">
        <f aca="false">CHOOSE($G$3,AI54-AJ54,AJ54-AI54)</f>
        <v>0</v>
      </c>
      <c r="AO54" s="148" t="n">
        <f aca="false">SUM(AL54:AN54)</f>
        <v>0</v>
      </c>
      <c r="AQ54" s="132" t="n">
        <f aca="false">CHOOSE($G$3,AB54-AC54,AC54-AB54)</f>
        <v>0</v>
      </c>
      <c r="AR54" s="132" t="n">
        <f aca="false">CHOOSE($G$3,AE54-AF54,AF54-AE54)</f>
        <v>0</v>
      </c>
      <c r="AS54" s="132" t="n">
        <f aca="false">CHOOSE($G$3,AH54-AI54,AI54-AH54)</f>
        <v>0</v>
      </c>
      <c r="AT54" s="148" t="n">
        <f aca="false">AQ54+AR54+AS54</f>
        <v>0</v>
      </c>
      <c r="AU54" s="148"/>
      <c r="AV54" s="133" t="n">
        <f aca="false">AT54+AO54</f>
        <v>0</v>
      </c>
      <c r="AX54" s="133" t="n">
        <f aca="false">AJ54+AG54+AD54</f>
        <v>0</v>
      </c>
      <c r="AY54" s="149"/>
      <c r="AZ54" s="76" t="n">
        <f aca="false">R54*E54</f>
        <v>0</v>
      </c>
    </row>
    <row r="55" customFormat="false" ht="12.75" hidden="false" customHeight="false" outlineLevel="0" collapsed="false">
      <c r="A55" s="138" t="n">
        <f aca="false">EDATE(A54,1)</f>
        <v>38353</v>
      </c>
      <c r="B55" s="139" t="n">
        <f aca="false">VLOOKUP($A55,Table2,MATCH(I$3,Curves2,0))</f>
        <v>0</v>
      </c>
      <c r="C55" s="140"/>
      <c r="D55" s="141" t="n">
        <f aca="false">B55+C55</f>
        <v>0</v>
      </c>
      <c r="E55" s="126" t="n">
        <f aca="false">IF(Y55=0,0,IF(AND(Y55=1,$H$3=1),D55*T55,IF($H$3=2,D55,"N/A")))</f>
        <v>0</v>
      </c>
      <c r="F55" s="126" t="n">
        <f aca="false">E55*X55</f>
        <v>0</v>
      </c>
      <c r="G55" s="142" t="n">
        <f aca="false">VLOOKUP($A55,Table,MATCH(G$4,Curves,0))</f>
        <v>4.122</v>
      </c>
      <c r="H55" s="143" t="n">
        <f aca="false">G55</f>
        <v>4.122</v>
      </c>
      <c r="I55" s="142" t="n">
        <f aca="false">VLOOKUP($A55,Table1,MATCH(I$3,Curves1,0))</f>
        <v>0</v>
      </c>
      <c r="J55" s="142" t="n">
        <f aca="false">VLOOKUP($A55,Table,MATCH(J$4,Curves,0))</f>
        <v>-0.061</v>
      </c>
      <c r="K55" s="143" t="n">
        <f aca="false">J55</f>
        <v>-0.061</v>
      </c>
      <c r="L55" s="144" t="n">
        <v>0</v>
      </c>
      <c r="M55" s="142" t="n">
        <f aca="false">VLOOKUP($A55,Table,MATCH(M$4,Curves,0))</f>
        <v>0.01</v>
      </c>
      <c r="N55" s="143" t="n">
        <f aca="false">M55</f>
        <v>0.01</v>
      </c>
      <c r="O55" s="144" t="n">
        <v>0</v>
      </c>
      <c r="P55" s="145"/>
      <c r="Q55" s="144" t="n">
        <f aca="false">M55+J55+G55</f>
        <v>4.071</v>
      </c>
      <c r="R55" s="144" t="n">
        <f aca="false">O55+L55+I55</f>
        <v>0</v>
      </c>
      <c r="S55" s="145"/>
      <c r="T55" s="71" t="n">
        <f aca="false">A56-A55</f>
        <v>31</v>
      </c>
      <c r="U55" s="146" t="n">
        <f aca="false">CHOOSE(F$3,A56+24,A55)</f>
        <v>38408</v>
      </c>
      <c r="V55" s="71" t="n">
        <f aca="false">U55-C$3</f>
        <v>1520</v>
      </c>
      <c r="W55" s="142" t="n">
        <f aca="false">VLOOKUP($A55,Table,MATCH(W$4,Curves,0))</f>
        <v>0.058684757331705</v>
      </c>
      <c r="X55" s="147" t="n">
        <f aca="false">1/(1+CHOOSE(F$3,(W56+($K$3/10000))/2,(W55+($K$3/10000))/2))^(2*V55/365.25)</f>
        <v>0.785935248969975</v>
      </c>
      <c r="Y55" s="71" t="n">
        <f aca="false">IF(AND(mthbeg&lt;=A55,mthend&gt;=A55),1,0)</f>
        <v>1</v>
      </c>
      <c r="Z55" s="71" t="n">
        <f aca="false">T55*Y55</f>
        <v>31</v>
      </c>
      <c r="AB55" s="132" t="n">
        <f aca="false">F55*G55</f>
        <v>0</v>
      </c>
      <c r="AC55" s="132" t="n">
        <f aca="false">$F55*H55</f>
        <v>0</v>
      </c>
      <c r="AD55" s="132" t="n">
        <f aca="false">$F55*I55</f>
        <v>0</v>
      </c>
      <c r="AE55" s="132" t="n">
        <f aca="false">$F55*J55</f>
        <v>-0</v>
      </c>
      <c r="AF55" s="132" t="n">
        <f aca="false">$F55*K55</f>
        <v>-0</v>
      </c>
      <c r="AG55" s="132" t="n">
        <f aca="false">$F55*L55</f>
        <v>0</v>
      </c>
      <c r="AH55" s="132" t="n">
        <f aca="false">$F55*M55</f>
        <v>0</v>
      </c>
      <c r="AI55" s="132" t="n">
        <f aca="false">$F55*N55</f>
        <v>0</v>
      </c>
      <c r="AJ55" s="132" t="n">
        <f aca="false">F55*O55</f>
        <v>0</v>
      </c>
      <c r="AK55" s="137"/>
      <c r="AL55" s="132" t="n">
        <f aca="false">CHOOSE($G$3,AC55-AD55,AD55-AC55)</f>
        <v>0</v>
      </c>
      <c r="AM55" s="132" t="n">
        <f aca="false">CHOOSE($G$3,AF55-AG55,AG55-AF55)</f>
        <v>0</v>
      </c>
      <c r="AN55" s="132" t="n">
        <f aca="false">CHOOSE($G$3,AI55-AJ55,AJ55-AI55)</f>
        <v>0</v>
      </c>
      <c r="AO55" s="148" t="n">
        <f aca="false">SUM(AL55:AN55)</f>
        <v>0</v>
      </c>
      <c r="AQ55" s="132" t="n">
        <f aca="false">CHOOSE($G$3,AB55-AC55,AC55-AB55)</f>
        <v>0</v>
      </c>
      <c r="AR55" s="132" t="n">
        <f aca="false">CHOOSE($G$3,AE55-AF55,AF55-AE55)</f>
        <v>0</v>
      </c>
      <c r="AS55" s="132" t="n">
        <f aca="false">CHOOSE($G$3,AH55-AI55,AI55-AH55)</f>
        <v>0</v>
      </c>
      <c r="AT55" s="148" t="n">
        <f aca="false">AQ55+AR55+AS55</f>
        <v>0</v>
      </c>
      <c r="AU55" s="148"/>
      <c r="AV55" s="133" t="n">
        <f aca="false">AT55+AO55</f>
        <v>0</v>
      </c>
      <c r="AX55" s="133" t="n">
        <f aca="false">AJ55+AG55+AD55</f>
        <v>0</v>
      </c>
      <c r="AY55" s="149"/>
      <c r="AZ55" s="76" t="n">
        <f aca="false">R55*E55</f>
        <v>0</v>
      </c>
    </row>
    <row r="56" customFormat="false" ht="12.75" hidden="false" customHeight="false" outlineLevel="0" collapsed="false">
      <c r="A56" s="138" t="n">
        <f aca="false">EDATE(A55,1)</f>
        <v>38384</v>
      </c>
      <c r="B56" s="139" t="n">
        <f aca="false">VLOOKUP($A56,Table2,MATCH(I$3,Curves2,0))</f>
        <v>0</v>
      </c>
      <c r="C56" s="140"/>
      <c r="D56" s="141" t="n">
        <f aca="false">B56+C56</f>
        <v>0</v>
      </c>
      <c r="E56" s="126" t="n">
        <f aca="false">IF(Y56=0,0,IF(AND(Y56=1,$H$3=1),D56*T56,IF($H$3=2,D56,"N/A")))</f>
        <v>0</v>
      </c>
      <c r="F56" s="126" t="n">
        <f aca="false">E56*X56</f>
        <v>0</v>
      </c>
      <c r="G56" s="142" t="n">
        <f aca="false">VLOOKUP($A56,Table,MATCH(G$4,Curves,0))</f>
        <v>4.007</v>
      </c>
      <c r="H56" s="143" t="n">
        <f aca="false">G56</f>
        <v>4.007</v>
      </c>
      <c r="I56" s="142" t="n">
        <f aca="false">VLOOKUP($A56,Table1,MATCH(I$3,Curves1,0))</f>
        <v>0</v>
      </c>
      <c r="J56" s="142" t="n">
        <f aca="false">VLOOKUP($A56,Table,MATCH(J$4,Curves,0))</f>
        <v>-0.061</v>
      </c>
      <c r="K56" s="143" t="n">
        <f aca="false">J56</f>
        <v>-0.061</v>
      </c>
      <c r="L56" s="144" t="n">
        <v>0</v>
      </c>
      <c r="M56" s="142" t="n">
        <f aca="false">VLOOKUP($A56,Table,MATCH(M$4,Curves,0))</f>
        <v>0.01</v>
      </c>
      <c r="N56" s="143" t="n">
        <f aca="false">M56</f>
        <v>0.01</v>
      </c>
      <c r="O56" s="144" t="n">
        <v>0</v>
      </c>
      <c r="P56" s="145"/>
      <c r="Q56" s="144" t="n">
        <f aca="false">M56+J56+G56</f>
        <v>3.956</v>
      </c>
      <c r="R56" s="144" t="n">
        <f aca="false">O56+L56+I56</f>
        <v>0</v>
      </c>
      <c r="S56" s="145"/>
      <c r="T56" s="71" t="n">
        <f aca="false">A57-A56</f>
        <v>28</v>
      </c>
      <c r="U56" s="146" t="n">
        <f aca="false">CHOOSE(F$3,A57+24,A56)</f>
        <v>38436</v>
      </c>
      <c r="V56" s="71" t="n">
        <f aca="false">U56-C$3</f>
        <v>1548</v>
      </c>
      <c r="W56" s="142" t="n">
        <f aca="false">VLOOKUP($A56,Table,MATCH(W$4,Curves,0))</f>
        <v>0.058728463950989</v>
      </c>
      <c r="X56" s="147" t="n">
        <f aca="false">1/(1+CHOOSE(F$3,(W57+($K$3/10000))/2,(W56+($K$3/10000))/2))^(2*V56/365.25)</f>
        <v>0.782328393430408</v>
      </c>
      <c r="Y56" s="71" t="n">
        <f aca="false">IF(AND(mthbeg&lt;=A56,mthend&gt;=A56),1,0)</f>
        <v>1</v>
      </c>
      <c r="Z56" s="71" t="n">
        <f aca="false">T56*Y56</f>
        <v>28</v>
      </c>
      <c r="AB56" s="132" t="n">
        <f aca="false">F56*G56</f>
        <v>0</v>
      </c>
      <c r="AC56" s="132" t="n">
        <f aca="false">$F56*H56</f>
        <v>0</v>
      </c>
      <c r="AD56" s="132" t="n">
        <f aca="false">$F56*I56</f>
        <v>0</v>
      </c>
      <c r="AE56" s="132" t="n">
        <f aca="false">$F56*J56</f>
        <v>-0</v>
      </c>
      <c r="AF56" s="132" t="n">
        <f aca="false">$F56*K56</f>
        <v>-0</v>
      </c>
      <c r="AG56" s="132" t="n">
        <f aca="false">$F56*L56</f>
        <v>0</v>
      </c>
      <c r="AH56" s="132" t="n">
        <f aca="false">$F56*M56</f>
        <v>0</v>
      </c>
      <c r="AI56" s="132" t="n">
        <f aca="false">$F56*N56</f>
        <v>0</v>
      </c>
      <c r="AJ56" s="132" t="n">
        <f aca="false">F56*O56</f>
        <v>0</v>
      </c>
      <c r="AK56" s="137"/>
      <c r="AL56" s="132" t="n">
        <f aca="false">CHOOSE($G$3,AC56-AD56,AD56-AC56)</f>
        <v>0</v>
      </c>
      <c r="AM56" s="132" t="n">
        <f aca="false">CHOOSE($G$3,AF56-AG56,AG56-AF56)</f>
        <v>0</v>
      </c>
      <c r="AN56" s="132" t="n">
        <f aca="false">CHOOSE($G$3,AI56-AJ56,AJ56-AI56)</f>
        <v>0</v>
      </c>
      <c r="AO56" s="148" t="n">
        <f aca="false">SUM(AL56:AN56)</f>
        <v>0</v>
      </c>
      <c r="AQ56" s="132" t="n">
        <f aca="false">CHOOSE($G$3,AB56-AC56,AC56-AB56)</f>
        <v>0</v>
      </c>
      <c r="AR56" s="132" t="n">
        <f aca="false">CHOOSE($G$3,AE56-AF56,AF56-AE56)</f>
        <v>0</v>
      </c>
      <c r="AS56" s="132" t="n">
        <f aca="false">CHOOSE($G$3,AH56-AI56,AI56-AH56)</f>
        <v>0</v>
      </c>
      <c r="AT56" s="148" t="n">
        <f aca="false">AQ56+AR56+AS56</f>
        <v>0</v>
      </c>
      <c r="AU56" s="148"/>
      <c r="AV56" s="133" t="n">
        <f aca="false">AT56+AO56</f>
        <v>0</v>
      </c>
      <c r="AX56" s="133" t="n">
        <f aca="false">AJ56+AG56+AD56</f>
        <v>0</v>
      </c>
      <c r="AY56" s="149"/>
      <c r="AZ56" s="76" t="n">
        <f aca="false">R56*E56</f>
        <v>0</v>
      </c>
    </row>
    <row r="57" customFormat="false" ht="12.75" hidden="false" customHeight="false" outlineLevel="0" collapsed="false">
      <c r="A57" s="138" t="n">
        <f aca="false">EDATE(A56,1)</f>
        <v>38412</v>
      </c>
      <c r="B57" s="139" t="n">
        <f aca="false">VLOOKUP($A57,Table2,MATCH(I$3,Curves2,0))</f>
        <v>0</v>
      </c>
      <c r="C57" s="140"/>
      <c r="D57" s="141" t="n">
        <f aca="false">B57+C57</f>
        <v>0</v>
      </c>
      <c r="E57" s="126" t="n">
        <f aca="false">IF(Y57=0,0,IF(AND(Y57=1,$H$3=1),D57*T57,IF($H$3=2,D57,"N/A")))</f>
        <v>0</v>
      </c>
      <c r="F57" s="126" t="n">
        <f aca="false">E57*X57</f>
        <v>0</v>
      </c>
      <c r="G57" s="142" t="n">
        <f aca="false">VLOOKUP($A57,Table,MATCH(G$4,Curves,0))</f>
        <v>3.867</v>
      </c>
      <c r="H57" s="143" t="n">
        <f aca="false">G57</f>
        <v>3.867</v>
      </c>
      <c r="I57" s="142" t="n">
        <f aca="false">VLOOKUP($A57,Table1,MATCH(I$3,Curves1,0))</f>
        <v>0</v>
      </c>
      <c r="J57" s="142" t="n">
        <f aca="false">VLOOKUP($A57,Table,MATCH(J$4,Curves,0))</f>
        <v>-0.061</v>
      </c>
      <c r="K57" s="143" t="n">
        <f aca="false">J57</f>
        <v>-0.061</v>
      </c>
      <c r="L57" s="144" t="n">
        <v>0</v>
      </c>
      <c r="M57" s="142" t="n">
        <f aca="false">VLOOKUP($A57,Table,MATCH(M$4,Curves,0))</f>
        <v>0.01</v>
      </c>
      <c r="N57" s="143" t="n">
        <f aca="false">M57</f>
        <v>0.01</v>
      </c>
      <c r="O57" s="144" t="n">
        <v>0</v>
      </c>
      <c r="P57" s="145"/>
      <c r="Q57" s="144" t="n">
        <f aca="false">M57+J57+G57</f>
        <v>3.816</v>
      </c>
      <c r="R57" s="144" t="n">
        <f aca="false">O57+L57+I57</f>
        <v>0</v>
      </c>
      <c r="S57" s="145"/>
      <c r="T57" s="71" t="n">
        <f aca="false">A58-A57</f>
        <v>31</v>
      </c>
      <c r="U57" s="146" t="n">
        <f aca="false">CHOOSE(F$3,A58+24,A57)</f>
        <v>38467</v>
      </c>
      <c r="V57" s="71" t="n">
        <f aca="false">U57-C$3</f>
        <v>1579</v>
      </c>
      <c r="W57" s="142" t="n">
        <f aca="false">VLOOKUP($A57,Table,MATCH(W$4,Curves,0))</f>
        <v>0.058767940897985</v>
      </c>
      <c r="X57" s="147" t="n">
        <f aca="false">1/(1+CHOOSE(F$3,(W58+($K$3/10000))/2,(W57+($K$3/10000))/2))^(2*V57/365.25)</f>
        <v>0.778389256178404</v>
      </c>
      <c r="Y57" s="71" t="n">
        <f aca="false">IF(AND(mthbeg&lt;=A57,mthend&gt;=A57),1,0)</f>
        <v>1</v>
      </c>
      <c r="Z57" s="71" t="n">
        <f aca="false">T57*Y57</f>
        <v>31</v>
      </c>
      <c r="AB57" s="132" t="n">
        <f aca="false">F57*G57</f>
        <v>0</v>
      </c>
      <c r="AC57" s="132" t="n">
        <f aca="false">$F57*H57</f>
        <v>0</v>
      </c>
      <c r="AD57" s="132" t="n">
        <f aca="false">$F57*I57</f>
        <v>0</v>
      </c>
      <c r="AE57" s="132" t="n">
        <f aca="false">$F57*J57</f>
        <v>-0</v>
      </c>
      <c r="AF57" s="132" t="n">
        <f aca="false">$F57*K57</f>
        <v>-0</v>
      </c>
      <c r="AG57" s="132" t="n">
        <f aca="false">$F57*L57</f>
        <v>0</v>
      </c>
      <c r="AH57" s="132" t="n">
        <f aca="false">$F57*M57</f>
        <v>0</v>
      </c>
      <c r="AI57" s="132" t="n">
        <f aca="false">$F57*N57</f>
        <v>0</v>
      </c>
      <c r="AJ57" s="132" t="n">
        <f aca="false">F57*O57</f>
        <v>0</v>
      </c>
      <c r="AK57" s="137"/>
      <c r="AL57" s="132" t="n">
        <f aca="false">CHOOSE($G$3,AC57-AD57,AD57-AC57)</f>
        <v>0</v>
      </c>
      <c r="AM57" s="132" t="n">
        <f aca="false">CHOOSE($G$3,AF57-AG57,AG57-AF57)</f>
        <v>0</v>
      </c>
      <c r="AN57" s="132" t="n">
        <f aca="false">CHOOSE($G$3,AI57-AJ57,AJ57-AI57)</f>
        <v>0</v>
      </c>
      <c r="AO57" s="148" t="n">
        <f aca="false">SUM(AL57:AN57)</f>
        <v>0</v>
      </c>
      <c r="AQ57" s="132" t="n">
        <f aca="false">CHOOSE($G$3,AB57-AC57,AC57-AB57)</f>
        <v>0</v>
      </c>
      <c r="AR57" s="132" t="n">
        <f aca="false">CHOOSE($G$3,AE57-AF57,AF57-AE57)</f>
        <v>0</v>
      </c>
      <c r="AS57" s="132" t="n">
        <f aca="false">CHOOSE($G$3,AH57-AI57,AI57-AH57)</f>
        <v>0</v>
      </c>
      <c r="AT57" s="148" t="n">
        <f aca="false">AQ57+AR57+AS57</f>
        <v>0</v>
      </c>
      <c r="AU57" s="148"/>
      <c r="AV57" s="133" t="n">
        <f aca="false">AT57+AO57</f>
        <v>0</v>
      </c>
      <c r="AX57" s="133" t="n">
        <f aca="false">AJ57+AG57+AD57</f>
        <v>0</v>
      </c>
      <c r="AY57" s="149"/>
      <c r="AZ57" s="76" t="n">
        <f aca="false">R57*E57</f>
        <v>0</v>
      </c>
    </row>
    <row r="58" customFormat="false" ht="12.75" hidden="false" customHeight="false" outlineLevel="0" collapsed="false">
      <c r="A58" s="138" t="n">
        <f aca="false">EDATE(A57,1)</f>
        <v>38443</v>
      </c>
      <c r="B58" s="139" t="n">
        <f aca="false">VLOOKUP($A58,Table2,MATCH(I$3,Curves2,0))</f>
        <v>0</v>
      </c>
      <c r="C58" s="140"/>
      <c r="D58" s="141" t="n">
        <f aca="false">B58+C58</f>
        <v>0</v>
      </c>
      <c r="E58" s="126" t="n">
        <f aca="false">IF(Y58=0,0,IF(AND(Y58=1,$H$3=1),D58*T58,IF($H$3=2,D58,"N/A")))</f>
        <v>0</v>
      </c>
      <c r="F58" s="126" t="n">
        <f aca="false">E58*X58</f>
        <v>0</v>
      </c>
      <c r="G58" s="142" t="n">
        <f aca="false">VLOOKUP($A58,Table,MATCH(G$4,Curves,0))</f>
        <v>3.672</v>
      </c>
      <c r="H58" s="143" t="n">
        <f aca="false">G58</f>
        <v>3.672</v>
      </c>
      <c r="I58" s="142" t="n">
        <f aca="false">VLOOKUP($A58,Table1,MATCH(I$3,Curves1,0))</f>
        <v>0</v>
      </c>
      <c r="J58" s="142" t="n">
        <f aca="false">VLOOKUP($A58,Table,MATCH(J$4,Curves,0))</f>
        <v>-0.061</v>
      </c>
      <c r="K58" s="143" t="n">
        <f aca="false">J58</f>
        <v>-0.061</v>
      </c>
      <c r="L58" s="144" t="n">
        <v>0</v>
      </c>
      <c r="M58" s="142" t="n">
        <f aca="false">VLOOKUP($A58,Table,MATCH(M$4,Curves,0))</f>
        <v>0.0075</v>
      </c>
      <c r="N58" s="143" t="n">
        <f aca="false">M58</f>
        <v>0.0075</v>
      </c>
      <c r="O58" s="144" t="n">
        <v>0</v>
      </c>
      <c r="P58" s="145"/>
      <c r="Q58" s="144" t="n">
        <f aca="false">M58+J58+G58</f>
        <v>3.6185</v>
      </c>
      <c r="R58" s="144" t="n">
        <f aca="false">O58+L58+I58</f>
        <v>0</v>
      </c>
      <c r="S58" s="145"/>
      <c r="T58" s="71" t="n">
        <f aca="false">A59-A58</f>
        <v>30</v>
      </c>
      <c r="U58" s="146" t="n">
        <f aca="false">CHOOSE(F$3,A59+24,A58)</f>
        <v>38497</v>
      </c>
      <c r="V58" s="71" t="n">
        <f aca="false">U58-C$3</f>
        <v>1609</v>
      </c>
      <c r="W58" s="142" t="n">
        <f aca="false">VLOOKUP($A58,Table,MATCH(W$4,Curves,0))</f>
        <v>0.058799350228651</v>
      </c>
      <c r="X58" s="147" t="n">
        <f aca="false">1/(1+CHOOSE(F$3,(W59+($K$3/10000))/2,(W58+($K$3/10000))/2))^(2*V58/365.25)</f>
        <v>0.774624742030143</v>
      </c>
      <c r="Y58" s="71" t="n">
        <f aca="false">IF(AND(mthbeg&lt;=A58,mthend&gt;=A58),1,0)</f>
        <v>1</v>
      </c>
      <c r="Z58" s="71" t="n">
        <f aca="false">T58*Y58</f>
        <v>30</v>
      </c>
      <c r="AB58" s="132" t="n">
        <f aca="false">F58*G58</f>
        <v>0</v>
      </c>
      <c r="AC58" s="132" t="n">
        <f aca="false">$F58*H58</f>
        <v>0</v>
      </c>
      <c r="AD58" s="132" t="n">
        <f aca="false">$F58*I58</f>
        <v>0</v>
      </c>
      <c r="AE58" s="132" t="n">
        <f aca="false">$F58*J58</f>
        <v>-0</v>
      </c>
      <c r="AF58" s="132" t="n">
        <f aca="false">$F58*K58</f>
        <v>-0</v>
      </c>
      <c r="AG58" s="132" t="n">
        <f aca="false">$F58*L58</f>
        <v>0</v>
      </c>
      <c r="AH58" s="132" t="n">
        <f aca="false">$F58*M58</f>
        <v>0</v>
      </c>
      <c r="AI58" s="132" t="n">
        <f aca="false">$F58*N58</f>
        <v>0</v>
      </c>
      <c r="AJ58" s="132" t="n">
        <f aca="false">F58*O58</f>
        <v>0</v>
      </c>
      <c r="AK58" s="137"/>
      <c r="AL58" s="132" t="n">
        <f aca="false">CHOOSE($G$3,AC58-AD58,AD58-AC58)</f>
        <v>0</v>
      </c>
      <c r="AM58" s="132" t="n">
        <f aca="false">CHOOSE($G$3,AF58-AG58,AG58-AF58)</f>
        <v>0</v>
      </c>
      <c r="AN58" s="132" t="n">
        <f aca="false">CHOOSE($G$3,AI58-AJ58,AJ58-AI58)</f>
        <v>0</v>
      </c>
      <c r="AO58" s="148" t="n">
        <f aca="false">SUM(AL58:AN58)</f>
        <v>0</v>
      </c>
      <c r="AQ58" s="132" t="n">
        <f aca="false">CHOOSE($G$3,AB58-AC58,AC58-AB58)</f>
        <v>0</v>
      </c>
      <c r="AR58" s="132" t="n">
        <f aca="false">CHOOSE($G$3,AE58-AF58,AF58-AE58)</f>
        <v>0</v>
      </c>
      <c r="AS58" s="132" t="n">
        <f aca="false">CHOOSE($G$3,AH58-AI58,AI58-AH58)</f>
        <v>0</v>
      </c>
      <c r="AT58" s="148" t="n">
        <f aca="false">AQ58+AR58+AS58</f>
        <v>0</v>
      </c>
      <c r="AU58" s="148"/>
      <c r="AV58" s="133" t="n">
        <f aca="false">AT58+AO58</f>
        <v>0</v>
      </c>
      <c r="AX58" s="133" t="n">
        <f aca="false">AJ58+AG58+AD58</f>
        <v>0</v>
      </c>
      <c r="AY58" s="149"/>
      <c r="AZ58" s="76" t="n">
        <f aca="false">R58*E58</f>
        <v>0</v>
      </c>
    </row>
    <row r="59" customFormat="false" ht="12.75" hidden="false" customHeight="false" outlineLevel="0" collapsed="false">
      <c r="A59" s="138" t="n">
        <f aca="false">EDATE(A58,1)</f>
        <v>38473</v>
      </c>
      <c r="B59" s="139" t="n">
        <f aca="false">VLOOKUP($A59,Table2,MATCH(I$3,Curves2,0))</f>
        <v>0</v>
      </c>
      <c r="C59" s="140"/>
      <c r="D59" s="141" t="n">
        <f aca="false">B59+C59</f>
        <v>0</v>
      </c>
      <c r="E59" s="126" t="n">
        <f aca="false">IF(Y59=0,0,IF(AND(Y59=1,$H$3=1),D59*T59,IF($H$3=2,D59,"N/A")))</f>
        <v>0</v>
      </c>
      <c r="F59" s="126" t="n">
        <f aca="false">E59*X59</f>
        <v>0</v>
      </c>
      <c r="G59" s="142" t="n">
        <f aca="false">VLOOKUP($A59,Table,MATCH(G$4,Curves,0))</f>
        <v>3.627</v>
      </c>
      <c r="H59" s="143" t="n">
        <f aca="false">G59</f>
        <v>3.627</v>
      </c>
      <c r="I59" s="142" t="n">
        <f aca="false">VLOOKUP($A59,Table1,MATCH(I$3,Curves1,0))</f>
        <v>0</v>
      </c>
      <c r="J59" s="142" t="n">
        <f aca="false">VLOOKUP($A59,Table,MATCH(J$4,Curves,0))</f>
        <v>-0.061</v>
      </c>
      <c r="K59" s="143" t="n">
        <f aca="false">J59</f>
        <v>-0.061</v>
      </c>
      <c r="L59" s="144" t="n">
        <v>0</v>
      </c>
      <c r="M59" s="142" t="n">
        <f aca="false">VLOOKUP($A59,Table,MATCH(M$4,Curves,0))</f>
        <v>0.0075</v>
      </c>
      <c r="N59" s="143" t="n">
        <f aca="false">M59</f>
        <v>0.0075</v>
      </c>
      <c r="O59" s="144" t="n">
        <v>0</v>
      </c>
      <c r="P59" s="145"/>
      <c r="Q59" s="144" t="n">
        <f aca="false">M59+J59+G59</f>
        <v>3.5735</v>
      </c>
      <c r="R59" s="144" t="n">
        <f aca="false">O59+L59+I59</f>
        <v>0</v>
      </c>
      <c r="S59" s="145"/>
      <c r="T59" s="71" t="n">
        <f aca="false">A60-A59</f>
        <v>31</v>
      </c>
      <c r="U59" s="146" t="n">
        <f aca="false">CHOOSE(F$3,A60+24,A59)</f>
        <v>38528</v>
      </c>
      <c r="V59" s="71" t="n">
        <f aca="false">U59-C$3</f>
        <v>1640</v>
      </c>
      <c r="W59" s="142" t="n">
        <f aca="false">VLOOKUP($A59,Table,MATCH(W$4,Curves,0))</f>
        <v>0.058819945858717</v>
      </c>
      <c r="X59" s="147" t="n">
        <f aca="false">1/(1+CHOOSE(F$3,(W60+($K$3/10000))/2,(W59+($K$3/10000))/2))^(2*V59/365.25)</f>
        <v>0.77075120923653</v>
      </c>
      <c r="Y59" s="71" t="n">
        <f aca="false">IF(AND(mthbeg&lt;=A59,mthend&gt;=A59),1,0)</f>
        <v>1</v>
      </c>
      <c r="Z59" s="71" t="n">
        <f aca="false">T59*Y59</f>
        <v>31</v>
      </c>
      <c r="AB59" s="132" t="n">
        <f aca="false">F59*G59</f>
        <v>0</v>
      </c>
      <c r="AC59" s="132" t="n">
        <f aca="false">$F59*H59</f>
        <v>0</v>
      </c>
      <c r="AD59" s="132" t="n">
        <f aca="false">$F59*I59</f>
        <v>0</v>
      </c>
      <c r="AE59" s="132" t="n">
        <f aca="false">$F59*J59</f>
        <v>-0</v>
      </c>
      <c r="AF59" s="132" t="n">
        <f aca="false">$F59*K59</f>
        <v>-0</v>
      </c>
      <c r="AG59" s="132" t="n">
        <f aca="false">$F59*L59</f>
        <v>0</v>
      </c>
      <c r="AH59" s="132" t="n">
        <f aca="false">$F59*M59</f>
        <v>0</v>
      </c>
      <c r="AI59" s="132" t="n">
        <f aca="false">$F59*N59</f>
        <v>0</v>
      </c>
      <c r="AJ59" s="132" t="n">
        <f aca="false">F59*O59</f>
        <v>0</v>
      </c>
      <c r="AK59" s="137"/>
      <c r="AL59" s="132" t="n">
        <f aca="false">CHOOSE($G$3,AC59-AD59,AD59-AC59)</f>
        <v>0</v>
      </c>
      <c r="AM59" s="132" t="n">
        <f aca="false">CHOOSE($G$3,AF59-AG59,AG59-AF59)</f>
        <v>0</v>
      </c>
      <c r="AN59" s="132" t="n">
        <f aca="false">CHOOSE($G$3,AI59-AJ59,AJ59-AI59)</f>
        <v>0</v>
      </c>
      <c r="AO59" s="148" t="n">
        <f aca="false">SUM(AL59:AN59)</f>
        <v>0</v>
      </c>
      <c r="AQ59" s="132" t="n">
        <f aca="false">CHOOSE($G$3,AB59-AC59,AC59-AB59)</f>
        <v>0</v>
      </c>
      <c r="AR59" s="132" t="n">
        <f aca="false">CHOOSE($G$3,AE59-AF59,AF59-AE59)</f>
        <v>0</v>
      </c>
      <c r="AS59" s="132" t="n">
        <f aca="false">CHOOSE($G$3,AH59-AI59,AI59-AH59)</f>
        <v>0</v>
      </c>
      <c r="AT59" s="148" t="n">
        <f aca="false">AQ59+AR59+AS59</f>
        <v>0</v>
      </c>
      <c r="AU59" s="148"/>
      <c r="AV59" s="133" t="n">
        <f aca="false">AT59+AO59</f>
        <v>0</v>
      </c>
      <c r="AX59" s="133" t="n">
        <f aca="false">AJ59+AG59+AD59</f>
        <v>0</v>
      </c>
      <c r="AY59" s="149"/>
      <c r="AZ59" s="76" t="n">
        <f aca="false">R59*E59</f>
        <v>0</v>
      </c>
    </row>
    <row r="60" customFormat="false" ht="12.75" hidden="false" customHeight="false" outlineLevel="0" collapsed="false">
      <c r="A60" s="138" t="n">
        <f aca="false">EDATE(A59,1)</f>
        <v>38504</v>
      </c>
      <c r="B60" s="139" t="n">
        <f aca="false">VLOOKUP($A60,Table2,MATCH(I$3,Curves2,0))</f>
        <v>0</v>
      </c>
      <c r="C60" s="140"/>
      <c r="D60" s="141" t="n">
        <f aca="false">B60+C60</f>
        <v>0</v>
      </c>
      <c r="E60" s="126" t="n">
        <f aca="false">IF(Y60=0,0,IF(AND(Y60=1,$H$3=1),D60*T60,IF($H$3=2,D60,"N/A")))</f>
        <v>0</v>
      </c>
      <c r="F60" s="126" t="n">
        <f aca="false">E60*X60</f>
        <v>0</v>
      </c>
      <c r="G60" s="142" t="n">
        <f aca="false">VLOOKUP($A60,Table,MATCH(G$4,Curves,0))</f>
        <v>3.647</v>
      </c>
      <c r="H60" s="143" t="n">
        <f aca="false">G60</f>
        <v>3.647</v>
      </c>
      <c r="I60" s="142" t="n">
        <f aca="false">VLOOKUP($A60,Table1,MATCH(I$3,Curves1,0))</f>
        <v>0</v>
      </c>
      <c r="J60" s="142" t="n">
        <f aca="false">VLOOKUP($A60,Table,MATCH(J$4,Curves,0))</f>
        <v>-0.061</v>
      </c>
      <c r="K60" s="143" t="n">
        <f aca="false">J60</f>
        <v>-0.061</v>
      </c>
      <c r="L60" s="144" t="n">
        <v>0</v>
      </c>
      <c r="M60" s="142" t="n">
        <f aca="false">VLOOKUP($A60,Table,MATCH(M$4,Curves,0))</f>
        <v>0.0075</v>
      </c>
      <c r="N60" s="143" t="n">
        <f aca="false">M60</f>
        <v>0.0075</v>
      </c>
      <c r="O60" s="144" t="n">
        <v>0</v>
      </c>
      <c r="P60" s="145"/>
      <c r="Q60" s="144" t="n">
        <f aca="false">M60+J60+G60</f>
        <v>3.5935</v>
      </c>
      <c r="R60" s="144" t="n">
        <f aca="false">O60+L60+I60</f>
        <v>0</v>
      </c>
      <c r="S60" s="145"/>
      <c r="T60" s="71" t="n">
        <f aca="false">A61-A60</f>
        <v>30</v>
      </c>
      <c r="U60" s="146" t="n">
        <f aca="false">CHOOSE(F$3,A61+24,A60)</f>
        <v>38558</v>
      </c>
      <c r="V60" s="71" t="n">
        <f aca="false">U60-C$3</f>
        <v>1670</v>
      </c>
      <c r="W60" s="142" t="n">
        <f aca="false">VLOOKUP($A60,Table,MATCH(W$4,Curves,0))</f>
        <v>0.058841228009932</v>
      </c>
      <c r="X60" s="147" t="n">
        <f aca="false">1/(1+CHOOSE(F$3,(W61+($K$3/10000))/2,(W60+($K$3/10000))/2))^(2*V60/365.25)</f>
        <v>0.767018510469143</v>
      </c>
      <c r="Y60" s="71" t="n">
        <f aca="false">IF(AND(mthbeg&lt;=A60,mthend&gt;=A60),1,0)</f>
        <v>1</v>
      </c>
      <c r="Z60" s="71" t="n">
        <f aca="false">T60*Y60</f>
        <v>30</v>
      </c>
      <c r="AB60" s="132" t="n">
        <f aca="false">F60*G60</f>
        <v>0</v>
      </c>
      <c r="AC60" s="132" t="n">
        <f aca="false">$F60*H60</f>
        <v>0</v>
      </c>
      <c r="AD60" s="132" t="n">
        <f aca="false">$F60*I60</f>
        <v>0</v>
      </c>
      <c r="AE60" s="132" t="n">
        <f aca="false">$F60*J60</f>
        <v>-0</v>
      </c>
      <c r="AF60" s="132" t="n">
        <f aca="false">$F60*K60</f>
        <v>-0</v>
      </c>
      <c r="AG60" s="132" t="n">
        <f aca="false">$F60*L60</f>
        <v>0</v>
      </c>
      <c r="AH60" s="132" t="n">
        <f aca="false">$F60*M60</f>
        <v>0</v>
      </c>
      <c r="AI60" s="132" t="n">
        <f aca="false">$F60*N60</f>
        <v>0</v>
      </c>
      <c r="AJ60" s="132" t="n">
        <f aca="false">F60*O60</f>
        <v>0</v>
      </c>
      <c r="AK60" s="137"/>
      <c r="AL60" s="132" t="n">
        <f aca="false">CHOOSE($G$3,AC60-AD60,AD60-AC60)</f>
        <v>0</v>
      </c>
      <c r="AM60" s="132" t="n">
        <f aca="false">CHOOSE($G$3,AF60-AG60,AG60-AF60)</f>
        <v>0</v>
      </c>
      <c r="AN60" s="132" t="n">
        <f aca="false">CHOOSE($G$3,AI60-AJ60,AJ60-AI60)</f>
        <v>0</v>
      </c>
      <c r="AO60" s="148" t="n">
        <f aca="false">SUM(AL60:AN60)</f>
        <v>0</v>
      </c>
      <c r="AQ60" s="132" t="n">
        <f aca="false">CHOOSE($G$3,AB60-AC60,AC60-AB60)</f>
        <v>0</v>
      </c>
      <c r="AR60" s="132" t="n">
        <f aca="false">CHOOSE($G$3,AE60-AF60,AF60-AE60)</f>
        <v>0</v>
      </c>
      <c r="AS60" s="132" t="n">
        <f aca="false">CHOOSE($G$3,AH60-AI60,AI60-AH60)</f>
        <v>0</v>
      </c>
      <c r="AT60" s="148" t="n">
        <f aca="false">AQ60+AR60+AS60</f>
        <v>0</v>
      </c>
      <c r="AU60" s="148"/>
      <c r="AV60" s="133" t="n">
        <f aca="false">AT60+AO60</f>
        <v>0</v>
      </c>
      <c r="AX60" s="133" t="n">
        <f aca="false">AJ60+AG60+AD60</f>
        <v>0</v>
      </c>
      <c r="AY60" s="149"/>
      <c r="AZ60" s="76" t="n">
        <f aca="false">R60*E60</f>
        <v>0</v>
      </c>
    </row>
    <row r="61" customFormat="false" ht="12.75" hidden="false" customHeight="false" outlineLevel="0" collapsed="false">
      <c r="A61" s="138" t="n">
        <f aca="false">EDATE(A60,1)</f>
        <v>38534</v>
      </c>
      <c r="B61" s="139" t="n">
        <f aca="false">VLOOKUP($A61,Table2,MATCH(I$3,Curves2,0))</f>
        <v>0</v>
      </c>
      <c r="C61" s="140"/>
      <c r="D61" s="141" t="n">
        <f aca="false">B61+C61</f>
        <v>0</v>
      </c>
      <c r="E61" s="126" t="n">
        <f aca="false">IF(Y61=0,0,IF(AND(Y61=1,$H$3=1),D61*T61,IF($H$3=2,D61,"N/A")))</f>
        <v>0</v>
      </c>
      <c r="F61" s="126" t="n">
        <f aca="false">E61*X61</f>
        <v>0</v>
      </c>
      <c r="G61" s="142" t="n">
        <f aca="false">VLOOKUP($A61,Table,MATCH(G$4,Curves,0))</f>
        <v>3.662</v>
      </c>
      <c r="H61" s="143" t="n">
        <f aca="false">G61</f>
        <v>3.662</v>
      </c>
      <c r="I61" s="142" t="n">
        <f aca="false">VLOOKUP($A61,Table1,MATCH(I$3,Curves1,0))</f>
        <v>0</v>
      </c>
      <c r="J61" s="142" t="n">
        <f aca="false">VLOOKUP($A61,Table,MATCH(J$4,Curves,0))</f>
        <v>-0.061</v>
      </c>
      <c r="K61" s="143" t="n">
        <f aca="false">J61</f>
        <v>-0.061</v>
      </c>
      <c r="L61" s="144" t="n">
        <v>0</v>
      </c>
      <c r="M61" s="142" t="n">
        <f aca="false">VLOOKUP($A61,Table,MATCH(M$4,Curves,0))</f>
        <v>0.0075</v>
      </c>
      <c r="N61" s="143" t="n">
        <f aca="false">M61</f>
        <v>0.0075</v>
      </c>
      <c r="O61" s="144" t="n">
        <v>0</v>
      </c>
      <c r="P61" s="145"/>
      <c r="Q61" s="144" t="n">
        <f aca="false">M61+J61+G61</f>
        <v>3.6085</v>
      </c>
      <c r="R61" s="144" t="n">
        <f aca="false">O61+L61+I61</f>
        <v>0</v>
      </c>
      <c r="S61" s="145"/>
      <c r="T61" s="71" t="n">
        <f aca="false">A62-A61</f>
        <v>31</v>
      </c>
      <c r="U61" s="146" t="n">
        <f aca="false">CHOOSE(F$3,A62+24,A61)</f>
        <v>38589</v>
      </c>
      <c r="V61" s="71" t="n">
        <f aca="false">U61-C$3</f>
        <v>1701</v>
      </c>
      <c r="W61" s="142" t="n">
        <f aca="false">VLOOKUP($A61,Table,MATCH(W$4,Curves,0))</f>
        <v>0.058861823640284</v>
      </c>
      <c r="X61" s="147" t="n">
        <f aca="false">1/(1+CHOOSE(F$3,(W62+($K$3/10000))/2,(W61+($K$3/10000))/2))^(2*V61/365.25)</f>
        <v>0.763177744222314</v>
      </c>
      <c r="Y61" s="71" t="n">
        <f aca="false">IF(AND(mthbeg&lt;=A61,mthend&gt;=A61),1,0)</f>
        <v>1</v>
      </c>
      <c r="Z61" s="71" t="n">
        <f aca="false">T61*Y61</f>
        <v>31</v>
      </c>
      <c r="AB61" s="132" t="n">
        <f aca="false">F61*G61</f>
        <v>0</v>
      </c>
      <c r="AC61" s="132" t="n">
        <f aca="false">$F61*H61</f>
        <v>0</v>
      </c>
      <c r="AD61" s="132" t="n">
        <f aca="false">$F61*I61</f>
        <v>0</v>
      </c>
      <c r="AE61" s="132" t="n">
        <f aca="false">$F61*J61</f>
        <v>-0</v>
      </c>
      <c r="AF61" s="132" t="n">
        <f aca="false">$F61*K61</f>
        <v>-0</v>
      </c>
      <c r="AG61" s="132" t="n">
        <f aca="false">$F61*L61</f>
        <v>0</v>
      </c>
      <c r="AH61" s="132" t="n">
        <f aca="false">$F61*M61</f>
        <v>0</v>
      </c>
      <c r="AI61" s="132" t="n">
        <f aca="false">$F61*N61</f>
        <v>0</v>
      </c>
      <c r="AJ61" s="132" t="n">
        <f aca="false">F61*O61</f>
        <v>0</v>
      </c>
      <c r="AK61" s="137"/>
      <c r="AL61" s="132" t="n">
        <f aca="false">CHOOSE($G$3,AC61-AD61,AD61-AC61)</f>
        <v>0</v>
      </c>
      <c r="AM61" s="132" t="n">
        <f aca="false">CHOOSE($G$3,AF61-AG61,AG61-AF61)</f>
        <v>0</v>
      </c>
      <c r="AN61" s="132" t="n">
        <f aca="false">CHOOSE($G$3,AI61-AJ61,AJ61-AI61)</f>
        <v>0</v>
      </c>
      <c r="AO61" s="148" t="n">
        <f aca="false">SUM(AL61:AN61)</f>
        <v>0</v>
      </c>
      <c r="AQ61" s="132" t="n">
        <f aca="false">CHOOSE($G$3,AB61-AC61,AC61-AB61)</f>
        <v>0</v>
      </c>
      <c r="AR61" s="132" t="n">
        <f aca="false">CHOOSE($G$3,AE61-AF61,AF61-AE61)</f>
        <v>0</v>
      </c>
      <c r="AS61" s="132" t="n">
        <f aca="false">CHOOSE($G$3,AH61-AI61,AI61-AH61)</f>
        <v>0</v>
      </c>
      <c r="AT61" s="148" t="n">
        <f aca="false">AQ61+AR61+AS61</f>
        <v>0</v>
      </c>
      <c r="AU61" s="148"/>
      <c r="AV61" s="133" t="n">
        <f aca="false">AT61+AO61</f>
        <v>0</v>
      </c>
      <c r="AX61" s="133" t="n">
        <f aca="false">AJ61+AG61+AD61</f>
        <v>0</v>
      </c>
      <c r="AY61" s="149"/>
      <c r="AZ61" s="76" t="n">
        <f aca="false">R61*E61</f>
        <v>0</v>
      </c>
    </row>
    <row r="62" customFormat="false" ht="12.75" hidden="false" customHeight="false" outlineLevel="0" collapsed="false">
      <c r="A62" s="138" t="n">
        <f aca="false">EDATE(A61,1)</f>
        <v>38565</v>
      </c>
      <c r="B62" s="139" t="n">
        <f aca="false">VLOOKUP($A62,Table2,MATCH(I$3,Curves2,0))</f>
        <v>0</v>
      </c>
      <c r="C62" s="140"/>
      <c r="D62" s="141" t="n">
        <f aca="false">B62+C62</f>
        <v>0</v>
      </c>
      <c r="E62" s="126" t="n">
        <f aca="false">IF(Y62=0,0,IF(AND(Y62=1,$H$3=1),D62*T62,IF($H$3=2,D62,"N/A")))</f>
        <v>0</v>
      </c>
      <c r="F62" s="126" t="n">
        <f aca="false">E62*X62</f>
        <v>0</v>
      </c>
      <c r="G62" s="142" t="n">
        <f aca="false">VLOOKUP($A62,Table,MATCH(G$4,Curves,0))</f>
        <v>3.672</v>
      </c>
      <c r="H62" s="143" t="n">
        <f aca="false">G62</f>
        <v>3.672</v>
      </c>
      <c r="I62" s="142" t="n">
        <f aca="false">VLOOKUP($A62,Table1,MATCH(I$3,Curves1,0))</f>
        <v>0</v>
      </c>
      <c r="J62" s="142" t="n">
        <f aca="false">VLOOKUP($A62,Table,MATCH(J$4,Curves,0))</f>
        <v>-0.061</v>
      </c>
      <c r="K62" s="143" t="n">
        <f aca="false">J62</f>
        <v>-0.061</v>
      </c>
      <c r="L62" s="144" t="n">
        <v>0</v>
      </c>
      <c r="M62" s="142" t="n">
        <f aca="false">VLOOKUP($A62,Table,MATCH(M$4,Curves,0))</f>
        <v>0.0075</v>
      </c>
      <c r="N62" s="143" t="n">
        <f aca="false">M62</f>
        <v>0.0075</v>
      </c>
      <c r="O62" s="144" t="n">
        <v>0</v>
      </c>
      <c r="P62" s="145"/>
      <c r="Q62" s="144" t="n">
        <f aca="false">M62+J62+G62</f>
        <v>3.6185</v>
      </c>
      <c r="R62" s="144" t="n">
        <f aca="false">O62+L62+I62</f>
        <v>0</v>
      </c>
      <c r="S62" s="145"/>
      <c r="T62" s="71" t="n">
        <f aca="false">A63-A62</f>
        <v>31</v>
      </c>
      <c r="U62" s="146" t="n">
        <f aca="false">CHOOSE(F$3,A63+24,A62)</f>
        <v>38620</v>
      </c>
      <c r="V62" s="71" t="n">
        <f aca="false">U62-C$3</f>
        <v>1732</v>
      </c>
      <c r="W62" s="142" t="n">
        <f aca="false">VLOOKUP($A62,Table,MATCH(W$4,Curves,0))</f>
        <v>0.058883105791796</v>
      </c>
      <c r="X62" s="147" t="n">
        <f aca="false">1/(1+CHOOSE(F$3,(W63+($K$3/10000))/2,(W62+($K$3/10000))/2))^(2*V62/365.25)</f>
        <v>0.759353546200148</v>
      </c>
      <c r="Y62" s="71" t="n">
        <f aca="false">IF(AND(mthbeg&lt;=A62,mthend&gt;=A62),1,0)</f>
        <v>1</v>
      </c>
      <c r="Z62" s="71" t="n">
        <f aca="false">T62*Y62</f>
        <v>31</v>
      </c>
      <c r="AB62" s="132" t="n">
        <f aca="false">F62*G62</f>
        <v>0</v>
      </c>
      <c r="AC62" s="132" t="n">
        <f aca="false">$F62*H62</f>
        <v>0</v>
      </c>
      <c r="AD62" s="132" t="n">
        <f aca="false">$F62*I62</f>
        <v>0</v>
      </c>
      <c r="AE62" s="132" t="n">
        <f aca="false">$F62*J62</f>
        <v>-0</v>
      </c>
      <c r="AF62" s="132" t="n">
        <f aca="false">$F62*K62</f>
        <v>-0</v>
      </c>
      <c r="AG62" s="132" t="n">
        <f aca="false">$F62*L62</f>
        <v>0</v>
      </c>
      <c r="AH62" s="132" t="n">
        <f aca="false">$F62*M62</f>
        <v>0</v>
      </c>
      <c r="AI62" s="132" t="n">
        <f aca="false">$F62*N62</f>
        <v>0</v>
      </c>
      <c r="AJ62" s="132" t="n">
        <f aca="false">F62*O62</f>
        <v>0</v>
      </c>
      <c r="AK62" s="137"/>
      <c r="AL62" s="132" t="n">
        <f aca="false">CHOOSE($G$3,AC62-AD62,AD62-AC62)</f>
        <v>0</v>
      </c>
      <c r="AM62" s="132" t="n">
        <f aca="false">CHOOSE($G$3,AF62-AG62,AG62-AF62)</f>
        <v>0</v>
      </c>
      <c r="AN62" s="132" t="n">
        <f aca="false">CHOOSE($G$3,AI62-AJ62,AJ62-AI62)</f>
        <v>0</v>
      </c>
      <c r="AO62" s="148" t="n">
        <f aca="false">SUM(AL62:AN62)</f>
        <v>0</v>
      </c>
      <c r="AQ62" s="132" t="n">
        <f aca="false">CHOOSE($G$3,AB62-AC62,AC62-AB62)</f>
        <v>0</v>
      </c>
      <c r="AR62" s="132" t="n">
        <f aca="false">CHOOSE($G$3,AE62-AF62,AF62-AE62)</f>
        <v>0</v>
      </c>
      <c r="AS62" s="132" t="n">
        <f aca="false">CHOOSE($G$3,AH62-AI62,AI62-AH62)</f>
        <v>0</v>
      </c>
      <c r="AT62" s="148" t="n">
        <f aca="false">AQ62+AR62+AS62</f>
        <v>0</v>
      </c>
      <c r="AU62" s="148"/>
      <c r="AV62" s="133" t="n">
        <f aca="false">AT62+AO62</f>
        <v>0</v>
      </c>
      <c r="AX62" s="133" t="n">
        <f aca="false">AJ62+AG62+AD62</f>
        <v>0</v>
      </c>
      <c r="AY62" s="149"/>
      <c r="AZ62" s="76" t="n">
        <f aca="false">R62*E62</f>
        <v>0</v>
      </c>
    </row>
    <row r="63" customFormat="false" ht="12.75" hidden="false" customHeight="false" outlineLevel="0" collapsed="false">
      <c r="A63" s="138" t="n">
        <f aca="false">EDATE(A62,1)</f>
        <v>38596</v>
      </c>
      <c r="B63" s="139" t="n">
        <f aca="false">VLOOKUP($A63,Table2,MATCH(I$3,Curves2,0))</f>
        <v>0</v>
      </c>
      <c r="C63" s="140"/>
      <c r="D63" s="141" t="n">
        <f aca="false">B63+C63</f>
        <v>0</v>
      </c>
      <c r="E63" s="126" t="n">
        <f aca="false">IF(Y63=0,0,IF(AND(Y63=1,$H$3=1),D63*T63,IF($H$3=2,D63,"N/A")))</f>
        <v>0</v>
      </c>
      <c r="F63" s="126" t="n">
        <f aca="false">E63*X63</f>
        <v>0</v>
      </c>
      <c r="G63" s="142" t="n">
        <f aca="false">VLOOKUP($A63,Table,MATCH(G$4,Curves,0))</f>
        <v>3.689</v>
      </c>
      <c r="H63" s="143" t="n">
        <f aca="false">G63</f>
        <v>3.689</v>
      </c>
      <c r="I63" s="142" t="n">
        <f aca="false">VLOOKUP($A63,Table1,MATCH(I$3,Curves1,0))</f>
        <v>0</v>
      </c>
      <c r="J63" s="142" t="n">
        <f aca="false">VLOOKUP($A63,Table,MATCH(J$4,Curves,0))</f>
        <v>-0.061</v>
      </c>
      <c r="K63" s="143" t="n">
        <f aca="false">J63</f>
        <v>-0.061</v>
      </c>
      <c r="L63" s="144" t="n">
        <v>0</v>
      </c>
      <c r="M63" s="142" t="n">
        <f aca="false">VLOOKUP($A63,Table,MATCH(M$4,Curves,0))</f>
        <v>0.0075</v>
      </c>
      <c r="N63" s="143" t="n">
        <f aca="false">M63</f>
        <v>0.0075</v>
      </c>
      <c r="O63" s="144" t="n">
        <v>0</v>
      </c>
      <c r="P63" s="145"/>
      <c r="Q63" s="144" t="n">
        <f aca="false">M63+J63+G63</f>
        <v>3.6355</v>
      </c>
      <c r="R63" s="144" t="n">
        <f aca="false">O63+L63+I63</f>
        <v>0</v>
      </c>
      <c r="S63" s="145"/>
      <c r="T63" s="71" t="n">
        <f aca="false">A64-A63</f>
        <v>30</v>
      </c>
      <c r="U63" s="146" t="n">
        <f aca="false">CHOOSE(F$3,A64+24,A63)</f>
        <v>38650</v>
      </c>
      <c r="V63" s="71" t="n">
        <f aca="false">U63-C$3</f>
        <v>1762</v>
      </c>
      <c r="W63" s="142" t="n">
        <f aca="false">VLOOKUP($A63,Table,MATCH(W$4,Curves,0))</f>
        <v>0.058904387943459</v>
      </c>
      <c r="X63" s="147" t="n">
        <f aca="false">1/(1+CHOOSE(F$3,(W64+($K$3/10000))/2,(W63+($K$3/10000))/2))^(2*V63/365.25)</f>
        <v>0.755668431611598</v>
      </c>
      <c r="Y63" s="71" t="n">
        <f aca="false">IF(AND(mthbeg&lt;=A63,mthend&gt;=A63),1,0)</f>
        <v>1</v>
      </c>
      <c r="Z63" s="71" t="n">
        <f aca="false">T63*Y63</f>
        <v>30</v>
      </c>
      <c r="AB63" s="132" t="n">
        <f aca="false">F63*G63</f>
        <v>0</v>
      </c>
      <c r="AC63" s="132" t="n">
        <f aca="false">$F63*H63</f>
        <v>0</v>
      </c>
      <c r="AD63" s="132" t="n">
        <f aca="false">$F63*I63</f>
        <v>0</v>
      </c>
      <c r="AE63" s="132" t="n">
        <f aca="false">$F63*J63</f>
        <v>-0</v>
      </c>
      <c r="AF63" s="132" t="n">
        <f aca="false">$F63*K63</f>
        <v>-0</v>
      </c>
      <c r="AG63" s="132" t="n">
        <f aca="false">$F63*L63</f>
        <v>0</v>
      </c>
      <c r="AH63" s="132" t="n">
        <f aca="false">$F63*M63</f>
        <v>0</v>
      </c>
      <c r="AI63" s="132" t="n">
        <f aca="false">$F63*N63</f>
        <v>0</v>
      </c>
      <c r="AJ63" s="132" t="n">
        <f aca="false">F63*O63</f>
        <v>0</v>
      </c>
      <c r="AK63" s="137"/>
      <c r="AL63" s="132" t="n">
        <f aca="false">CHOOSE($G$3,AC63-AD63,AD63-AC63)</f>
        <v>0</v>
      </c>
      <c r="AM63" s="132" t="n">
        <f aca="false">CHOOSE($G$3,AF63-AG63,AG63-AF63)</f>
        <v>0</v>
      </c>
      <c r="AN63" s="132" t="n">
        <f aca="false">CHOOSE($G$3,AI63-AJ63,AJ63-AI63)</f>
        <v>0</v>
      </c>
      <c r="AO63" s="148" t="n">
        <f aca="false">SUM(AL63:AN63)</f>
        <v>0</v>
      </c>
      <c r="AQ63" s="132" t="n">
        <f aca="false">CHOOSE($G$3,AB63-AC63,AC63-AB63)</f>
        <v>0</v>
      </c>
      <c r="AR63" s="132" t="n">
        <f aca="false">CHOOSE($G$3,AE63-AF63,AF63-AE63)</f>
        <v>0</v>
      </c>
      <c r="AS63" s="132" t="n">
        <f aca="false">CHOOSE($G$3,AH63-AI63,AI63-AH63)</f>
        <v>0</v>
      </c>
      <c r="AT63" s="148" t="n">
        <f aca="false">AQ63+AR63+AS63</f>
        <v>0</v>
      </c>
      <c r="AU63" s="148"/>
      <c r="AV63" s="133" t="n">
        <f aca="false">AT63+AO63</f>
        <v>0</v>
      </c>
      <c r="AX63" s="133" t="n">
        <f aca="false">AJ63+AG63+AD63</f>
        <v>0</v>
      </c>
      <c r="AY63" s="149"/>
      <c r="AZ63" s="76" t="n">
        <f aca="false">R63*E63</f>
        <v>0</v>
      </c>
    </row>
    <row r="64" customFormat="false" ht="12.75" hidden="false" customHeight="false" outlineLevel="0" collapsed="false">
      <c r="A64" s="138" t="n">
        <f aca="false">EDATE(A63,1)</f>
        <v>38626</v>
      </c>
      <c r="B64" s="139" t="n">
        <f aca="false">VLOOKUP($A64,Table2,MATCH(I$3,Curves2,0))</f>
        <v>0</v>
      </c>
      <c r="C64" s="140"/>
      <c r="D64" s="141" t="n">
        <f aca="false">B64+C64</f>
        <v>0</v>
      </c>
      <c r="E64" s="126" t="n">
        <f aca="false">IF(Y64=0,0,IF(AND(Y64=1,$H$3=1),D64*T64,IF($H$3=2,D64,"N/A")))</f>
        <v>0</v>
      </c>
      <c r="F64" s="126" t="n">
        <f aca="false">E64*X64</f>
        <v>0</v>
      </c>
      <c r="G64" s="142" t="n">
        <f aca="false">VLOOKUP($A64,Table,MATCH(G$4,Curves,0))</f>
        <v>3.707</v>
      </c>
      <c r="H64" s="143" t="n">
        <f aca="false">G64</f>
        <v>3.707</v>
      </c>
      <c r="I64" s="142" t="n">
        <f aca="false">VLOOKUP($A64,Table1,MATCH(I$3,Curves1,0))</f>
        <v>0</v>
      </c>
      <c r="J64" s="142" t="n">
        <f aca="false">VLOOKUP($A64,Table,MATCH(J$4,Curves,0))</f>
        <v>-0.061</v>
      </c>
      <c r="K64" s="143" t="n">
        <f aca="false">J64</f>
        <v>-0.061</v>
      </c>
      <c r="L64" s="144" t="n">
        <v>0</v>
      </c>
      <c r="M64" s="142" t="n">
        <f aca="false">VLOOKUP($A64,Table,MATCH(M$4,Curves,0))</f>
        <v>0.0075</v>
      </c>
      <c r="N64" s="143" t="n">
        <f aca="false">M64</f>
        <v>0.0075</v>
      </c>
      <c r="O64" s="144" t="n">
        <v>0</v>
      </c>
      <c r="P64" s="145"/>
      <c r="Q64" s="144" t="n">
        <f aca="false">M64+J64+G64</f>
        <v>3.6535</v>
      </c>
      <c r="R64" s="144" t="n">
        <f aca="false">O64+L64+I64</f>
        <v>0</v>
      </c>
      <c r="S64" s="145"/>
      <c r="T64" s="71" t="n">
        <f aca="false">A65-A64</f>
        <v>31</v>
      </c>
      <c r="U64" s="146" t="n">
        <f aca="false">CHOOSE(F$3,A65+24,A64)</f>
        <v>38681</v>
      </c>
      <c r="V64" s="71" t="n">
        <f aca="false">U64-C$3</f>
        <v>1793</v>
      </c>
      <c r="W64" s="142" t="n">
        <f aca="false">VLOOKUP($A64,Table,MATCH(W$4,Curves,0))</f>
        <v>0.058924983574244</v>
      </c>
      <c r="X64" s="147" t="n">
        <f aca="false">1/(1+CHOOSE(F$3,(W65+($K$3/10000))/2,(W64+($K$3/10000))/2))^(2*V64/365.25)</f>
        <v>0.751876671540284</v>
      </c>
      <c r="Y64" s="71" t="n">
        <f aca="false">IF(AND(mthbeg&lt;=A64,mthend&gt;=A64),1,0)</f>
        <v>1</v>
      </c>
      <c r="Z64" s="71" t="n">
        <f aca="false">T64*Y64</f>
        <v>31</v>
      </c>
      <c r="AB64" s="132" t="n">
        <f aca="false">F64*G64</f>
        <v>0</v>
      </c>
      <c r="AC64" s="132" t="n">
        <f aca="false">$F64*H64</f>
        <v>0</v>
      </c>
      <c r="AD64" s="132" t="n">
        <f aca="false">$F64*I64</f>
        <v>0</v>
      </c>
      <c r="AE64" s="132" t="n">
        <f aca="false">$F64*J64</f>
        <v>-0</v>
      </c>
      <c r="AF64" s="132" t="n">
        <f aca="false">$F64*K64</f>
        <v>-0</v>
      </c>
      <c r="AG64" s="132" t="n">
        <f aca="false">$F64*L64</f>
        <v>0</v>
      </c>
      <c r="AH64" s="132" t="n">
        <f aca="false">$F64*M64</f>
        <v>0</v>
      </c>
      <c r="AI64" s="132" t="n">
        <f aca="false">$F64*N64</f>
        <v>0</v>
      </c>
      <c r="AJ64" s="132" t="n">
        <f aca="false">F64*O64</f>
        <v>0</v>
      </c>
      <c r="AK64" s="137"/>
      <c r="AL64" s="132" t="n">
        <f aca="false">CHOOSE($G$3,AC64-AD64,AD64-AC64)</f>
        <v>0</v>
      </c>
      <c r="AM64" s="132" t="n">
        <f aca="false">CHOOSE($G$3,AF64-AG64,AG64-AF64)</f>
        <v>0</v>
      </c>
      <c r="AN64" s="132" t="n">
        <f aca="false">CHOOSE($G$3,AI64-AJ64,AJ64-AI64)</f>
        <v>0</v>
      </c>
      <c r="AO64" s="148" t="n">
        <f aca="false">SUM(AL64:AN64)</f>
        <v>0</v>
      </c>
      <c r="AQ64" s="132" t="n">
        <f aca="false">CHOOSE($G$3,AB64-AC64,AC64-AB64)</f>
        <v>0</v>
      </c>
      <c r="AR64" s="132" t="n">
        <f aca="false">CHOOSE($G$3,AE64-AF64,AF64-AE64)</f>
        <v>0</v>
      </c>
      <c r="AS64" s="132" t="n">
        <f aca="false">CHOOSE($G$3,AH64-AI64,AI64-AH64)</f>
        <v>0</v>
      </c>
      <c r="AT64" s="148" t="n">
        <f aca="false">AQ64+AR64+AS64</f>
        <v>0</v>
      </c>
      <c r="AU64" s="148"/>
      <c r="AV64" s="133" t="n">
        <f aca="false">AT64+AO64</f>
        <v>0</v>
      </c>
      <c r="AX64" s="133" t="n">
        <f aca="false">AJ64+AG64+AD64</f>
        <v>0</v>
      </c>
      <c r="AY64" s="149"/>
      <c r="AZ64" s="76" t="n">
        <f aca="false">R64*E64</f>
        <v>0</v>
      </c>
    </row>
    <row r="65" customFormat="false" ht="12.75" hidden="false" customHeight="false" outlineLevel="0" collapsed="false">
      <c r="A65" s="138" t="n">
        <f aca="false">EDATE(A64,1)</f>
        <v>38657</v>
      </c>
      <c r="B65" s="139" t="n">
        <f aca="false">VLOOKUP($A65,Table2,MATCH(I$3,Curves2,0))</f>
        <v>0</v>
      </c>
      <c r="C65" s="140"/>
      <c r="D65" s="141" t="n">
        <f aca="false">B65+C65</f>
        <v>0</v>
      </c>
      <c r="E65" s="126" t="n">
        <f aca="false">IF(Y65=0,0,IF(AND(Y65=1,$H$3=1),D65*T65,IF($H$3=2,D65,"N/A")))</f>
        <v>0</v>
      </c>
      <c r="F65" s="126" t="n">
        <f aca="false">E65*X65</f>
        <v>0</v>
      </c>
      <c r="G65" s="142" t="n">
        <f aca="false">VLOOKUP($A65,Table,MATCH(G$4,Curves,0))</f>
        <v>3.852</v>
      </c>
      <c r="H65" s="143" t="n">
        <f aca="false">G65</f>
        <v>3.852</v>
      </c>
      <c r="I65" s="142" t="n">
        <f aca="false">VLOOKUP($A65,Table1,MATCH(I$3,Curves1,0))</f>
        <v>0</v>
      </c>
      <c r="J65" s="142" t="n">
        <f aca="false">VLOOKUP($A65,Table,MATCH(J$4,Curves,0))</f>
        <v>-0.061</v>
      </c>
      <c r="K65" s="143" t="n">
        <f aca="false">J65</f>
        <v>-0.061</v>
      </c>
      <c r="L65" s="144" t="n">
        <v>0</v>
      </c>
      <c r="M65" s="142" t="n">
        <f aca="false">VLOOKUP($A65,Table,MATCH(M$4,Curves,0))</f>
        <v>0.005</v>
      </c>
      <c r="N65" s="143" t="n">
        <f aca="false">M65</f>
        <v>0.005</v>
      </c>
      <c r="O65" s="144" t="n">
        <v>0</v>
      </c>
      <c r="P65" s="145"/>
      <c r="Q65" s="144" t="n">
        <f aca="false">M65+J65+G65</f>
        <v>3.796</v>
      </c>
      <c r="R65" s="144" t="n">
        <f aca="false">O65+L65+I65</f>
        <v>0</v>
      </c>
      <c r="S65" s="145"/>
      <c r="T65" s="71" t="n">
        <f aca="false">A66-A65</f>
        <v>30</v>
      </c>
      <c r="U65" s="146" t="n">
        <f aca="false">CHOOSE(F$3,A66+24,A65)</f>
        <v>38711</v>
      </c>
      <c r="V65" s="71" t="n">
        <f aca="false">U65-C$3</f>
        <v>1823</v>
      </c>
      <c r="W65" s="142" t="n">
        <f aca="false">VLOOKUP($A65,Table,MATCH(W$4,Curves,0))</f>
        <v>0.058946265726202</v>
      </c>
      <c r="X65" s="147" t="n">
        <f aca="false">1/(1+CHOOSE(F$3,(W66+($K$3/10000))/2,(W65+($K$3/10000))/2))^(2*V65/365.25)</f>
        <v>0.748222843492863</v>
      </c>
      <c r="Y65" s="71" t="n">
        <f aca="false">IF(AND(mthbeg&lt;=A65,mthend&gt;=A65),1,0)</f>
        <v>1</v>
      </c>
      <c r="Z65" s="71" t="n">
        <f aca="false">T65*Y65</f>
        <v>30</v>
      </c>
      <c r="AB65" s="132" t="n">
        <f aca="false">F65*G65</f>
        <v>0</v>
      </c>
      <c r="AC65" s="132" t="n">
        <f aca="false">$F65*H65</f>
        <v>0</v>
      </c>
      <c r="AD65" s="132" t="n">
        <f aca="false">$F65*I65</f>
        <v>0</v>
      </c>
      <c r="AE65" s="132" t="n">
        <f aca="false">$F65*J65</f>
        <v>-0</v>
      </c>
      <c r="AF65" s="132" t="n">
        <f aca="false">$F65*K65</f>
        <v>-0</v>
      </c>
      <c r="AG65" s="132" t="n">
        <f aca="false">$F65*L65</f>
        <v>0</v>
      </c>
      <c r="AH65" s="132" t="n">
        <f aca="false">$F65*M65</f>
        <v>0</v>
      </c>
      <c r="AI65" s="132" t="n">
        <f aca="false">$F65*N65</f>
        <v>0</v>
      </c>
      <c r="AJ65" s="132" t="n">
        <f aca="false">F65*O65</f>
        <v>0</v>
      </c>
      <c r="AK65" s="137"/>
      <c r="AL65" s="132" t="n">
        <f aca="false">CHOOSE($G$3,AC65-AD65,AD65-AC65)</f>
        <v>0</v>
      </c>
      <c r="AM65" s="132" t="n">
        <f aca="false">CHOOSE($G$3,AF65-AG65,AG65-AF65)</f>
        <v>0</v>
      </c>
      <c r="AN65" s="132" t="n">
        <f aca="false">CHOOSE($G$3,AI65-AJ65,AJ65-AI65)</f>
        <v>0</v>
      </c>
      <c r="AO65" s="148" t="n">
        <f aca="false">SUM(AL65:AN65)</f>
        <v>0</v>
      </c>
      <c r="AQ65" s="132" t="n">
        <f aca="false">CHOOSE($G$3,AB65-AC65,AC65-AB65)</f>
        <v>0</v>
      </c>
      <c r="AR65" s="132" t="n">
        <f aca="false">CHOOSE($G$3,AE65-AF65,AF65-AE65)</f>
        <v>0</v>
      </c>
      <c r="AS65" s="132" t="n">
        <f aca="false">CHOOSE($G$3,AH65-AI65,AI65-AH65)</f>
        <v>0</v>
      </c>
      <c r="AT65" s="148" t="n">
        <f aca="false">AQ65+AR65+AS65</f>
        <v>0</v>
      </c>
      <c r="AU65" s="148"/>
      <c r="AV65" s="133" t="n">
        <f aca="false">AT65+AO65</f>
        <v>0</v>
      </c>
      <c r="AX65" s="133" t="n">
        <f aca="false">AJ65+AG65+AD65</f>
        <v>0</v>
      </c>
      <c r="AY65" s="149"/>
      <c r="AZ65" s="76" t="n">
        <f aca="false">R65*E65</f>
        <v>0</v>
      </c>
    </row>
    <row r="66" customFormat="false" ht="12.75" hidden="false" customHeight="false" outlineLevel="0" collapsed="false">
      <c r="A66" s="138" t="n">
        <f aca="false">EDATE(A65,1)</f>
        <v>38687</v>
      </c>
      <c r="B66" s="139" t="n">
        <f aca="false">VLOOKUP($A66,Table2,MATCH(I$3,Curves2,0))</f>
        <v>0</v>
      </c>
      <c r="C66" s="140"/>
      <c r="D66" s="141" t="n">
        <f aca="false">B66+C66</f>
        <v>0</v>
      </c>
      <c r="E66" s="126" t="n">
        <f aca="false">IF(Y66=0,0,IF(AND(Y66=1,$H$3=1),D66*T66,IF($H$3=2,D66,"N/A")))</f>
        <v>0</v>
      </c>
      <c r="F66" s="126" t="n">
        <f aca="false">E66*X66</f>
        <v>0</v>
      </c>
      <c r="G66" s="142" t="n">
        <f aca="false">VLOOKUP($A66,Table,MATCH(G$4,Curves,0))</f>
        <v>3.987</v>
      </c>
      <c r="H66" s="143" t="n">
        <f aca="false">G66</f>
        <v>3.987</v>
      </c>
      <c r="I66" s="142" t="n">
        <f aca="false">VLOOKUP($A66,Table1,MATCH(I$3,Curves1,0))</f>
        <v>0</v>
      </c>
      <c r="J66" s="142" t="n">
        <f aca="false">VLOOKUP($A66,Table,MATCH(J$4,Curves,0))</f>
        <v>-0.061</v>
      </c>
      <c r="K66" s="143" t="n">
        <f aca="false">J66</f>
        <v>-0.061</v>
      </c>
      <c r="L66" s="144" t="n">
        <v>0</v>
      </c>
      <c r="M66" s="142" t="n">
        <f aca="false">VLOOKUP($A66,Table,MATCH(M$4,Curves,0))</f>
        <v>0.005</v>
      </c>
      <c r="N66" s="143" t="n">
        <f aca="false">M66</f>
        <v>0.005</v>
      </c>
      <c r="O66" s="144" t="n">
        <v>0</v>
      </c>
      <c r="P66" s="145"/>
      <c r="Q66" s="144" t="n">
        <f aca="false">M66+J66+G66</f>
        <v>3.931</v>
      </c>
      <c r="R66" s="144" t="n">
        <f aca="false">O66+L66+I66</f>
        <v>0</v>
      </c>
      <c r="S66" s="145"/>
      <c r="T66" s="71" t="n">
        <f aca="false">A67-A66</f>
        <v>31</v>
      </c>
      <c r="U66" s="146" t="n">
        <f aca="false">CHOOSE(F$3,A67+24,A66)</f>
        <v>38742</v>
      </c>
      <c r="V66" s="71" t="n">
        <f aca="false">U66-C$3</f>
        <v>1854</v>
      </c>
      <c r="W66" s="142" t="n">
        <f aca="false">VLOOKUP($A66,Table,MATCH(W$4,Curves,0))</f>
        <v>0.058966861357273</v>
      </c>
      <c r="X66" s="147" t="n">
        <f aca="false">1/(1+CHOOSE(F$3,(W67+($K$3/10000))/2,(W66+($K$3/10000))/2))^(2*V66/365.25)</f>
        <v>0.744541427640193</v>
      </c>
      <c r="Y66" s="71" t="n">
        <f aca="false">IF(AND(mthbeg&lt;=A66,mthend&gt;=A66),1,0)</f>
        <v>0</v>
      </c>
      <c r="Z66" s="71" t="n">
        <f aca="false">T66*Y66</f>
        <v>0</v>
      </c>
      <c r="AB66" s="132" t="n">
        <f aca="false">F66*G66</f>
        <v>0</v>
      </c>
      <c r="AC66" s="132" t="n">
        <f aca="false">$F66*H66</f>
        <v>0</v>
      </c>
      <c r="AD66" s="132" t="n">
        <f aca="false">$F66*I66</f>
        <v>0</v>
      </c>
      <c r="AE66" s="132" t="n">
        <f aca="false">$F66*J66</f>
        <v>-0</v>
      </c>
      <c r="AF66" s="132" t="n">
        <f aca="false">$F66*K66</f>
        <v>-0</v>
      </c>
      <c r="AG66" s="132" t="n">
        <f aca="false">$F66*L66</f>
        <v>0</v>
      </c>
      <c r="AH66" s="132" t="n">
        <f aca="false">$F66*M66</f>
        <v>0</v>
      </c>
      <c r="AI66" s="132" t="n">
        <f aca="false">$F66*N66</f>
        <v>0</v>
      </c>
      <c r="AJ66" s="132" t="n">
        <f aca="false">F66*O66</f>
        <v>0</v>
      </c>
      <c r="AK66" s="137"/>
      <c r="AL66" s="132" t="n">
        <f aca="false">CHOOSE($G$3,AC66-AD66,AD66-AC66)</f>
        <v>0</v>
      </c>
      <c r="AM66" s="132" t="n">
        <f aca="false">CHOOSE($G$3,AF66-AG66,AG66-AF66)</f>
        <v>0</v>
      </c>
      <c r="AN66" s="132" t="n">
        <f aca="false">CHOOSE($G$3,AI66-AJ66,AJ66-AI66)</f>
        <v>0</v>
      </c>
      <c r="AO66" s="148" t="n">
        <f aca="false">SUM(AL66:AN66)</f>
        <v>0</v>
      </c>
      <c r="AQ66" s="132" t="n">
        <f aca="false">CHOOSE($G$3,AB66-AC66,AC66-AB66)</f>
        <v>0</v>
      </c>
      <c r="AR66" s="132" t="n">
        <f aca="false">CHOOSE($G$3,AE66-AF66,AF66-AE66)</f>
        <v>0</v>
      </c>
      <c r="AS66" s="132" t="n">
        <f aca="false">CHOOSE($G$3,AH66-AI66,AI66-AH66)</f>
        <v>0</v>
      </c>
      <c r="AT66" s="148" t="n">
        <f aca="false">AQ66+AR66+AS66</f>
        <v>0</v>
      </c>
      <c r="AU66" s="148"/>
      <c r="AV66" s="133" t="n">
        <f aca="false">AT66+AO66</f>
        <v>0</v>
      </c>
      <c r="AX66" s="133" t="n">
        <f aca="false">AJ66+AG66+AD66</f>
        <v>0</v>
      </c>
      <c r="AY66" s="149"/>
      <c r="AZ66" s="76" t="n">
        <f aca="false">R66*E66</f>
        <v>0</v>
      </c>
    </row>
    <row r="67" customFormat="false" ht="12.75" hidden="false" customHeight="false" outlineLevel="0" collapsed="false">
      <c r="A67" s="138" t="n">
        <f aca="false">EDATE(A66,1)</f>
        <v>38718</v>
      </c>
      <c r="B67" s="139" t="n">
        <f aca="false">VLOOKUP($A67,Table2,MATCH(I$3,Curves2,0))</f>
        <v>0</v>
      </c>
      <c r="C67" s="140"/>
      <c r="D67" s="141" t="n">
        <f aca="false">B67+C67</f>
        <v>0</v>
      </c>
      <c r="E67" s="126" t="n">
        <f aca="false">IF(Y67=0,0,IF(AND(Y67=1,$H$3=1),D67*T67,IF($H$3=2,D67,"N/A")))</f>
        <v>0</v>
      </c>
      <c r="F67" s="126" t="n">
        <f aca="false">E67*X67</f>
        <v>0</v>
      </c>
      <c r="G67" s="142" t="n">
        <f aca="false">VLOOKUP($A67,Table,MATCH(G$4,Curves,0))</f>
        <v>3.987</v>
      </c>
      <c r="H67" s="143" t="n">
        <f aca="false">G67</f>
        <v>3.987</v>
      </c>
      <c r="I67" s="142" t="n">
        <f aca="false">VLOOKUP($A67,Table1,MATCH(I$3,Curves1,0))</f>
        <v>0</v>
      </c>
      <c r="J67" s="142" t="n">
        <f aca="false">VLOOKUP($A67,Table,MATCH(J$4,Curves,0))</f>
        <v>-0.061</v>
      </c>
      <c r="K67" s="143" t="n">
        <f aca="false">J67</f>
        <v>-0.061</v>
      </c>
      <c r="L67" s="144" t="n">
        <v>0</v>
      </c>
      <c r="M67" s="142" t="n">
        <f aca="false">VLOOKUP($A67,Table,MATCH(M$4,Curves,0))</f>
        <v>0.005</v>
      </c>
      <c r="N67" s="143" t="n">
        <f aca="false">M67</f>
        <v>0.005</v>
      </c>
      <c r="O67" s="144" t="n">
        <v>0</v>
      </c>
      <c r="P67" s="145"/>
      <c r="Q67" s="144" t="n">
        <f aca="false">M67+J67+G67</f>
        <v>3.931</v>
      </c>
      <c r="R67" s="144" t="n">
        <f aca="false">O67+L67+I67</f>
        <v>0</v>
      </c>
      <c r="S67" s="145"/>
      <c r="T67" s="71" t="n">
        <f aca="false">A68-A67</f>
        <v>31</v>
      </c>
      <c r="U67" s="146" t="n">
        <f aca="false">CHOOSE(F$3,A68+24,A67)</f>
        <v>38773</v>
      </c>
      <c r="V67" s="71" t="n">
        <f aca="false">U67-C$3</f>
        <v>1885</v>
      </c>
      <c r="W67" s="142" t="n">
        <f aca="false">VLOOKUP($A67,Table,MATCH(W$4,Curves,0))</f>
        <v>0.058966861357273</v>
      </c>
      <c r="X67" s="147" t="n">
        <f aca="false">1/(1+CHOOSE(F$3,(W68+($K$3/10000))/2,(W67+($K$3/10000))/2))^(2*V67/365.25)</f>
        <v>0.740878125138109</v>
      </c>
      <c r="Y67" s="71" t="n">
        <f aca="false">IF(AND(mthbeg&lt;=A67,mthend&gt;=A67),1,0)</f>
        <v>0</v>
      </c>
      <c r="Z67" s="71" t="n">
        <f aca="false">T67*Y67</f>
        <v>0</v>
      </c>
      <c r="AB67" s="132" t="n">
        <f aca="false">F67*G67</f>
        <v>0</v>
      </c>
      <c r="AC67" s="132" t="n">
        <f aca="false">$F67*H67</f>
        <v>0</v>
      </c>
      <c r="AD67" s="132" t="n">
        <f aca="false">$F67*I67</f>
        <v>0</v>
      </c>
      <c r="AE67" s="132" t="n">
        <f aca="false">$F67*J67</f>
        <v>-0</v>
      </c>
      <c r="AF67" s="132" t="n">
        <f aca="false">$F67*K67</f>
        <v>-0</v>
      </c>
      <c r="AG67" s="132" t="n">
        <f aca="false">$F67*L67</f>
        <v>0</v>
      </c>
      <c r="AH67" s="132" t="n">
        <f aca="false">$F67*M67</f>
        <v>0</v>
      </c>
      <c r="AI67" s="132" t="n">
        <f aca="false">$F67*N67</f>
        <v>0</v>
      </c>
      <c r="AJ67" s="132" t="n">
        <f aca="false">F67*O67</f>
        <v>0</v>
      </c>
      <c r="AK67" s="137"/>
      <c r="AL67" s="132" t="n">
        <f aca="false">CHOOSE($G$3,AC67-AD67,AD67-AC67)</f>
        <v>0</v>
      </c>
      <c r="AM67" s="132" t="n">
        <f aca="false">CHOOSE($G$3,AF67-AG67,AG67-AF67)</f>
        <v>0</v>
      </c>
      <c r="AN67" s="132" t="n">
        <f aca="false">CHOOSE($G$3,AI67-AJ67,AJ67-AI67)</f>
        <v>0</v>
      </c>
      <c r="AO67" s="148" t="n">
        <f aca="false">SUM(AL67:AN67)</f>
        <v>0</v>
      </c>
      <c r="AQ67" s="132" t="n">
        <f aca="false">CHOOSE($G$3,AB67-AC67,AC67-AB67)</f>
        <v>0</v>
      </c>
      <c r="AR67" s="132" t="n">
        <f aca="false">CHOOSE($G$3,AE67-AF67,AF67-AE67)</f>
        <v>0</v>
      </c>
      <c r="AS67" s="132" t="n">
        <f aca="false">CHOOSE($G$3,AH67-AI67,AI67-AH67)</f>
        <v>0</v>
      </c>
      <c r="AT67" s="148" t="n">
        <f aca="false">AQ67+AR67+AS67</f>
        <v>0</v>
      </c>
      <c r="AU67" s="148"/>
      <c r="AV67" s="133" t="n">
        <f aca="false">AT67+AO67</f>
        <v>0</v>
      </c>
      <c r="AX67" s="133" t="n">
        <f aca="false">AJ67+AG67+AD67</f>
        <v>0</v>
      </c>
      <c r="AY67" s="149"/>
      <c r="AZ67" s="76" t="n">
        <f aca="false">R67*E67</f>
        <v>0</v>
      </c>
    </row>
    <row r="68" customFormat="false" ht="12.75" hidden="false" customHeight="false" outlineLevel="0" collapsed="false">
      <c r="A68" s="138" t="n">
        <f aca="false">EDATE(A67,1)</f>
        <v>38749</v>
      </c>
      <c r="B68" s="139" t="n">
        <f aca="false">VLOOKUP($A68,Table2,MATCH(I$3,Curves2,0))</f>
        <v>0</v>
      </c>
      <c r="C68" s="140"/>
      <c r="D68" s="141" t="n">
        <f aca="false">B68+C68</f>
        <v>0</v>
      </c>
      <c r="E68" s="126" t="n">
        <f aca="false">IF(Y68=0,0,IF(AND(Y68=1,$H$3=1),D68*T68,IF($H$3=2,D68,"N/A")))</f>
        <v>0</v>
      </c>
      <c r="F68" s="126" t="n">
        <f aca="false">E68*X68</f>
        <v>0</v>
      </c>
      <c r="G68" s="142" t="n">
        <f aca="false">VLOOKUP($A68,Table,MATCH(G$4,Curves,0))</f>
        <v>3.987</v>
      </c>
      <c r="H68" s="143" t="n">
        <f aca="false">G68</f>
        <v>3.987</v>
      </c>
      <c r="I68" s="142" t="n">
        <f aca="false">VLOOKUP($A68,Table1,MATCH(I$3,Curves1,0))</f>
        <v>0</v>
      </c>
      <c r="J68" s="142" t="n">
        <f aca="false">VLOOKUP($A68,Table,MATCH(J$4,Curves,0))</f>
        <v>-0.061</v>
      </c>
      <c r="K68" s="143" t="n">
        <f aca="false">J68</f>
        <v>-0.061</v>
      </c>
      <c r="L68" s="144" t="n">
        <v>0</v>
      </c>
      <c r="M68" s="142" t="n">
        <f aca="false">VLOOKUP($A68,Table,MATCH(M$4,Curves,0))</f>
        <v>0.005</v>
      </c>
      <c r="N68" s="143" t="n">
        <f aca="false">M68</f>
        <v>0.005</v>
      </c>
      <c r="O68" s="144" t="n">
        <v>0</v>
      </c>
      <c r="P68" s="145"/>
      <c r="Q68" s="144" t="n">
        <f aca="false">M68+J68+G68</f>
        <v>3.931</v>
      </c>
      <c r="R68" s="144" t="n">
        <f aca="false">O68+L68+I68</f>
        <v>0</v>
      </c>
      <c r="S68" s="145"/>
      <c r="T68" s="71" t="n">
        <f aca="false">A69-A68</f>
        <v>28</v>
      </c>
      <c r="U68" s="146" t="n">
        <f aca="false">CHOOSE(F$3,A69+24,A68)</f>
        <v>38801</v>
      </c>
      <c r="V68" s="71" t="n">
        <f aca="false">U68-C$3</f>
        <v>1913</v>
      </c>
      <c r="W68" s="142" t="n">
        <f aca="false">VLOOKUP($A68,Table,MATCH(W$4,Curves,0))</f>
        <v>0.058966861357273</v>
      </c>
      <c r="X68" s="147" t="n">
        <f aca="false">1/(1+CHOOSE(F$3,(W69+($K$3/10000))/2,(W68+($K$3/10000))/2))^(2*V68/365.25)</f>
        <v>0.737584830452934</v>
      </c>
      <c r="Y68" s="71" t="n">
        <f aca="false">IF(AND(mthbeg&lt;=A68,mthend&gt;=A68),1,0)</f>
        <v>0</v>
      </c>
      <c r="Z68" s="71" t="n">
        <f aca="false">T68*Y68</f>
        <v>0</v>
      </c>
      <c r="AB68" s="132" t="n">
        <f aca="false">F68*G68</f>
        <v>0</v>
      </c>
      <c r="AC68" s="132" t="n">
        <f aca="false">$F68*H68</f>
        <v>0</v>
      </c>
      <c r="AD68" s="132" t="n">
        <f aca="false">$F68*I68</f>
        <v>0</v>
      </c>
      <c r="AE68" s="132" t="n">
        <f aca="false">$F68*J68</f>
        <v>-0</v>
      </c>
      <c r="AF68" s="132" t="n">
        <f aca="false">$F68*K68</f>
        <v>-0</v>
      </c>
      <c r="AG68" s="132" t="n">
        <f aca="false">$F68*L68</f>
        <v>0</v>
      </c>
      <c r="AH68" s="132" t="n">
        <f aca="false">$F68*M68</f>
        <v>0</v>
      </c>
      <c r="AI68" s="132" t="n">
        <f aca="false">$F68*N68</f>
        <v>0</v>
      </c>
      <c r="AJ68" s="132" t="n">
        <f aca="false">F68*O68</f>
        <v>0</v>
      </c>
      <c r="AK68" s="137"/>
      <c r="AL68" s="132" t="n">
        <f aca="false">CHOOSE($G$3,AC68-AD68,AD68-AC68)</f>
        <v>0</v>
      </c>
      <c r="AM68" s="132" t="n">
        <f aca="false">CHOOSE($G$3,AF68-AG68,AG68-AF68)</f>
        <v>0</v>
      </c>
      <c r="AN68" s="132" t="n">
        <f aca="false">CHOOSE($G$3,AI68-AJ68,AJ68-AI68)</f>
        <v>0</v>
      </c>
      <c r="AO68" s="148" t="n">
        <f aca="false">SUM(AL68:AN68)</f>
        <v>0</v>
      </c>
      <c r="AQ68" s="132" t="n">
        <f aca="false">CHOOSE($G$3,AB68-AC68,AC68-AB68)</f>
        <v>0</v>
      </c>
      <c r="AR68" s="132" t="n">
        <f aca="false">CHOOSE($G$3,AE68-AF68,AF68-AE68)</f>
        <v>0</v>
      </c>
      <c r="AS68" s="132" t="n">
        <f aca="false">CHOOSE($G$3,AH68-AI68,AI68-AH68)</f>
        <v>0</v>
      </c>
      <c r="AT68" s="148" t="n">
        <f aca="false">AQ68+AR68+AS68</f>
        <v>0</v>
      </c>
      <c r="AU68" s="148"/>
      <c r="AV68" s="133" t="n">
        <f aca="false">AT68+AO68</f>
        <v>0</v>
      </c>
      <c r="AX68" s="133" t="n">
        <f aca="false">AJ68+AG68+AD68</f>
        <v>0</v>
      </c>
      <c r="AY68" s="149"/>
      <c r="AZ68" s="76" t="n">
        <f aca="false">R68*E68</f>
        <v>0</v>
      </c>
    </row>
    <row r="69" customFormat="false" ht="12.75" hidden="false" customHeight="false" outlineLevel="0" collapsed="false">
      <c r="A69" s="138" t="n">
        <f aca="false">EDATE(A68,1)</f>
        <v>38777</v>
      </c>
      <c r="B69" s="139" t="n">
        <f aca="false">VLOOKUP($A69,Table2,MATCH(I$3,Curves2,0))</f>
        <v>0</v>
      </c>
      <c r="C69" s="140"/>
      <c r="D69" s="141" t="n">
        <f aca="false">B69+C69</f>
        <v>0</v>
      </c>
      <c r="E69" s="126" t="n">
        <f aca="false">IF(Y69=0,0,IF(AND(Y69=1,$H$3=1),D69*T69,IF($H$3=2,D69,"N/A")))</f>
        <v>0</v>
      </c>
      <c r="F69" s="126" t="n">
        <f aca="false">E69*X69</f>
        <v>0</v>
      </c>
      <c r="G69" s="142" t="n">
        <f aca="false">VLOOKUP($A69,Table,MATCH(G$4,Curves,0))</f>
        <v>3.987</v>
      </c>
      <c r="H69" s="143" t="n">
        <f aca="false">G69</f>
        <v>3.987</v>
      </c>
      <c r="I69" s="142" t="n">
        <f aca="false">VLOOKUP($A69,Table1,MATCH(I$3,Curves1,0))</f>
        <v>0</v>
      </c>
      <c r="J69" s="142" t="n">
        <f aca="false">VLOOKUP($A69,Table,MATCH(J$4,Curves,0))</f>
        <v>-0.061</v>
      </c>
      <c r="K69" s="143" t="n">
        <f aca="false">J69</f>
        <v>-0.061</v>
      </c>
      <c r="L69" s="144" t="n">
        <v>0</v>
      </c>
      <c r="M69" s="142" t="n">
        <f aca="false">VLOOKUP($A69,Table,MATCH(M$4,Curves,0))</f>
        <v>0.005</v>
      </c>
      <c r="N69" s="143" t="n">
        <f aca="false">M69</f>
        <v>0.005</v>
      </c>
      <c r="O69" s="144" t="n">
        <v>0</v>
      </c>
      <c r="P69" s="145"/>
      <c r="Q69" s="144" t="n">
        <f aca="false">M69+J69+G69</f>
        <v>3.931</v>
      </c>
      <c r="R69" s="144" t="n">
        <f aca="false">O69+L69+I69</f>
        <v>0</v>
      </c>
      <c r="S69" s="145"/>
      <c r="T69" s="71" t="n">
        <f aca="false">A70-A69</f>
        <v>31</v>
      </c>
      <c r="U69" s="146" t="n">
        <f aca="false">CHOOSE(F$3,A70+24,A69)</f>
        <v>38832</v>
      </c>
      <c r="V69" s="71" t="n">
        <f aca="false">U69-C$3</f>
        <v>1944</v>
      </c>
      <c r="W69" s="142" t="n">
        <f aca="false">VLOOKUP($A69,Table,MATCH(W$4,Curves,0))</f>
        <v>0.058966861357273</v>
      </c>
      <c r="X69" s="147" t="n">
        <f aca="false">1/(1+CHOOSE(F$3,(W70+($K$3/10000))/2,(W69+($K$3/10000))/2))^(2*V69/365.25)</f>
        <v>0.733955755891614</v>
      </c>
      <c r="Y69" s="71" t="n">
        <f aca="false">IF(AND(mthbeg&lt;=A69,mthend&gt;=A69),1,0)</f>
        <v>0</v>
      </c>
      <c r="Z69" s="71" t="n">
        <f aca="false">T69*Y69</f>
        <v>0</v>
      </c>
      <c r="AB69" s="132" t="n">
        <f aca="false">F69*G69</f>
        <v>0</v>
      </c>
      <c r="AC69" s="132" t="n">
        <f aca="false">$F69*H69</f>
        <v>0</v>
      </c>
      <c r="AD69" s="132" t="n">
        <f aca="false">$F69*I69</f>
        <v>0</v>
      </c>
      <c r="AE69" s="132" t="n">
        <f aca="false">$F69*J69</f>
        <v>-0</v>
      </c>
      <c r="AF69" s="132" t="n">
        <f aca="false">$F69*K69</f>
        <v>-0</v>
      </c>
      <c r="AG69" s="132" t="n">
        <f aca="false">$F69*L69</f>
        <v>0</v>
      </c>
      <c r="AH69" s="132" t="n">
        <f aca="false">$F69*M69</f>
        <v>0</v>
      </c>
      <c r="AI69" s="132" t="n">
        <f aca="false">$F69*N69</f>
        <v>0</v>
      </c>
      <c r="AJ69" s="132" t="n">
        <f aca="false">F69*O69</f>
        <v>0</v>
      </c>
      <c r="AK69" s="137"/>
      <c r="AL69" s="132" t="n">
        <f aca="false">CHOOSE($G$3,AC69-AD69,AD69-AC69)</f>
        <v>0</v>
      </c>
      <c r="AM69" s="132" t="n">
        <f aca="false">CHOOSE($G$3,AF69-AG69,AG69-AF69)</f>
        <v>0</v>
      </c>
      <c r="AN69" s="132" t="n">
        <f aca="false">CHOOSE($G$3,AI69-AJ69,AJ69-AI69)</f>
        <v>0</v>
      </c>
      <c r="AO69" s="148" t="n">
        <f aca="false">SUM(AL69:AN69)</f>
        <v>0</v>
      </c>
      <c r="AQ69" s="132" t="n">
        <f aca="false">CHOOSE($G$3,AB69-AC69,AC69-AB69)</f>
        <v>0</v>
      </c>
      <c r="AR69" s="132" t="n">
        <f aca="false">CHOOSE($G$3,AE69-AF69,AF69-AE69)</f>
        <v>0</v>
      </c>
      <c r="AS69" s="132" t="n">
        <f aca="false">CHOOSE($G$3,AH69-AI69,AI69-AH69)</f>
        <v>0</v>
      </c>
      <c r="AT69" s="148" t="n">
        <f aca="false">AQ69+AR69+AS69</f>
        <v>0</v>
      </c>
      <c r="AU69" s="148"/>
      <c r="AV69" s="133" t="n">
        <f aca="false">AT69+AO69</f>
        <v>0</v>
      </c>
      <c r="AX69" s="133" t="n">
        <f aca="false">AJ69+AG69+AD69</f>
        <v>0</v>
      </c>
      <c r="AY69" s="149"/>
      <c r="AZ69" s="76" t="n">
        <f aca="false">R69*E69</f>
        <v>0</v>
      </c>
    </row>
    <row r="70" customFormat="false" ht="12.75" hidden="false" customHeight="false" outlineLevel="0" collapsed="false">
      <c r="A70" s="138" t="n">
        <f aca="false">EDATE(A69,1)</f>
        <v>38808</v>
      </c>
      <c r="B70" s="139" t="n">
        <f aca="false">VLOOKUP($A70,Table2,MATCH(I$3,Curves2,0))</f>
        <v>0</v>
      </c>
      <c r="C70" s="140"/>
      <c r="D70" s="141" t="n">
        <f aca="false">B70+C70</f>
        <v>0</v>
      </c>
      <c r="E70" s="126" t="n">
        <f aca="false">IF(Y70=0,0,IF(AND(Y70=1,$H$3=1),D70*T70,IF($H$3=2,D70,"N/A")))</f>
        <v>0</v>
      </c>
      <c r="F70" s="126" t="n">
        <f aca="false">E70*X70</f>
        <v>0</v>
      </c>
      <c r="G70" s="142" t="n">
        <f aca="false">VLOOKUP($A70,Table,MATCH(G$4,Curves,0))</f>
        <v>3.987</v>
      </c>
      <c r="H70" s="143" t="n">
        <f aca="false">G70</f>
        <v>3.987</v>
      </c>
      <c r="I70" s="142" t="n">
        <f aca="false">VLOOKUP($A70,Table1,MATCH(I$3,Curves1,0))</f>
        <v>0</v>
      </c>
      <c r="J70" s="142" t="n">
        <f aca="false">VLOOKUP($A70,Table,MATCH(J$4,Curves,0))</f>
        <v>-0.061</v>
      </c>
      <c r="K70" s="143" t="n">
        <f aca="false">J70</f>
        <v>-0.061</v>
      </c>
      <c r="L70" s="144" t="n">
        <v>0</v>
      </c>
      <c r="M70" s="142" t="n">
        <f aca="false">VLOOKUP($A70,Table,MATCH(M$4,Curves,0))</f>
        <v>0.005</v>
      </c>
      <c r="N70" s="143" t="n">
        <f aca="false">M70</f>
        <v>0.005</v>
      </c>
      <c r="O70" s="144" t="n">
        <v>0</v>
      </c>
      <c r="P70" s="145"/>
      <c r="Q70" s="144" t="n">
        <f aca="false">M70+J70+G70</f>
        <v>3.931</v>
      </c>
      <c r="R70" s="144" t="n">
        <f aca="false">O70+L70+I70</f>
        <v>0</v>
      </c>
      <c r="S70" s="145"/>
      <c r="T70" s="71" t="n">
        <f aca="false">A71-A70</f>
        <v>30</v>
      </c>
      <c r="U70" s="146" t="n">
        <f aca="false">CHOOSE(F$3,A71+24,A70)</f>
        <v>38862</v>
      </c>
      <c r="V70" s="71" t="n">
        <f aca="false">U70-C$3</f>
        <v>1974</v>
      </c>
      <c r="W70" s="142" t="n">
        <f aca="false">VLOOKUP($A70,Table,MATCH(W$4,Curves,0))</f>
        <v>0.058966861357273</v>
      </c>
      <c r="X70" s="147" t="n">
        <f aca="false">1/(1+CHOOSE(F$3,(W71+($K$3/10000))/2,(W70+($K$3/10000))/2))^(2*V70/365.25)</f>
        <v>0.730460750271427</v>
      </c>
      <c r="Y70" s="71" t="n">
        <f aca="false">IF(AND(mthbeg&lt;=A70,mthend&gt;=A70),1,0)</f>
        <v>0</v>
      </c>
      <c r="Z70" s="71" t="n">
        <f aca="false">T70*Y70</f>
        <v>0</v>
      </c>
      <c r="AB70" s="132" t="n">
        <f aca="false">F70*G70</f>
        <v>0</v>
      </c>
      <c r="AC70" s="132" t="n">
        <f aca="false">$F70*H70</f>
        <v>0</v>
      </c>
      <c r="AD70" s="132" t="n">
        <f aca="false">$F70*I70</f>
        <v>0</v>
      </c>
      <c r="AE70" s="132" t="n">
        <f aca="false">$F70*J70</f>
        <v>-0</v>
      </c>
      <c r="AF70" s="132" t="n">
        <f aca="false">$F70*K70</f>
        <v>-0</v>
      </c>
      <c r="AG70" s="132" t="n">
        <f aca="false">$F70*L70</f>
        <v>0</v>
      </c>
      <c r="AH70" s="132" t="n">
        <f aca="false">$F70*M70</f>
        <v>0</v>
      </c>
      <c r="AI70" s="132" t="n">
        <f aca="false">$F70*N70</f>
        <v>0</v>
      </c>
      <c r="AJ70" s="132" t="n">
        <f aca="false">F70*O70</f>
        <v>0</v>
      </c>
      <c r="AK70" s="137"/>
      <c r="AL70" s="132" t="n">
        <f aca="false">CHOOSE($G$3,AC70-AD70,AD70-AC70)</f>
        <v>0</v>
      </c>
      <c r="AM70" s="132" t="n">
        <f aca="false">CHOOSE($G$3,AF70-AG70,AG70-AF70)</f>
        <v>0</v>
      </c>
      <c r="AN70" s="132" t="n">
        <f aca="false">CHOOSE($G$3,AI70-AJ70,AJ70-AI70)</f>
        <v>0</v>
      </c>
      <c r="AO70" s="148" t="n">
        <f aca="false">SUM(AL70:AN70)</f>
        <v>0</v>
      </c>
      <c r="AQ70" s="132" t="n">
        <f aca="false">CHOOSE($G$3,AB70-AC70,AC70-AB70)</f>
        <v>0</v>
      </c>
      <c r="AR70" s="132" t="n">
        <f aca="false">CHOOSE($G$3,AE70-AF70,AF70-AE70)</f>
        <v>0</v>
      </c>
      <c r="AS70" s="132" t="n">
        <f aca="false">CHOOSE($G$3,AH70-AI70,AI70-AH70)</f>
        <v>0</v>
      </c>
      <c r="AT70" s="148" t="n">
        <f aca="false">AQ70+AR70+AS70</f>
        <v>0</v>
      </c>
      <c r="AU70" s="148"/>
      <c r="AV70" s="133" t="n">
        <f aca="false">AT70+AO70</f>
        <v>0</v>
      </c>
      <c r="AX70" s="133" t="n">
        <f aca="false">AJ70+AG70+AD70</f>
        <v>0</v>
      </c>
      <c r="AY70" s="149"/>
      <c r="AZ70" s="76" t="n">
        <f aca="false">R70*E70</f>
        <v>0</v>
      </c>
    </row>
    <row r="71" customFormat="false" ht="12.75" hidden="false" customHeight="false" outlineLevel="0" collapsed="false">
      <c r="A71" s="138" t="n">
        <f aca="false">EDATE(A70,1)</f>
        <v>38838</v>
      </c>
      <c r="B71" s="139" t="n">
        <f aca="false">VLOOKUP($A71,Table2,MATCH(I$3,Curves2,0))</f>
        <v>0</v>
      </c>
      <c r="C71" s="140"/>
      <c r="D71" s="141" t="n">
        <f aca="false">B71+C71</f>
        <v>0</v>
      </c>
      <c r="E71" s="126" t="n">
        <f aca="false">IF(Y71=0,0,IF(AND(Y71=1,$H$3=1),D71*T71,IF($H$3=2,D71,"N/A")))</f>
        <v>0</v>
      </c>
      <c r="F71" s="126" t="n">
        <f aca="false">E71*X71</f>
        <v>0</v>
      </c>
      <c r="G71" s="142" t="n">
        <f aca="false">VLOOKUP($A71,Table,MATCH(G$4,Curves,0))</f>
        <v>3.987</v>
      </c>
      <c r="H71" s="143" t="n">
        <f aca="false">G71</f>
        <v>3.987</v>
      </c>
      <c r="I71" s="142" t="n">
        <f aca="false">VLOOKUP($A71,Table1,MATCH(I$3,Curves1,0))</f>
        <v>0</v>
      </c>
      <c r="J71" s="142" t="n">
        <f aca="false">VLOOKUP($A71,Table,MATCH(J$4,Curves,0))</f>
        <v>-0.061</v>
      </c>
      <c r="K71" s="143" t="n">
        <f aca="false">J71</f>
        <v>-0.061</v>
      </c>
      <c r="L71" s="144" t="n">
        <v>0</v>
      </c>
      <c r="M71" s="142" t="n">
        <f aca="false">VLOOKUP($A71,Table,MATCH(M$4,Curves,0))</f>
        <v>0.005</v>
      </c>
      <c r="N71" s="143" t="n">
        <f aca="false">M71</f>
        <v>0.005</v>
      </c>
      <c r="O71" s="144" t="n">
        <v>0</v>
      </c>
      <c r="P71" s="145"/>
      <c r="Q71" s="144" t="n">
        <f aca="false">M71+J71+G71</f>
        <v>3.931</v>
      </c>
      <c r="R71" s="144" t="n">
        <f aca="false">O71+L71+I71</f>
        <v>0</v>
      </c>
      <c r="S71" s="145"/>
      <c r="T71" s="71" t="n">
        <f aca="false">A72-A71</f>
        <v>31</v>
      </c>
      <c r="U71" s="146" t="n">
        <f aca="false">CHOOSE(F$3,A72+24,A71)</f>
        <v>38893</v>
      </c>
      <c r="V71" s="71" t="n">
        <f aca="false">U71-C$3</f>
        <v>2005</v>
      </c>
      <c r="W71" s="142" t="n">
        <f aca="false">VLOOKUP($A71,Table,MATCH(W$4,Curves,0))</f>
        <v>0.058966861357273</v>
      </c>
      <c r="X71" s="147" t="n">
        <f aca="false">1/(1+CHOOSE(F$3,(W72+($K$3/10000))/2,(W71+($K$3/10000))/2))^(2*V71/365.25)</f>
        <v>0.726866727702898</v>
      </c>
      <c r="Y71" s="71" t="n">
        <f aca="false">IF(AND(mthbeg&lt;=A71,mthend&gt;=A71),1,0)</f>
        <v>0</v>
      </c>
      <c r="Z71" s="71" t="n">
        <f aca="false">T71*Y71</f>
        <v>0</v>
      </c>
      <c r="AB71" s="132" t="n">
        <f aca="false">F71*G71</f>
        <v>0</v>
      </c>
      <c r="AC71" s="132" t="n">
        <f aca="false">$F71*H71</f>
        <v>0</v>
      </c>
      <c r="AD71" s="132" t="n">
        <f aca="false">$F71*I71</f>
        <v>0</v>
      </c>
      <c r="AE71" s="132" t="n">
        <f aca="false">$F71*J71</f>
        <v>-0</v>
      </c>
      <c r="AF71" s="132" t="n">
        <f aca="false">$F71*K71</f>
        <v>-0</v>
      </c>
      <c r="AG71" s="132" t="n">
        <f aca="false">$F71*L71</f>
        <v>0</v>
      </c>
      <c r="AH71" s="132" t="n">
        <f aca="false">$F71*M71</f>
        <v>0</v>
      </c>
      <c r="AI71" s="132" t="n">
        <f aca="false">$F71*N71</f>
        <v>0</v>
      </c>
      <c r="AJ71" s="132" t="n">
        <f aca="false">F71*O71</f>
        <v>0</v>
      </c>
      <c r="AK71" s="137"/>
      <c r="AL71" s="132" t="n">
        <f aca="false">CHOOSE($G$3,AC71-AD71,AD71-AC71)</f>
        <v>0</v>
      </c>
      <c r="AM71" s="132" t="n">
        <f aca="false">CHOOSE($G$3,AF71-AG71,AG71-AF71)</f>
        <v>0</v>
      </c>
      <c r="AN71" s="132" t="n">
        <f aca="false">CHOOSE($G$3,AI71-AJ71,AJ71-AI71)</f>
        <v>0</v>
      </c>
      <c r="AO71" s="148" t="n">
        <f aca="false">SUM(AL71:AN71)</f>
        <v>0</v>
      </c>
      <c r="AQ71" s="132" t="n">
        <f aca="false">CHOOSE($G$3,AB71-AC71,AC71-AB71)</f>
        <v>0</v>
      </c>
      <c r="AR71" s="132" t="n">
        <f aca="false">CHOOSE($G$3,AE71-AF71,AF71-AE71)</f>
        <v>0</v>
      </c>
      <c r="AS71" s="132" t="n">
        <f aca="false">CHOOSE($G$3,AH71-AI71,AI71-AH71)</f>
        <v>0</v>
      </c>
      <c r="AT71" s="148" t="n">
        <f aca="false">AQ71+AR71+AS71</f>
        <v>0</v>
      </c>
      <c r="AU71" s="148"/>
      <c r="AV71" s="133" t="n">
        <f aca="false">AT71+AO71</f>
        <v>0</v>
      </c>
      <c r="AX71" s="133" t="n">
        <f aca="false">AJ71+AG71+AD71</f>
        <v>0</v>
      </c>
      <c r="AY71" s="149"/>
      <c r="AZ71" s="76" t="n">
        <f aca="false">R71*E71</f>
        <v>0</v>
      </c>
    </row>
    <row r="72" customFormat="false" ht="12.75" hidden="false" customHeight="false" outlineLevel="0" collapsed="false">
      <c r="A72" s="138" t="n">
        <f aca="false">EDATE(A71,1)</f>
        <v>38869</v>
      </c>
      <c r="B72" s="139" t="n">
        <f aca="false">VLOOKUP($A72,Table2,MATCH(I$3,Curves2,0))</f>
        <v>0</v>
      </c>
      <c r="C72" s="140"/>
      <c r="D72" s="141" t="n">
        <f aca="false">B72+C72</f>
        <v>0</v>
      </c>
      <c r="E72" s="126" t="n">
        <f aca="false">IF(Y72=0,0,IF(AND(Y72=1,$H$3=1),D72*T72,IF($H$3=2,D72,"N/A")))</f>
        <v>0</v>
      </c>
      <c r="F72" s="126" t="n">
        <f aca="false">E72*X72</f>
        <v>0</v>
      </c>
      <c r="G72" s="142" t="n">
        <f aca="false">VLOOKUP($A72,Table,MATCH(G$4,Curves,0))</f>
        <v>3.987</v>
      </c>
      <c r="H72" s="143" t="n">
        <f aca="false">G72</f>
        <v>3.987</v>
      </c>
      <c r="I72" s="142" t="n">
        <f aca="false">VLOOKUP($A72,Table1,MATCH(I$3,Curves1,0))</f>
        <v>0</v>
      </c>
      <c r="J72" s="142" t="n">
        <f aca="false">VLOOKUP($A72,Table,MATCH(J$4,Curves,0))</f>
        <v>-0.061</v>
      </c>
      <c r="K72" s="143" t="n">
        <f aca="false">J72</f>
        <v>-0.061</v>
      </c>
      <c r="L72" s="144" t="n">
        <v>0</v>
      </c>
      <c r="M72" s="142" t="n">
        <f aca="false">VLOOKUP($A72,Table,MATCH(M$4,Curves,0))</f>
        <v>0.005</v>
      </c>
      <c r="N72" s="143" t="n">
        <f aca="false">M72</f>
        <v>0.005</v>
      </c>
      <c r="O72" s="144" t="n">
        <v>0</v>
      </c>
      <c r="P72" s="145"/>
      <c r="Q72" s="144" t="n">
        <f aca="false">M72+J72+G72</f>
        <v>3.931</v>
      </c>
      <c r="R72" s="144" t="n">
        <f aca="false">O72+L72+I72</f>
        <v>0</v>
      </c>
      <c r="S72" s="145"/>
      <c r="T72" s="71" t="n">
        <f aca="false">A73-A72</f>
        <v>30</v>
      </c>
      <c r="U72" s="146" t="n">
        <f aca="false">CHOOSE(F$3,A73+24,A72)</f>
        <v>38923</v>
      </c>
      <c r="V72" s="71" t="n">
        <f aca="false">U72-C$3</f>
        <v>2035</v>
      </c>
      <c r="W72" s="142" t="n">
        <f aca="false">VLOOKUP($A72,Table,MATCH(W$4,Curves,0))</f>
        <v>0.058966861357273</v>
      </c>
      <c r="X72" s="147" t="n">
        <f aca="false">1/(1+CHOOSE(F$3,(W73+($K$3/10000))/2,(W72+($K$3/10000))/2))^(2*V72/365.25)</f>
        <v>0.72340547914935</v>
      </c>
      <c r="Y72" s="71" t="n">
        <f aca="false">IF(AND(mthbeg&lt;=A72,mthend&gt;=A72),1,0)</f>
        <v>0</v>
      </c>
      <c r="Z72" s="71" t="n">
        <f aca="false">T72*Y72</f>
        <v>0</v>
      </c>
      <c r="AB72" s="132" t="n">
        <f aca="false">F72*G72</f>
        <v>0</v>
      </c>
      <c r="AC72" s="132" t="n">
        <f aca="false">$F72*H72</f>
        <v>0</v>
      </c>
      <c r="AD72" s="132" t="n">
        <f aca="false">$F72*I72</f>
        <v>0</v>
      </c>
      <c r="AE72" s="132" t="n">
        <f aca="false">$F72*J72</f>
        <v>-0</v>
      </c>
      <c r="AF72" s="132" t="n">
        <f aca="false">$F72*K72</f>
        <v>-0</v>
      </c>
      <c r="AG72" s="132" t="n">
        <f aca="false">$F72*L72</f>
        <v>0</v>
      </c>
      <c r="AH72" s="132" t="n">
        <f aca="false">$F72*M72</f>
        <v>0</v>
      </c>
      <c r="AI72" s="132" t="n">
        <f aca="false">$F72*N72</f>
        <v>0</v>
      </c>
      <c r="AJ72" s="132" t="n">
        <f aca="false">F72*O72</f>
        <v>0</v>
      </c>
      <c r="AK72" s="137"/>
      <c r="AL72" s="132" t="n">
        <f aca="false">CHOOSE($G$3,AC72-AD72,AD72-AC72)</f>
        <v>0</v>
      </c>
      <c r="AM72" s="132" t="n">
        <f aca="false">CHOOSE($G$3,AF72-AG72,AG72-AF72)</f>
        <v>0</v>
      </c>
      <c r="AN72" s="132" t="n">
        <f aca="false">CHOOSE($G$3,AI72-AJ72,AJ72-AI72)</f>
        <v>0</v>
      </c>
      <c r="AO72" s="148" t="n">
        <f aca="false">SUM(AL72:AN72)</f>
        <v>0</v>
      </c>
      <c r="AQ72" s="132" t="n">
        <f aca="false">CHOOSE($G$3,AB72-AC72,AC72-AB72)</f>
        <v>0</v>
      </c>
      <c r="AR72" s="132" t="n">
        <f aca="false">CHOOSE($G$3,AE72-AF72,AF72-AE72)</f>
        <v>0</v>
      </c>
      <c r="AS72" s="132" t="n">
        <f aca="false">CHOOSE($G$3,AH72-AI72,AI72-AH72)</f>
        <v>0</v>
      </c>
      <c r="AT72" s="148" t="n">
        <f aca="false">AQ72+AR72+AS72</f>
        <v>0</v>
      </c>
      <c r="AU72" s="148"/>
      <c r="AV72" s="133" t="n">
        <f aca="false">AT72+AO72</f>
        <v>0</v>
      </c>
      <c r="AX72" s="133" t="n">
        <f aca="false">AJ72+AG72+AD72</f>
        <v>0</v>
      </c>
      <c r="AY72" s="149"/>
      <c r="AZ72" s="76" t="n">
        <f aca="false">R72*E72</f>
        <v>0</v>
      </c>
    </row>
    <row r="73" customFormat="false" ht="12.75" hidden="false" customHeight="false" outlineLevel="0" collapsed="false">
      <c r="A73" s="138" t="n">
        <f aca="false">EDATE(A72,1)</f>
        <v>38899</v>
      </c>
      <c r="B73" s="139" t="n">
        <f aca="false">VLOOKUP($A73,Table2,MATCH(I$3,Curves2,0))</f>
        <v>0</v>
      </c>
      <c r="C73" s="140"/>
      <c r="D73" s="141" t="n">
        <f aca="false">B73+C73</f>
        <v>0</v>
      </c>
      <c r="E73" s="126" t="n">
        <f aca="false">IF(Y73=0,0,IF(AND(Y73=1,$H$3=1),D73*T73,IF($H$3=2,D73,"N/A")))</f>
        <v>0</v>
      </c>
      <c r="F73" s="126" t="n">
        <f aca="false">E73*X73</f>
        <v>0</v>
      </c>
      <c r="G73" s="142" t="n">
        <f aca="false">VLOOKUP($A73,Table,MATCH(G$4,Curves,0))</f>
        <v>3.987</v>
      </c>
      <c r="H73" s="143" t="n">
        <f aca="false">G73</f>
        <v>3.987</v>
      </c>
      <c r="I73" s="142" t="n">
        <f aca="false">VLOOKUP($A73,Table1,MATCH(I$3,Curves1,0))</f>
        <v>0</v>
      </c>
      <c r="J73" s="142" t="n">
        <f aca="false">VLOOKUP($A73,Table,MATCH(J$4,Curves,0))</f>
        <v>-0.061</v>
      </c>
      <c r="K73" s="143" t="n">
        <f aca="false">J73</f>
        <v>-0.061</v>
      </c>
      <c r="L73" s="144" t="n">
        <v>0</v>
      </c>
      <c r="M73" s="142" t="n">
        <f aca="false">VLOOKUP($A73,Table,MATCH(M$4,Curves,0))</f>
        <v>0.005</v>
      </c>
      <c r="N73" s="143" t="n">
        <f aca="false">M73</f>
        <v>0.005</v>
      </c>
      <c r="O73" s="144" t="n">
        <v>0</v>
      </c>
      <c r="P73" s="145"/>
      <c r="Q73" s="144" t="n">
        <f aca="false">M73+J73+G73</f>
        <v>3.931</v>
      </c>
      <c r="R73" s="144" t="n">
        <f aca="false">O73+L73+I73</f>
        <v>0</v>
      </c>
      <c r="S73" s="145"/>
      <c r="T73" s="71" t="n">
        <f aca="false">A74-A73</f>
        <v>31</v>
      </c>
      <c r="U73" s="146" t="n">
        <f aca="false">CHOOSE(F$3,A74+24,A73)</f>
        <v>38954</v>
      </c>
      <c r="V73" s="71" t="n">
        <f aca="false">U73-C$3</f>
        <v>2066</v>
      </c>
      <c r="W73" s="142" t="n">
        <f aca="false">VLOOKUP($A73,Table,MATCH(W$4,Curves,0))</f>
        <v>0.058966861357273</v>
      </c>
      <c r="X73" s="147" t="n">
        <f aca="false">1/(1+CHOOSE(F$3,(W74+($K$3/10000))/2,(W73+($K$3/10000))/2))^(2*V73/365.25)</f>
        <v>0.719846170018374</v>
      </c>
      <c r="Y73" s="71" t="n">
        <f aca="false">IF(AND(mthbeg&lt;=A73,mthend&gt;=A73),1,0)</f>
        <v>0</v>
      </c>
      <c r="Z73" s="71" t="n">
        <f aca="false">T73*Y73</f>
        <v>0</v>
      </c>
      <c r="AB73" s="132" t="n">
        <f aca="false">F73*G73</f>
        <v>0</v>
      </c>
      <c r="AC73" s="132" t="n">
        <f aca="false">$F73*H73</f>
        <v>0</v>
      </c>
      <c r="AD73" s="132" t="n">
        <f aca="false">$F73*I73</f>
        <v>0</v>
      </c>
      <c r="AE73" s="132" t="n">
        <f aca="false">$F73*J73</f>
        <v>-0</v>
      </c>
      <c r="AF73" s="132" t="n">
        <f aca="false">$F73*K73</f>
        <v>-0</v>
      </c>
      <c r="AG73" s="132" t="n">
        <f aca="false">$F73*L73</f>
        <v>0</v>
      </c>
      <c r="AH73" s="132" t="n">
        <f aca="false">$F73*M73</f>
        <v>0</v>
      </c>
      <c r="AI73" s="132" t="n">
        <f aca="false">$F73*N73</f>
        <v>0</v>
      </c>
      <c r="AJ73" s="132" t="n">
        <f aca="false">F73*O73</f>
        <v>0</v>
      </c>
      <c r="AK73" s="137"/>
      <c r="AL73" s="132" t="n">
        <f aca="false">CHOOSE($G$3,AC73-AD73,AD73-AC73)</f>
        <v>0</v>
      </c>
      <c r="AM73" s="132" t="n">
        <f aca="false">CHOOSE($G$3,AF73-AG73,AG73-AF73)</f>
        <v>0</v>
      </c>
      <c r="AN73" s="132" t="n">
        <f aca="false">CHOOSE($G$3,AI73-AJ73,AJ73-AI73)</f>
        <v>0</v>
      </c>
      <c r="AO73" s="148" t="n">
        <f aca="false">SUM(AL73:AN73)</f>
        <v>0</v>
      </c>
      <c r="AQ73" s="132" t="n">
        <f aca="false">CHOOSE($G$3,AB73-AC73,AC73-AB73)</f>
        <v>0</v>
      </c>
      <c r="AR73" s="132" t="n">
        <f aca="false">CHOOSE($G$3,AE73-AF73,AF73-AE73)</f>
        <v>0</v>
      </c>
      <c r="AS73" s="132" t="n">
        <f aca="false">CHOOSE($G$3,AH73-AI73,AI73-AH73)</f>
        <v>0</v>
      </c>
      <c r="AT73" s="148" t="n">
        <f aca="false">AQ73+AR73+AS73</f>
        <v>0</v>
      </c>
      <c r="AU73" s="148"/>
      <c r="AV73" s="133" t="n">
        <f aca="false">AT73+AO73</f>
        <v>0</v>
      </c>
      <c r="AX73" s="133" t="n">
        <f aca="false">AJ73+AG73+AD73</f>
        <v>0</v>
      </c>
      <c r="AY73" s="149"/>
      <c r="AZ73" s="76" t="n">
        <f aca="false">R73*E73</f>
        <v>0</v>
      </c>
    </row>
    <row r="74" customFormat="false" ht="12.75" hidden="false" customHeight="false" outlineLevel="0" collapsed="false">
      <c r="A74" s="138" t="n">
        <f aca="false">EDATE(A73,1)</f>
        <v>38930</v>
      </c>
      <c r="B74" s="139" t="n">
        <f aca="false">VLOOKUP($A74,Table2,MATCH(I$3,Curves2,0))</f>
        <v>0</v>
      </c>
      <c r="C74" s="140"/>
      <c r="D74" s="141" t="n">
        <f aca="false">B74+C74</f>
        <v>0</v>
      </c>
      <c r="E74" s="126" t="n">
        <f aca="false">IF(Y74=0,0,IF(AND(Y74=1,$H$3=1),D74*T74,IF($H$3=2,D74,"N/A")))</f>
        <v>0</v>
      </c>
      <c r="F74" s="126" t="n">
        <f aca="false">E74*X74</f>
        <v>0</v>
      </c>
      <c r="G74" s="142" t="n">
        <f aca="false">VLOOKUP($A74,Table,MATCH(G$4,Curves,0))</f>
        <v>3.987</v>
      </c>
      <c r="H74" s="143" t="n">
        <f aca="false">G74</f>
        <v>3.987</v>
      </c>
      <c r="I74" s="142" t="n">
        <f aca="false">VLOOKUP($A74,Table1,MATCH(I$3,Curves1,0))</f>
        <v>0</v>
      </c>
      <c r="J74" s="142" t="n">
        <f aca="false">VLOOKUP($A74,Table,MATCH(J$4,Curves,0))</f>
        <v>-0.061</v>
      </c>
      <c r="K74" s="143" t="n">
        <f aca="false">J74</f>
        <v>-0.061</v>
      </c>
      <c r="L74" s="144" t="n">
        <v>0</v>
      </c>
      <c r="M74" s="142" t="n">
        <f aca="false">VLOOKUP($A74,Table,MATCH(M$4,Curves,0))</f>
        <v>0.005</v>
      </c>
      <c r="N74" s="143" t="n">
        <f aca="false">M74</f>
        <v>0.005</v>
      </c>
      <c r="O74" s="144" t="n">
        <v>0</v>
      </c>
      <c r="P74" s="145"/>
      <c r="Q74" s="144" t="n">
        <f aca="false">M74+J74+G74</f>
        <v>3.931</v>
      </c>
      <c r="R74" s="144" t="n">
        <f aca="false">O74+L74+I74</f>
        <v>0</v>
      </c>
      <c r="S74" s="145"/>
      <c r="T74" s="71" t="n">
        <f aca="false">A75-A74</f>
        <v>31</v>
      </c>
      <c r="U74" s="146" t="n">
        <f aca="false">CHOOSE(F$3,A75+24,A74)</f>
        <v>38985</v>
      </c>
      <c r="V74" s="71" t="n">
        <f aca="false">U74-C$3</f>
        <v>2097</v>
      </c>
      <c r="W74" s="142" t="n">
        <f aca="false">VLOOKUP($A74,Table,MATCH(W$4,Curves,0))</f>
        <v>0.058966861357273</v>
      </c>
      <c r="X74" s="147" t="n">
        <f aca="false">1/(1+CHOOSE(F$3,(W75+($K$3/10000))/2,(W74+($K$3/10000))/2))^(2*V74/365.25)</f>
        <v>0.71630437344689</v>
      </c>
      <c r="Y74" s="71" t="n">
        <f aca="false">IF(AND(mthbeg&lt;=A74,mthend&gt;=A74),1,0)</f>
        <v>0</v>
      </c>
      <c r="Z74" s="71" t="n">
        <f aca="false">T74*Y74</f>
        <v>0</v>
      </c>
      <c r="AB74" s="132" t="n">
        <f aca="false">F74*G74</f>
        <v>0</v>
      </c>
      <c r="AC74" s="132" t="n">
        <f aca="false">$F74*H74</f>
        <v>0</v>
      </c>
      <c r="AD74" s="132" t="n">
        <f aca="false">$F74*I74</f>
        <v>0</v>
      </c>
      <c r="AE74" s="132" t="n">
        <f aca="false">$F74*J74</f>
        <v>-0</v>
      </c>
      <c r="AF74" s="132" t="n">
        <f aca="false">$F74*K74</f>
        <v>-0</v>
      </c>
      <c r="AG74" s="132" t="n">
        <f aca="false">$F74*L74</f>
        <v>0</v>
      </c>
      <c r="AH74" s="132" t="n">
        <f aca="false">$F74*M74</f>
        <v>0</v>
      </c>
      <c r="AI74" s="132" t="n">
        <f aca="false">$F74*N74</f>
        <v>0</v>
      </c>
      <c r="AJ74" s="132" t="n">
        <f aca="false">F74*O74</f>
        <v>0</v>
      </c>
      <c r="AK74" s="137"/>
      <c r="AL74" s="132" t="n">
        <f aca="false">CHOOSE($G$3,AC74-AD74,AD74-AC74)</f>
        <v>0</v>
      </c>
      <c r="AM74" s="132" t="n">
        <f aca="false">CHOOSE($G$3,AF74-AG74,AG74-AF74)</f>
        <v>0</v>
      </c>
      <c r="AN74" s="132" t="n">
        <f aca="false">CHOOSE($G$3,AI74-AJ74,AJ74-AI74)</f>
        <v>0</v>
      </c>
      <c r="AO74" s="148" t="n">
        <f aca="false">SUM(AL74:AN74)</f>
        <v>0</v>
      </c>
      <c r="AQ74" s="132" t="n">
        <f aca="false">CHOOSE($G$3,AB74-AC74,AC74-AB74)</f>
        <v>0</v>
      </c>
      <c r="AR74" s="132" t="n">
        <f aca="false">CHOOSE($G$3,AE74-AF74,AF74-AE74)</f>
        <v>0</v>
      </c>
      <c r="AS74" s="132" t="n">
        <f aca="false">CHOOSE($G$3,AH74-AI74,AI74-AH74)</f>
        <v>0</v>
      </c>
      <c r="AT74" s="148" t="n">
        <f aca="false">AQ74+AR74+AS74</f>
        <v>0</v>
      </c>
      <c r="AU74" s="148"/>
      <c r="AV74" s="133" t="n">
        <f aca="false">AT74+AO74</f>
        <v>0</v>
      </c>
      <c r="AX74" s="133" t="n">
        <f aca="false">AJ74+AG74+AD74</f>
        <v>0</v>
      </c>
      <c r="AY74" s="149"/>
      <c r="AZ74" s="76" t="n">
        <f aca="false">R74*E74</f>
        <v>0</v>
      </c>
    </row>
    <row r="75" customFormat="false" ht="12.75" hidden="false" customHeight="false" outlineLevel="0" collapsed="false">
      <c r="A75" s="138" t="n">
        <f aca="false">EDATE(A74,1)</f>
        <v>38961</v>
      </c>
      <c r="B75" s="139" t="n">
        <f aca="false">VLOOKUP($A75,Table2,MATCH(I$3,Curves2,0))</f>
        <v>0</v>
      </c>
      <c r="C75" s="140"/>
      <c r="D75" s="141" t="n">
        <f aca="false">B75+C75</f>
        <v>0</v>
      </c>
      <c r="E75" s="126" t="n">
        <f aca="false">IF(Y75=0,0,IF(AND(Y75=1,$H$3=1),D75*T75,IF($H$3=2,D75,"N/A")))</f>
        <v>0</v>
      </c>
      <c r="F75" s="126" t="n">
        <f aca="false">E75*X75</f>
        <v>0</v>
      </c>
      <c r="G75" s="142" t="n">
        <f aca="false">VLOOKUP($A75,Table,MATCH(G$4,Curves,0))</f>
        <v>3.987</v>
      </c>
      <c r="H75" s="143" t="n">
        <f aca="false">G75</f>
        <v>3.987</v>
      </c>
      <c r="I75" s="142" t="n">
        <f aca="false">VLOOKUP($A75,Table1,MATCH(I$3,Curves1,0))</f>
        <v>0</v>
      </c>
      <c r="J75" s="142" t="n">
        <f aca="false">VLOOKUP($A75,Table,MATCH(J$4,Curves,0))</f>
        <v>-0.061</v>
      </c>
      <c r="K75" s="143" t="n">
        <f aca="false">J75</f>
        <v>-0.061</v>
      </c>
      <c r="L75" s="144" t="n">
        <v>0</v>
      </c>
      <c r="M75" s="142" t="n">
        <f aca="false">VLOOKUP($A75,Table,MATCH(M$4,Curves,0))</f>
        <v>0.005</v>
      </c>
      <c r="N75" s="143" t="n">
        <f aca="false">M75</f>
        <v>0.005</v>
      </c>
      <c r="O75" s="144" t="n">
        <v>0</v>
      </c>
      <c r="P75" s="145"/>
      <c r="Q75" s="144" t="n">
        <f aca="false">M75+J75+G75</f>
        <v>3.931</v>
      </c>
      <c r="R75" s="144" t="n">
        <f aca="false">O75+L75+I75</f>
        <v>0</v>
      </c>
      <c r="S75" s="145"/>
      <c r="T75" s="71" t="n">
        <f aca="false">A76-A75</f>
        <v>30</v>
      </c>
      <c r="U75" s="146" t="n">
        <f aca="false">CHOOSE(F$3,A76+24,A75)</f>
        <v>39015</v>
      </c>
      <c r="V75" s="71" t="n">
        <f aca="false">U75-C$3</f>
        <v>2127</v>
      </c>
      <c r="W75" s="142" t="n">
        <f aca="false">VLOOKUP($A75,Table,MATCH(W$4,Curves,0))</f>
        <v>0.058966861357273</v>
      </c>
      <c r="X75" s="147" t="n">
        <f aca="false">1/(1+CHOOSE(F$3,(W76+($K$3/10000))/2,(W75+($K$3/10000))/2))^(2*V75/365.25)</f>
        <v>0.712893421504807</v>
      </c>
      <c r="Y75" s="71" t="n">
        <f aca="false">IF(AND(mthbeg&lt;=A75,mthend&gt;=A75),1,0)</f>
        <v>0</v>
      </c>
      <c r="Z75" s="71" t="n">
        <f aca="false">T75*Y75</f>
        <v>0</v>
      </c>
      <c r="AB75" s="132" t="n">
        <f aca="false">F75*G75</f>
        <v>0</v>
      </c>
      <c r="AC75" s="132" t="n">
        <f aca="false">$F75*H75</f>
        <v>0</v>
      </c>
      <c r="AD75" s="132" t="n">
        <f aca="false">$F75*I75</f>
        <v>0</v>
      </c>
      <c r="AE75" s="132" t="n">
        <f aca="false">$F75*J75</f>
        <v>-0</v>
      </c>
      <c r="AF75" s="132" t="n">
        <f aca="false">$F75*K75</f>
        <v>-0</v>
      </c>
      <c r="AG75" s="132" t="n">
        <f aca="false">$F75*L75</f>
        <v>0</v>
      </c>
      <c r="AH75" s="132" t="n">
        <f aca="false">$F75*M75</f>
        <v>0</v>
      </c>
      <c r="AI75" s="132" t="n">
        <f aca="false">$F75*N75</f>
        <v>0</v>
      </c>
      <c r="AJ75" s="132" t="n">
        <f aca="false">F75*O75</f>
        <v>0</v>
      </c>
      <c r="AK75" s="137"/>
      <c r="AL75" s="132" t="n">
        <f aca="false">CHOOSE($G$3,AC75-AD75,AD75-AC75)</f>
        <v>0</v>
      </c>
      <c r="AM75" s="132" t="n">
        <f aca="false">CHOOSE($G$3,AF75-AG75,AG75-AF75)</f>
        <v>0</v>
      </c>
      <c r="AN75" s="132" t="n">
        <f aca="false">CHOOSE($G$3,AI75-AJ75,AJ75-AI75)</f>
        <v>0</v>
      </c>
      <c r="AO75" s="148" t="n">
        <f aca="false">SUM(AL75:AN75)</f>
        <v>0</v>
      </c>
      <c r="AQ75" s="132" t="n">
        <f aca="false">CHOOSE($G$3,AB75-AC75,AC75-AB75)</f>
        <v>0</v>
      </c>
      <c r="AR75" s="132" t="n">
        <f aca="false">CHOOSE($G$3,AE75-AF75,AF75-AE75)</f>
        <v>0</v>
      </c>
      <c r="AS75" s="132" t="n">
        <f aca="false">CHOOSE($G$3,AH75-AI75,AI75-AH75)</f>
        <v>0</v>
      </c>
      <c r="AT75" s="148" t="n">
        <f aca="false">AQ75+AR75+AS75</f>
        <v>0</v>
      </c>
      <c r="AU75" s="148"/>
      <c r="AV75" s="133" t="n">
        <f aca="false">AT75+AO75</f>
        <v>0</v>
      </c>
      <c r="AX75" s="133" t="n">
        <f aca="false">AJ75+AG75+AD75</f>
        <v>0</v>
      </c>
      <c r="AY75" s="149"/>
      <c r="AZ75" s="76" t="n">
        <f aca="false">R75*E75</f>
        <v>0</v>
      </c>
    </row>
    <row r="76" customFormat="false" ht="12.75" hidden="false" customHeight="false" outlineLevel="0" collapsed="false">
      <c r="A76" s="138" t="n">
        <f aca="false">EDATE(A75,1)</f>
        <v>38991</v>
      </c>
      <c r="B76" s="139" t="n">
        <f aca="false">VLOOKUP($A76,Table2,MATCH(I$3,Curves2,0))</f>
        <v>0</v>
      </c>
      <c r="C76" s="140"/>
      <c r="D76" s="141" t="n">
        <f aca="false">B76+C76</f>
        <v>0</v>
      </c>
      <c r="E76" s="126" t="n">
        <f aca="false">IF(Y76=0,0,IF(AND(Y76=1,$H$3=1),D76*T76,IF($H$3=2,D76,"N/A")))</f>
        <v>0</v>
      </c>
      <c r="F76" s="126" t="n">
        <f aca="false">E76*X76</f>
        <v>0</v>
      </c>
      <c r="G76" s="142" t="n">
        <f aca="false">VLOOKUP($A76,Table,MATCH(G$4,Curves,0))</f>
        <v>3.987</v>
      </c>
      <c r="H76" s="143" t="n">
        <f aca="false">G76</f>
        <v>3.987</v>
      </c>
      <c r="I76" s="142" t="n">
        <f aca="false">VLOOKUP($A76,Table1,MATCH(I$3,Curves1,0))</f>
        <v>0</v>
      </c>
      <c r="J76" s="142" t="n">
        <f aca="false">VLOOKUP($A76,Table,MATCH(J$4,Curves,0))</f>
        <v>-0.061</v>
      </c>
      <c r="K76" s="143" t="n">
        <f aca="false">J76</f>
        <v>-0.061</v>
      </c>
      <c r="L76" s="144" t="n">
        <v>0</v>
      </c>
      <c r="M76" s="142" t="n">
        <f aca="false">VLOOKUP($A76,Table,MATCH(M$4,Curves,0))</f>
        <v>0.005</v>
      </c>
      <c r="N76" s="143" t="n">
        <f aca="false">M76</f>
        <v>0.005</v>
      </c>
      <c r="O76" s="144" t="n">
        <v>0</v>
      </c>
      <c r="P76" s="145"/>
      <c r="Q76" s="144" t="n">
        <f aca="false">M76+J76+G76</f>
        <v>3.931</v>
      </c>
      <c r="R76" s="144" t="n">
        <f aca="false">O76+L76+I76</f>
        <v>0</v>
      </c>
      <c r="S76" s="145"/>
      <c r="T76" s="71" t="n">
        <f aca="false">A77-A76</f>
        <v>31</v>
      </c>
      <c r="U76" s="146" t="n">
        <f aca="false">CHOOSE(F$3,A77+24,A76)</f>
        <v>39046</v>
      </c>
      <c r="V76" s="71" t="n">
        <f aca="false">U76-C$3</f>
        <v>2158</v>
      </c>
      <c r="W76" s="142" t="n">
        <f aca="false">VLOOKUP($A76,Table,MATCH(W$4,Curves,0))</f>
        <v>0.058966861357273</v>
      </c>
      <c r="X76" s="147" t="n">
        <f aca="false">1/(1+CHOOSE(F$3,(W77+($K$3/10000))/2,(W76+($K$3/10000))/2))^(2*V76/365.25)</f>
        <v>0.709385833937793</v>
      </c>
      <c r="Y76" s="71" t="n">
        <f aca="false">IF(AND(mthbeg&lt;=A76,mthend&gt;=A76),1,0)</f>
        <v>0</v>
      </c>
      <c r="Z76" s="71" t="n">
        <f aca="false">T76*Y76</f>
        <v>0</v>
      </c>
      <c r="AB76" s="132" t="n">
        <f aca="false">F76*G76</f>
        <v>0</v>
      </c>
      <c r="AC76" s="132" t="n">
        <f aca="false">$F76*H76</f>
        <v>0</v>
      </c>
      <c r="AD76" s="132" t="n">
        <f aca="false">$F76*I76</f>
        <v>0</v>
      </c>
      <c r="AE76" s="132" t="n">
        <f aca="false">$F76*J76</f>
        <v>-0</v>
      </c>
      <c r="AF76" s="132" t="n">
        <f aca="false">$F76*K76</f>
        <v>-0</v>
      </c>
      <c r="AG76" s="132" t="n">
        <f aca="false">$F76*L76</f>
        <v>0</v>
      </c>
      <c r="AH76" s="132" t="n">
        <f aca="false">$F76*M76</f>
        <v>0</v>
      </c>
      <c r="AI76" s="132" t="n">
        <f aca="false">$F76*N76</f>
        <v>0</v>
      </c>
      <c r="AJ76" s="132" t="n">
        <f aca="false">F76*O76</f>
        <v>0</v>
      </c>
      <c r="AK76" s="137"/>
      <c r="AL76" s="132" t="n">
        <f aca="false">CHOOSE($G$3,AC76-AD76,AD76-AC76)</f>
        <v>0</v>
      </c>
      <c r="AM76" s="132" t="n">
        <f aca="false">CHOOSE($G$3,AF76-AG76,AG76-AF76)</f>
        <v>0</v>
      </c>
      <c r="AN76" s="132" t="n">
        <f aca="false">CHOOSE($G$3,AI76-AJ76,AJ76-AI76)</f>
        <v>0</v>
      </c>
      <c r="AO76" s="148" t="n">
        <f aca="false">SUM(AL76:AN76)</f>
        <v>0</v>
      </c>
      <c r="AQ76" s="132" t="n">
        <f aca="false">CHOOSE($G$3,AB76-AC76,AC76-AB76)</f>
        <v>0</v>
      </c>
      <c r="AR76" s="132" t="n">
        <f aca="false">CHOOSE($G$3,AE76-AF76,AF76-AE76)</f>
        <v>0</v>
      </c>
      <c r="AS76" s="132" t="n">
        <f aca="false">CHOOSE($G$3,AH76-AI76,AI76-AH76)</f>
        <v>0</v>
      </c>
      <c r="AT76" s="148" t="n">
        <f aca="false">AQ76+AR76+AS76</f>
        <v>0</v>
      </c>
      <c r="AU76" s="148"/>
      <c r="AV76" s="133" t="n">
        <f aca="false">AT76+AO76</f>
        <v>0</v>
      </c>
      <c r="AX76" s="133" t="n">
        <f aca="false">AJ76+AG76+AD76</f>
        <v>0</v>
      </c>
      <c r="AY76" s="149"/>
      <c r="AZ76" s="76" t="n">
        <f aca="false">R76*E76</f>
        <v>0</v>
      </c>
    </row>
    <row r="77" customFormat="false" ht="12.75" hidden="false" customHeight="false" outlineLevel="0" collapsed="false">
      <c r="A77" s="138" t="n">
        <f aca="false">EDATE(A76,1)</f>
        <v>39022</v>
      </c>
      <c r="B77" s="139" t="n">
        <f aca="false">VLOOKUP($A77,Table2,MATCH(I$3,Curves2,0))</f>
        <v>0</v>
      </c>
      <c r="C77" s="140"/>
      <c r="D77" s="141" t="n">
        <f aca="false">B77+C77</f>
        <v>0</v>
      </c>
      <c r="E77" s="126" t="n">
        <f aca="false">IF(Y77=0,0,IF(AND(Y77=1,$H$3=1),D77*T77,IF($H$3=2,D77,"N/A")))</f>
        <v>0</v>
      </c>
      <c r="F77" s="126" t="n">
        <f aca="false">E77*X77</f>
        <v>0</v>
      </c>
      <c r="G77" s="142" t="n">
        <f aca="false">VLOOKUP($A77,Table,MATCH(G$4,Curves,0))</f>
        <v>3.987</v>
      </c>
      <c r="H77" s="143" t="n">
        <f aca="false">G77</f>
        <v>3.987</v>
      </c>
      <c r="I77" s="142" t="n">
        <f aca="false">VLOOKUP($A77,Table1,MATCH(I$3,Curves1,0))</f>
        <v>0</v>
      </c>
      <c r="J77" s="142" t="n">
        <f aca="false">VLOOKUP($A77,Table,MATCH(J$4,Curves,0))</f>
        <v>-0.061</v>
      </c>
      <c r="K77" s="143" t="n">
        <f aca="false">J77</f>
        <v>-0.061</v>
      </c>
      <c r="L77" s="144" t="n">
        <v>0</v>
      </c>
      <c r="M77" s="142" t="n">
        <f aca="false">VLOOKUP($A77,Table,MATCH(M$4,Curves,0))</f>
        <v>0.005</v>
      </c>
      <c r="N77" s="143" t="n">
        <f aca="false">M77</f>
        <v>0.005</v>
      </c>
      <c r="O77" s="144" t="n">
        <v>0</v>
      </c>
      <c r="P77" s="145"/>
      <c r="Q77" s="144" t="n">
        <f aca="false">M77+J77+G77</f>
        <v>3.931</v>
      </c>
      <c r="R77" s="144" t="n">
        <f aca="false">O77+L77+I77</f>
        <v>0</v>
      </c>
      <c r="S77" s="145"/>
      <c r="T77" s="71" t="n">
        <f aca="false">A78-A77</f>
        <v>30</v>
      </c>
      <c r="U77" s="146" t="n">
        <f aca="false">CHOOSE(F$3,A78+24,A77)</f>
        <v>39076</v>
      </c>
      <c r="V77" s="71" t="n">
        <f aca="false">U77-C$3</f>
        <v>2188</v>
      </c>
      <c r="W77" s="142" t="n">
        <f aca="false">VLOOKUP($A77,Table,MATCH(W$4,Curves,0))</f>
        <v>0.058966861357273</v>
      </c>
      <c r="X77" s="147" t="n">
        <f aca="false">1/(1+CHOOSE(F$3,(W78+($K$3/10000))/2,(W77+($K$3/10000))/2))^(2*V77/365.25)</f>
        <v>0.706007827216554</v>
      </c>
      <c r="Y77" s="71" t="n">
        <f aca="false">IF(AND(mthbeg&lt;=A77,mthend&gt;=A77),1,0)</f>
        <v>0</v>
      </c>
      <c r="Z77" s="71" t="n">
        <f aca="false">T77*Y77</f>
        <v>0</v>
      </c>
      <c r="AB77" s="132" t="n">
        <f aca="false">F77*G77</f>
        <v>0</v>
      </c>
      <c r="AC77" s="132" t="n">
        <f aca="false">$F77*H77</f>
        <v>0</v>
      </c>
      <c r="AD77" s="132" t="n">
        <f aca="false">$F77*I77</f>
        <v>0</v>
      </c>
      <c r="AE77" s="132" t="n">
        <f aca="false">$F77*J77</f>
        <v>-0</v>
      </c>
      <c r="AF77" s="132" t="n">
        <f aca="false">$F77*K77</f>
        <v>-0</v>
      </c>
      <c r="AG77" s="132" t="n">
        <f aca="false">$F77*L77</f>
        <v>0</v>
      </c>
      <c r="AH77" s="132" t="n">
        <f aca="false">$F77*M77</f>
        <v>0</v>
      </c>
      <c r="AI77" s="132" t="n">
        <f aca="false">$F77*N77</f>
        <v>0</v>
      </c>
      <c r="AJ77" s="132" t="n">
        <f aca="false">F77*O77</f>
        <v>0</v>
      </c>
      <c r="AK77" s="137"/>
      <c r="AL77" s="132" t="n">
        <f aca="false">CHOOSE($G$3,AC77-AD77,AD77-AC77)</f>
        <v>0</v>
      </c>
      <c r="AM77" s="132" t="n">
        <f aca="false">CHOOSE($G$3,AF77-AG77,AG77-AF77)</f>
        <v>0</v>
      </c>
      <c r="AN77" s="132" t="n">
        <f aca="false">CHOOSE($G$3,AI77-AJ77,AJ77-AI77)</f>
        <v>0</v>
      </c>
      <c r="AO77" s="148" t="n">
        <f aca="false">SUM(AL77:AN77)</f>
        <v>0</v>
      </c>
      <c r="AQ77" s="132" t="n">
        <f aca="false">CHOOSE($G$3,AB77-AC77,AC77-AB77)</f>
        <v>0</v>
      </c>
      <c r="AR77" s="132" t="n">
        <f aca="false">CHOOSE($G$3,AE77-AF77,AF77-AE77)</f>
        <v>0</v>
      </c>
      <c r="AS77" s="132" t="n">
        <f aca="false">CHOOSE($G$3,AH77-AI77,AI77-AH77)</f>
        <v>0</v>
      </c>
      <c r="AT77" s="148" t="n">
        <f aca="false">AQ77+AR77+AS77</f>
        <v>0</v>
      </c>
      <c r="AU77" s="148"/>
      <c r="AV77" s="133" t="n">
        <f aca="false">AT77+AO77</f>
        <v>0</v>
      </c>
      <c r="AX77" s="133" t="n">
        <f aca="false">AJ77+AG77+AD77</f>
        <v>0</v>
      </c>
      <c r="AY77" s="149"/>
      <c r="AZ77" s="76" t="n">
        <f aca="false">R77*E77</f>
        <v>0</v>
      </c>
    </row>
    <row r="78" customFormat="false" ht="12.75" hidden="false" customHeight="false" outlineLevel="0" collapsed="false">
      <c r="A78" s="138" t="n">
        <f aca="false">EDATE(A77,1)</f>
        <v>39052</v>
      </c>
      <c r="B78" s="139" t="n">
        <f aca="false">VLOOKUP($A78,Table2,MATCH(I$3,Curves2,0))</f>
        <v>0</v>
      </c>
      <c r="C78" s="140"/>
      <c r="D78" s="141" t="n">
        <f aca="false">B78+C78</f>
        <v>0</v>
      </c>
      <c r="E78" s="126" t="n">
        <f aca="false">IF(Y78=0,0,IF(AND(Y78=1,$H$3=1),D78*T78,IF($H$3=2,D78,"N/A")))</f>
        <v>0</v>
      </c>
      <c r="F78" s="126" t="n">
        <f aca="false">E78*X78</f>
        <v>0</v>
      </c>
      <c r="G78" s="142" t="n">
        <f aca="false">VLOOKUP($A78,Table,MATCH(G$4,Curves,0))</f>
        <v>3.987</v>
      </c>
      <c r="H78" s="143" t="n">
        <f aca="false">G78</f>
        <v>3.987</v>
      </c>
      <c r="I78" s="142" t="n">
        <f aca="false">VLOOKUP($A78,Table1,MATCH(I$3,Curves1,0))</f>
        <v>0</v>
      </c>
      <c r="J78" s="142" t="n">
        <f aca="false">VLOOKUP($A78,Table,MATCH(J$4,Curves,0))</f>
        <v>-0.061</v>
      </c>
      <c r="K78" s="143" t="n">
        <f aca="false">J78</f>
        <v>-0.061</v>
      </c>
      <c r="L78" s="144" t="n">
        <v>0</v>
      </c>
      <c r="M78" s="142" t="n">
        <f aca="false">VLOOKUP($A78,Table,MATCH(M$4,Curves,0))</f>
        <v>0.005</v>
      </c>
      <c r="N78" s="143" t="n">
        <f aca="false">M78</f>
        <v>0.005</v>
      </c>
      <c r="O78" s="144" t="n">
        <v>0</v>
      </c>
      <c r="P78" s="145"/>
      <c r="Q78" s="144" t="n">
        <f aca="false">M78+J78+G78</f>
        <v>3.931</v>
      </c>
      <c r="R78" s="144" t="n">
        <f aca="false">O78+L78+I78</f>
        <v>0</v>
      </c>
      <c r="S78" s="145"/>
      <c r="T78" s="71" t="n">
        <f aca="false">A79-A78</f>
        <v>31</v>
      </c>
      <c r="U78" s="146" t="n">
        <f aca="false">CHOOSE(F$3,A79+24,A78)</f>
        <v>39107</v>
      </c>
      <c r="V78" s="71" t="n">
        <f aca="false">U78-C$3</f>
        <v>2219</v>
      </c>
      <c r="W78" s="142" t="n">
        <f aca="false">VLOOKUP($A78,Table,MATCH(W$4,Curves,0))</f>
        <v>0.058966861357273</v>
      </c>
      <c r="X78" s="147" t="n">
        <f aca="false">1/(1+CHOOSE(F$3,(W79+($K$3/10000))/2,(W78+($K$3/10000))/2))^(2*V78/365.25)</f>
        <v>0.702534118240909</v>
      </c>
      <c r="Y78" s="71" t="n">
        <f aca="false">IF(AND(mthbeg&lt;=A78,mthend&gt;=A78),1,0)</f>
        <v>0</v>
      </c>
      <c r="Z78" s="71" t="n">
        <f aca="false">T78*Y78</f>
        <v>0</v>
      </c>
      <c r="AB78" s="132" t="n">
        <f aca="false">F78*G78</f>
        <v>0</v>
      </c>
      <c r="AC78" s="132" t="n">
        <f aca="false">$F78*H78</f>
        <v>0</v>
      </c>
      <c r="AD78" s="132" t="n">
        <f aca="false">$F78*I78</f>
        <v>0</v>
      </c>
      <c r="AE78" s="132" t="n">
        <f aca="false">$F78*J78</f>
        <v>-0</v>
      </c>
      <c r="AF78" s="132" t="n">
        <f aca="false">$F78*K78</f>
        <v>-0</v>
      </c>
      <c r="AG78" s="132" t="n">
        <f aca="false">$F78*L78</f>
        <v>0</v>
      </c>
      <c r="AH78" s="132" t="n">
        <f aca="false">$F78*M78</f>
        <v>0</v>
      </c>
      <c r="AI78" s="132" t="n">
        <f aca="false">$F78*N78</f>
        <v>0</v>
      </c>
      <c r="AJ78" s="132" t="n">
        <f aca="false">F78*O78</f>
        <v>0</v>
      </c>
      <c r="AK78" s="137"/>
      <c r="AL78" s="132" t="n">
        <f aca="false">CHOOSE($G$3,AC78-AD78,AD78-AC78)</f>
        <v>0</v>
      </c>
      <c r="AM78" s="132" t="n">
        <f aca="false">CHOOSE($G$3,AF78-AG78,AG78-AF78)</f>
        <v>0</v>
      </c>
      <c r="AN78" s="132" t="n">
        <f aca="false">CHOOSE($G$3,AI78-AJ78,AJ78-AI78)</f>
        <v>0</v>
      </c>
      <c r="AO78" s="148" t="n">
        <f aca="false">SUM(AL78:AN78)</f>
        <v>0</v>
      </c>
      <c r="AQ78" s="132" t="n">
        <f aca="false">CHOOSE($G$3,AB78-AC78,AC78-AB78)</f>
        <v>0</v>
      </c>
      <c r="AR78" s="132" t="n">
        <f aca="false">CHOOSE($G$3,AE78-AF78,AF78-AE78)</f>
        <v>0</v>
      </c>
      <c r="AS78" s="132" t="n">
        <f aca="false">CHOOSE($G$3,AH78-AI78,AI78-AH78)</f>
        <v>0</v>
      </c>
      <c r="AT78" s="148" t="n">
        <f aca="false">AQ78+AR78+AS78</f>
        <v>0</v>
      </c>
      <c r="AU78" s="148"/>
      <c r="AV78" s="133" t="n">
        <f aca="false">AT78+AO78</f>
        <v>0</v>
      </c>
      <c r="AX78" s="133" t="n">
        <f aca="false">AJ78+AG78+AD78</f>
        <v>0</v>
      </c>
      <c r="AY78" s="149"/>
      <c r="AZ78" s="76" t="n">
        <f aca="false">R78*E78</f>
        <v>0</v>
      </c>
    </row>
    <row r="79" customFormat="false" ht="12.75" hidden="false" customHeight="false" outlineLevel="0" collapsed="false">
      <c r="A79" s="138" t="n">
        <f aca="false">EDATE(A78,1)</f>
        <v>39083</v>
      </c>
      <c r="B79" s="139" t="n">
        <f aca="false">VLOOKUP($A79,Table2,MATCH(I$3,Curves2,0))</f>
        <v>0</v>
      </c>
      <c r="C79" s="140"/>
      <c r="D79" s="141" t="n">
        <f aca="false">B79+C79</f>
        <v>0</v>
      </c>
      <c r="E79" s="126" t="n">
        <f aca="false">IF(Y79=0,0,IF(AND(Y79=1,$H$3=1),D79*T79,IF($H$3=2,D79,"N/A")))</f>
        <v>0</v>
      </c>
      <c r="F79" s="126" t="n">
        <f aca="false">E79*X79</f>
        <v>0</v>
      </c>
      <c r="G79" s="142" t="n">
        <f aca="false">VLOOKUP($A79,Table,MATCH(G$4,Curves,0))</f>
        <v>3.987</v>
      </c>
      <c r="H79" s="143" t="n">
        <f aca="false">G79</f>
        <v>3.987</v>
      </c>
      <c r="I79" s="142" t="n">
        <f aca="false">VLOOKUP($A79,Table1,MATCH(I$3,Curves1,0))</f>
        <v>0</v>
      </c>
      <c r="J79" s="142" t="n">
        <f aca="false">VLOOKUP($A79,Table,MATCH(J$4,Curves,0))</f>
        <v>-0.061</v>
      </c>
      <c r="K79" s="143" t="n">
        <f aca="false">J79</f>
        <v>-0.061</v>
      </c>
      <c r="L79" s="144" t="n">
        <v>0</v>
      </c>
      <c r="M79" s="142" t="n">
        <f aca="false">VLOOKUP($A79,Table,MATCH(M$4,Curves,0))</f>
        <v>0.005</v>
      </c>
      <c r="N79" s="143" t="n">
        <f aca="false">M79</f>
        <v>0.005</v>
      </c>
      <c r="O79" s="144" t="n">
        <v>0</v>
      </c>
      <c r="P79" s="145"/>
      <c r="Q79" s="144" t="n">
        <f aca="false">M79+J79+G79</f>
        <v>3.931</v>
      </c>
      <c r="R79" s="144" t="n">
        <f aca="false">O79+L79+I79</f>
        <v>0</v>
      </c>
      <c r="S79" s="145"/>
      <c r="T79" s="71" t="n">
        <f aca="false">A80-A79</f>
        <v>31</v>
      </c>
      <c r="U79" s="146" t="n">
        <f aca="false">CHOOSE(F$3,A80+24,A79)</f>
        <v>39138</v>
      </c>
      <c r="V79" s="71" t="n">
        <f aca="false">U79-C$3</f>
        <v>2250</v>
      </c>
      <c r="W79" s="142" t="n">
        <f aca="false">VLOOKUP($A79,Table,MATCH(W$4,Curves,0))</f>
        <v>0.058966861357273</v>
      </c>
      <c r="X79" s="147" t="n">
        <f aca="false">1/(1+CHOOSE(F$3,(W80+($K$3/10000))/2,(W79+($K$3/10000))/2))^(2*V79/365.25)</f>
        <v>0.699077500653747</v>
      </c>
      <c r="Y79" s="71" t="n">
        <f aca="false">IF(AND(mthbeg&lt;=A79,mthend&gt;=A79),1,0)</f>
        <v>0</v>
      </c>
      <c r="Z79" s="71" t="n">
        <f aca="false">T79*Y79</f>
        <v>0</v>
      </c>
      <c r="AB79" s="132" t="n">
        <f aca="false">F79*G79</f>
        <v>0</v>
      </c>
      <c r="AC79" s="132" t="n">
        <f aca="false">$F79*H79</f>
        <v>0</v>
      </c>
      <c r="AD79" s="132" t="n">
        <f aca="false">$F79*I79</f>
        <v>0</v>
      </c>
      <c r="AE79" s="132" t="n">
        <f aca="false">$F79*J79</f>
        <v>-0</v>
      </c>
      <c r="AF79" s="132" t="n">
        <f aca="false">$F79*K79</f>
        <v>-0</v>
      </c>
      <c r="AG79" s="132" t="n">
        <f aca="false">$F79*L79</f>
        <v>0</v>
      </c>
      <c r="AH79" s="132" t="n">
        <f aca="false">$F79*M79</f>
        <v>0</v>
      </c>
      <c r="AI79" s="132" t="n">
        <f aca="false">$F79*N79</f>
        <v>0</v>
      </c>
      <c r="AJ79" s="132" t="n">
        <f aca="false">F79*O79</f>
        <v>0</v>
      </c>
      <c r="AK79" s="137"/>
      <c r="AL79" s="132" t="n">
        <f aca="false">CHOOSE($G$3,AC79-AD79,AD79-AC79)</f>
        <v>0</v>
      </c>
      <c r="AM79" s="132" t="n">
        <f aca="false">CHOOSE($G$3,AF79-AG79,AG79-AF79)</f>
        <v>0</v>
      </c>
      <c r="AN79" s="132" t="n">
        <f aca="false">CHOOSE($G$3,AI79-AJ79,AJ79-AI79)</f>
        <v>0</v>
      </c>
      <c r="AO79" s="148" t="n">
        <f aca="false">SUM(AL79:AN79)</f>
        <v>0</v>
      </c>
      <c r="AQ79" s="132" t="n">
        <f aca="false">CHOOSE($G$3,AB79-AC79,AC79-AB79)</f>
        <v>0</v>
      </c>
      <c r="AR79" s="132" t="n">
        <f aca="false">CHOOSE($G$3,AE79-AF79,AF79-AE79)</f>
        <v>0</v>
      </c>
      <c r="AS79" s="132" t="n">
        <f aca="false">CHOOSE($G$3,AH79-AI79,AI79-AH79)</f>
        <v>0</v>
      </c>
      <c r="AT79" s="148" t="n">
        <f aca="false">AQ79+AR79+AS79</f>
        <v>0</v>
      </c>
      <c r="AU79" s="148"/>
      <c r="AV79" s="133" t="n">
        <f aca="false">AT79+AO79</f>
        <v>0</v>
      </c>
      <c r="AX79" s="133" t="n">
        <f aca="false">AJ79+AG79+AD79</f>
        <v>0</v>
      </c>
      <c r="AY79" s="149"/>
      <c r="AZ79" s="76" t="n">
        <f aca="false">R79*E79</f>
        <v>0</v>
      </c>
    </row>
    <row r="80" customFormat="false" ht="12.75" hidden="false" customHeight="false" outlineLevel="0" collapsed="false">
      <c r="A80" s="138" t="n">
        <f aca="false">EDATE(A79,1)</f>
        <v>39114</v>
      </c>
      <c r="B80" s="139" t="n">
        <f aca="false">VLOOKUP($A80,Table2,MATCH(I$3,Curves2,0))</f>
        <v>0</v>
      </c>
      <c r="C80" s="140"/>
      <c r="D80" s="141" t="n">
        <f aca="false">B80+C80</f>
        <v>0</v>
      </c>
      <c r="E80" s="126" t="n">
        <f aca="false">IF(Y80=0,0,IF(AND(Y80=1,$H$3=1),D80*T80,IF($H$3=2,D80,"N/A")))</f>
        <v>0</v>
      </c>
      <c r="F80" s="126" t="n">
        <f aca="false">E80*X80</f>
        <v>0</v>
      </c>
      <c r="G80" s="142" t="n">
        <f aca="false">VLOOKUP($A80,Table,MATCH(G$4,Curves,0))</f>
        <v>3.987</v>
      </c>
      <c r="H80" s="143" t="n">
        <f aca="false">G80</f>
        <v>3.987</v>
      </c>
      <c r="I80" s="142" t="n">
        <f aca="false">VLOOKUP($A80,Table1,MATCH(I$3,Curves1,0))</f>
        <v>0</v>
      </c>
      <c r="J80" s="142" t="n">
        <f aca="false">VLOOKUP($A80,Table,MATCH(J$4,Curves,0))</f>
        <v>-0.061</v>
      </c>
      <c r="K80" s="143" t="n">
        <f aca="false">J80</f>
        <v>-0.061</v>
      </c>
      <c r="L80" s="144" t="n">
        <v>0</v>
      </c>
      <c r="M80" s="142" t="n">
        <f aca="false">VLOOKUP($A80,Table,MATCH(M$4,Curves,0))</f>
        <v>0.005</v>
      </c>
      <c r="N80" s="143" t="n">
        <f aca="false">M80</f>
        <v>0.005</v>
      </c>
      <c r="O80" s="144" t="n">
        <v>0</v>
      </c>
      <c r="P80" s="145"/>
      <c r="Q80" s="144" t="n">
        <f aca="false">M80+J80+G80</f>
        <v>3.931</v>
      </c>
      <c r="R80" s="144" t="n">
        <f aca="false">O80+L80+I80</f>
        <v>0</v>
      </c>
      <c r="S80" s="145"/>
      <c r="T80" s="71" t="n">
        <f aca="false">A81-A80</f>
        <v>28</v>
      </c>
      <c r="U80" s="146" t="n">
        <f aca="false">CHOOSE(F$3,A81+24,A80)</f>
        <v>39166</v>
      </c>
      <c r="V80" s="71" t="n">
        <f aca="false">U80-C$3</f>
        <v>2278</v>
      </c>
      <c r="W80" s="142" t="n">
        <f aca="false">VLOOKUP($A80,Table,MATCH(W$4,Curves,0))</f>
        <v>0.058966861357273</v>
      </c>
      <c r="X80" s="147" t="n">
        <f aca="false">1/(1+CHOOSE(F$3,(W81+($K$3/10000))/2,(W80+($K$3/10000))/2))^(2*V80/365.25)</f>
        <v>0.695970014902296</v>
      </c>
      <c r="Y80" s="71" t="n">
        <f aca="false">IF(AND(mthbeg&lt;=A80,mthend&gt;=A80),1,0)</f>
        <v>0</v>
      </c>
      <c r="Z80" s="71" t="n">
        <f aca="false">T80*Y80</f>
        <v>0</v>
      </c>
      <c r="AB80" s="132" t="n">
        <f aca="false">F80*G80</f>
        <v>0</v>
      </c>
      <c r="AC80" s="132" t="n">
        <f aca="false">$F80*H80</f>
        <v>0</v>
      </c>
      <c r="AD80" s="132" t="n">
        <f aca="false">$F80*I80</f>
        <v>0</v>
      </c>
      <c r="AE80" s="132" t="n">
        <f aca="false">$F80*J80</f>
        <v>-0</v>
      </c>
      <c r="AF80" s="132" t="n">
        <f aca="false">$F80*K80</f>
        <v>-0</v>
      </c>
      <c r="AG80" s="132" t="n">
        <f aca="false">$F80*L80</f>
        <v>0</v>
      </c>
      <c r="AH80" s="132" t="n">
        <f aca="false">$F80*M80</f>
        <v>0</v>
      </c>
      <c r="AI80" s="132" t="n">
        <f aca="false">$F80*N80</f>
        <v>0</v>
      </c>
      <c r="AJ80" s="132" t="n">
        <f aca="false">F80*O80</f>
        <v>0</v>
      </c>
      <c r="AK80" s="137"/>
      <c r="AL80" s="132" t="n">
        <f aca="false">CHOOSE($G$3,AC80-AD80,AD80-AC80)</f>
        <v>0</v>
      </c>
      <c r="AM80" s="132" t="n">
        <f aca="false">CHOOSE($G$3,AF80-AG80,AG80-AF80)</f>
        <v>0</v>
      </c>
      <c r="AN80" s="132" t="n">
        <f aca="false">CHOOSE($G$3,AI80-AJ80,AJ80-AI80)</f>
        <v>0</v>
      </c>
      <c r="AO80" s="148" t="n">
        <f aca="false">SUM(AL80:AN80)</f>
        <v>0</v>
      </c>
      <c r="AQ80" s="132" t="n">
        <f aca="false">CHOOSE($G$3,AB80-AC80,AC80-AB80)</f>
        <v>0</v>
      </c>
      <c r="AR80" s="132" t="n">
        <f aca="false">CHOOSE($G$3,AE80-AF80,AF80-AE80)</f>
        <v>0</v>
      </c>
      <c r="AS80" s="132" t="n">
        <f aca="false">CHOOSE($G$3,AH80-AI80,AI80-AH80)</f>
        <v>0</v>
      </c>
      <c r="AT80" s="148" t="n">
        <f aca="false">AQ80+AR80+AS80</f>
        <v>0</v>
      </c>
      <c r="AU80" s="148"/>
      <c r="AV80" s="133" t="n">
        <f aca="false">AT80+AO80</f>
        <v>0</v>
      </c>
      <c r="AX80" s="133" t="n">
        <f aca="false">AJ80+AG80+AD80</f>
        <v>0</v>
      </c>
      <c r="AY80" s="149"/>
      <c r="AZ80" s="76" t="n">
        <f aca="false">R80*E80</f>
        <v>0</v>
      </c>
    </row>
    <row r="81" customFormat="false" ht="12.75" hidden="false" customHeight="false" outlineLevel="0" collapsed="false">
      <c r="A81" s="138" t="n">
        <f aca="false">EDATE(A80,1)</f>
        <v>39142</v>
      </c>
      <c r="B81" s="139" t="n">
        <f aca="false">VLOOKUP($A81,Table2,MATCH(I$3,Curves2,0))</f>
        <v>0</v>
      </c>
      <c r="C81" s="140"/>
      <c r="D81" s="141" t="n">
        <f aca="false">B81+C81</f>
        <v>0</v>
      </c>
      <c r="E81" s="126" t="n">
        <f aca="false">IF(Y81=0,0,IF(AND(Y81=1,$H$3=1),D81*T81,IF($H$3=2,D81,"N/A")))</f>
        <v>0</v>
      </c>
      <c r="F81" s="126" t="n">
        <f aca="false">E81*X81</f>
        <v>0</v>
      </c>
      <c r="G81" s="142" t="n">
        <f aca="false">VLOOKUP($A81,Table,MATCH(G$4,Curves,0))</f>
        <v>3.987</v>
      </c>
      <c r="H81" s="143" t="n">
        <f aca="false">G81</f>
        <v>3.987</v>
      </c>
      <c r="I81" s="142" t="n">
        <f aca="false">VLOOKUP($A81,Table1,MATCH(I$3,Curves1,0))</f>
        <v>0</v>
      </c>
      <c r="J81" s="142" t="n">
        <f aca="false">VLOOKUP($A81,Table,MATCH(J$4,Curves,0))</f>
        <v>-0.061</v>
      </c>
      <c r="K81" s="143" t="n">
        <f aca="false">J81</f>
        <v>-0.061</v>
      </c>
      <c r="L81" s="144" t="n">
        <v>0</v>
      </c>
      <c r="M81" s="142" t="n">
        <f aca="false">VLOOKUP($A81,Table,MATCH(M$4,Curves,0))</f>
        <v>0.005</v>
      </c>
      <c r="N81" s="143" t="n">
        <f aca="false">M81</f>
        <v>0.005</v>
      </c>
      <c r="O81" s="144" t="n">
        <v>0</v>
      </c>
      <c r="P81" s="145"/>
      <c r="Q81" s="144" t="n">
        <f aca="false">M81+J81+G81</f>
        <v>3.931</v>
      </c>
      <c r="R81" s="144" t="n">
        <f aca="false">O81+L81+I81</f>
        <v>0</v>
      </c>
      <c r="S81" s="145"/>
      <c r="T81" s="71" t="n">
        <f aca="false">A82-A81</f>
        <v>31</v>
      </c>
      <c r="U81" s="146" t="n">
        <f aca="false">CHOOSE(F$3,A82+24,A81)</f>
        <v>39197</v>
      </c>
      <c r="V81" s="71" t="n">
        <f aca="false">U81-C$3</f>
        <v>2309</v>
      </c>
      <c r="W81" s="142" t="n">
        <f aca="false">VLOOKUP($A81,Table,MATCH(W$4,Curves,0))</f>
        <v>0.058966861357273</v>
      </c>
      <c r="X81" s="147" t="n">
        <f aca="false">1/(1+CHOOSE(F$3,(W82+($K$3/10000))/2,(W81+($K$3/10000))/2))^(2*V81/365.25)</f>
        <v>0.692545694102515</v>
      </c>
      <c r="Y81" s="71" t="n">
        <f aca="false">IF(AND(mthbeg&lt;=A81,mthend&gt;=A81),1,0)</f>
        <v>0</v>
      </c>
      <c r="Z81" s="71" t="n">
        <f aca="false">T81*Y81</f>
        <v>0</v>
      </c>
      <c r="AB81" s="132" t="n">
        <f aca="false">F81*G81</f>
        <v>0</v>
      </c>
      <c r="AC81" s="132" t="n">
        <f aca="false">$F81*H81</f>
        <v>0</v>
      </c>
      <c r="AD81" s="132" t="n">
        <f aca="false">$F81*I81</f>
        <v>0</v>
      </c>
      <c r="AE81" s="132" t="n">
        <f aca="false">$F81*J81</f>
        <v>-0</v>
      </c>
      <c r="AF81" s="132" t="n">
        <f aca="false">$F81*K81</f>
        <v>-0</v>
      </c>
      <c r="AG81" s="132" t="n">
        <f aca="false">$F81*L81</f>
        <v>0</v>
      </c>
      <c r="AH81" s="132" t="n">
        <f aca="false">$F81*M81</f>
        <v>0</v>
      </c>
      <c r="AI81" s="132" t="n">
        <f aca="false">$F81*N81</f>
        <v>0</v>
      </c>
      <c r="AJ81" s="132" t="n">
        <f aca="false">F81*O81</f>
        <v>0</v>
      </c>
      <c r="AK81" s="137"/>
      <c r="AL81" s="132" t="n">
        <f aca="false">CHOOSE($G$3,AC81-AD81,AD81-AC81)</f>
        <v>0</v>
      </c>
      <c r="AM81" s="132" t="n">
        <f aca="false">CHOOSE($G$3,AF81-AG81,AG81-AF81)</f>
        <v>0</v>
      </c>
      <c r="AN81" s="132" t="n">
        <f aca="false">CHOOSE($G$3,AI81-AJ81,AJ81-AI81)</f>
        <v>0</v>
      </c>
      <c r="AO81" s="148" t="n">
        <f aca="false">SUM(AL81:AN81)</f>
        <v>0</v>
      </c>
      <c r="AQ81" s="132" t="n">
        <f aca="false">CHOOSE($G$3,AB81-AC81,AC81-AB81)</f>
        <v>0</v>
      </c>
      <c r="AR81" s="132" t="n">
        <f aca="false">CHOOSE($G$3,AE81-AF81,AF81-AE81)</f>
        <v>0</v>
      </c>
      <c r="AS81" s="132" t="n">
        <f aca="false">CHOOSE($G$3,AH81-AI81,AI81-AH81)</f>
        <v>0</v>
      </c>
      <c r="AT81" s="148" t="n">
        <f aca="false">AQ81+AR81+AS81</f>
        <v>0</v>
      </c>
      <c r="AU81" s="148"/>
      <c r="AV81" s="133" t="n">
        <f aca="false">AT81+AO81</f>
        <v>0</v>
      </c>
      <c r="AX81" s="133" t="n">
        <f aca="false">AJ81+AG81+AD81</f>
        <v>0</v>
      </c>
      <c r="AY81" s="149"/>
      <c r="AZ81" s="76" t="n">
        <f aca="false">R81*E81</f>
        <v>0</v>
      </c>
    </row>
    <row r="82" customFormat="false" ht="12.75" hidden="false" customHeight="false" outlineLevel="0" collapsed="false">
      <c r="A82" s="138" t="n">
        <f aca="false">EDATE(A81,1)</f>
        <v>39173</v>
      </c>
      <c r="B82" s="139" t="n">
        <f aca="false">VLOOKUP($A82,Table2,MATCH(I$3,Curves2,0))</f>
        <v>0</v>
      </c>
      <c r="C82" s="140"/>
      <c r="D82" s="141" t="n">
        <f aca="false">B82+C82</f>
        <v>0</v>
      </c>
      <c r="E82" s="126" t="n">
        <f aca="false">IF(Y82=0,0,IF(AND(Y82=1,$H$3=1),D82*T82,IF($H$3=2,D82,"N/A")))</f>
        <v>0</v>
      </c>
      <c r="F82" s="126" t="n">
        <f aca="false">E82*X82</f>
        <v>0</v>
      </c>
      <c r="G82" s="142" t="n">
        <f aca="false">VLOOKUP($A82,Table,MATCH(G$4,Curves,0))</f>
        <v>3.987</v>
      </c>
      <c r="H82" s="143" t="n">
        <f aca="false">G82</f>
        <v>3.987</v>
      </c>
      <c r="I82" s="142" t="n">
        <f aca="false">VLOOKUP($A82,Table1,MATCH(I$3,Curves1,0))</f>
        <v>0</v>
      </c>
      <c r="J82" s="142" t="n">
        <f aca="false">VLOOKUP($A82,Table,MATCH(J$4,Curves,0))</f>
        <v>-0.061</v>
      </c>
      <c r="K82" s="143" t="n">
        <f aca="false">J82</f>
        <v>-0.061</v>
      </c>
      <c r="L82" s="144" t="n">
        <v>0</v>
      </c>
      <c r="M82" s="142" t="n">
        <f aca="false">VLOOKUP($A82,Table,MATCH(M$4,Curves,0))</f>
        <v>0.005</v>
      </c>
      <c r="N82" s="143" t="n">
        <f aca="false">M82</f>
        <v>0.005</v>
      </c>
      <c r="O82" s="144" t="n">
        <v>0</v>
      </c>
      <c r="P82" s="145"/>
      <c r="Q82" s="144" t="n">
        <f aca="false">M82+J82+G82</f>
        <v>3.931</v>
      </c>
      <c r="R82" s="144" t="n">
        <f aca="false">O82+L82+I82</f>
        <v>0</v>
      </c>
      <c r="S82" s="145"/>
      <c r="T82" s="71" t="n">
        <f aca="false">A83-A82</f>
        <v>30</v>
      </c>
      <c r="U82" s="146" t="n">
        <f aca="false">CHOOSE(F$3,A83+24,A82)</f>
        <v>39227</v>
      </c>
      <c r="V82" s="71" t="n">
        <f aca="false">U82-C$3</f>
        <v>2339</v>
      </c>
      <c r="W82" s="142" t="n">
        <f aca="false">VLOOKUP($A82,Table,MATCH(W$4,Curves,0))</f>
        <v>0.058966861357273</v>
      </c>
      <c r="X82" s="147" t="n">
        <f aca="false">1/(1+CHOOSE(F$3,(W83+($K$3/10000))/2,(W82+($K$3/10000))/2))^(2*V82/365.25)</f>
        <v>0.689247878023419</v>
      </c>
      <c r="Y82" s="71" t="n">
        <f aca="false">IF(AND(mthbeg&lt;=A82,mthend&gt;=A82),1,0)</f>
        <v>0</v>
      </c>
      <c r="Z82" s="71" t="n">
        <f aca="false">T82*Y82</f>
        <v>0</v>
      </c>
      <c r="AB82" s="132" t="n">
        <f aca="false">F82*G82</f>
        <v>0</v>
      </c>
      <c r="AC82" s="132" t="n">
        <f aca="false">$F82*H82</f>
        <v>0</v>
      </c>
      <c r="AD82" s="132" t="n">
        <f aca="false">$F82*I82</f>
        <v>0</v>
      </c>
      <c r="AE82" s="132" t="n">
        <f aca="false">$F82*J82</f>
        <v>-0</v>
      </c>
      <c r="AF82" s="132" t="n">
        <f aca="false">$F82*K82</f>
        <v>-0</v>
      </c>
      <c r="AG82" s="132" t="n">
        <f aca="false">$F82*L82</f>
        <v>0</v>
      </c>
      <c r="AH82" s="132" t="n">
        <f aca="false">$F82*M82</f>
        <v>0</v>
      </c>
      <c r="AI82" s="132" t="n">
        <f aca="false">$F82*N82</f>
        <v>0</v>
      </c>
      <c r="AJ82" s="132" t="n">
        <f aca="false">F82*O82</f>
        <v>0</v>
      </c>
      <c r="AK82" s="137"/>
      <c r="AL82" s="132" t="n">
        <f aca="false">CHOOSE($G$3,AC82-AD82,AD82-AC82)</f>
        <v>0</v>
      </c>
      <c r="AM82" s="132" t="n">
        <f aca="false">CHOOSE($G$3,AF82-AG82,AG82-AF82)</f>
        <v>0</v>
      </c>
      <c r="AN82" s="132" t="n">
        <f aca="false">CHOOSE($G$3,AI82-AJ82,AJ82-AI82)</f>
        <v>0</v>
      </c>
      <c r="AO82" s="148" t="n">
        <f aca="false">SUM(AL82:AN82)</f>
        <v>0</v>
      </c>
      <c r="AQ82" s="132" t="n">
        <f aca="false">CHOOSE($G$3,AB82-AC82,AC82-AB82)</f>
        <v>0</v>
      </c>
      <c r="AR82" s="132" t="n">
        <f aca="false">CHOOSE($G$3,AE82-AF82,AF82-AE82)</f>
        <v>0</v>
      </c>
      <c r="AS82" s="132" t="n">
        <f aca="false">CHOOSE($G$3,AH82-AI82,AI82-AH82)</f>
        <v>0</v>
      </c>
      <c r="AT82" s="148" t="n">
        <f aca="false">AQ82+AR82+AS82</f>
        <v>0</v>
      </c>
      <c r="AU82" s="148"/>
      <c r="AV82" s="133" t="n">
        <f aca="false">AT82+AO82</f>
        <v>0</v>
      </c>
      <c r="AX82" s="133" t="n">
        <f aca="false">AJ82+AG82+AD82</f>
        <v>0</v>
      </c>
      <c r="AY82" s="149"/>
      <c r="AZ82" s="76" t="n">
        <f aca="false">R82*E82</f>
        <v>0</v>
      </c>
    </row>
    <row r="83" customFormat="false" ht="12.75" hidden="false" customHeight="false" outlineLevel="0" collapsed="false">
      <c r="A83" s="138" t="n">
        <f aca="false">EDATE(A82,1)</f>
        <v>39203</v>
      </c>
      <c r="B83" s="139" t="n">
        <f aca="false">VLOOKUP($A83,Table2,MATCH(I$3,Curves2,0))</f>
        <v>0</v>
      </c>
      <c r="C83" s="140"/>
      <c r="D83" s="141" t="n">
        <f aca="false">B83+C83</f>
        <v>0</v>
      </c>
      <c r="E83" s="126" t="n">
        <f aca="false">IF(Y83=0,0,IF(AND(Y83=1,$H$3=1),D83*T83,IF($H$3=2,D83,"N/A")))</f>
        <v>0</v>
      </c>
      <c r="F83" s="126" t="n">
        <f aca="false">E83*X83</f>
        <v>0</v>
      </c>
      <c r="G83" s="142" t="n">
        <f aca="false">VLOOKUP($A83,Table,MATCH(G$4,Curves,0))</f>
        <v>3.987</v>
      </c>
      <c r="H83" s="143" t="n">
        <f aca="false">G83</f>
        <v>3.987</v>
      </c>
      <c r="I83" s="142" t="n">
        <f aca="false">VLOOKUP($A83,Table1,MATCH(I$3,Curves1,0))</f>
        <v>0</v>
      </c>
      <c r="J83" s="142" t="n">
        <f aca="false">VLOOKUP($A83,Table,MATCH(J$4,Curves,0))</f>
        <v>-0.061</v>
      </c>
      <c r="K83" s="143" t="n">
        <f aca="false">J83</f>
        <v>-0.061</v>
      </c>
      <c r="L83" s="144" t="n">
        <v>0</v>
      </c>
      <c r="M83" s="142" t="n">
        <f aca="false">VLOOKUP($A83,Table,MATCH(M$4,Curves,0))</f>
        <v>0.005</v>
      </c>
      <c r="N83" s="143" t="n">
        <f aca="false">M83</f>
        <v>0.005</v>
      </c>
      <c r="O83" s="144" t="n">
        <v>0</v>
      </c>
      <c r="P83" s="145"/>
      <c r="Q83" s="144" t="n">
        <f aca="false">M83+J83+G83</f>
        <v>3.931</v>
      </c>
      <c r="R83" s="144" t="n">
        <f aca="false">O83+L83+I83</f>
        <v>0</v>
      </c>
      <c r="S83" s="145"/>
      <c r="T83" s="71" t="n">
        <f aca="false">A84-A83</f>
        <v>31</v>
      </c>
      <c r="U83" s="146" t="n">
        <f aca="false">CHOOSE(F$3,A84+24,A83)</f>
        <v>39258</v>
      </c>
      <c r="V83" s="71" t="n">
        <f aca="false">U83-C$3</f>
        <v>2370</v>
      </c>
      <c r="W83" s="142" t="n">
        <f aca="false">VLOOKUP($A83,Table,MATCH(W$4,Curves,0))</f>
        <v>0.058966861357273</v>
      </c>
      <c r="X83" s="147" t="n">
        <f aca="false">1/(1+CHOOSE(F$3,(W84+($K$3/10000))/2,(W83+($K$3/10000))/2))^(2*V83/365.25)</f>
        <v>0.685856631569716</v>
      </c>
      <c r="Y83" s="71" t="n">
        <f aca="false">IF(AND(mthbeg&lt;=A83,mthend&gt;=A83),1,0)</f>
        <v>0</v>
      </c>
      <c r="Z83" s="71" t="n">
        <f aca="false">T83*Y83</f>
        <v>0</v>
      </c>
      <c r="AB83" s="132" t="n">
        <f aca="false">F83*G83</f>
        <v>0</v>
      </c>
      <c r="AC83" s="132" t="n">
        <f aca="false">$F83*H83</f>
        <v>0</v>
      </c>
      <c r="AD83" s="132" t="n">
        <f aca="false">$F83*I83</f>
        <v>0</v>
      </c>
      <c r="AE83" s="132" t="n">
        <f aca="false">$F83*J83</f>
        <v>-0</v>
      </c>
      <c r="AF83" s="132" t="n">
        <f aca="false">$F83*K83</f>
        <v>-0</v>
      </c>
      <c r="AG83" s="132" t="n">
        <f aca="false">$F83*L83</f>
        <v>0</v>
      </c>
      <c r="AH83" s="132" t="n">
        <f aca="false">$F83*M83</f>
        <v>0</v>
      </c>
      <c r="AI83" s="132" t="n">
        <f aca="false">$F83*N83</f>
        <v>0</v>
      </c>
      <c r="AJ83" s="132" t="n">
        <f aca="false">F83*O83</f>
        <v>0</v>
      </c>
      <c r="AK83" s="137"/>
      <c r="AL83" s="132" t="n">
        <f aca="false">CHOOSE($G$3,AC83-AD83,AD83-AC83)</f>
        <v>0</v>
      </c>
      <c r="AM83" s="132" t="n">
        <f aca="false">CHOOSE($G$3,AF83-AG83,AG83-AF83)</f>
        <v>0</v>
      </c>
      <c r="AN83" s="132" t="n">
        <f aca="false">CHOOSE($G$3,AI83-AJ83,AJ83-AI83)</f>
        <v>0</v>
      </c>
      <c r="AO83" s="148" t="n">
        <f aca="false">SUM(AL83:AN83)</f>
        <v>0</v>
      </c>
      <c r="AQ83" s="132" t="n">
        <f aca="false">CHOOSE($G$3,AB83-AC83,AC83-AB83)</f>
        <v>0</v>
      </c>
      <c r="AR83" s="132" t="n">
        <f aca="false">CHOOSE($G$3,AE83-AF83,AF83-AE83)</f>
        <v>0</v>
      </c>
      <c r="AS83" s="132" t="n">
        <f aca="false">CHOOSE($G$3,AH83-AI83,AI83-AH83)</f>
        <v>0</v>
      </c>
      <c r="AT83" s="148" t="n">
        <f aca="false">AQ83+AR83+AS83</f>
        <v>0</v>
      </c>
      <c r="AU83" s="148"/>
      <c r="AV83" s="133" t="n">
        <f aca="false">AT83+AO83</f>
        <v>0</v>
      </c>
      <c r="AX83" s="133" t="n">
        <f aca="false">AJ83+AG83+AD83</f>
        <v>0</v>
      </c>
      <c r="AY83" s="149"/>
      <c r="AZ83" s="76" t="n">
        <f aca="false">R83*E83</f>
        <v>0</v>
      </c>
    </row>
    <row r="84" customFormat="false" ht="12.75" hidden="false" customHeight="false" outlineLevel="0" collapsed="false">
      <c r="A84" s="138" t="n">
        <f aca="false">EDATE(A83,1)</f>
        <v>39234</v>
      </c>
      <c r="B84" s="139" t="n">
        <f aca="false">VLOOKUP($A84,Table2,MATCH(I$3,Curves2,0))</f>
        <v>0</v>
      </c>
      <c r="C84" s="140"/>
      <c r="D84" s="141" t="n">
        <f aca="false">B84+C84</f>
        <v>0</v>
      </c>
      <c r="E84" s="126" t="n">
        <f aca="false">IF(Y84=0,0,IF(AND(Y84=1,$H$3=1),D84*T84,IF($H$3=2,D84,"N/A")))</f>
        <v>0</v>
      </c>
      <c r="F84" s="126" t="n">
        <f aca="false">E84*X84</f>
        <v>0</v>
      </c>
      <c r="G84" s="142" t="n">
        <f aca="false">VLOOKUP($A84,Table,MATCH(G$4,Curves,0))</f>
        <v>3.987</v>
      </c>
      <c r="H84" s="143" t="n">
        <f aca="false">G84</f>
        <v>3.987</v>
      </c>
      <c r="I84" s="142" t="n">
        <f aca="false">VLOOKUP($A84,Table1,MATCH(I$3,Curves1,0))</f>
        <v>0</v>
      </c>
      <c r="J84" s="142" t="n">
        <f aca="false">VLOOKUP($A84,Table,MATCH(J$4,Curves,0))</f>
        <v>-0.061</v>
      </c>
      <c r="K84" s="143" t="n">
        <f aca="false">J84</f>
        <v>-0.061</v>
      </c>
      <c r="L84" s="144" t="n">
        <v>0</v>
      </c>
      <c r="M84" s="142" t="n">
        <f aca="false">VLOOKUP($A84,Table,MATCH(M$4,Curves,0))</f>
        <v>0.005</v>
      </c>
      <c r="N84" s="143" t="n">
        <f aca="false">M84</f>
        <v>0.005</v>
      </c>
      <c r="O84" s="144" t="n">
        <v>0</v>
      </c>
      <c r="P84" s="145"/>
      <c r="Q84" s="144" t="n">
        <f aca="false">M84+J84+G84</f>
        <v>3.931</v>
      </c>
      <c r="R84" s="144" t="n">
        <f aca="false">O84+L84+I84</f>
        <v>0</v>
      </c>
      <c r="S84" s="145"/>
      <c r="T84" s="71" t="n">
        <f aca="false">A85-A84</f>
        <v>30</v>
      </c>
      <c r="U84" s="146" t="n">
        <f aca="false">CHOOSE(F$3,A85+24,A84)</f>
        <v>39288</v>
      </c>
      <c r="V84" s="71" t="n">
        <f aca="false">U84-C$3</f>
        <v>2400</v>
      </c>
      <c r="W84" s="142" t="n">
        <f aca="false">VLOOKUP($A84,Table,MATCH(W$4,Curves,0))</f>
        <v>0.058966861357273</v>
      </c>
      <c r="X84" s="147" t="n">
        <f aca="false">1/(1+CHOOSE(F$3,(W85+($K$3/10000))/2,(W84+($K$3/10000))/2))^(2*V84/365.25)</f>
        <v>0.682590667970771</v>
      </c>
      <c r="Y84" s="71" t="n">
        <f aca="false">IF(AND(mthbeg&lt;=A84,mthend&gt;=A84),1,0)</f>
        <v>0</v>
      </c>
      <c r="Z84" s="71" t="n">
        <f aca="false">T84*Y84</f>
        <v>0</v>
      </c>
      <c r="AB84" s="132" t="n">
        <f aca="false">F84*G84</f>
        <v>0</v>
      </c>
      <c r="AC84" s="132" t="n">
        <f aca="false">$F84*H84</f>
        <v>0</v>
      </c>
      <c r="AD84" s="132" t="n">
        <f aca="false">$F84*I84</f>
        <v>0</v>
      </c>
      <c r="AE84" s="132" t="n">
        <f aca="false">$F84*J84</f>
        <v>-0</v>
      </c>
      <c r="AF84" s="132" t="n">
        <f aca="false">$F84*K84</f>
        <v>-0</v>
      </c>
      <c r="AG84" s="132" t="n">
        <f aca="false">$F84*L84</f>
        <v>0</v>
      </c>
      <c r="AH84" s="132" t="n">
        <f aca="false">$F84*M84</f>
        <v>0</v>
      </c>
      <c r="AI84" s="132" t="n">
        <f aca="false">$F84*N84</f>
        <v>0</v>
      </c>
      <c r="AJ84" s="132" t="n">
        <f aca="false">F84*O84</f>
        <v>0</v>
      </c>
      <c r="AK84" s="137"/>
      <c r="AL84" s="132" t="n">
        <f aca="false">CHOOSE($G$3,AC84-AD84,AD84-AC84)</f>
        <v>0</v>
      </c>
      <c r="AM84" s="132" t="n">
        <f aca="false">CHOOSE($G$3,AF84-AG84,AG84-AF84)</f>
        <v>0</v>
      </c>
      <c r="AN84" s="132" t="n">
        <f aca="false">CHOOSE($G$3,AI84-AJ84,AJ84-AI84)</f>
        <v>0</v>
      </c>
      <c r="AO84" s="148" t="n">
        <f aca="false">SUM(AL84:AN84)</f>
        <v>0</v>
      </c>
      <c r="AQ84" s="132" t="n">
        <f aca="false">CHOOSE($G$3,AB84-AC84,AC84-AB84)</f>
        <v>0</v>
      </c>
      <c r="AR84" s="132" t="n">
        <f aca="false">CHOOSE($G$3,AE84-AF84,AF84-AE84)</f>
        <v>0</v>
      </c>
      <c r="AS84" s="132" t="n">
        <f aca="false">CHOOSE($G$3,AH84-AI84,AI84-AH84)</f>
        <v>0</v>
      </c>
      <c r="AT84" s="148" t="n">
        <f aca="false">AQ84+AR84+AS84</f>
        <v>0</v>
      </c>
      <c r="AU84" s="148"/>
      <c r="AV84" s="133" t="n">
        <f aca="false">AT84+AO84</f>
        <v>0</v>
      </c>
      <c r="AX84" s="133" t="n">
        <f aca="false">AJ84+AG84+AD84</f>
        <v>0</v>
      </c>
      <c r="AY84" s="149"/>
      <c r="AZ84" s="76" t="n">
        <f aca="false">R84*E84</f>
        <v>0</v>
      </c>
    </row>
    <row r="85" customFormat="false" ht="12.75" hidden="false" customHeight="false" outlineLevel="0" collapsed="false">
      <c r="A85" s="138" t="n">
        <f aca="false">EDATE(A84,1)</f>
        <v>39264</v>
      </c>
      <c r="B85" s="139" t="n">
        <f aca="false">VLOOKUP($A85,Table2,MATCH(I$3,Curves2,0))</f>
        <v>0</v>
      </c>
      <c r="C85" s="140"/>
      <c r="D85" s="141" t="n">
        <f aca="false">B85+C85</f>
        <v>0</v>
      </c>
      <c r="E85" s="126" t="n">
        <f aca="false">IF(Y85=0,0,IF(AND(Y85=1,$H$3=1),D85*T85,IF($H$3=2,D85,"N/A")))</f>
        <v>0</v>
      </c>
      <c r="F85" s="126" t="n">
        <f aca="false">E85*X85</f>
        <v>0</v>
      </c>
      <c r="G85" s="142" t="n">
        <f aca="false">VLOOKUP($A85,Table,MATCH(G$4,Curves,0))</f>
        <v>3.987</v>
      </c>
      <c r="H85" s="143" t="n">
        <f aca="false">G85</f>
        <v>3.987</v>
      </c>
      <c r="I85" s="142" t="n">
        <f aca="false">VLOOKUP($A85,Table1,MATCH(I$3,Curves1,0))</f>
        <v>0</v>
      </c>
      <c r="J85" s="142" t="n">
        <f aca="false">VLOOKUP($A85,Table,MATCH(J$4,Curves,0))</f>
        <v>-0.061</v>
      </c>
      <c r="K85" s="143" t="n">
        <f aca="false">J85</f>
        <v>-0.061</v>
      </c>
      <c r="L85" s="144" t="n">
        <v>0</v>
      </c>
      <c r="M85" s="142" t="n">
        <f aca="false">VLOOKUP($A85,Table,MATCH(M$4,Curves,0))</f>
        <v>0.005</v>
      </c>
      <c r="N85" s="143" t="n">
        <f aca="false">M85</f>
        <v>0.005</v>
      </c>
      <c r="O85" s="144" t="n">
        <v>0</v>
      </c>
      <c r="P85" s="145"/>
      <c r="Q85" s="144" t="n">
        <f aca="false">M85+J85+G85</f>
        <v>3.931</v>
      </c>
      <c r="R85" s="144" t="n">
        <f aca="false">O85+L85+I85</f>
        <v>0</v>
      </c>
      <c r="S85" s="145"/>
      <c r="T85" s="71" t="n">
        <f aca="false">A86-A85</f>
        <v>31</v>
      </c>
      <c r="U85" s="146" t="n">
        <f aca="false">CHOOSE(F$3,A86+24,A85)</f>
        <v>39319</v>
      </c>
      <c r="V85" s="71" t="n">
        <f aca="false">U85-C$3</f>
        <v>2431</v>
      </c>
      <c r="W85" s="142" t="n">
        <f aca="false">VLOOKUP($A85,Table,MATCH(W$4,Curves,0))</f>
        <v>0.058966861357273</v>
      </c>
      <c r="X85" s="147" t="n">
        <f aca="false">1/(1+CHOOSE(F$3,(W86+($K$3/10000))/2,(W85+($K$3/10000))/2))^(2*V85/365.25)</f>
        <v>0.679232176409325</v>
      </c>
      <c r="Y85" s="71" t="n">
        <f aca="false">IF(AND(mthbeg&lt;=A85,mthend&gt;=A85),1,0)</f>
        <v>0</v>
      </c>
      <c r="Z85" s="71" t="n">
        <f aca="false">T85*Y85</f>
        <v>0</v>
      </c>
      <c r="AB85" s="132" t="n">
        <f aca="false">F85*G85</f>
        <v>0</v>
      </c>
      <c r="AC85" s="132" t="n">
        <f aca="false">$F85*H85</f>
        <v>0</v>
      </c>
      <c r="AD85" s="132" t="n">
        <f aca="false">$F85*I85</f>
        <v>0</v>
      </c>
      <c r="AE85" s="132" t="n">
        <f aca="false">$F85*J85</f>
        <v>-0</v>
      </c>
      <c r="AF85" s="132" t="n">
        <f aca="false">$F85*K85</f>
        <v>-0</v>
      </c>
      <c r="AG85" s="132" t="n">
        <f aca="false">$F85*L85</f>
        <v>0</v>
      </c>
      <c r="AH85" s="132" t="n">
        <f aca="false">$F85*M85</f>
        <v>0</v>
      </c>
      <c r="AI85" s="132" t="n">
        <f aca="false">$F85*N85</f>
        <v>0</v>
      </c>
      <c r="AJ85" s="132" t="n">
        <f aca="false">F85*O85</f>
        <v>0</v>
      </c>
      <c r="AK85" s="137"/>
      <c r="AL85" s="132" t="n">
        <f aca="false">CHOOSE($G$3,AC85-AD85,AD85-AC85)</f>
        <v>0</v>
      </c>
      <c r="AM85" s="132" t="n">
        <f aca="false">CHOOSE($G$3,AF85-AG85,AG85-AF85)</f>
        <v>0</v>
      </c>
      <c r="AN85" s="132" t="n">
        <f aca="false">CHOOSE($G$3,AI85-AJ85,AJ85-AI85)</f>
        <v>0</v>
      </c>
      <c r="AO85" s="148" t="n">
        <f aca="false">SUM(AL85:AN85)</f>
        <v>0</v>
      </c>
      <c r="AQ85" s="132" t="n">
        <f aca="false">CHOOSE($G$3,AB85-AC85,AC85-AB85)</f>
        <v>0</v>
      </c>
      <c r="AR85" s="132" t="n">
        <f aca="false">CHOOSE($G$3,AE85-AF85,AF85-AE85)</f>
        <v>0</v>
      </c>
      <c r="AS85" s="132" t="n">
        <f aca="false">CHOOSE($G$3,AH85-AI85,AI85-AH85)</f>
        <v>0</v>
      </c>
      <c r="AT85" s="148" t="n">
        <f aca="false">AQ85+AR85+AS85</f>
        <v>0</v>
      </c>
      <c r="AU85" s="148"/>
      <c r="AV85" s="133" t="n">
        <f aca="false">AT85+AO85</f>
        <v>0</v>
      </c>
      <c r="AX85" s="133" t="n">
        <f aca="false">AJ85+AG85+AD85</f>
        <v>0</v>
      </c>
      <c r="AY85" s="149"/>
      <c r="AZ85" s="76" t="n">
        <f aca="false">R85*E85</f>
        <v>0</v>
      </c>
    </row>
    <row r="86" customFormat="false" ht="12.75" hidden="false" customHeight="false" outlineLevel="0" collapsed="false">
      <c r="A86" s="138" t="n">
        <f aca="false">EDATE(A85,1)</f>
        <v>39295</v>
      </c>
      <c r="B86" s="139" t="n">
        <f aca="false">VLOOKUP($A86,Table2,MATCH(I$3,Curves2,0))</f>
        <v>0</v>
      </c>
      <c r="C86" s="140"/>
      <c r="D86" s="141" t="n">
        <f aca="false">B86+C86</f>
        <v>0</v>
      </c>
      <c r="E86" s="126" t="n">
        <f aca="false">IF(Y86=0,0,IF(AND(Y86=1,$H$3=1),D86*T86,IF($H$3=2,D86,"N/A")))</f>
        <v>0</v>
      </c>
      <c r="F86" s="126" t="n">
        <f aca="false">E86*X86</f>
        <v>0</v>
      </c>
      <c r="G86" s="142" t="n">
        <f aca="false">VLOOKUP($A86,Table,MATCH(G$4,Curves,0))</f>
        <v>3.987</v>
      </c>
      <c r="H86" s="143" t="n">
        <f aca="false">G86</f>
        <v>3.987</v>
      </c>
      <c r="I86" s="142" t="n">
        <f aca="false">VLOOKUP($A86,Table1,MATCH(I$3,Curves1,0))</f>
        <v>0</v>
      </c>
      <c r="J86" s="142" t="n">
        <f aca="false">VLOOKUP($A86,Table,MATCH(J$4,Curves,0))</f>
        <v>-0.061</v>
      </c>
      <c r="K86" s="143" t="n">
        <f aca="false">J86</f>
        <v>-0.061</v>
      </c>
      <c r="L86" s="144" t="n">
        <v>0</v>
      </c>
      <c r="M86" s="142" t="n">
        <f aca="false">VLOOKUP($A86,Table,MATCH(M$4,Curves,0))</f>
        <v>0.005</v>
      </c>
      <c r="N86" s="143" t="n">
        <f aca="false">M86</f>
        <v>0.005</v>
      </c>
      <c r="O86" s="144" t="n">
        <v>0</v>
      </c>
      <c r="P86" s="145"/>
      <c r="Q86" s="144" t="n">
        <f aca="false">M86+J86+G86</f>
        <v>3.931</v>
      </c>
      <c r="R86" s="144" t="n">
        <f aca="false">O86+L86+I86</f>
        <v>0</v>
      </c>
      <c r="S86" s="145"/>
      <c r="T86" s="71" t="n">
        <f aca="false">A87-A86</f>
        <v>31</v>
      </c>
      <c r="U86" s="146" t="n">
        <f aca="false">CHOOSE(F$3,A87+24,A86)</f>
        <v>39350</v>
      </c>
      <c r="V86" s="71" t="n">
        <f aca="false">U86-C$3</f>
        <v>2462</v>
      </c>
      <c r="W86" s="142" t="n">
        <f aca="false">VLOOKUP($A86,Table,MATCH(W$4,Curves,0))</f>
        <v>0.058966861357273</v>
      </c>
      <c r="X86" s="147" t="n">
        <f aca="false">1/(1+CHOOSE(F$3,(W87+($K$3/10000))/2,(W86+($K$3/10000))/2))^(2*V86/365.25)</f>
        <v>0.675890209342129</v>
      </c>
      <c r="Y86" s="71" t="n">
        <f aca="false">IF(AND(mthbeg&lt;=A86,mthend&gt;=A86),1,0)</f>
        <v>0</v>
      </c>
      <c r="Z86" s="71" t="n">
        <f aca="false">T86*Y86</f>
        <v>0</v>
      </c>
      <c r="AB86" s="132" t="n">
        <f aca="false">F86*G86</f>
        <v>0</v>
      </c>
      <c r="AC86" s="132" t="n">
        <f aca="false">$F86*H86</f>
        <v>0</v>
      </c>
      <c r="AD86" s="132" t="n">
        <f aca="false">$F86*I86</f>
        <v>0</v>
      </c>
      <c r="AE86" s="132" t="n">
        <f aca="false">$F86*J86</f>
        <v>-0</v>
      </c>
      <c r="AF86" s="132" t="n">
        <f aca="false">$F86*K86</f>
        <v>-0</v>
      </c>
      <c r="AG86" s="132" t="n">
        <f aca="false">$F86*L86</f>
        <v>0</v>
      </c>
      <c r="AH86" s="132" t="n">
        <f aca="false">$F86*M86</f>
        <v>0</v>
      </c>
      <c r="AI86" s="132" t="n">
        <f aca="false">$F86*N86</f>
        <v>0</v>
      </c>
      <c r="AJ86" s="132" t="n">
        <f aca="false">F86*O86</f>
        <v>0</v>
      </c>
      <c r="AK86" s="137"/>
      <c r="AL86" s="132" t="n">
        <f aca="false">CHOOSE($G$3,AC86-AD86,AD86-AC86)</f>
        <v>0</v>
      </c>
      <c r="AM86" s="132" t="n">
        <f aca="false">CHOOSE($G$3,AF86-AG86,AG86-AF86)</f>
        <v>0</v>
      </c>
      <c r="AN86" s="132" t="n">
        <f aca="false">CHOOSE($G$3,AI86-AJ86,AJ86-AI86)</f>
        <v>0</v>
      </c>
      <c r="AO86" s="148" t="n">
        <f aca="false">SUM(AL86:AN86)</f>
        <v>0</v>
      </c>
      <c r="AQ86" s="132" t="n">
        <f aca="false">CHOOSE($G$3,AB86-AC86,AC86-AB86)</f>
        <v>0</v>
      </c>
      <c r="AR86" s="132" t="n">
        <f aca="false">CHOOSE($G$3,AE86-AF86,AF86-AE86)</f>
        <v>0</v>
      </c>
      <c r="AS86" s="132" t="n">
        <f aca="false">CHOOSE($G$3,AH86-AI86,AI86-AH86)</f>
        <v>0</v>
      </c>
      <c r="AT86" s="148" t="n">
        <f aca="false">AQ86+AR86+AS86</f>
        <v>0</v>
      </c>
      <c r="AU86" s="148"/>
      <c r="AV86" s="133" t="n">
        <f aca="false">AT86+AO86</f>
        <v>0</v>
      </c>
      <c r="AX86" s="133" t="n">
        <f aca="false">AJ86+AG86+AD86</f>
        <v>0</v>
      </c>
      <c r="AY86" s="149"/>
      <c r="AZ86" s="76" t="n">
        <f aca="false">R86*E86</f>
        <v>0</v>
      </c>
    </row>
    <row r="87" customFormat="false" ht="12.75" hidden="false" customHeight="false" outlineLevel="0" collapsed="false">
      <c r="A87" s="138" t="n">
        <f aca="false">EDATE(A86,1)</f>
        <v>39326</v>
      </c>
      <c r="B87" s="139" t="n">
        <f aca="false">VLOOKUP($A87,Table2,MATCH(I$3,Curves2,0))</f>
        <v>0</v>
      </c>
      <c r="C87" s="140"/>
      <c r="D87" s="141" t="n">
        <f aca="false">B87+C87</f>
        <v>0</v>
      </c>
      <c r="E87" s="126" t="n">
        <f aca="false">IF(Y87=0,0,IF(AND(Y87=1,$H$3=1),D87*T87,IF($H$3=2,D87,"N/A")))</f>
        <v>0</v>
      </c>
      <c r="F87" s="126" t="n">
        <f aca="false">E87*X87</f>
        <v>0</v>
      </c>
      <c r="G87" s="142" t="n">
        <f aca="false">VLOOKUP($A87,Table,MATCH(G$4,Curves,0))</f>
        <v>3.987</v>
      </c>
      <c r="H87" s="143" t="n">
        <f aca="false">G87</f>
        <v>3.987</v>
      </c>
      <c r="I87" s="142" t="n">
        <f aca="false">VLOOKUP($A87,Table1,MATCH(I$3,Curves1,0))</f>
        <v>0</v>
      </c>
      <c r="J87" s="142" t="n">
        <f aca="false">VLOOKUP($A87,Table,MATCH(J$4,Curves,0))</f>
        <v>-0.061</v>
      </c>
      <c r="K87" s="143" t="n">
        <f aca="false">J87</f>
        <v>-0.061</v>
      </c>
      <c r="L87" s="144" t="n">
        <v>0</v>
      </c>
      <c r="M87" s="142" t="n">
        <f aca="false">VLOOKUP($A87,Table,MATCH(M$4,Curves,0))</f>
        <v>0.005</v>
      </c>
      <c r="N87" s="143" t="n">
        <f aca="false">M87</f>
        <v>0.005</v>
      </c>
      <c r="O87" s="144" t="n">
        <v>0</v>
      </c>
      <c r="P87" s="145"/>
      <c r="Q87" s="144" t="n">
        <f aca="false">M87+J87+G87</f>
        <v>3.931</v>
      </c>
      <c r="R87" s="144" t="n">
        <f aca="false">O87+L87+I87</f>
        <v>0</v>
      </c>
      <c r="S87" s="145"/>
      <c r="T87" s="71" t="n">
        <f aca="false">A88-A87</f>
        <v>30</v>
      </c>
      <c r="U87" s="146" t="n">
        <f aca="false">CHOOSE(F$3,A88+24,A87)</f>
        <v>39380</v>
      </c>
      <c r="V87" s="71" t="n">
        <f aca="false">U87-C$3</f>
        <v>2492</v>
      </c>
      <c r="W87" s="142" t="n">
        <f aca="false">VLOOKUP($A87,Table,MATCH(W$4,Curves,0))</f>
        <v>0.058966861357273</v>
      </c>
      <c r="X87" s="147" t="n">
        <f aca="false">1/(1+CHOOSE(F$3,(W88+($K$3/10000))/2,(W87+($K$3/10000))/2))^(2*V87/365.25)</f>
        <v>0.672671704600776</v>
      </c>
      <c r="Y87" s="71" t="n">
        <f aca="false">IF(AND(mthbeg&lt;=A87,mthend&gt;=A87),1,0)</f>
        <v>0</v>
      </c>
      <c r="Z87" s="71" t="n">
        <f aca="false">T87*Y87</f>
        <v>0</v>
      </c>
      <c r="AB87" s="132" t="n">
        <f aca="false">F87*G87</f>
        <v>0</v>
      </c>
      <c r="AC87" s="132" t="n">
        <f aca="false">$F87*H87</f>
        <v>0</v>
      </c>
      <c r="AD87" s="132" t="n">
        <f aca="false">$F87*I87</f>
        <v>0</v>
      </c>
      <c r="AE87" s="132" t="n">
        <f aca="false">$F87*J87</f>
        <v>-0</v>
      </c>
      <c r="AF87" s="132" t="n">
        <f aca="false">$F87*K87</f>
        <v>-0</v>
      </c>
      <c r="AG87" s="132" t="n">
        <f aca="false">$F87*L87</f>
        <v>0</v>
      </c>
      <c r="AH87" s="132" t="n">
        <f aca="false">$F87*M87</f>
        <v>0</v>
      </c>
      <c r="AI87" s="132" t="n">
        <f aca="false">$F87*N87</f>
        <v>0</v>
      </c>
      <c r="AJ87" s="132" t="n">
        <f aca="false">F87*O87</f>
        <v>0</v>
      </c>
      <c r="AK87" s="137"/>
      <c r="AL87" s="132" t="n">
        <f aca="false">CHOOSE($G$3,AC87-AD87,AD87-AC87)</f>
        <v>0</v>
      </c>
      <c r="AM87" s="132" t="n">
        <f aca="false">CHOOSE($G$3,AF87-AG87,AG87-AF87)</f>
        <v>0</v>
      </c>
      <c r="AN87" s="132" t="n">
        <f aca="false">CHOOSE($G$3,AI87-AJ87,AJ87-AI87)</f>
        <v>0</v>
      </c>
      <c r="AO87" s="148" t="n">
        <f aca="false">SUM(AL87:AN87)</f>
        <v>0</v>
      </c>
      <c r="AQ87" s="132" t="n">
        <f aca="false">CHOOSE($G$3,AB87-AC87,AC87-AB87)</f>
        <v>0</v>
      </c>
      <c r="AR87" s="132" t="n">
        <f aca="false">CHOOSE($G$3,AE87-AF87,AF87-AE87)</f>
        <v>0</v>
      </c>
      <c r="AS87" s="132" t="n">
        <f aca="false">CHOOSE($G$3,AH87-AI87,AI87-AH87)</f>
        <v>0</v>
      </c>
      <c r="AT87" s="148" t="n">
        <f aca="false">AQ87+AR87+AS87</f>
        <v>0</v>
      </c>
      <c r="AU87" s="148"/>
      <c r="AV87" s="133" t="n">
        <f aca="false">AT87+AO87</f>
        <v>0</v>
      </c>
      <c r="AX87" s="133" t="n">
        <f aca="false">AJ87+AG87+AD87</f>
        <v>0</v>
      </c>
      <c r="AY87" s="149"/>
      <c r="AZ87" s="76" t="n">
        <f aca="false">R87*E87</f>
        <v>0</v>
      </c>
    </row>
    <row r="88" customFormat="false" ht="12.75" hidden="false" customHeight="false" outlineLevel="0" collapsed="false">
      <c r="A88" s="138" t="n">
        <f aca="false">EDATE(A87,1)</f>
        <v>39356</v>
      </c>
      <c r="B88" s="139" t="n">
        <f aca="false">VLOOKUP($A88,Table2,MATCH(I$3,Curves2,0))</f>
        <v>0</v>
      </c>
      <c r="C88" s="140"/>
      <c r="D88" s="141" t="n">
        <f aca="false">B88+C88</f>
        <v>0</v>
      </c>
      <c r="E88" s="126" t="n">
        <f aca="false">IF(Y88=0,0,IF(AND(Y88=1,$H$3=1),D88*T88,IF($H$3=2,D88,"N/A")))</f>
        <v>0</v>
      </c>
      <c r="F88" s="126" t="n">
        <f aca="false">E88*X88</f>
        <v>0</v>
      </c>
      <c r="G88" s="142" t="n">
        <f aca="false">VLOOKUP($A88,Table,MATCH(G$4,Curves,0))</f>
        <v>3.987</v>
      </c>
      <c r="H88" s="143" t="n">
        <f aca="false">G88</f>
        <v>3.987</v>
      </c>
      <c r="I88" s="142" t="n">
        <f aca="false">VLOOKUP($A88,Table1,MATCH(I$3,Curves1,0))</f>
        <v>0</v>
      </c>
      <c r="J88" s="142" t="n">
        <f aca="false">VLOOKUP($A88,Table,MATCH(J$4,Curves,0))</f>
        <v>-0.061</v>
      </c>
      <c r="K88" s="143" t="n">
        <f aca="false">J88</f>
        <v>-0.061</v>
      </c>
      <c r="L88" s="144" t="n">
        <v>0</v>
      </c>
      <c r="M88" s="142" t="n">
        <f aca="false">VLOOKUP($A88,Table,MATCH(M$4,Curves,0))</f>
        <v>0.005</v>
      </c>
      <c r="N88" s="143" t="n">
        <f aca="false">M88</f>
        <v>0.005</v>
      </c>
      <c r="O88" s="144" t="n">
        <v>0</v>
      </c>
      <c r="P88" s="145"/>
      <c r="Q88" s="144" t="n">
        <f aca="false">M88+J88+G88</f>
        <v>3.931</v>
      </c>
      <c r="R88" s="144" t="n">
        <f aca="false">O88+L88+I88</f>
        <v>0</v>
      </c>
      <c r="S88" s="145"/>
      <c r="T88" s="71" t="n">
        <f aca="false">A89-A88</f>
        <v>31</v>
      </c>
      <c r="U88" s="146" t="n">
        <f aca="false">CHOOSE(F$3,A89+24,A88)</f>
        <v>39411</v>
      </c>
      <c r="V88" s="71" t="n">
        <f aca="false">U88-C$3</f>
        <v>2523</v>
      </c>
      <c r="W88" s="142" t="n">
        <f aca="false">VLOOKUP($A88,Table,MATCH(W$4,Curves,0))</f>
        <v>0.058966861357273</v>
      </c>
      <c r="X88" s="147" t="n">
        <f aca="false">1/(1+CHOOSE(F$3,(W89+($K$3/10000))/2,(W88+($K$3/10000))/2))^(2*V88/365.25)</f>
        <v>0.669362016453059</v>
      </c>
      <c r="Y88" s="71" t="n">
        <f aca="false">IF(AND(mthbeg&lt;=A88,mthend&gt;=A88),1,0)</f>
        <v>0</v>
      </c>
      <c r="Z88" s="71" t="n">
        <f aca="false">T88*Y88</f>
        <v>0</v>
      </c>
      <c r="AB88" s="132" t="n">
        <f aca="false">F88*G88</f>
        <v>0</v>
      </c>
      <c r="AC88" s="132" t="n">
        <f aca="false">$F88*H88</f>
        <v>0</v>
      </c>
      <c r="AD88" s="132" t="n">
        <f aca="false">$F88*I88</f>
        <v>0</v>
      </c>
      <c r="AE88" s="132" t="n">
        <f aca="false">$F88*J88</f>
        <v>-0</v>
      </c>
      <c r="AF88" s="132" t="n">
        <f aca="false">$F88*K88</f>
        <v>-0</v>
      </c>
      <c r="AG88" s="132" t="n">
        <f aca="false">$F88*L88</f>
        <v>0</v>
      </c>
      <c r="AH88" s="132" t="n">
        <f aca="false">$F88*M88</f>
        <v>0</v>
      </c>
      <c r="AI88" s="132" t="n">
        <f aca="false">$F88*N88</f>
        <v>0</v>
      </c>
      <c r="AJ88" s="132" t="n">
        <f aca="false">F88*O88</f>
        <v>0</v>
      </c>
      <c r="AK88" s="137"/>
      <c r="AL88" s="132" t="n">
        <f aca="false">CHOOSE($G$3,AC88-AD88,AD88-AC88)</f>
        <v>0</v>
      </c>
      <c r="AM88" s="132" t="n">
        <f aca="false">CHOOSE($G$3,AF88-AG88,AG88-AF88)</f>
        <v>0</v>
      </c>
      <c r="AN88" s="132" t="n">
        <f aca="false">CHOOSE($G$3,AI88-AJ88,AJ88-AI88)</f>
        <v>0</v>
      </c>
      <c r="AO88" s="148" t="n">
        <f aca="false">SUM(AL88:AN88)</f>
        <v>0</v>
      </c>
      <c r="AQ88" s="132" t="n">
        <f aca="false">CHOOSE($G$3,AB88-AC88,AC88-AB88)</f>
        <v>0</v>
      </c>
      <c r="AR88" s="132" t="n">
        <f aca="false">CHOOSE($G$3,AE88-AF88,AF88-AE88)</f>
        <v>0</v>
      </c>
      <c r="AS88" s="132" t="n">
        <f aca="false">CHOOSE($G$3,AH88-AI88,AI88-AH88)</f>
        <v>0</v>
      </c>
      <c r="AT88" s="148" t="n">
        <f aca="false">AQ88+AR88+AS88</f>
        <v>0</v>
      </c>
      <c r="AU88" s="148"/>
      <c r="AV88" s="133" t="n">
        <f aca="false">AT88+AO88</f>
        <v>0</v>
      </c>
      <c r="AX88" s="133" t="n">
        <f aca="false">AJ88+AG88+AD88</f>
        <v>0</v>
      </c>
      <c r="AY88" s="149"/>
      <c r="AZ88" s="76" t="n">
        <f aca="false">R88*E88</f>
        <v>0</v>
      </c>
    </row>
    <row r="89" customFormat="false" ht="12.75" hidden="false" customHeight="false" outlineLevel="0" collapsed="false">
      <c r="A89" s="138" t="n">
        <f aca="false">EDATE(A88,1)</f>
        <v>39387</v>
      </c>
      <c r="B89" s="139" t="n">
        <f aca="false">VLOOKUP($A89,Table2,MATCH(I$3,Curves2,0))</f>
        <v>0</v>
      </c>
      <c r="C89" s="140"/>
      <c r="D89" s="141" t="n">
        <f aca="false">B89+C89</f>
        <v>0</v>
      </c>
      <c r="E89" s="126" t="n">
        <f aca="false">IF(Y89=0,0,IF(AND(Y89=1,$H$3=1),D89*T89,IF($H$3=2,D89,"N/A")))</f>
        <v>0</v>
      </c>
      <c r="F89" s="126" t="n">
        <f aca="false">E89*X89</f>
        <v>0</v>
      </c>
      <c r="G89" s="142" t="n">
        <f aca="false">VLOOKUP($A89,Table,MATCH(G$4,Curves,0))</f>
        <v>3.987</v>
      </c>
      <c r="H89" s="143" t="n">
        <f aca="false">G89</f>
        <v>3.987</v>
      </c>
      <c r="I89" s="142" t="n">
        <f aca="false">VLOOKUP($A89,Table1,MATCH(I$3,Curves1,0))</f>
        <v>0</v>
      </c>
      <c r="J89" s="142" t="n">
        <f aca="false">VLOOKUP($A89,Table,MATCH(J$4,Curves,0))</f>
        <v>-0.061</v>
      </c>
      <c r="K89" s="143" t="n">
        <f aca="false">J89</f>
        <v>-0.061</v>
      </c>
      <c r="L89" s="144" t="n">
        <v>0</v>
      </c>
      <c r="M89" s="142" t="n">
        <f aca="false">VLOOKUP($A89,Table,MATCH(M$4,Curves,0))</f>
        <v>0.005</v>
      </c>
      <c r="N89" s="143" t="n">
        <f aca="false">M89</f>
        <v>0.005</v>
      </c>
      <c r="O89" s="144" t="n">
        <v>0</v>
      </c>
      <c r="P89" s="145"/>
      <c r="Q89" s="144" t="n">
        <f aca="false">M89+J89+G89</f>
        <v>3.931</v>
      </c>
      <c r="R89" s="144" t="n">
        <f aca="false">O89+L89+I89</f>
        <v>0</v>
      </c>
      <c r="S89" s="145"/>
      <c r="T89" s="71" t="n">
        <f aca="false">A90-A89</f>
        <v>30</v>
      </c>
      <c r="U89" s="146" t="n">
        <f aca="false">CHOOSE(F$3,A90+24,A89)</f>
        <v>39441</v>
      </c>
      <c r="V89" s="71" t="n">
        <f aca="false">U89-C$3</f>
        <v>2553</v>
      </c>
      <c r="W89" s="142" t="n">
        <f aca="false">VLOOKUP($A89,Table,MATCH(W$4,Curves,0))</f>
        <v>0.058966861357273</v>
      </c>
      <c r="X89" s="147" t="n">
        <f aca="false">1/(1+CHOOSE(F$3,(W90+($K$3/10000))/2,(W89+($K$3/10000))/2))^(2*V89/365.25)</f>
        <v>0.66617459815071</v>
      </c>
      <c r="Y89" s="71" t="n">
        <f aca="false">IF(AND(mthbeg&lt;=A89,mthend&gt;=A89),1,0)</f>
        <v>0</v>
      </c>
      <c r="Z89" s="71" t="n">
        <f aca="false">T89*Y89</f>
        <v>0</v>
      </c>
      <c r="AB89" s="132" t="n">
        <f aca="false">F89*G89</f>
        <v>0</v>
      </c>
      <c r="AC89" s="132" t="n">
        <f aca="false">$F89*H89</f>
        <v>0</v>
      </c>
      <c r="AD89" s="132" t="n">
        <f aca="false">$F89*I89</f>
        <v>0</v>
      </c>
      <c r="AE89" s="132" t="n">
        <f aca="false">$F89*J89</f>
        <v>-0</v>
      </c>
      <c r="AF89" s="132" t="n">
        <f aca="false">$F89*K89</f>
        <v>-0</v>
      </c>
      <c r="AG89" s="132" t="n">
        <f aca="false">$F89*L89</f>
        <v>0</v>
      </c>
      <c r="AH89" s="132" t="n">
        <f aca="false">$F89*M89</f>
        <v>0</v>
      </c>
      <c r="AI89" s="132" t="n">
        <f aca="false">$F89*N89</f>
        <v>0</v>
      </c>
      <c r="AJ89" s="132" t="n">
        <f aca="false">F89*O89</f>
        <v>0</v>
      </c>
      <c r="AK89" s="137"/>
      <c r="AL89" s="132" t="n">
        <f aca="false">CHOOSE($G$3,AC89-AD89,AD89-AC89)</f>
        <v>0</v>
      </c>
      <c r="AM89" s="132" t="n">
        <f aca="false">CHOOSE($G$3,AF89-AG89,AG89-AF89)</f>
        <v>0</v>
      </c>
      <c r="AN89" s="132" t="n">
        <f aca="false">CHOOSE($G$3,AI89-AJ89,AJ89-AI89)</f>
        <v>0</v>
      </c>
      <c r="AO89" s="148" t="n">
        <f aca="false">SUM(AL89:AN89)</f>
        <v>0</v>
      </c>
      <c r="AQ89" s="132" t="n">
        <f aca="false">CHOOSE($G$3,AB89-AC89,AC89-AB89)</f>
        <v>0</v>
      </c>
      <c r="AR89" s="132" t="n">
        <f aca="false">CHOOSE($G$3,AE89-AF89,AF89-AE89)</f>
        <v>0</v>
      </c>
      <c r="AS89" s="132" t="n">
        <f aca="false">CHOOSE($G$3,AH89-AI89,AI89-AH89)</f>
        <v>0</v>
      </c>
      <c r="AT89" s="148" t="n">
        <f aca="false">AQ89+AR89+AS89</f>
        <v>0</v>
      </c>
      <c r="AU89" s="148"/>
      <c r="AV89" s="133" t="n">
        <f aca="false">AT89+AO89</f>
        <v>0</v>
      </c>
      <c r="AX89" s="133" t="n">
        <f aca="false">AJ89+AG89+AD89</f>
        <v>0</v>
      </c>
      <c r="AY89" s="149"/>
      <c r="AZ89" s="76" t="n">
        <f aca="false">R89*E89</f>
        <v>0</v>
      </c>
    </row>
    <row r="90" customFormat="false" ht="12.75" hidden="false" customHeight="false" outlineLevel="0" collapsed="false">
      <c r="A90" s="138" t="n">
        <f aca="false">EDATE(A89,1)</f>
        <v>39417</v>
      </c>
      <c r="B90" s="139" t="n">
        <f aca="false">VLOOKUP($A90,Table2,MATCH(I$3,Curves2,0))</f>
        <v>0</v>
      </c>
      <c r="C90" s="140"/>
      <c r="D90" s="141" t="n">
        <f aca="false">B90+C90</f>
        <v>0</v>
      </c>
      <c r="E90" s="126" t="n">
        <f aca="false">IF(Y90=0,0,IF(AND(Y90=1,$H$3=1),D90*T90,IF($H$3=2,D90,"N/A")))</f>
        <v>0</v>
      </c>
      <c r="F90" s="126" t="n">
        <f aca="false">E90*X90</f>
        <v>0</v>
      </c>
      <c r="G90" s="142" t="n">
        <f aca="false">VLOOKUP($A90,Table,MATCH(G$4,Curves,0))</f>
        <v>3.987</v>
      </c>
      <c r="H90" s="143" t="n">
        <f aca="false">G90</f>
        <v>3.987</v>
      </c>
      <c r="I90" s="142" t="n">
        <f aca="false">VLOOKUP($A90,Table1,MATCH(I$3,Curves1,0))</f>
        <v>0</v>
      </c>
      <c r="J90" s="142" t="n">
        <f aca="false">VLOOKUP($A90,Table,MATCH(J$4,Curves,0))</f>
        <v>-0.061</v>
      </c>
      <c r="K90" s="143" t="n">
        <f aca="false">J90</f>
        <v>-0.061</v>
      </c>
      <c r="L90" s="144" t="n">
        <v>0</v>
      </c>
      <c r="M90" s="142" t="n">
        <f aca="false">VLOOKUP($A90,Table,MATCH(M$4,Curves,0))</f>
        <v>0.005</v>
      </c>
      <c r="N90" s="143" t="n">
        <f aca="false">M90</f>
        <v>0.005</v>
      </c>
      <c r="O90" s="144" t="n">
        <v>0</v>
      </c>
      <c r="P90" s="145"/>
      <c r="Q90" s="144" t="n">
        <f aca="false">M90+J90+G90</f>
        <v>3.931</v>
      </c>
      <c r="R90" s="144" t="n">
        <f aca="false">O90+L90+I90</f>
        <v>0</v>
      </c>
      <c r="S90" s="145"/>
      <c r="T90" s="71" t="n">
        <f aca="false">A91-A90</f>
        <v>31</v>
      </c>
      <c r="U90" s="146" t="n">
        <f aca="false">CHOOSE(F$3,A91+24,A90)</f>
        <v>39472</v>
      </c>
      <c r="V90" s="71" t="n">
        <f aca="false">U90-C$3</f>
        <v>2584</v>
      </c>
      <c r="W90" s="142" t="n">
        <f aca="false">VLOOKUP($A90,Table,MATCH(W$4,Curves,0))</f>
        <v>0.058966861357273</v>
      </c>
      <c r="X90" s="147" t="n">
        <f aca="false">1/(1+CHOOSE(F$3,(W91+($K$3/10000))/2,(W90+($K$3/10000))/2))^(2*V90/365.25)</f>
        <v>0.662896877151403</v>
      </c>
      <c r="Y90" s="71" t="n">
        <f aca="false">IF(AND(mthbeg&lt;=A90,mthend&gt;=A90),1,0)</f>
        <v>0</v>
      </c>
      <c r="Z90" s="71" t="n">
        <f aca="false">T90*Y90</f>
        <v>0</v>
      </c>
      <c r="AB90" s="132" t="n">
        <f aca="false">F90*G90</f>
        <v>0</v>
      </c>
      <c r="AC90" s="132" t="n">
        <f aca="false">$F90*H90</f>
        <v>0</v>
      </c>
      <c r="AD90" s="132" t="n">
        <f aca="false">$F90*I90</f>
        <v>0</v>
      </c>
      <c r="AE90" s="132" t="n">
        <f aca="false">$F90*J90</f>
        <v>-0</v>
      </c>
      <c r="AF90" s="132" t="n">
        <f aca="false">$F90*K90</f>
        <v>-0</v>
      </c>
      <c r="AG90" s="132" t="n">
        <f aca="false">$F90*L90</f>
        <v>0</v>
      </c>
      <c r="AH90" s="132" t="n">
        <f aca="false">$F90*M90</f>
        <v>0</v>
      </c>
      <c r="AI90" s="132" t="n">
        <f aca="false">$F90*N90</f>
        <v>0</v>
      </c>
      <c r="AJ90" s="132" t="n">
        <f aca="false">F90*O90</f>
        <v>0</v>
      </c>
      <c r="AK90" s="137"/>
      <c r="AL90" s="132" t="n">
        <f aca="false">CHOOSE($G$3,AC90-AD90,AD90-AC90)</f>
        <v>0</v>
      </c>
      <c r="AM90" s="132" t="n">
        <f aca="false">CHOOSE($G$3,AF90-AG90,AG90-AF90)</f>
        <v>0</v>
      </c>
      <c r="AN90" s="132" t="n">
        <f aca="false">CHOOSE($G$3,AI90-AJ90,AJ90-AI90)</f>
        <v>0</v>
      </c>
      <c r="AO90" s="148" t="n">
        <f aca="false">SUM(AL90:AN90)</f>
        <v>0</v>
      </c>
      <c r="AQ90" s="132" t="n">
        <f aca="false">CHOOSE($G$3,AB90-AC90,AC90-AB90)</f>
        <v>0</v>
      </c>
      <c r="AR90" s="132" t="n">
        <f aca="false">CHOOSE($G$3,AE90-AF90,AF90-AE90)</f>
        <v>0</v>
      </c>
      <c r="AS90" s="132" t="n">
        <f aca="false">CHOOSE($G$3,AH90-AI90,AI90-AH90)</f>
        <v>0</v>
      </c>
      <c r="AT90" s="148" t="n">
        <f aca="false">AQ90+AR90+AS90</f>
        <v>0</v>
      </c>
      <c r="AU90" s="148"/>
      <c r="AV90" s="133" t="n">
        <f aca="false">AT90+AO90</f>
        <v>0</v>
      </c>
      <c r="AX90" s="133" t="n">
        <f aca="false">AJ90+AG90+AD90</f>
        <v>0</v>
      </c>
      <c r="AY90" s="149"/>
      <c r="AZ90" s="76" t="n">
        <f aca="false">R90*E90</f>
        <v>0</v>
      </c>
    </row>
    <row r="91" customFormat="false" ht="12.75" hidden="false" customHeight="false" outlineLevel="0" collapsed="false">
      <c r="A91" s="138" t="n">
        <f aca="false">EDATE(A90,1)</f>
        <v>39448</v>
      </c>
      <c r="B91" s="139" t="n">
        <f aca="false">VLOOKUP($A91,Table2,MATCH(I$3,Curves2,0))</f>
        <v>0</v>
      </c>
      <c r="C91" s="140"/>
      <c r="D91" s="141" t="n">
        <f aca="false">B91+C91</f>
        <v>0</v>
      </c>
      <c r="E91" s="126" t="n">
        <f aca="false">IF(Y91=0,0,IF(AND(Y91=1,$H$3=1),D91*T91,IF($H$3=2,D91,"N/A")))</f>
        <v>0</v>
      </c>
      <c r="F91" s="126" t="n">
        <f aca="false">E91*X91</f>
        <v>0</v>
      </c>
      <c r="G91" s="142" t="n">
        <f aca="false">VLOOKUP($A91,Table,MATCH(G$4,Curves,0))</f>
        <v>3.987</v>
      </c>
      <c r="H91" s="143" t="n">
        <f aca="false">G91</f>
        <v>3.987</v>
      </c>
      <c r="I91" s="142" t="n">
        <f aca="false">VLOOKUP($A91,Table1,MATCH(I$3,Curves1,0))</f>
        <v>0</v>
      </c>
      <c r="J91" s="142" t="n">
        <f aca="false">VLOOKUP($A91,Table,MATCH(J$4,Curves,0))</f>
        <v>-0.061</v>
      </c>
      <c r="K91" s="143" t="n">
        <f aca="false">J91</f>
        <v>-0.061</v>
      </c>
      <c r="L91" s="144" t="n">
        <v>0</v>
      </c>
      <c r="M91" s="142" t="n">
        <f aca="false">VLOOKUP($A91,Table,MATCH(M$4,Curves,0))</f>
        <v>0.005</v>
      </c>
      <c r="N91" s="143" t="n">
        <f aca="false">M91</f>
        <v>0.005</v>
      </c>
      <c r="O91" s="144" t="n">
        <v>0</v>
      </c>
      <c r="P91" s="145"/>
      <c r="Q91" s="144" t="n">
        <f aca="false">M91+J91+G91</f>
        <v>3.931</v>
      </c>
      <c r="R91" s="144" t="n">
        <f aca="false">O91+L91+I91</f>
        <v>0</v>
      </c>
      <c r="S91" s="145"/>
      <c r="T91" s="71" t="n">
        <f aca="false">A92-A91</f>
        <v>31</v>
      </c>
      <c r="U91" s="146" t="n">
        <f aca="false">CHOOSE(F$3,A92+24,A91)</f>
        <v>39503</v>
      </c>
      <c r="V91" s="71" t="n">
        <f aca="false">U91-C$3</f>
        <v>2615</v>
      </c>
      <c r="W91" s="142" t="n">
        <f aca="false">VLOOKUP($A91,Table,MATCH(W$4,Curves,0))</f>
        <v>0.058966861357273</v>
      </c>
      <c r="X91" s="147" t="n">
        <f aca="false">1/(1+CHOOSE(F$3,(W92+($K$3/10000))/2,(W91+($K$3/10000))/2))^(2*V91/365.25)</f>
        <v>0.659635283237967</v>
      </c>
      <c r="Y91" s="71" t="n">
        <f aca="false">IF(AND(mthbeg&lt;=A91,mthend&gt;=A91),1,0)</f>
        <v>0</v>
      </c>
      <c r="Z91" s="71" t="n">
        <f aca="false">T91*Y91</f>
        <v>0</v>
      </c>
      <c r="AB91" s="132" t="n">
        <f aca="false">F91*G91</f>
        <v>0</v>
      </c>
      <c r="AC91" s="132" t="n">
        <f aca="false">$F91*H91</f>
        <v>0</v>
      </c>
      <c r="AD91" s="132" t="n">
        <f aca="false">$F91*I91</f>
        <v>0</v>
      </c>
      <c r="AE91" s="132" t="n">
        <f aca="false">$F91*J91</f>
        <v>-0</v>
      </c>
      <c r="AF91" s="132" t="n">
        <f aca="false">$F91*K91</f>
        <v>-0</v>
      </c>
      <c r="AG91" s="132" t="n">
        <f aca="false">$F91*L91</f>
        <v>0</v>
      </c>
      <c r="AH91" s="132" t="n">
        <f aca="false">$F91*M91</f>
        <v>0</v>
      </c>
      <c r="AI91" s="132" t="n">
        <f aca="false">$F91*N91</f>
        <v>0</v>
      </c>
      <c r="AJ91" s="132" t="n">
        <f aca="false">F91*O91</f>
        <v>0</v>
      </c>
      <c r="AK91" s="137"/>
      <c r="AL91" s="132" t="n">
        <f aca="false">CHOOSE($G$3,AC91-AD91,AD91-AC91)</f>
        <v>0</v>
      </c>
      <c r="AM91" s="132" t="n">
        <f aca="false">CHOOSE($G$3,AF91-AG91,AG91-AF91)</f>
        <v>0</v>
      </c>
      <c r="AN91" s="132" t="n">
        <f aca="false">CHOOSE($G$3,AI91-AJ91,AJ91-AI91)</f>
        <v>0</v>
      </c>
      <c r="AO91" s="148" t="n">
        <f aca="false">SUM(AL91:AN91)</f>
        <v>0</v>
      </c>
      <c r="AQ91" s="132" t="n">
        <f aca="false">CHOOSE($G$3,AB91-AC91,AC91-AB91)</f>
        <v>0</v>
      </c>
      <c r="AR91" s="132" t="n">
        <f aca="false">CHOOSE($G$3,AE91-AF91,AF91-AE91)</f>
        <v>0</v>
      </c>
      <c r="AS91" s="132" t="n">
        <f aca="false">CHOOSE($G$3,AH91-AI91,AI91-AH91)</f>
        <v>0</v>
      </c>
      <c r="AT91" s="148" t="n">
        <f aca="false">AQ91+AR91+AS91</f>
        <v>0</v>
      </c>
      <c r="AU91" s="148"/>
      <c r="AV91" s="133" t="n">
        <f aca="false">AT91+AO91</f>
        <v>0</v>
      </c>
      <c r="AX91" s="133" t="n">
        <f aca="false">AJ91+AG91+AD91</f>
        <v>0</v>
      </c>
      <c r="AY91" s="149"/>
      <c r="AZ91" s="76" t="n">
        <f aca="false">R91*E91</f>
        <v>0</v>
      </c>
    </row>
    <row r="92" customFormat="false" ht="12.75" hidden="false" customHeight="false" outlineLevel="0" collapsed="false">
      <c r="A92" s="138" t="n">
        <f aca="false">EDATE(A91,1)</f>
        <v>39479</v>
      </c>
      <c r="B92" s="139" t="n">
        <f aca="false">VLOOKUP($A92,Table2,MATCH(I$3,Curves2,0))</f>
        <v>0</v>
      </c>
      <c r="C92" s="140"/>
      <c r="D92" s="141" t="n">
        <f aca="false">B92+C92</f>
        <v>0</v>
      </c>
      <c r="E92" s="126" t="n">
        <f aca="false">IF(Y92=0,0,IF(AND(Y92=1,$H$3=1),D92*T92,IF($H$3=2,D92,"N/A")))</f>
        <v>0</v>
      </c>
      <c r="F92" s="126" t="n">
        <f aca="false">E92*X92</f>
        <v>0</v>
      </c>
      <c r="G92" s="142" t="n">
        <f aca="false">VLOOKUP($A92,Table,MATCH(G$4,Curves,0))</f>
        <v>3.987</v>
      </c>
      <c r="H92" s="143" t="n">
        <f aca="false">G92</f>
        <v>3.987</v>
      </c>
      <c r="I92" s="142" t="n">
        <f aca="false">VLOOKUP($A92,Table1,MATCH(I$3,Curves1,0))</f>
        <v>0</v>
      </c>
      <c r="J92" s="142" t="n">
        <f aca="false">VLOOKUP($A92,Table,MATCH(J$4,Curves,0))</f>
        <v>-0.061</v>
      </c>
      <c r="K92" s="143" t="n">
        <f aca="false">J92</f>
        <v>-0.061</v>
      </c>
      <c r="L92" s="144" t="n">
        <v>0</v>
      </c>
      <c r="M92" s="142" t="n">
        <f aca="false">VLOOKUP($A92,Table,MATCH(M$4,Curves,0))</f>
        <v>0.005</v>
      </c>
      <c r="N92" s="143" t="n">
        <f aca="false">M92</f>
        <v>0.005</v>
      </c>
      <c r="O92" s="144" t="n">
        <v>0</v>
      </c>
      <c r="P92" s="145"/>
      <c r="Q92" s="144" t="n">
        <f aca="false">M92+J92+G92</f>
        <v>3.931</v>
      </c>
      <c r="R92" s="144" t="n">
        <f aca="false">O92+L92+I92</f>
        <v>0</v>
      </c>
      <c r="S92" s="145"/>
      <c r="T92" s="71" t="n">
        <f aca="false">A93-A92</f>
        <v>29</v>
      </c>
      <c r="U92" s="146" t="n">
        <f aca="false">CHOOSE(F$3,A93+24,A92)</f>
        <v>39532</v>
      </c>
      <c r="V92" s="71" t="n">
        <f aca="false">U92-C$3</f>
        <v>2644</v>
      </c>
      <c r="W92" s="142" t="n">
        <f aca="false">VLOOKUP($A92,Table,MATCH(W$4,Curves,0))</f>
        <v>0.058966861357273</v>
      </c>
      <c r="X92" s="147" t="n">
        <f aca="false">1/(1+CHOOSE(F$3,(W93+($K$3/10000))/2,(W92+($K$3/10000))/2))^(2*V92/365.25)</f>
        <v>0.656598644405898</v>
      </c>
      <c r="Y92" s="71" t="n">
        <f aca="false">IF(AND(mthbeg&lt;=A92,mthend&gt;=A92),1,0)</f>
        <v>0</v>
      </c>
      <c r="Z92" s="71" t="n">
        <f aca="false">T92*Y92</f>
        <v>0</v>
      </c>
      <c r="AB92" s="132" t="n">
        <f aca="false">F92*G92</f>
        <v>0</v>
      </c>
      <c r="AC92" s="132" t="n">
        <f aca="false">$F92*H92</f>
        <v>0</v>
      </c>
      <c r="AD92" s="132" t="n">
        <f aca="false">$F92*I92</f>
        <v>0</v>
      </c>
      <c r="AE92" s="132" t="n">
        <f aca="false">$F92*J92</f>
        <v>-0</v>
      </c>
      <c r="AF92" s="132" t="n">
        <f aca="false">$F92*K92</f>
        <v>-0</v>
      </c>
      <c r="AG92" s="132" t="n">
        <f aca="false">$F92*L92</f>
        <v>0</v>
      </c>
      <c r="AH92" s="132" t="n">
        <f aca="false">$F92*M92</f>
        <v>0</v>
      </c>
      <c r="AI92" s="132" t="n">
        <f aca="false">$F92*N92</f>
        <v>0</v>
      </c>
      <c r="AJ92" s="132" t="n">
        <f aca="false">F92*O92</f>
        <v>0</v>
      </c>
      <c r="AK92" s="137"/>
      <c r="AL92" s="132" t="n">
        <f aca="false">CHOOSE($G$3,AC92-AD92,AD92-AC92)</f>
        <v>0</v>
      </c>
      <c r="AM92" s="132" t="n">
        <f aca="false">CHOOSE($G$3,AF92-AG92,AG92-AF92)</f>
        <v>0</v>
      </c>
      <c r="AN92" s="132" t="n">
        <f aca="false">CHOOSE($G$3,AI92-AJ92,AJ92-AI92)</f>
        <v>0</v>
      </c>
      <c r="AO92" s="148" t="n">
        <f aca="false">SUM(AL92:AN92)</f>
        <v>0</v>
      </c>
      <c r="AQ92" s="132" t="n">
        <f aca="false">CHOOSE($G$3,AB92-AC92,AC92-AB92)</f>
        <v>0</v>
      </c>
      <c r="AR92" s="132" t="n">
        <f aca="false">CHOOSE($G$3,AE92-AF92,AF92-AE92)</f>
        <v>0</v>
      </c>
      <c r="AS92" s="132" t="n">
        <f aca="false">CHOOSE($G$3,AH92-AI92,AI92-AH92)</f>
        <v>0</v>
      </c>
      <c r="AT92" s="148" t="n">
        <f aca="false">AQ92+AR92+AS92</f>
        <v>0</v>
      </c>
      <c r="AU92" s="148"/>
      <c r="AV92" s="133" t="n">
        <f aca="false">AT92+AO92</f>
        <v>0</v>
      </c>
      <c r="AX92" s="133" t="n">
        <f aca="false">AJ92+AG92+AD92</f>
        <v>0</v>
      </c>
      <c r="AY92" s="149"/>
      <c r="AZ92" s="76" t="n">
        <f aca="false">R92*E92</f>
        <v>0</v>
      </c>
    </row>
    <row r="93" customFormat="false" ht="12.75" hidden="false" customHeight="false" outlineLevel="0" collapsed="false">
      <c r="A93" s="138" t="n">
        <f aca="false">EDATE(A92,1)</f>
        <v>39508</v>
      </c>
      <c r="B93" s="139" t="n">
        <f aca="false">VLOOKUP($A93,Table2,MATCH(I$3,Curves2,0))</f>
        <v>0</v>
      </c>
      <c r="C93" s="140"/>
      <c r="D93" s="141" t="n">
        <f aca="false">B93+C93</f>
        <v>0</v>
      </c>
      <c r="E93" s="126" t="n">
        <f aca="false">IF(Y93=0,0,IF(AND(Y93=1,$H$3=1),D93*T93,IF($H$3=2,D93,"N/A")))</f>
        <v>0</v>
      </c>
      <c r="F93" s="126" t="n">
        <f aca="false">E93*X93</f>
        <v>0</v>
      </c>
      <c r="G93" s="142" t="n">
        <f aca="false">VLOOKUP($A93,Table,MATCH(G$4,Curves,0))</f>
        <v>3.987</v>
      </c>
      <c r="H93" s="143" t="n">
        <f aca="false">G93</f>
        <v>3.987</v>
      </c>
      <c r="I93" s="142" t="n">
        <f aca="false">VLOOKUP($A93,Table1,MATCH(I$3,Curves1,0))</f>
        <v>0</v>
      </c>
      <c r="J93" s="142" t="n">
        <f aca="false">VLOOKUP($A93,Table,MATCH(J$4,Curves,0))</f>
        <v>-0.061</v>
      </c>
      <c r="K93" s="143" t="n">
        <f aca="false">J93</f>
        <v>-0.061</v>
      </c>
      <c r="L93" s="144" t="n">
        <v>0</v>
      </c>
      <c r="M93" s="142" t="n">
        <f aca="false">VLOOKUP($A93,Table,MATCH(M$4,Curves,0))</f>
        <v>0.005</v>
      </c>
      <c r="N93" s="143" t="n">
        <f aca="false">M93</f>
        <v>0.005</v>
      </c>
      <c r="O93" s="144" t="n">
        <v>0</v>
      </c>
      <c r="P93" s="145"/>
      <c r="Q93" s="144" t="n">
        <f aca="false">M93+J93+G93</f>
        <v>3.931</v>
      </c>
      <c r="R93" s="144" t="n">
        <f aca="false">O93+L93+I93</f>
        <v>0</v>
      </c>
      <c r="S93" s="145"/>
      <c r="T93" s="71" t="n">
        <f aca="false">A94-A93</f>
        <v>31</v>
      </c>
      <c r="U93" s="146" t="n">
        <f aca="false">CHOOSE(F$3,A94+24,A93)</f>
        <v>39563</v>
      </c>
      <c r="V93" s="71" t="n">
        <f aca="false">U93-C$3</f>
        <v>2675</v>
      </c>
      <c r="W93" s="142" t="n">
        <f aca="false">VLOOKUP($A93,Table,MATCH(W$4,Curves,0))</f>
        <v>0.058966861357273</v>
      </c>
      <c r="X93" s="147" t="n">
        <f aca="false">1/(1+CHOOSE(F$3,(W94+($K$3/10000))/2,(W93+($K$3/10000))/2))^(2*V93/365.25)</f>
        <v>0.653368039139861</v>
      </c>
      <c r="Y93" s="71" t="n">
        <f aca="false">IF(AND(mthbeg&lt;=A93,mthend&gt;=A93),1,0)</f>
        <v>0</v>
      </c>
      <c r="Z93" s="71" t="n">
        <f aca="false">T93*Y93</f>
        <v>0</v>
      </c>
      <c r="AB93" s="132" t="n">
        <f aca="false">F93*G93</f>
        <v>0</v>
      </c>
      <c r="AC93" s="132" t="n">
        <f aca="false">$F93*H93</f>
        <v>0</v>
      </c>
      <c r="AD93" s="132" t="n">
        <f aca="false">$F93*I93</f>
        <v>0</v>
      </c>
      <c r="AE93" s="132" t="n">
        <f aca="false">$F93*J93</f>
        <v>-0</v>
      </c>
      <c r="AF93" s="132" t="n">
        <f aca="false">$F93*K93</f>
        <v>-0</v>
      </c>
      <c r="AG93" s="132" t="n">
        <f aca="false">$F93*L93</f>
        <v>0</v>
      </c>
      <c r="AH93" s="132" t="n">
        <f aca="false">$F93*M93</f>
        <v>0</v>
      </c>
      <c r="AI93" s="132" t="n">
        <f aca="false">$F93*N93</f>
        <v>0</v>
      </c>
      <c r="AJ93" s="132" t="n">
        <f aca="false">F93*O93</f>
        <v>0</v>
      </c>
      <c r="AK93" s="137"/>
      <c r="AL93" s="132" t="n">
        <f aca="false">CHOOSE($G$3,AC93-AD93,AD93-AC93)</f>
        <v>0</v>
      </c>
      <c r="AM93" s="132" t="n">
        <f aca="false">CHOOSE($G$3,AF93-AG93,AG93-AF93)</f>
        <v>0</v>
      </c>
      <c r="AN93" s="132" t="n">
        <f aca="false">CHOOSE($G$3,AI93-AJ93,AJ93-AI93)</f>
        <v>0</v>
      </c>
      <c r="AO93" s="148" t="n">
        <f aca="false">SUM(AL93:AN93)</f>
        <v>0</v>
      </c>
      <c r="AQ93" s="132" t="n">
        <f aca="false">CHOOSE($G$3,AB93-AC93,AC93-AB93)</f>
        <v>0</v>
      </c>
      <c r="AR93" s="132" t="n">
        <f aca="false">CHOOSE($G$3,AE93-AF93,AF93-AE93)</f>
        <v>0</v>
      </c>
      <c r="AS93" s="132" t="n">
        <f aca="false">CHOOSE($G$3,AH93-AI93,AI93-AH93)</f>
        <v>0</v>
      </c>
      <c r="AT93" s="148" t="n">
        <f aca="false">AQ93+AR93+AS93</f>
        <v>0</v>
      </c>
      <c r="AU93" s="148"/>
      <c r="AV93" s="133" t="n">
        <f aca="false">AT93+AO93</f>
        <v>0</v>
      </c>
      <c r="AX93" s="133" t="n">
        <f aca="false">AJ93+AG93+AD93</f>
        <v>0</v>
      </c>
      <c r="AY93" s="149"/>
      <c r="AZ93" s="76" t="n">
        <f aca="false">R93*E93</f>
        <v>0</v>
      </c>
    </row>
    <row r="94" customFormat="false" ht="12.75" hidden="false" customHeight="false" outlineLevel="0" collapsed="false">
      <c r="A94" s="138" t="n">
        <f aca="false">EDATE(A93,1)</f>
        <v>39539</v>
      </c>
      <c r="B94" s="139" t="n">
        <f aca="false">VLOOKUP($A94,Table2,MATCH(I$3,Curves2,0))</f>
        <v>0</v>
      </c>
      <c r="C94" s="140"/>
      <c r="D94" s="141" t="n">
        <f aca="false">B94+C94</f>
        <v>0</v>
      </c>
      <c r="E94" s="126" t="n">
        <f aca="false">IF(Y94=0,0,IF(AND(Y94=1,$H$3=1),D94*T94,IF($H$3=2,D94,"N/A")))</f>
        <v>0</v>
      </c>
      <c r="F94" s="126" t="n">
        <f aca="false">E94*X94</f>
        <v>0</v>
      </c>
      <c r="G94" s="142" t="n">
        <f aca="false">VLOOKUP($A94,Table,MATCH(G$4,Curves,0))</f>
        <v>3.987</v>
      </c>
      <c r="H94" s="143" t="n">
        <f aca="false">G94</f>
        <v>3.987</v>
      </c>
      <c r="I94" s="142" t="n">
        <f aca="false">VLOOKUP($A94,Table1,MATCH(I$3,Curves1,0))</f>
        <v>0</v>
      </c>
      <c r="J94" s="142" t="n">
        <f aca="false">VLOOKUP($A94,Table,MATCH(J$4,Curves,0))</f>
        <v>-0.061</v>
      </c>
      <c r="K94" s="143" t="n">
        <f aca="false">J94</f>
        <v>-0.061</v>
      </c>
      <c r="L94" s="144" t="n">
        <v>0</v>
      </c>
      <c r="M94" s="142" t="n">
        <f aca="false">VLOOKUP($A94,Table,MATCH(M$4,Curves,0))</f>
        <v>0.005</v>
      </c>
      <c r="N94" s="143" t="n">
        <f aca="false">M94</f>
        <v>0.005</v>
      </c>
      <c r="O94" s="144" t="n">
        <v>0</v>
      </c>
      <c r="P94" s="145"/>
      <c r="Q94" s="144" t="n">
        <f aca="false">M94+J94+G94</f>
        <v>3.931</v>
      </c>
      <c r="R94" s="144" t="n">
        <f aca="false">O94+L94+I94</f>
        <v>0</v>
      </c>
      <c r="S94" s="145"/>
      <c r="T94" s="71" t="n">
        <f aca="false">A95-A94</f>
        <v>30</v>
      </c>
      <c r="U94" s="146" t="n">
        <f aca="false">CHOOSE(F$3,A95+24,A94)</f>
        <v>39593</v>
      </c>
      <c r="V94" s="71" t="n">
        <f aca="false">U94-C$3</f>
        <v>2705</v>
      </c>
      <c r="W94" s="142" t="n">
        <f aca="false">VLOOKUP($A94,Table,MATCH(W$4,Curves,0))</f>
        <v>0.058966861357273</v>
      </c>
      <c r="X94" s="147" t="n">
        <f aca="false">1/(1+CHOOSE(F$3,(W95+($K$3/10000))/2,(W94+($K$3/10000))/2))^(2*V94/365.25)</f>
        <v>0.650256782159431</v>
      </c>
      <c r="Y94" s="71" t="n">
        <f aca="false">IF(AND(mthbeg&lt;=A94,mthend&gt;=A94),1,0)</f>
        <v>0</v>
      </c>
      <c r="Z94" s="71" t="n">
        <f aca="false">T94*Y94</f>
        <v>0</v>
      </c>
      <c r="AB94" s="132" t="n">
        <f aca="false">F94*G94</f>
        <v>0</v>
      </c>
      <c r="AC94" s="132" t="n">
        <f aca="false">$F94*H94</f>
        <v>0</v>
      </c>
      <c r="AD94" s="132" t="n">
        <f aca="false">$F94*I94</f>
        <v>0</v>
      </c>
      <c r="AE94" s="132" t="n">
        <f aca="false">$F94*J94</f>
        <v>-0</v>
      </c>
      <c r="AF94" s="132" t="n">
        <f aca="false">$F94*K94</f>
        <v>-0</v>
      </c>
      <c r="AG94" s="132" t="n">
        <f aca="false">$F94*L94</f>
        <v>0</v>
      </c>
      <c r="AH94" s="132" t="n">
        <f aca="false">$F94*M94</f>
        <v>0</v>
      </c>
      <c r="AI94" s="132" t="n">
        <f aca="false">$F94*N94</f>
        <v>0</v>
      </c>
      <c r="AJ94" s="132" t="n">
        <f aca="false">F94*O94</f>
        <v>0</v>
      </c>
      <c r="AK94" s="137"/>
      <c r="AL94" s="132" t="n">
        <f aca="false">CHOOSE($G$3,AC94-AD94,AD94-AC94)</f>
        <v>0</v>
      </c>
      <c r="AM94" s="132" t="n">
        <f aca="false">CHOOSE($G$3,AF94-AG94,AG94-AF94)</f>
        <v>0</v>
      </c>
      <c r="AN94" s="132" t="n">
        <f aca="false">CHOOSE($G$3,AI94-AJ94,AJ94-AI94)</f>
        <v>0</v>
      </c>
      <c r="AO94" s="148" t="n">
        <f aca="false">SUM(AL94:AN94)</f>
        <v>0</v>
      </c>
      <c r="AQ94" s="132" t="n">
        <f aca="false">CHOOSE($G$3,AB94-AC94,AC94-AB94)</f>
        <v>0</v>
      </c>
      <c r="AR94" s="132" t="n">
        <f aca="false">CHOOSE($G$3,AE94-AF94,AF94-AE94)</f>
        <v>0</v>
      </c>
      <c r="AS94" s="132" t="n">
        <f aca="false">CHOOSE($G$3,AH94-AI94,AI94-AH94)</f>
        <v>0</v>
      </c>
      <c r="AT94" s="148" t="n">
        <f aca="false">AQ94+AR94+AS94</f>
        <v>0</v>
      </c>
      <c r="AU94" s="148"/>
      <c r="AV94" s="133" t="n">
        <f aca="false">AT94+AO94</f>
        <v>0</v>
      </c>
      <c r="AX94" s="133" t="n">
        <f aca="false">AJ94+AG94+AD94</f>
        <v>0</v>
      </c>
      <c r="AY94" s="149"/>
      <c r="AZ94" s="76" t="n">
        <f aca="false">R94*E94</f>
        <v>0</v>
      </c>
    </row>
    <row r="95" customFormat="false" ht="12.75" hidden="false" customHeight="false" outlineLevel="0" collapsed="false">
      <c r="A95" s="138" t="n">
        <f aca="false">EDATE(A94,1)</f>
        <v>39569</v>
      </c>
      <c r="B95" s="139" t="n">
        <f aca="false">VLOOKUP($A95,Table2,MATCH(I$3,Curves2,0))</f>
        <v>0</v>
      </c>
      <c r="C95" s="140"/>
      <c r="D95" s="141" t="n">
        <f aca="false">B95+C95</f>
        <v>0</v>
      </c>
      <c r="E95" s="126" t="n">
        <f aca="false">IF(Y95=0,0,IF(AND(Y95=1,$H$3=1),D95*T95,IF($H$3=2,D95,"N/A")))</f>
        <v>0</v>
      </c>
      <c r="F95" s="126" t="n">
        <f aca="false">E95*X95</f>
        <v>0</v>
      </c>
      <c r="G95" s="142" t="n">
        <f aca="false">VLOOKUP($A95,Table,MATCH(G$4,Curves,0))</f>
        <v>3.987</v>
      </c>
      <c r="H95" s="143" t="n">
        <f aca="false">G95</f>
        <v>3.987</v>
      </c>
      <c r="I95" s="142" t="n">
        <f aca="false">VLOOKUP($A95,Table1,MATCH(I$3,Curves1,0))</f>
        <v>0</v>
      </c>
      <c r="J95" s="142" t="n">
        <f aca="false">VLOOKUP($A95,Table,MATCH(J$4,Curves,0))</f>
        <v>-0.061</v>
      </c>
      <c r="K95" s="143" t="n">
        <f aca="false">J95</f>
        <v>-0.061</v>
      </c>
      <c r="L95" s="144" t="n">
        <v>0</v>
      </c>
      <c r="M95" s="142" t="n">
        <f aca="false">VLOOKUP($A95,Table,MATCH(M$4,Curves,0))</f>
        <v>0.005</v>
      </c>
      <c r="N95" s="143" t="n">
        <f aca="false">M95</f>
        <v>0.005</v>
      </c>
      <c r="O95" s="144" t="n">
        <v>0</v>
      </c>
      <c r="P95" s="145"/>
      <c r="Q95" s="144" t="n">
        <f aca="false">M95+J95+G95</f>
        <v>3.931</v>
      </c>
      <c r="R95" s="144" t="n">
        <f aca="false">O95+L95+I95</f>
        <v>0</v>
      </c>
      <c r="S95" s="145"/>
      <c r="T95" s="71" t="n">
        <f aca="false">A96-A95</f>
        <v>31</v>
      </c>
      <c r="U95" s="146" t="n">
        <f aca="false">CHOOSE(F$3,A96+24,A95)</f>
        <v>39624</v>
      </c>
      <c r="V95" s="71" t="n">
        <f aca="false">U95-C$3</f>
        <v>2736</v>
      </c>
      <c r="W95" s="142" t="n">
        <f aca="false">VLOOKUP($A95,Table,MATCH(W$4,Curves,0))</f>
        <v>0.058966861357273</v>
      </c>
      <c r="X95" s="147" t="n">
        <f aca="false">1/(1+CHOOSE(F$3,(W96+($K$3/10000))/2,(W95+($K$3/10000))/2))^(2*V95/365.25)</f>
        <v>0.647057380207237</v>
      </c>
      <c r="Y95" s="71" t="n">
        <f aca="false">IF(AND(mthbeg&lt;=A95,mthend&gt;=A95),1,0)</f>
        <v>0</v>
      </c>
      <c r="Z95" s="71" t="n">
        <f aca="false">T95*Y95</f>
        <v>0</v>
      </c>
      <c r="AB95" s="132" t="n">
        <f aca="false">F95*G95</f>
        <v>0</v>
      </c>
      <c r="AC95" s="132" t="n">
        <f aca="false">$F95*H95</f>
        <v>0</v>
      </c>
      <c r="AD95" s="132" t="n">
        <f aca="false">$F95*I95</f>
        <v>0</v>
      </c>
      <c r="AE95" s="132" t="n">
        <f aca="false">$F95*J95</f>
        <v>-0</v>
      </c>
      <c r="AF95" s="132" t="n">
        <f aca="false">$F95*K95</f>
        <v>-0</v>
      </c>
      <c r="AG95" s="132" t="n">
        <f aca="false">$F95*L95</f>
        <v>0</v>
      </c>
      <c r="AH95" s="132" t="n">
        <f aca="false">$F95*M95</f>
        <v>0</v>
      </c>
      <c r="AI95" s="132" t="n">
        <f aca="false">$F95*N95</f>
        <v>0</v>
      </c>
      <c r="AJ95" s="132" t="n">
        <f aca="false">F95*O95</f>
        <v>0</v>
      </c>
      <c r="AK95" s="137"/>
      <c r="AL95" s="132" t="n">
        <f aca="false">CHOOSE($G$3,AC95-AD95,AD95-AC95)</f>
        <v>0</v>
      </c>
      <c r="AM95" s="132" t="n">
        <f aca="false">CHOOSE($G$3,AF95-AG95,AG95-AF95)</f>
        <v>0</v>
      </c>
      <c r="AN95" s="132" t="n">
        <f aca="false">CHOOSE($G$3,AI95-AJ95,AJ95-AI95)</f>
        <v>0</v>
      </c>
      <c r="AO95" s="148" t="n">
        <f aca="false">SUM(AL95:AN95)</f>
        <v>0</v>
      </c>
      <c r="AQ95" s="132" t="n">
        <f aca="false">CHOOSE($G$3,AB95-AC95,AC95-AB95)</f>
        <v>0</v>
      </c>
      <c r="AR95" s="132" t="n">
        <f aca="false">CHOOSE($G$3,AE95-AF95,AF95-AE95)</f>
        <v>0</v>
      </c>
      <c r="AS95" s="132" t="n">
        <f aca="false">CHOOSE($G$3,AH95-AI95,AI95-AH95)</f>
        <v>0</v>
      </c>
      <c r="AT95" s="148" t="n">
        <f aca="false">AQ95+AR95+AS95</f>
        <v>0</v>
      </c>
      <c r="AU95" s="148"/>
      <c r="AV95" s="133" t="n">
        <f aca="false">AT95+AO95</f>
        <v>0</v>
      </c>
      <c r="AX95" s="133" t="n">
        <f aca="false">AJ95+AG95+AD95</f>
        <v>0</v>
      </c>
      <c r="AY95" s="149"/>
      <c r="AZ95" s="76" t="n">
        <f aca="false">R95*E95</f>
        <v>0</v>
      </c>
    </row>
    <row r="96" customFormat="false" ht="12.75" hidden="false" customHeight="false" outlineLevel="0" collapsed="false">
      <c r="A96" s="138" t="n">
        <f aca="false">EDATE(A95,1)</f>
        <v>39600</v>
      </c>
      <c r="B96" s="139" t="n">
        <f aca="false">VLOOKUP($A96,Table2,MATCH(I$3,Curves2,0))</f>
        <v>0</v>
      </c>
      <c r="C96" s="140"/>
      <c r="D96" s="141" t="n">
        <f aca="false">B96+C96</f>
        <v>0</v>
      </c>
      <c r="E96" s="126" t="n">
        <f aca="false">IF(Y96=0,0,IF(AND(Y96=1,$H$3=1),D96*T96,IF($H$3=2,D96,"N/A")))</f>
        <v>0</v>
      </c>
      <c r="F96" s="126" t="n">
        <f aca="false">E96*X96</f>
        <v>0</v>
      </c>
      <c r="G96" s="142" t="n">
        <f aca="false">VLOOKUP($A96,Table,MATCH(G$4,Curves,0))</f>
        <v>3.987</v>
      </c>
      <c r="H96" s="143" t="n">
        <f aca="false">G96</f>
        <v>3.987</v>
      </c>
      <c r="I96" s="142" t="n">
        <f aca="false">VLOOKUP($A96,Table1,MATCH(I$3,Curves1,0))</f>
        <v>0</v>
      </c>
      <c r="J96" s="142" t="n">
        <f aca="false">VLOOKUP($A96,Table,MATCH(J$4,Curves,0))</f>
        <v>-0.061</v>
      </c>
      <c r="K96" s="143" t="n">
        <f aca="false">J96</f>
        <v>-0.061</v>
      </c>
      <c r="L96" s="144" t="n">
        <v>0</v>
      </c>
      <c r="M96" s="142" t="n">
        <f aca="false">VLOOKUP($A96,Table,MATCH(M$4,Curves,0))</f>
        <v>0.005</v>
      </c>
      <c r="N96" s="143" t="n">
        <f aca="false">M96</f>
        <v>0.005</v>
      </c>
      <c r="O96" s="144" t="n">
        <v>0</v>
      </c>
      <c r="P96" s="145"/>
      <c r="Q96" s="144" t="n">
        <f aca="false">M96+J96+G96</f>
        <v>3.931</v>
      </c>
      <c r="R96" s="144" t="n">
        <f aca="false">O96+L96+I96</f>
        <v>0</v>
      </c>
      <c r="S96" s="145"/>
      <c r="T96" s="71" t="n">
        <f aca="false">A97-A96</f>
        <v>30</v>
      </c>
      <c r="U96" s="146" t="n">
        <f aca="false">CHOOSE(F$3,A97+24,A96)</f>
        <v>39654</v>
      </c>
      <c r="V96" s="71" t="n">
        <f aca="false">U96-C$3</f>
        <v>2766</v>
      </c>
      <c r="W96" s="142" t="n">
        <f aca="false">VLOOKUP($A96,Table,MATCH(W$4,Curves,0))</f>
        <v>0.058966861357273</v>
      </c>
      <c r="X96" s="147" t="n">
        <f aca="false">1/(1+CHOOSE(F$3,(W97+($K$3/10000))/2,(W96+($K$3/10000))/2))^(2*V96/365.25)</f>
        <v>0.643976173796286</v>
      </c>
      <c r="Y96" s="71" t="n">
        <f aca="false">IF(AND(mthbeg&lt;=A96,mthend&gt;=A96),1,0)</f>
        <v>0</v>
      </c>
      <c r="Z96" s="71" t="n">
        <f aca="false">T96*Y96</f>
        <v>0</v>
      </c>
      <c r="AB96" s="132" t="n">
        <f aca="false">F96*G96</f>
        <v>0</v>
      </c>
      <c r="AC96" s="132" t="n">
        <f aca="false">$F96*H96</f>
        <v>0</v>
      </c>
      <c r="AD96" s="132" t="n">
        <f aca="false">$F96*I96</f>
        <v>0</v>
      </c>
      <c r="AE96" s="132" t="n">
        <f aca="false">$F96*J96</f>
        <v>-0</v>
      </c>
      <c r="AF96" s="132" t="n">
        <f aca="false">$F96*K96</f>
        <v>-0</v>
      </c>
      <c r="AG96" s="132" t="n">
        <f aca="false">$F96*L96</f>
        <v>0</v>
      </c>
      <c r="AH96" s="132" t="n">
        <f aca="false">$F96*M96</f>
        <v>0</v>
      </c>
      <c r="AI96" s="132" t="n">
        <f aca="false">$F96*N96</f>
        <v>0</v>
      </c>
      <c r="AJ96" s="132" t="n">
        <f aca="false">F96*O96</f>
        <v>0</v>
      </c>
      <c r="AK96" s="137"/>
      <c r="AL96" s="132" t="n">
        <f aca="false">CHOOSE($G$3,AC96-AD96,AD96-AC96)</f>
        <v>0</v>
      </c>
      <c r="AM96" s="132" t="n">
        <f aca="false">CHOOSE($G$3,AF96-AG96,AG96-AF96)</f>
        <v>0</v>
      </c>
      <c r="AN96" s="132" t="n">
        <f aca="false">CHOOSE($G$3,AI96-AJ96,AJ96-AI96)</f>
        <v>0</v>
      </c>
      <c r="AO96" s="148" t="n">
        <f aca="false">SUM(AL96:AN96)</f>
        <v>0</v>
      </c>
      <c r="AQ96" s="132" t="n">
        <f aca="false">CHOOSE($G$3,AB96-AC96,AC96-AB96)</f>
        <v>0</v>
      </c>
      <c r="AR96" s="132" t="n">
        <f aca="false">CHOOSE($G$3,AE96-AF96,AF96-AE96)</f>
        <v>0</v>
      </c>
      <c r="AS96" s="132" t="n">
        <f aca="false">CHOOSE($G$3,AH96-AI96,AI96-AH96)</f>
        <v>0</v>
      </c>
      <c r="AT96" s="148" t="n">
        <f aca="false">AQ96+AR96+AS96</f>
        <v>0</v>
      </c>
      <c r="AU96" s="148"/>
      <c r="AV96" s="133" t="n">
        <f aca="false">AT96+AO96</f>
        <v>0</v>
      </c>
      <c r="AX96" s="133" t="n">
        <f aca="false">AJ96+AG96+AD96</f>
        <v>0</v>
      </c>
      <c r="AY96" s="149"/>
      <c r="AZ96" s="76" t="n">
        <f aca="false">R96*E96</f>
        <v>0</v>
      </c>
    </row>
    <row r="97" customFormat="false" ht="12.75" hidden="false" customHeight="false" outlineLevel="0" collapsed="false">
      <c r="A97" s="138" t="n">
        <f aca="false">EDATE(A96,1)</f>
        <v>39630</v>
      </c>
      <c r="B97" s="139" t="n">
        <f aca="false">VLOOKUP($A97,Table2,MATCH(I$3,Curves2,0))</f>
        <v>0</v>
      </c>
      <c r="C97" s="140"/>
      <c r="D97" s="141" t="n">
        <f aca="false">B97+C97</f>
        <v>0</v>
      </c>
      <c r="E97" s="126" t="n">
        <f aca="false">IF(Y97=0,0,IF(AND(Y97=1,$H$3=1),D97*T97,IF($H$3=2,D97,"N/A")))</f>
        <v>0</v>
      </c>
      <c r="F97" s="126" t="n">
        <f aca="false">E97*X97</f>
        <v>0</v>
      </c>
      <c r="G97" s="142" t="n">
        <f aca="false">VLOOKUP($A97,Table,MATCH(G$4,Curves,0))</f>
        <v>3.987</v>
      </c>
      <c r="H97" s="143" t="n">
        <f aca="false">G97</f>
        <v>3.987</v>
      </c>
      <c r="I97" s="142" t="n">
        <f aca="false">VLOOKUP($A97,Table1,MATCH(I$3,Curves1,0))</f>
        <v>0</v>
      </c>
      <c r="J97" s="142" t="n">
        <f aca="false">VLOOKUP($A97,Table,MATCH(J$4,Curves,0))</f>
        <v>-0.061</v>
      </c>
      <c r="K97" s="143" t="n">
        <f aca="false">J97</f>
        <v>-0.061</v>
      </c>
      <c r="L97" s="144" t="n">
        <v>0</v>
      </c>
      <c r="M97" s="142" t="n">
        <f aca="false">VLOOKUP($A97,Table,MATCH(M$4,Curves,0))</f>
        <v>0.005</v>
      </c>
      <c r="N97" s="143" t="n">
        <f aca="false">M97</f>
        <v>0.005</v>
      </c>
      <c r="O97" s="144" t="n">
        <v>0</v>
      </c>
      <c r="P97" s="145"/>
      <c r="Q97" s="144" t="n">
        <f aca="false">M97+J97+G97</f>
        <v>3.931</v>
      </c>
      <c r="R97" s="144" t="n">
        <f aca="false">O97+L97+I97</f>
        <v>0</v>
      </c>
      <c r="S97" s="145"/>
      <c r="T97" s="71" t="n">
        <f aca="false">A98-A97</f>
        <v>31</v>
      </c>
      <c r="U97" s="146" t="n">
        <f aca="false">CHOOSE(F$3,A98+24,A97)</f>
        <v>39685</v>
      </c>
      <c r="V97" s="71" t="n">
        <f aca="false">U97-C$3</f>
        <v>2797</v>
      </c>
      <c r="W97" s="142" t="n">
        <f aca="false">VLOOKUP($A97,Table,MATCH(W$4,Curves,0))</f>
        <v>0.058966861357273</v>
      </c>
      <c r="X97" s="147" t="n">
        <f aca="false">1/(1+CHOOSE(F$3,(W98+($K$3/10000))/2,(W97+($K$3/10000))/2))^(2*V97/365.25)</f>
        <v>0.640807673775773</v>
      </c>
      <c r="Y97" s="71" t="n">
        <f aca="false">IF(AND(mthbeg&lt;=A97,mthend&gt;=A97),1,0)</f>
        <v>0</v>
      </c>
      <c r="Z97" s="71" t="n">
        <f aca="false">T97*Y97</f>
        <v>0</v>
      </c>
      <c r="AB97" s="132" t="n">
        <f aca="false">F97*G97</f>
        <v>0</v>
      </c>
      <c r="AC97" s="132" t="n">
        <f aca="false">$F97*H97</f>
        <v>0</v>
      </c>
      <c r="AD97" s="132" t="n">
        <f aca="false">$F97*I97</f>
        <v>0</v>
      </c>
      <c r="AE97" s="132" t="n">
        <f aca="false">$F97*J97</f>
        <v>-0</v>
      </c>
      <c r="AF97" s="132" t="n">
        <f aca="false">$F97*K97</f>
        <v>-0</v>
      </c>
      <c r="AG97" s="132" t="n">
        <f aca="false">$F97*L97</f>
        <v>0</v>
      </c>
      <c r="AH97" s="132" t="n">
        <f aca="false">$F97*M97</f>
        <v>0</v>
      </c>
      <c r="AI97" s="132" t="n">
        <f aca="false">$F97*N97</f>
        <v>0</v>
      </c>
      <c r="AJ97" s="132" t="n">
        <f aca="false">F97*O97</f>
        <v>0</v>
      </c>
      <c r="AK97" s="137"/>
      <c r="AL97" s="132" t="n">
        <f aca="false">CHOOSE($G$3,AC97-AD97,AD97-AC97)</f>
        <v>0</v>
      </c>
      <c r="AM97" s="132" t="n">
        <f aca="false">CHOOSE($G$3,AF97-AG97,AG97-AF97)</f>
        <v>0</v>
      </c>
      <c r="AN97" s="132" t="n">
        <f aca="false">CHOOSE($G$3,AI97-AJ97,AJ97-AI97)</f>
        <v>0</v>
      </c>
      <c r="AO97" s="148" t="n">
        <f aca="false">SUM(AL97:AN97)</f>
        <v>0</v>
      </c>
      <c r="AQ97" s="132" t="n">
        <f aca="false">CHOOSE($G$3,AB97-AC97,AC97-AB97)</f>
        <v>0</v>
      </c>
      <c r="AR97" s="132" t="n">
        <f aca="false">CHOOSE($G$3,AE97-AF97,AF97-AE97)</f>
        <v>0</v>
      </c>
      <c r="AS97" s="132" t="n">
        <f aca="false">CHOOSE($G$3,AH97-AI97,AI97-AH97)</f>
        <v>0</v>
      </c>
      <c r="AT97" s="148" t="n">
        <f aca="false">AQ97+AR97+AS97</f>
        <v>0</v>
      </c>
      <c r="AU97" s="148"/>
      <c r="AV97" s="133" t="n">
        <f aca="false">AT97+AO97</f>
        <v>0</v>
      </c>
      <c r="AX97" s="133" t="n">
        <f aca="false">AJ97+AG97+AD97</f>
        <v>0</v>
      </c>
      <c r="AY97" s="149"/>
      <c r="AZ97" s="76" t="n">
        <f aca="false">R97*E97</f>
        <v>0</v>
      </c>
    </row>
    <row r="98" customFormat="false" ht="12.75" hidden="false" customHeight="false" outlineLevel="0" collapsed="false">
      <c r="A98" s="138" t="n">
        <f aca="false">EDATE(A97,1)</f>
        <v>39661</v>
      </c>
      <c r="B98" s="139" t="n">
        <f aca="false">VLOOKUP($A98,Table2,MATCH(I$3,Curves2,0))</f>
        <v>0</v>
      </c>
      <c r="C98" s="140"/>
      <c r="D98" s="141" t="n">
        <f aca="false">B98+C98</f>
        <v>0</v>
      </c>
      <c r="E98" s="126" t="n">
        <f aca="false">IF(Y98=0,0,IF(AND(Y98=1,$H$3=1),D98*T98,IF($H$3=2,D98,"N/A")))</f>
        <v>0</v>
      </c>
      <c r="F98" s="126" t="n">
        <f aca="false">E98*X98</f>
        <v>0</v>
      </c>
      <c r="G98" s="142" t="n">
        <f aca="false">VLOOKUP($A98,Table,MATCH(G$4,Curves,0))</f>
        <v>3.987</v>
      </c>
      <c r="H98" s="143" t="n">
        <f aca="false">G98</f>
        <v>3.987</v>
      </c>
      <c r="I98" s="142" t="n">
        <f aca="false">VLOOKUP($A98,Table1,MATCH(I$3,Curves1,0))</f>
        <v>0</v>
      </c>
      <c r="J98" s="142" t="n">
        <f aca="false">VLOOKUP($A98,Table,MATCH(J$4,Curves,0))</f>
        <v>-0.061</v>
      </c>
      <c r="K98" s="143" t="n">
        <f aca="false">J98</f>
        <v>-0.061</v>
      </c>
      <c r="L98" s="144" t="n">
        <v>0</v>
      </c>
      <c r="M98" s="142" t="n">
        <f aca="false">VLOOKUP($A98,Table,MATCH(M$4,Curves,0))</f>
        <v>0.005</v>
      </c>
      <c r="N98" s="143" t="n">
        <f aca="false">M98</f>
        <v>0.005</v>
      </c>
      <c r="O98" s="144" t="n">
        <v>0</v>
      </c>
      <c r="P98" s="145"/>
      <c r="Q98" s="144" t="n">
        <f aca="false">M98+J98+G98</f>
        <v>3.931</v>
      </c>
      <c r="R98" s="144" t="n">
        <f aca="false">O98+L98+I98</f>
        <v>0</v>
      </c>
      <c r="S98" s="145"/>
      <c r="T98" s="71" t="n">
        <f aca="false">A99-A98</f>
        <v>31</v>
      </c>
      <c r="U98" s="146" t="n">
        <f aca="false">CHOOSE(F$3,A99+24,A98)</f>
        <v>39716</v>
      </c>
      <c r="V98" s="71" t="n">
        <f aca="false">U98-C$3</f>
        <v>2828</v>
      </c>
      <c r="W98" s="142" t="n">
        <f aca="false">VLOOKUP($A98,Table,MATCH(W$4,Curves,0))</f>
        <v>0.058966861357273</v>
      </c>
      <c r="X98" s="147" t="n">
        <f aca="false">1/(1+CHOOSE(F$3,(W99+($K$3/10000))/2,(W98+($K$3/10000))/2))^(2*V98/365.25)</f>
        <v>0.637654763450638</v>
      </c>
      <c r="Y98" s="71" t="n">
        <f aca="false">IF(AND(mthbeg&lt;=A98,mthend&gt;=A98),1,0)</f>
        <v>0</v>
      </c>
      <c r="Z98" s="71" t="n">
        <f aca="false">T98*Y98</f>
        <v>0</v>
      </c>
      <c r="AB98" s="132" t="n">
        <f aca="false">F98*G98</f>
        <v>0</v>
      </c>
      <c r="AC98" s="132" t="n">
        <f aca="false">$F98*H98</f>
        <v>0</v>
      </c>
      <c r="AD98" s="132" t="n">
        <f aca="false">$F98*I98</f>
        <v>0</v>
      </c>
      <c r="AE98" s="132" t="n">
        <f aca="false">$F98*J98</f>
        <v>-0</v>
      </c>
      <c r="AF98" s="132" t="n">
        <f aca="false">$F98*K98</f>
        <v>-0</v>
      </c>
      <c r="AG98" s="132" t="n">
        <f aca="false">$F98*L98</f>
        <v>0</v>
      </c>
      <c r="AH98" s="132" t="n">
        <f aca="false">$F98*M98</f>
        <v>0</v>
      </c>
      <c r="AI98" s="132" t="n">
        <f aca="false">$F98*N98</f>
        <v>0</v>
      </c>
      <c r="AJ98" s="132" t="n">
        <f aca="false">F98*O98</f>
        <v>0</v>
      </c>
      <c r="AK98" s="137"/>
      <c r="AL98" s="132" t="n">
        <f aca="false">CHOOSE($G$3,AC98-AD98,AD98-AC98)</f>
        <v>0</v>
      </c>
      <c r="AM98" s="132" t="n">
        <f aca="false">CHOOSE($G$3,AF98-AG98,AG98-AF98)</f>
        <v>0</v>
      </c>
      <c r="AN98" s="132" t="n">
        <f aca="false">CHOOSE($G$3,AI98-AJ98,AJ98-AI98)</f>
        <v>0</v>
      </c>
      <c r="AO98" s="148" t="n">
        <f aca="false">SUM(AL98:AN98)</f>
        <v>0</v>
      </c>
      <c r="AQ98" s="132" t="n">
        <f aca="false">CHOOSE($G$3,AB98-AC98,AC98-AB98)</f>
        <v>0</v>
      </c>
      <c r="AR98" s="132" t="n">
        <f aca="false">CHOOSE($G$3,AE98-AF98,AF98-AE98)</f>
        <v>0</v>
      </c>
      <c r="AS98" s="132" t="n">
        <f aca="false">CHOOSE($G$3,AH98-AI98,AI98-AH98)</f>
        <v>0</v>
      </c>
      <c r="AT98" s="148" t="n">
        <f aca="false">AQ98+AR98+AS98</f>
        <v>0</v>
      </c>
      <c r="AU98" s="148"/>
      <c r="AV98" s="133" t="n">
        <f aca="false">AT98+AO98</f>
        <v>0</v>
      </c>
      <c r="AX98" s="133" t="n">
        <f aca="false">AJ98+AG98+AD98</f>
        <v>0</v>
      </c>
      <c r="AY98" s="149"/>
      <c r="AZ98" s="76" t="n">
        <f aca="false">R98*E98</f>
        <v>0</v>
      </c>
    </row>
    <row r="99" customFormat="false" ht="12.75" hidden="false" customHeight="false" outlineLevel="0" collapsed="false">
      <c r="A99" s="138" t="n">
        <f aca="false">EDATE(A98,1)</f>
        <v>39692</v>
      </c>
      <c r="B99" s="139" t="n">
        <f aca="false">VLOOKUP($A99,Table2,MATCH(I$3,Curves2,0))</f>
        <v>0</v>
      </c>
      <c r="C99" s="140"/>
      <c r="D99" s="141" t="n">
        <f aca="false">B99+C99</f>
        <v>0</v>
      </c>
      <c r="E99" s="126" t="n">
        <f aca="false">IF(Y99=0,0,IF(AND(Y99=1,$H$3=1),D99*T99,IF($H$3=2,D99,"N/A")))</f>
        <v>0</v>
      </c>
      <c r="F99" s="126" t="n">
        <f aca="false">E99*X99</f>
        <v>0</v>
      </c>
      <c r="G99" s="142" t="n">
        <f aca="false">VLOOKUP($A99,Table,MATCH(G$4,Curves,0))</f>
        <v>3.987</v>
      </c>
      <c r="H99" s="143" t="n">
        <f aca="false">G99</f>
        <v>3.987</v>
      </c>
      <c r="I99" s="142" t="n">
        <f aca="false">VLOOKUP($A99,Table1,MATCH(I$3,Curves1,0))</f>
        <v>0</v>
      </c>
      <c r="J99" s="142" t="n">
        <f aca="false">VLOOKUP($A99,Table,MATCH(J$4,Curves,0))</f>
        <v>-0.061</v>
      </c>
      <c r="K99" s="143" t="n">
        <f aca="false">J99</f>
        <v>-0.061</v>
      </c>
      <c r="L99" s="144" t="n">
        <v>0</v>
      </c>
      <c r="M99" s="142" t="n">
        <f aca="false">VLOOKUP($A99,Table,MATCH(M$4,Curves,0))</f>
        <v>0.005</v>
      </c>
      <c r="N99" s="143" t="n">
        <f aca="false">M99</f>
        <v>0.005</v>
      </c>
      <c r="O99" s="144" t="n">
        <v>0</v>
      </c>
      <c r="P99" s="145"/>
      <c r="Q99" s="144" t="n">
        <f aca="false">M99+J99+G99</f>
        <v>3.931</v>
      </c>
      <c r="R99" s="144" t="n">
        <f aca="false">O99+L99+I99</f>
        <v>0</v>
      </c>
      <c r="S99" s="145"/>
      <c r="T99" s="71" t="n">
        <f aca="false">A100-A99</f>
        <v>30</v>
      </c>
      <c r="U99" s="146" t="n">
        <f aca="false">CHOOSE(F$3,A100+24,A99)</f>
        <v>39746</v>
      </c>
      <c r="V99" s="71" t="n">
        <f aca="false">U99-C$3</f>
        <v>2858</v>
      </c>
      <c r="W99" s="142" t="n">
        <f aca="false">VLOOKUP($A99,Table,MATCH(W$4,Curves,0))</f>
        <v>0.058966861357273</v>
      </c>
      <c r="X99" s="147" t="n">
        <f aca="false">1/(1+CHOOSE(F$3,(W100+($K$3/10000))/2,(W99+($K$3/10000))/2))^(2*V99/365.25)</f>
        <v>0.63461833112606</v>
      </c>
      <c r="Y99" s="71" t="n">
        <f aca="false">IF(AND(mthbeg&lt;=A99,mthend&gt;=A99),1,0)</f>
        <v>0</v>
      </c>
      <c r="Z99" s="71" t="n">
        <f aca="false">T99*Y99</f>
        <v>0</v>
      </c>
      <c r="AB99" s="132" t="n">
        <f aca="false">F99*G99</f>
        <v>0</v>
      </c>
      <c r="AC99" s="132" t="n">
        <f aca="false">$F99*H99</f>
        <v>0</v>
      </c>
      <c r="AD99" s="132" t="n">
        <f aca="false">$F99*I99</f>
        <v>0</v>
      </c>
      <c r="AE99" s="132" t="n">
        <f aca="false">$F99*J99</f>
        <v>-0</v>
      </c>
      <c r="AF99" s="132" t="n">
        <f aca="false">$F99*K99</f>
        <v>-0</v>
      </c>
      <c r="AG99" s="132" t="n">
        <f aca="false">$F99*L99</f>
        <v>0</v>
      </c>
      <c r="AH99" s="132" t="n">
        <f aca="false">$F99*M99</f>
        <v>0</v>
      </c>
      <c r="AI99" s="132" t="n">
        <f aca="false">$F99*N99</f>
        <v>0</v>
      </c>
      <c r="AJ99" s="132" t="n">
        <f aca="false">F99*O99</f>
        <v>0</v>
      </c>
      <c r="AK99" s="137"/>
      <c r="AL99" s="132" t="n">
        <f aca="false">CHOOSE($G$3,AC99-AD99,AD99-AC99)</f>
        <v>0</v>
      </c>
      <c r="AM99" s="132" t="n">
        <f aca="false">CHOOSE($G$3,AF99-AG99,AG99-AF99)</f>
        <v>0</v>
      </c>
      <c r="AN99" s="132" t="n">
        <f aca="false">CHOOSE($G$3,AI99-AJ99,AJ99-AI99)</f>
        <v>0</v>
      </c>
      <c r="AO99" s="148" t="n">
        <f aca="false">SUM(AL99:AN99)</f>
        <v>0</v>
      </c>
      <c r="AQ99" s="132" t="n">
        <f aca="false">CHOOSE($G$3,AB99-AC99,AC99-AB99)</f>
        <v>0</v>
      </c>
      <c r="AR99" s="132" t="n">
        <f aca="false">CHOOSE($G$3,AE99-AF99,AF99-AE99)</f>
        <v>0</v>
      </c>
      <c r="AS99" s="132" t="n">
        <f aca="false">CHOOSE($G$3,AH99-AI99,AI99-AH99)</f>
        <v>0</v>
      </c>
      <c r="AT99" s="148" t="n">
        <f aca="false">AQ99+AR99+AS99</f>
        <v>0</v>
      </c>
      <c r="AU99" s="148"/>
      <c r="AV99" s="133" t="n">
        <f aca="false">AT99+AO99</f>
        <v>0</v>
      </c>
      <c r="AX99" s="133" t="n">
        <f aca="false">AJ99+AG99+AD99</f>
        <v>0</v>
      </c>
      <c r="AY99" s="149"/>
      <c r="AZ99" s="76" t="n">
        <f aca="false">R99*E99</f>
        <v>0</v>
      </c>
    </row>
    <row r="100" customFormat="false" ht="12.75" hidden="false" customHeight="false" outlineLevel="0" collapsed="false">
      <c r="A100" s="138" t="n">
        <f aca="false">EDATE(A99,1)</f>
        <v>39722</v>
      </c>
      <c r="B100" s="139" t="n">
        <f aca="false">VLOOKUP($A100,Table2,MATCH(I$3,Curves2,0))</f>
        <v>0</v>
      </c>
      <c r="C100" s="140"/>
      <c r="D100" s="141" t="n">
        <f aca="false">B100+C100</f>
        <v>0</v>
      </c>
      <c r="E100" s="126" t="n">
        <f aca="false">IF(Y100=0,0,IF(AND(Y100=1,$H$3=1),D100*T100,IF($H$3=2,D100,"N/A")))</f>
        <v>0</v>
      </c>
      <c r="F100" s="126" t="n">
        <f aca="false">E100*X100</f>
        <v>0</v>
      </c>
      <c r="G100" s="142" t="n">
        <f aca="false">VLOOKUP($A100,Table,MATCH(G$4,Curves,0))</f>
        <v>3.987</v>
      </c>
      <c r="H100" s="143" t="n">
        <f aca="false">G100</f>
        <v>3.987</v>
      </c>
      <c r="I100" s="142" t="n">
        <f aca="false">VLOOKUP($A100,Table1,MATCH(I$3,Curves1,0))</f>
        <v>0</v>
      </c>
      <c r="J100" s="142" t="n">
        <f aca="false">VLOOKUP($A100,Table,MATCH(J$4,Curves,0))</f>
        <v>-0.061</v>
      </c>
      <c r="K100" s="143" t="n">
        <f aca="false">J100</f>
        <v>-0.061</v>
      </c>
      <c r="L100" s="144" t="n">
        <v>0</v>
      </c>
      <c r="M100" s="142" t="n">
        <f aca="false">VLOOKUP($A100,Table,MATCH(M$4,Curves,0))</f>
        <v>0.005</v>
      </c>
      <c r="N100" s="143" t="n">
        <f aca="false">M100</f>
        <v>0.005</v>
      </c>
      <c r="O100" s="144" t="n">
        <v>0</v>
      </c>
      <c r="P100" s="145"/>
      <c r="Q100" s="144" t="n">
        <f aca="false">M100+J100+G100</f>
        <v>3.931</v>
      </c>
      <c r="R100" s="144" t="n">
        <f aca="false">O100+L100+I100</f>
        <v>0</v>
      </c>
      <c r="S100" s="145"/>
      <c r="T100" s="71" t="n">
        <f aca="false">A101-A100</f>
        <v>31</v>
      </c>
      <c r="U100" s="146" t="n">
        <f aca="false">CHOOSE(F$3,A101+24,A100)</f>
        <v>39777</v>
      </c>
      <c r="V100" s="71" t="n">
        <f aca="false">U100-C$3</f>
        <v>2889</v>
      </c>
      <c r="W100" s="142" t="n">
        <f aca="false">VLOOKUP($A100,Table,MATCH(W$4,Curves,0))</f>
        <v>0.058966861357273</v>
      </c>
      <c r="X100" s="147" t="n">
        <f aca="false">1/(1+CHOOSE(F$3,(W101+($K$3/10000))/2,(W100+($K$3/10000))/2))^(2*V100/365.25)</f>
        <v>0.631495873685846</v>
      </c>
      <c r="Y100" s="71" t="n">
        <f aca="false">IF(AND(mthbeg&lt;=A100,mthend&gt;=A100),1,0)</f>
        <v>0</v>
      </c>
      <c r="Z100" s="71" t="n">
        <f aca="false">T100*Y100</f>
        <v>0</v>
      </c>
      <c r="AB100" s="132" t="n">
        <f aca="false">F100*G100</f>
        <v>0</v>
      </c>
      <c r="AC100" s="132" t="n">
        <f aca="false">$F100*H100</f>
        <v>0</v>
      </c>
      <c r="AD100" s="132" t="n">
        <f aca="false">$F100*I100</f>
        <v>0</v>
      </c>
      <c r="AE100" s="132" t="n">
        <f aca="false">$F100*J100</f>
        <v>-0</v>
      </c>
      <c r="AF100" s="132" t="n">
        <f aca="false">$F100*K100</f>
        <v>-0</v>
      </c>
      <c r="AG100" s="132" t="n">
        <f aca="false">$F100*L100</f>
        <v>0</v>
      </c>
      <c r="AH100" s="132" t="n">
        <f aca="false">$F100*M100</f>
        <v>0</v>
      </c>
      <c r="AI100" s="132" t="n">
        <f aca="false">$F100*N100</f>
        <v>0</v>
      </c>
      <c r="AJ100" s="132" t="n">
        <f aca="false">F100*O100</f>
        <v>0</v>
      </c>
      <c r="AK100" s="137"/>
      <c r="AL100" s="132" t="n">
        <f aca="false">CHOOSE($G$3,AC100-AD100,AD100-AC100)</f>
        <v>0</v>
      </c>
      <c r="AM100" s="132" t="n">
        <f aca="false">CHOOSE($G$3,AF100-AG100,AG100-AF100)</f>
        <v>0</v>
      </c>
      <c r="AN100" s="132" t="n">
        <f aca="false">CHOOSE($G$3,AI100-AJ100,AJ100-AI100)</f>
        <v>0</v>
      </c>
      <c r="AO100" s="148" t="n">
        <f aca="false">SUM(AL100:AN100)</f>
        <v>0</v>
      </c>
      <c r="AQ100" s="132" t="n">
        <f aca="false">CHOOSE($G$3,AB100-AC100,AC100-AB100)</f>
        <v>0</v>
      </c>
      <c r="AR100" s="132" t="n">
        <f aca="false">CHOOSE($G$3,AE100-AF100,AF100-AE100)</f>
        <v>0</v>
      </c>
      <c r="AS100" s="132" t="n">
        <f aca="false">CHOOSE($G$3,AH100-AI100,AI100-AH100)</f>
        <v>0</v>
      </c>
      <c r="AT100" s="148" t="n">
        <f aca="false">AQ100+AR100+AS100</f>
        <v>0</v>
      </c>
      <c r="AU100" s="148"/>
      <c r="AV100" s="133" t="n">
        <f aca="false">AT100+AO100</f>
        <v>0</v>
      </c>
      <c r="AX100" s="133" t="n">
        <f aca="false">AJ100+AG100+AD100</f>
        <v>0</v>
      </c>
      <c r="AY100" s="149"/>
      <c r="AZ100" s="76" t="n">
        <f aca="false">R100*E100</f>
        <v>0</v>
      </c>
    </row>
    <row r="101" customFormat="false" ht="12.75" hidden="false" customHeight="false" outlineLevel="0" collapsed="false">
      <c r="A101" s="138" t="n">
        <f aca="false">EDATE(A100,1)</f>
        <v>39753</v>
      </c>
      <c r="B101" s="139" t="n">
        <f aca="false">VLOOKUP($A101,Table2,MATCH(I$3,Curves2,0))</f>
        <v>0</v>
      </c>
      <c r="C101" s="140"/>
      <c r="D101" s="141" t="n">
        <f aca="false">B101+C101</f>
        <v>0</v>
      </c>
      <c r="E101" s="126" t="n">
        <f aca="false">IF(Y101=0,0,IF(AND(Y101=1,$H$3=1),D101*T101,IF($H$3=2,D101,"N/A")))</f>
        <v>0</v>
      </c>
      <c r="F101" s="126" t="n">
        <f aca="false">E101*X101</f>
        <v>0</v>
      </c>
      <c r="G101" s="142" t="n">
        <f aca="false">VLOOKUP($A101,Table,MATCH(G$4,Curves,0))</f>
        <v>3.987</v>
      </c>
      <c r="H101" s="143" t="n">
        <f aca="false">G101</f>
        <v>3.987</v>
      </c>
      <c r="I101" s="142" t="n">
        <f aca="false">VLOOKUP($A101,Table1,MATCH(I$3,Curves1,0))</f>
        <v>0</v>
      </c>
      <c r="J101" s="142" t="n">
        <f aca="false">VLOOKUP($A101,Table,MATCH(J$4,Curves,0))</f>
        <v>-0.061</v>
      </c>
      <c r="K101" s="143" t="n">
        <f aca="false">J101</f>
        <v>-0.061</v>
      </c>
      <c r="L101" s="144" t="n">
        <v>0</v>
      </c>
      <c r="M101" s="142" t="n">
        <f aca="false">VLOOKUP($A101,Table,MATCH(M$4,Curves,0))</f>
        <v>0.005</v>
      </c>
      <c r="N101" s="143" t="n">
        <f aca="false">M101</f>
        <v>0.005</v>
      </c>
      <c r="O101" s="144" t="n">
        <v>0</v>
      </c>
      <c r="P101" s="145"/>
      <c r="Q101" s="144" t="n">
        <f aca="false">M101+J101+G101</f>
        <v>3.931</v>
      </c>
      <c r="R101" s="144" t="n">
        <f aca="false">O101+L101+I101</f>
        <v>0</v>
      </c>
      <c r="S101" s="145"/>
      <c r="T101" s="71" t="n">
        <f aca="false">A102-A101</f>
        <v>30</v>
      </c>
      <c r="U101" s="146" t="n">
        <f aca="false">CHOOSE(F$3,A102+24,A101)</f>
        <v>39807</v>
      </c>
      <c r="V101" s="71" t="n">
        <f aca="false">U101-C$3</f>
        <v>2919</v>
      </c>
      <c r="W101" s="142" t="n">
        <f aca="false">VLOOKUP($A101,Table,MATCH(W$4,Curves,0))</f>
        <v>0.058966861357273</v>
      </c>
      <c r="X101" s="147" t="n">
        <f aca="false">1/(1+CHOOSE(F$3,(W102+($K$3/10000))/2,(W101+($K$3/10000))/2))^(2*V101/365.25)</f>
        <v>0.62848876922493</v>
      </c>
      <c r="Y101" s="71" t="n">
        <f aca="false">IF(AND(mthbeg&lt;=A101,mthend&gt;=A101),1,0)</f>
        <v>0</v>
      </c>
      <c r="Z101" s="71" t="n">
        <f aca="false">T101*Y101</f>
        <v>0</v>
      </c>
      <c r="AB101" s="132" t="n">
        <f aca="false">F101*G101</f>
        <v>0</v>
      </c>
      <c r="AC101" s="132" t="n">
        <f aca="false">$F101*H101</f>
        <v>0</v>
      </c>
      <c r="AD101" s="132" t="n">
        <f aca="false">$F101*I101</f>
        <v>0</v>
      </c>
      <c r="AE101" s="132" t="n">
        <f aca="false">$F101*J101</f>
        <v>-0</v>
      </c>
      <c r="AF101" s="132" t="n">
        <f aca="false">$F101*K101</f>
        <v>-0</v>
      </c>
      <c r="AG101" s="132" t="n">
        <f aca="false">$F101*L101</f>
        <v>0</v>
      </c>
      <c r="AH101" s="132" t="n">
        <f aca="false">$F101*M101</f>
        <v>0</v>
      </c>
      <c r="AI101" s="132" t="n">
        <f aca="false">$F101*N101</f>
        <v>0</v>
      </c>
      <c r="AJ101" s="132" t="n">
        <f aca="false">F101*O101</f>
        <v>0</v>
      </c>
      <c r="AK101" s="137"/>
      <c r="AL101" s="132" t="n">
        <f aca="false">CHOOSE($G$3,AC101-AD101,AD101-AC101)</f>
        <v>0</v>
      </c>
      <c r="AM101" s="132" t="n">
        <f aca="false">CHOOSE($G$3,AF101-AG101,AG101-AF101)</f>
        <v>0</v>
      </c>
      <c r="AN101" s="132" t="n">
        <f aca="false">CHOOSE($G$3,AI101-AJ101,AJ101-AI101)</f>
        <v>0</v>
      </c>
      <c r="AO101" s="148" t="n">
        <f aca="false">SUM(AL101:AN101)</f>
        <v>0</v>
      </c>
      <c r="AQ101" s="132" t="n">
        <f aca="false">CHOOSE($G$3,AB101-AC101,AC101-AB101)</f>
        <v>0</v>
      </c>
      <c r="AR101" s="132" t="n">
        <f aca="false">CHOOSE($G$3,AE101-AF101,AF101-AE101)</f>
        <v>0</v>
      </c>
      <c r="AS101" s="132" t="n">
        <f aca="false">CHOOSE($G$3,AH101-AI101,AI101-AH101)</f>
        <v>0</v>
      </c>
      <c r="AT101" s="148" t="n">
        <f aca="false">AQ101+AR101+AS101</f>
        <v>0</v>
      </c>
      <c r="AU101" s="148"/>
      <c r="AV101" s="133" t="n">
        <f aca="false">AT101+AO101</f>
        <v>0</v>
      </c>
      <c r="AX101" s="133" t="n">
        <f aca="false">AJ101+AG101+AD101</f>
        <v>0</v>
      </c>
      <c r="AY101" s="149"/>
      <c r="AZ101" s="76" t="n">
        <f aca="false">R101*E101</f>
        <v>0</v>
      </c>
    </row>
    <row r="102" customFormat="false" ht="12.75" hidden="false" customHeight="false" outlineLevel="0" collapsed="false">
      <c r="A102" s="138" t="n">
        <f aca="false">EDATE(A101,1)</f>
        <v>39783</v>
      </c>
      <c r="B102" s="139" t="n">
        <f aca="false">VLOOKUP($A102,Table2,MATCH(I$3,Curves2,0))</f>
        <v>0</v>
      </c>
      <c r="C102" s="140"/>
      <c r="D102" s="141" t="n">
        <f aca="false">B102+C102</f>
        <v>0</v>
      </c>
      <c r="E102" s="126" t="n">
        <f aca="false">IF(Y102=0,0,IF(AND(Y102=1,$H$3=1),D102*T102,IF($H$3=2,D102,"N/A")))</f>
        <v>0</v>
      </c>
      <c r="F102" s="126" t="n">
        <f aca="false">E102*X102</f>
        <v>0</v>
      </c>
      <c r="G102" s="142" t="n">
        <f aca="false">VLOOKUP($A102,Table,MATCH(G$4,Curves,0))</f>
        <v>3.987</v>
      </c>
      <c r="H102" s="143" t="n">
        <f aca="false">G102</f>
        <v>3.987</v>
      </c>
      <c r="I102" s="142" t="n">
        <f aca="false">VLOOKUP($A102,Table1,MATCH(I$3,Curves1,0))</f>
        <v>0</v>
      </c>
      <c r="J102" s="142" t="n">
        <f aca="false">VLOOKUP($A102,Table,MATCH(J$4,Curves,0))</f>
        <v>-0.061</v>
      </c>
      <c r="K102" s="143" t="n">
        <f aca="false">J102</f>
        <v>-0.061</v>
      </c>
      <c r="L102" s="144" t="n">
        <v>0</v>
      </c>
      <c r="M102" s="142" t="n">
        <f aca="false">VLOOKUP($A102,Table,MATCH(M$4,Curves,0))</f>
        <v>0.005</v>
      </c>
      <c r="N102" s="143" t="n">
        <f aca="false">M102</f>
        <v>0.005</v>
      </c>
      <c r="O102" s="144" t="n">
        <v>0</v>
      </c>
      <c r="P102" s="145"/>
      <c r="Q102" s="144" t="n">
        <f aca="false">M102+J102+G102</f>
        <v>3.931</v>
      </c>
      <c r="R102" s="144" t="n">
        <f aca="false">O102+L102+I102</f>
        <v>0</v>
      </c>
      <c r="S102" s="145"/>
      <c r="T102" s="71" t="n">
        <f aca="false">A103-A102</f>
        <v>31</v>
      </c>
      <c r="U102" s="146" t="n">
        <f aca="false">CHOOSE(F$3,A103+24,A102)</f>
        <v>39838</v>
      </c>
      <c r="V102" s="71" t="n">
        <f aca="false">U102-C$3</f>
        <v>2950</v>
      </c>
      <c r="W102" s="142" t="n">
        <f aca="false">VLOOKUP($A102,Table,MATCH(W$4,Curves,0))</f>
        <v>0.058966861357273</v>
      </c>
      <c r="X102" s="147" t="n">
        <f aca="false">1/(1+CHOOSE(F$3,(W103+($K$3/10000))/2,(W102+($K$3/10000))/2))^(2*V102/365.25)</f>
        <v>0.625396470535614</v>
      </c>
      <c r="Y102" s="71" t="n">
        <f aca="false">IF(AND(mthbeg&lt;=A102,mthend&gt;=A102),1,0)</f>
        <v>0</v>
      </c>
      <c r="Z102" s="71" t="n">
        <f aca="false">T102*Y102</f>
        <v>0</v>
      </c>
      <c r="AB102" s="132" t="n">
        <f aca="false">F102*G102</f>
        <v>0</v>
      </c>
      <c r="AC102" s="132" t="n">
        <f aca="false">$F102*H102</f>
        <v>0</v>
      </c>
      <c r="AD102" s="132" t="n">
        <f aca="false">$F102*I102</f>
        <v>0</v>
      </c>
      <c r="AE102" s="132" t="n">
        <f aca="false">$F102*J102</f>
        <v>-0</v>
      </c>
      <c r="AF102" s="132" t="n">
        <f aca="false">$F102*K102</f>
        <v>-0</v>
      </c>
      <c r="AG102" s="132" t="n">
        <f aca="false">$F102*L102</f>
        <v>0</v>
      </c>
      <c r="AH102" s="132" t="n">
        <f aca="false">$F102*M102</f>
        <v>0</v>
      </c>
      <c r="AI102" s="132" t="n">
        <f aca="false">$F102*N102</f>
        <v>0</v>
      </c>
      <c r="AJ102" s="132" t="n">
        <f aca="false">F102*O102</f>
        <v>0</v>
      </c>
      <c r="AK102" s="137"/>
      <c r="AL102" s="132" t="n">
        <f aca="false">CHOOSE($G$3,AC102-AD102,AD102-AC102)</f>
        <v>0</v>
      </c>
      <c r="AM102" s="132" t="n">
        <f aca="false">CHOOSE($G$3,AF102-AG102,AG102-AF102)</f>
        <v>0</v>
      </c>
      <c r="AN102" s="132" t="n">
        <f aca="false">CHOOSE($G$3,AI102-AJ102,AJ102-AI102)</f>
        <v>0</v>
      </c>
      <c r="AO102" s="148" t="n">
        <f aca="false">SUM(AL102:AN102)</f>
        <v>0</v>
      </c>
      <c r="AQ102" s="132" t="n">
        <f aca="false">CHOOSE($G$3,AB102-AC102,AC102-AB102)</f>
        <v>0</v>
      </c>
      <c r="AR102" s="132" t="n">
        <f aca="false">CHOOSE($G$3,AE102-AF102,AF102-AE102)</f>
        <v>0</v>
      </c>
      <c r="AS102" s="132" t="n">
        <f aca="false">CHOOSE($G$3,AH102-AI102,AI102-AH102)</f>
        <v>0</v>
      </c>
      <c r="AT102" s="148" t="n">
        <f aca="false">AQ102+AR102+AS102</f>
        <v>0</v>
      </c>
      <c r="AU102" s="148"/>
      <c r="AV102" s="133" t="n">
        <f aca="false">AT102+AO102</f>
        <v>0</v>
      </c>
      <c r="AX102" s="133" t="n">
        <f aca="false">AJ102+AG102+AD102</f>
        <v>0</v>
      </c>
      <c r="AY102" s="149"/>
      <c r="AZ102" s="76" t="n">
        <f aca="false">R102*E102</f>
        <v>0</v>
      </c>
    </row>
    <row r="103" customFormat="false" ht="12.75" hidden="false" customHeight="false" outlineLevel="0" collapsed="false">
      <c r="A103" s="138" t="n">
        <f aca="false">EDATE(A102,1)</f>
        <v>39814</v>
      </c>
      <c r="B103" s="139" t="n">
        <f aca="false">VLOOKUP($A103,Table2,MATCH(I$3,Curves2,0))</f>
        <v>0</v>
      </c>
      <c r="C103" s="140"/>
      <c r="D103" s="141" t="n">
        <f aca="false">B103+C103</f>
        <v>0</v>
      </c>
      <c r="E103" s="126" t="n">
        <f aca="false">IF(Y103=0,0,IF(AND(Y103=1,$H$3=1),D103*T103,IF($H$3=2,D103,"N/A")))</f>
        <v>0</v>
      </c>
      <c r="F103" s="126" t="n">
        <f aca="false">E103*X103</f>
        <v>0</v>
      </c>
      <c r="G103" s="142" t="n">
        <f aca="false">VLOOKUP($A103,Table,MATCH(G$4,Curves,0))</f>
        <v>3.987</v>
      </c>
      <c r="H103" s="143" t="n">
        <f aca="false">G103</f>
        <v>3.987</v>
      </c>
      <c r="I103" s="142" t="n">
        <f aca="false">VLOOKUP($A103,Table1,MATCH(I$3,Curves1,0))</f>
        <v>0</v>
      </c>
      <c r="J103" s="142" t="n">
        <f aca="false">VLOOKUP($A103,Table,MATCH(J$4,Curves,0))</f>
        <v>-0.061</v>
      </c>
      <c r="K103" s="143" t="n">
        <f aca="false">J103</f>
        <v>-0.061</v>
      </c>
      <c r="L103" s="144" t="n">
        <v>0</v>
      </c>
      <c r="M103" s="142" t="n">
        <f aca="false">VLOOKUP($A103,Table,MATCH(M$4,Curves,0))</f>
        <v>0.005</v>
      </c>
      <c r="N103" s="143" t="n">
        <f aca="false">M103</f>
        <v>0.005</v>
      </c>
      <c r="O103" s="144" t="n">
        <v>0</v>
      </c>
      <c r="P103" s="145"/>
      <c r="Q103" s="144" t="n">
        <f aca="false">M103+J103+G103</f>
        <v>3.931</v>
      </c>
      <c r="R103" s="144" t="n">
        <f aca="false">O103+L103+I103</f>
        <v>0</v>
      </c>
      <c r="S103" s="145"/>
      <c r="T103" s="71" t="n">
        <f aca="false">A104-A103</f>
        <v>31</v>
      </c>
      <c r="U103" s="146" t="n">
        <f aca="false">CHOOSE(F$3,A104+24,A103)</f>
        <v>39869</v>
      </c>
      <c r="V103" s="71" t="n">
        <f aca="false">U103-C$3</f>
        <v>2981</v>
      </c>
      <c r="W103" s="142" t="n">
        <f aca="false">VLOOKUP($A103,Table,MATCH(W$4,Curves,0))</f>
        <v>0.058966861357273</v>
      </c>
      <c r="X103" s="147" t="n">
        <f aca="false">1/(1+CHOOSE(F$3,(W104+($K$3/10000))/2,(W103+($K$3/10000))/2))^(2*V103/365.25)</f>
        <v>0.622319386614885</v>
      </c>
      <c r="Y103" s="71" t="n">
        <f aca="false">IF(AND(mthbeg&lt;=A103,mthend&gt;=A103),1,0)</f>
        <v>0</v>
      </c>
      <c r="Z103" s="71" t="n">
        <f aca="false">T103*Y103</f>
        <v>0</v>
      </c>
      <c r="AB103" s="132" t="n">
        <f aca="false">F103*G103</f>
        <v>0</v>
      </c>
      <c r="AC103" s="132" t="n">
        <f aca="false">$F103*H103</f>
        <v>0</v>
      </c>
      <c r="AD103" s="132" t="n">
        <f aca="false">$F103*I103</f>
        <v>0</v>
      </c>
      <c r="AE103" s="132" t="n">
        <f aca="false">$F103*J103</f>
        <v>-0</v>
      </c>
      <c r="AF103" s="132" t="n">
        <f aca="false">$F103*K103</f>
        <v>-0</v>
      </c>
      <c r="AG103" s="132" t="n">
        <f aca="false">$F103*L103</f>
        <v>0</v>
      </c>
      <c r="AH103" s="132" t="n">
        <f aca="false">$F103*M103</f>
        <v>0</v>
      </c>
      <c r="AI103" s="132" t="n">
        <f aca="false">$F103*N103</f>
        <v>0</v>
      </c>
      <c r="AJ103" s="132" t="n">
        <f aca="false">F103*O103</f>
        <v>0</v>
      </c>
      <c r="AK103" s="137"/>
      <c r="AL103" s="132" t="n">
        <f aca="false">CHOOSE($G$3,AC103-AD103,AD103-AC103)</f>
        <v>0</v>
      </c>
      <c r="AM103" s="132" t="n">
        <f aca="false">CHOOSE($G$3,AF103-AG103,AG103-AF103)</f>
        <v>0</v>
      </c>
      <c r="AN103" s="132" t="n">
        <f aca="false">CHOOSE($G$3,AI103-AJ103,AJ103-AI103)</f>
        <v>0</v>
      </c>
      <c r="AO103" s="148" t="n">
        <f aca="false">SUM(AL103:AN103)</f>
        <v>0</v>
      </c>
      <c r="AQ103" s="132" t="n">
        <f aca="false">CHOOSE($G$3,AB103-AC103,AC103-AB103)</f>
        <v>0</v>
      </c>
      <c r="AR103" s="132" t="n">
        <f aca="false">CHOOSE($G$3,AE103-AF103,AF103-AE103)</f>
        <v>0</v>
      </c>
      <c r="AS103" s="132" t="n">
        <f aca="false">CHOOSE($G$3,AH103-AI103,AI103-AH103)</f>
        <v>0</v>
      </c>
      <c r="AT103" s="148" t="n">
        <f aca="false">AQ103+AR103+AS103</f>
        <v>0</v>
      </c>
      <c r="AU103" s="148"/>
      <c r="AV103" s="133" t="n">
        <f aca="false">AT103+AO103</f>
        <v>0</v>
      </c>
      <c r="AX103" s="133" t="n">
        <f aca="false">AJ103+AG103+AD103</f>
        <v>0</v>
      </c>
      <c r="AY103" s="149"/>
      <c r="AZ103" s="76" t="n">
        <f aca="false">R103*E103</f>
        <v>0</v>
      </c>
    </row>
    <row r="104" customFormat="false" ht="12.75" hidden="false" customHeight="false" outlineLevel="0" collapsed="false">
      <c r="A104" s="138" t="n">
        <f aca="false">EDATE(A103,1)</f>
        <v>39845</v>
      </c>
      <c r="B104" s="139" t="n">
        <f aca="false">VLOOKUP($A104,Table2,MATCH(I$3,Curves2,0))</f>
        <v>0</v>
      </c>
      <c r="C104" s="140"/>
      <c r="D104" s="141" t="n">
        <f aca="false">B104+C104</f>
        <v>0</v>
      </c>
      <c r="E104" s="126" t="n">
        <f aca="false">IF(Y104=0,0,IF(AND(Y104=1,$H$3=1),D104*T104,IF($H$3=2,D104,"N/A")))</f>
        <v>0</v>
      </c>
      <c r="F104" s="126" t="n">
        <f aca="false">E104*X104</f>
        <v>0</v>
      </c>
      <c r="G104" s="142" t="n">
        <f aca="false">VLOOKUP($A104,Table,MATCH(G$4,Curves,0))</f>
        <v>3.987</v>
      </c>
      <c r="H104" s="143" t="n">
        <f aca="false">G104</f>
        <v>3.987</v>
      </c>
      <c r="I104" s="142" t="n">
        <f aca="false">VLOOKUP($A104,Table1,MATCH(I$3,Curves1,0))</f>
        <v>0</v>
      </c>
      <c r="J104" s="142" t="n">
        <f aca="false">VLOOKUP($A104,Table,MATCH(J$4,Curves,0))</f>
        <v>-0.061</v>
      </c>
      <c r="K104" s="143" t="n">
        <f aca="false">J104</f>
        <v>-0.061</v>
      </c>
      <c r="L104" s="144" t="n">
        <v>0</v>
      </c>
      <c r="M104" s="142" t="n">
        <f aca="false">VLOOKUP($A104,Table,MATCH(M$4,Curves,0))</f>
        <v>0.005</v>
      </c>
      <c r="N104" s="143" t="n">
        <f aca="false">M104</f>
        <v>0.005</v>
      </c>
      <c r="O104" s="144" t="n">
        <v>0</v>
      </c>
      <c r="P104" s="145"/>
      <c r="Q104" s="144" t="n">
        <f aca="false">M104+J104+G104</f>
        <v>3.931</v>
      </c>
      <c r="R104" s="144" t="n">
        <f aca="false">O104+L104+I104</f>
        <v>0</v>
      </c>
      <c r="S104" s="145"/>
      <c r="T104" s="71" t="n">
        <f aca="false">A105-A104</f>
        <v>28</v>
      </c>
      <c r="U104" s="146" t="n">
        <f aca="false">CHOOSE(F$3,A105+24,A104)</f>
        <v>39897</v>
      </c>
      <c r="V104" s="71" t="n">
        <f aca="false">U104-C$3</f>
        <v>3009</v>
      </c>
      <c r="W104" s="142" t="n">
        <f aca="false">VLOOKUP($A104,Table,MATCH(W$4,Curves,0))</f>
        <v>0.058966861357273</v>
      </c>
      <c r="X104" s="147" t="n">
        <f aca="false">1/(1+CHOOSE(F$3,(W105+($K$3/10000))/2,(W104+($K$3/10000))/2))^(2*V104/365.25)</f>
        <v>0.619553100151726</v>
      </c>
      <c r="Y104" s="71" t="n">
        <f aca="false">IF(AND(mthbeg&lt;=A104,mthend&gt;=A104),1,0)</f>
        <v>0</v>
      </c>
      <c r="Z104" s="71" t="n">
        <f aca="false">T104*Y104</f>
        <v>0</v>
      </c>
      <c r="AB104" s="132" t="n">
        <f aca="false">F104*G104</f>
        <v>0</v>
      </c>
      <c r="AC104" s="132" t="n">
        <f aca="false">$F104*H104</f>
        <v>0</v>
      </c>
      <c r="AD104" s="132" t="n">
        <f aca="false">$F104*I104</f>
        <v>0</v>
      </c>
      <c r="AE104" s="132" t="n">
        <f aca="false">$F104*J104</f>
        <v>-0</v>
      </c>
      <c r="AF104" s="132" t="n">
        <f aca="false">$F104*K104</f>
        <v>-0</v>
      </c>
      <c r="AG104" s="132" t="n">
        <f aca="false">$F104*L104</f>
        <v>0</v>
      </c>
      <c r="AH104" s="132" t="n">
        <f aca="false">$F104*M104</f>
        <v>0</v>
      </c>
      <c r="AI104" s="132" t="n">
        <f aca="false">$F104*N104</f>
        <v>0</v>
      </c>
      <c r="AJ104" s="132" t="n">
        <f aca="false">F104*O104</f>
        <v>0</v>
      </c>
      <c r="AK104" s="137"/>
      <c r="AL104" s="132" t="n">
        <f aca="false">CHOOSE($G$3,AC104-AD104,AD104-AC104)</f>
        <v>0</v>
      </c>
      <c r="AM104" s="132" t="n">
        <f aca="false">CHOOSE($G$3,AF104-AG104,AG104-AF104)</f>
        <v>0</v>
      </c>
      <c r="AN104" s="132" t="n">
        <f aca="false">CHOOSE($G$3,AI104-AJ104,AJ104-AI104)</f>
        <v>0</v>
      </c>
      <c r="AO104" s="148" t="n">
        <f aca="false">SUM(AL104:AN104)</f>
        <v>0</v>
      </c>
      <c r="AQ104" s="132" t="n">
        <f aca="false">CHOOSE($G$3,AB104-AC104,AC104-AB104)</f>
        <v>0</v>
      </c>
      <c r="AR104" s="132" t="n">
        <f aca="false">CHOOSE($G$3,AE104-AF104,AF104-AE104)</f>
        <v>0</v>
      </c>
      <c r="AS104" s="132" t="n">
        <f aca="false">CHOOSE($G$3,AH104-AI104,AI104-AH104)</f>
        <v>0</v>
      </c>
      <c r="AT104" s="148" t="n">
        <f aca="false">AQ104+AR104+AS104</f>
        <v>0</v>
      </c>
      <c r="AU104" s="148"/>
      <c r="AV104" s="133" t="n">
        <f aca="false">AT104+AO104</f>
        <v>0</v>
      </c>
      <c r="AX104" s="133" t="n">
        <f aca="false">AJ104+AG104+AD104</f>
        <v>0</v>
      </c>
      <c r="AY104" s="149"/>
      <c r="AZ104" s="76" t="n">
        <f aca="false">R104*E104</f>
        <v>0</v>
      </c>
    </row>
    <row r="105" customFormat="false" ht="12.75" hidden="false" customHeight="false" outlineLevel="0" collapsed="false">
      <c r="A105" s="138" t="n">
        <f aca="false">EDATE(A104,1)</f>
        <v>39873</v>
      </c>
      <c r="B105" s="139" t="n">
        <f aca="false">VLOOKUP($A105,Table2,MATCH(I$3,Curves2,0))</f>
        <v>0</v>
      </c>
      <c r="C105" s="140"/>
      <c r="D105" s="141" t="n">
        <f aca="false">B105+C105</f>
        <v>0</v>
      </c>
      <c r="E105" s="126" t="n">
        <f aca="false">IF(Y105=0,0,IF(AND(Y105=1,$H$3=1),D105*T105,IF($H$3=2,D105,"N/A")))</f>
        <v>0</v>
      </c>
      <c r="F105" s="126" t="n">
        <f aca="false">E105*X105</f>
        <v>0</v>
      </c>
      <c r="G105" s="142" t="n">
        <f aca="false">VLOOKUP($A105,Table,MATCH(G$4,Curves,0))</f>
        <v>3.987</v>
      </c>
      <c r="H105" s="143" t="n">
        <f aca="false">G105</f>
        <v>3.987</v>
      </c>
      <c r="I105" s="142" t="n">
        <f aca="false">VLOOKUP($A105,Table1,MATCH(I$3,Curves1,0))</f>
        <v>0</v>
      </c>
      <c r="J105" s="142" t="n">
        <f aca="false">VLOOKUP($A105,Table,MATCH(J$4,Curves,0))</f>
        <v>-0.061</v>
      </c>
      <c r="K105" s="143" t="n">
        <f aca="false">J105</f>
        <v>-0.061</v>
      </c>
      <c r="L105" s="144" t="n">
        <v>0</v>
      </c>
      <c r="M105" s="142" t="n">
        <f aca="false">VLOOKUP($A105,Table,MATCH(M$4,Curves,0))</f>
        <v>0.005</v>
      </c>
      <c r="N105" s="143" t="n">
        <f aca="false">M105</f>
        <v>0.005</v>
      </c>
      <c r="O105" s="144" t="n">
        <v>0</v>
      </c>
      <c r="P105" s="145"/>
      <c r="Q105" s="144" t="n">
        <f aca="false">M105+J105+G105</f>
        <v>3.931</v>
      </c>
      <c r="R105" s="144" t="n">
        <f aca="false">O105+L105+I105</f>
        <v>0</v>
      </c>
      <c r="S105" s="145"/>
      <c r="T105" s="71" t="n">
        <f aca="false">A106-A105</f>
        <v>31</v>
      </c>
      <c r="U105" s="146" t="n">
        <f aca="false">CHOOSE(F$3,A106+24,A105)</f>
        <v>39928</v>
      </c>
      <c r="V105" s="71" t="n">
        <f aca="false">U105-C$3</f>
        <v>3040</v>
      </c>
      <c r="W105" s="142" t="n">
        <f aca="false">VLOOKUP($A105,Table,MATCH(W$4,Curves,0))</f>
        <v>0.058966861357273</v>
      </c>
      <c r="X105" s="147" t="n">
        <f aca="false">1/(1+CHOOSE(F$3,(W106+($K$3/10000))/2,(W105+($K$3/10000))/2))^(2*V105/365.25)</f>
        <v>0.616504766858637</v>
      </c>
      <c r="Y105" s="71" t="n">
        <f aca="false">IF(AND(mthbeg&lt;=A105,mthend&gt;=A105),1,0)</f>
        <v>0</v>
      </c>
      <c r="Z105" s="71" t="n">
        <f aca="false">T105*Y105</f>
        <v>0</v>
      </c>
      <c r="AB105" s="132" t="n">
        <f aca="false">F105*G105</f>
        <v>0</v>
      </c>
      <c r="AC105" s="132" t="n">
        <f aca="false">$F105*H105</f>
        <v>0</v>
      </c>
      <c r="AD105" s="132" t="n">
        <f aca="false">$F105*I105</f>
        <v>0</v>
      </c>
      <c r="AE105" s="132" t="n">
        <f aca="false">$F105*J105</f>
        <v>-0</v>
      </c>
      <c r="AF105" s="132" t="n">
        <f aca="false">$F105*K105</f>
        <v>-0</v>
      </c>
      <c r="AG105" s="132" t="n">
        <f aca="false">$F105*L105</f>
        <v>0</v>
      </c>
      <c r="AH105" s="132" t="n">
        <f aca="false">$F105*M105</f>
        <v>0</v>
      </c>
      <c r="AI105" s="132" t="n">
        <f aca="false">$F105*N105</f>
        <v>0</v>
      </c>
      <c r="AJ105" s="132" t="n">
        <f aca="false">F105*O105</f>
        <v>0</v>
      </c>
      <c r="AK105" s="137"/>
      <c r="AL105" s="132" t="n">
        <f aca="false">CHOOSE($G$3,AC105-AD105,AD105-AC105)</f>
        <v>0</v>
      </c>
      <c r="AM105" s="132" t="n">
        <f aca="false">CHOOSE($G$3,AF105-AG105,AG105-AF105)</f>
        <v>0</v>
      </c>
      <c r="AN105" s="132" t="n">
        <f aca="false">CHOOSE($G$3,AI105-AJ105,AJ105-AI105)</f>
        <v>0</v>
      </c>
      <c r="AO105" s="148" t="n">
        <f aca="false">SUM(AL105:AN105)</f>
        <v>0</v>
      </c>
      <c r="AQ105" s="132" t="n">
        <f aca="false">CHOOSE($G$3,AB105-AC105,AC105-AB105)</f>
        <v>0</v>
      </c>
      <c r="AR105" s="132" t="n">
        <f aca="false">CHOOSE($G$3,AE105-AF105,AF105-AE105)</f>
        <v>0</v>
      </c>
      <c r="AS105" s="132" t="n">
        <f aca="false">CHOOSE($G$3,AH105-AI105,AI105-AH105)</f>
        <v>0</v>
      </c>
      <c r="AT105" s="148" t="n">
        <f aca="false">AQ105+AR105+AS105</f>
        <v>0</v>
      </c>
      <c r="AU105" s="148"/>
      <c r="AV105" s="133" t="n">
        <f aca="false">AT105+AO105</f>
        <v>0</v>
      </c>
      <c r="AX105" s="133" t="n">
        <f aca="false">AJ105+AG105+AD105</f>
        <v>0</v>
      </c>
      <c r="AY105" s="149"/>
      <c r="AZ105" s="76" t="n">
        <f aca="false">R105*E105</f>
        <v>0</v>
      </c>
    </row>
    <row r="106" customFormat="false" ht="12.75" hidden="false" customHeight="false" outlineLevel="0" collapsed="false">
      <c r="A106" s="138" t="n">
        <f aca="false">EDATE(A105,1)</f>
        <v>39904</v>
      </c>
      <c r="B106" s="139" t="n">
        <f aca="false">VLOOKUP($A106,Table2,MATCH(I$3,Curves2,0))</f>
        <v>0</v>
      </c>
      <c r="C106" s="140"/>
      <c r="D106" s="141" t="n">
        <f aca="false">B106+C106</f>
        <v>0</v>
      </c>
      <c r="E106" s="126" t="n">
        <f aca="false">IF(Y106=0,0,IF(AND(Y106=1,$H$3=1),D106*T106,IF($H$3=2,D106,"N/A")))</f>
        <v>0</v>
      </c>
      <c r="F106" s="126" t="n">
        <f aca="false">E106*X106</f>
        <v>0</v>
      </c>
      <c r="G106" s="142" t="n">
        <f aca="false">VLOOKUP($A106,Table,MATCH(G$4,Curves,0))</f>
        <v>3.987</v>
      </c>
      <c r="H106" s="143" t="n">
        <f aca="false">G106</f>
        <v>3.987</v>
      </c>
      <c r="I106" s="142" t="n">
        <f aca="false">VLOOKUP($A106,Table1,MATCH(I$3,Curves1,0))</f>
        <v>0</v>
      </c>
      <c r="J106" s="142" t="n">
        <f aca="false">VLOOKUP($A106,Table,MATCH(J$4,Curves,0))</f>
        <v>-0.061</v>
      </c>
      <c r="K106" s="143" t="n">
        <f aca="false">J106</f>
        <v>-0.061</v>
      </c>
      <c r="L106" s="144" t="n">
        <v>0</v>
      </c>
      <c r="M106" s="142" t="n">
        <f aca="false">VLOOKUP($A106,Table,MATCH(M$4,Curves,0))</f>
        <v>0.005</v>
      </c>
      <c r="N106" s="143" t="n">
        <f aca="false">M106</f>
        <v>0.005</v>
      </c>
      <c r="O106" s="144" t="n">
        <v>0</v>
      </c>
      <c r="P106" s="145"/>
      <c r="Q106" s="144" t="n">
        <f aca="false">M106+J106+G106</f>
        <v>3.931</v>
      </c>
      <c r="R106" s="144" t="n">
        <f aca="false">O106+L106+I106</f>
        <v>0</v>
      </c>
      <c r="S106" s="145"/>
      <c r="T106" s="71" t="n">
        <f aca="false">A107-A106</f>
        <v>30</v>
      </c>
      <c r="U106" s="146" t="n">
        <f aca="false">CHOOSE(F$3,A107+24,A106)</f>
        <v>39958</v>
      </c>
      <c r="V106" s="71" t="n">
        <f aca="false">U106-C$3</f>
        <v>3070</v>
      </c>
      <c r="W106" s="142" t="n">
        <f aca="false">VLOOKUP($A106,Table,MATCH(W$4,Curves,0))</f>
        <v>0.058966861357273</v>
      </c>
      <c r="X106" s="147" t="n">
        <f aca="false">1/(1+CHOOSE(F$3,(W107+($K$3/10000))/2,(W106+($K$3/10000))/2))^(2*V106/365.25)</f>
        <v>0.613569048175669</v>
      </c>
      <c r="Y106" s="71" t="n">
        <f aca="false">IF(AND(mthbeg&lt;=A106,mthend&gt;=A106),1,0)</f>
        <v>0</v>
      </c>
      <c r="Z106" s="71" t="n">
        <f aca="false">T106*Y106</f>
        <v>0</v>
      </c>
      <c r="AB106" s="132" t="n">
        <f aca="false">F106*G106</f>
        <v>0</v>
      </c>
      <c r="AC106" s="132" t="n">
        <f aca="false">$F106*H106</f>
        <v>0</v>
      </c>
      <c r="AD106" s="132" t="n">
        <f aca="false">$F106*I106</f>
        <v>0</v>
      </c>
      <c r="AE106" s="132" t="n">
        <f aca="false">$F106*J106</f>
        <v>-0</v>
      </c>
      <c r="AF106" s="132" t="n">
        <f aca="false">$F106*K106</f>
        <v>-0</v>
      </c>
      <c r="AG106" s="132" t="n">
        <f aca="false">$F106*L106</f>
        <v>0</v>
      </c>
      <c r="AH106" s="132" t="n">
        <f aca="false">$F106*M106</f>
        <v>0</v>
      </c>
      <c r="AI106" s="132" t="n">
        <f aca="false">$F106*N106</f>
        <v>0</v>
      </c>
      <c r="AJ106" s="132" t="n">
        <f aca="false">F106*O106</f>
        <v>0</v>
      </c>
      <c r="AK106" s="137"/>
      <c r="AL106" s="132" t="n">
        <f aca="false">CHOOSE($G$3,AC106-AD106,AD106-AC106)</f>
        <v>0</v>
      </c>
      <c r="AM106" s="132" t="n">
        <f aca="false">CHOOSE($G$3,AF106-AG106,AG106-AF106)</f>
        <v>0</v>
      </c>
      <c r="AN106" s="132" t="n">
        <f aca="false">CHOOSE($G$3,AI106-AJ106,AJ106-AI106)</f>
        <v>0</v>
      </c>
      <c r="AO106" s="148" t="n">
        <f aca="false">SUM(AL106:AN106)</f>
        <v>0</v>
      </c>
      <c r="AQ106" s="132" t="n">
        <f aca="false">CHOOSE($G$3,AB106-AC106,AC106-AB106)</f>
        <v>0</v>
      </c>
      <c r="AR106" s="132" t="n">
        <f aca="false">CHOOSE($G$3,AE106-AF106,AF106-AE106)</f>
        <v>0</v>
      </c>
      <c r="AS106" s="132" t="n">
        <f aca="false">CHOOSE($G$3,AH106-AI106,AI106-AH106)</f>
        <v>0</v>
      </c>
      <c r="AT106" s="148" t="n">
        <f aca="false">AQ106+AR106+AS106</f>
        <v>0</v>
      </c>
      <c r="AU106" s="148"/>
      <c r="AV106" s="133" t="n">
        <f aca="false">AT106+AO106</f>
        <v>0</v>
      </c>
      <c r="AX106" s="133" t="n">
        <f aca="false">AJ106+AG106+AD106</f>
        <v>0</v>
      </c>
      <c r="AY106" s="149"/>
      <c r="AZ106" s="76" t="n">
        <f aca="false">R106*E106</f>
        <v>0</v>
      </c>
    </row>
    <row r="107" customFormat="false" ht="12.75" hidden="false" customHeight="false" outlineLevel="0" collapsed="false">
      <c r="A107" s="138" t="n">
        <f aca="false">EDATE(A106,1)</f>
        <v>39934</v>
      </c>
      <c r="B107" s="139" t="n">
        <f aca="false">VLOOKUP($A107,Table2,MATCH(I$3,Curves2,0))</f>
        <v>0</v>
      </c>
      <c r="C107" s="140"/>
      <c r="D107" s="141" t="n">
        <f aca="false">B107+C107</f>
        <v>0</v>
      </c>
      <c r="E107" s="126" t="n">
        <f aca="false">IF(Y107=0,0,IF(AND(Y107=1,$H$3=1),D107*T107,IF($H$3=2,D107,"N/A")))</f>
        <v>0</v>
      </c>
      <c r="F107" s="126" t="n">
        <f aca="false">E107*X107</f>
        <v>0</v>
      </c>
      <c r="G107" s="142" t="n">
        <f aca="false">VLOOKUP($A107,Table,MATCH(G$4,Curves,0))</f>
        <v>3.987</v>
      </c>
      <c r="H107" s="143" t="n">
        <f aca="false">G107</f>
        <v>3.987</v>
      </c>
      <c r="I107" s="142" t="n">
        <f aca="false">VLOOKUP($A107,Table1,MATCH(I$3,Curves1,0))</f>
        <v>0</v>
      </c>
      <c r="J107" s="142" t="n">
        <f aca="false">VLOOKUP($A107,Table,MATCH(J$4,Curves,0))</f>
        <v>-0.061</v>
      </c>
      <c r="K107" s="143" t="n">
        <f aca="false">J107</f>
        <v>-0.061</v>
      </c>
      <c r="L107" s="144" t="n">
        <v>0</v>
      </c>
      <c r="M107" s="142" t="n">
        <f aca="false">VLOOKUP($A107,Table,MATCH(M$4,Curves,0))</f>
        <v>0.005</v>
      </c>
      <c r="N107" s="143" t="n">
        <f aca="false">M107</f>
        <v>0.005</v>
      </c>
      <c r="O107" s="144" t="n">
        <v>0</v>
      </c>
      <c r="P107" s="145"/>
      <c r="Q107" s="144" t="n">
        <f aca="false">M107+J107+G107</f>
        <v>3.931</v>
      </c>
      <c r="R107" s="144" t="n">
        <f aca="false">O107+L107+I107</f>
        <v>0</v>
      </c>
      <c r="S107" s="145"/>
      <c r="T107" s="71" t="n">
        <f aca="false">A108-A107</f>
        <v>31</v>
      </c>
      <c r="U107" s="146" t="n">
        <f aca="false">CHOOSE(F$3,A108+24,A107)</f>
        <v>39989</v>
      </c>
      <c r="V107" s="71" t="n">
        <f aca="false">U107-C$3</f>
        <v>3101</v>
      </c>
      <c r="W107" s="142" t="n">
        <f aca="false">VLOOKUP($A107,Table,MATCH(W$4,Curves,0))</f>
        <v>0.058966861357273</v>
      </c>
      <c r="X107" s="147" t="n">
        <f aca="false">1/(1+CHOOSE(F$3,(W108+($K$3/10000))/2,(W107+($K$3/10000))/2))^(2*V107/365.25)</f>
        <v>0.610550157693634</v>
      </c>
      <c r="Y107" s="71" t="n">
        <f aca="false">IF(AND(mthbeg&lt;=A107,mthend&gt;=A107),1,0)</f>
        <v>0</v>
      </c>
      <c r="Z107" s="71" t="n">
        <f aca="false">T107*Y107</f>
        <v>0</v>
      </c>
      <c r="AB107" s="132" t="n">
        <f aca="false">F107*G107</f>
        <v>0</v>
      </c>
      <c r="AC107" s="132" t="n">
        <f aca="false">$F107*H107</f>
        <v>0</v>
      </c>
      <c r="AD107" s="132" t="n">
        <f aca="false">$F107*I107</f>
        <v>0</v>
      </c>
      <c r="AE107" s="132" t="n">
        <f aca="false">$F107*J107</f>
        <v>-0</v>
      </c>
      <c r="AF107" s="132" t="n">
        <f aca="false">$F107*K107</f>
        <v>-0</v>
      </c>
      <c r="AG107" s="132" t="n">
        <f aca="false">$F107*L107</f>
        <v>0</v>
      </c>
      <c r="AH107" s="132" t="n">
        <f aca="false">$F107*M107</f>
        <v>0</v>
      </c>
      <c r="AI107" s="132" t="n">
        <f aca="false">$F107*N107</f>
        <v>0</v>
      </c>
      <c r="AJ107" s="132" t="n">
        <f aca="false">F107*O107</f>
        <v>0</v>
      </c>
      <c r="AK107" s="137"/>
      <c r="AL107" s="132" t="n">
        <f aca="false">CHOOSE($G$3,AC107-AD107,AD107-AC107)</f>
        <v>0</v>
      </c>
      <c r="AM107" s="132" t="n">
        <f aca="false">CHOOSE($G$3,AF107-AG107,AG107-AF107)</f>
        <v>0</v>
      </c>
      <c r="AN107" s="132" t="n">
        <f aca="false">CHOOSE($G$3,AI107-AJ107,AJ107-AI107)</f>
        <v>0</v>
      </c>
      <c r="AO107" s="148" t="n">
        <f aca="false">SUM(AL107:AN107)</f>
        <v>0</v>
      </c>
      <c r="AQ107" s="132" t="n">
        <f aca="false">CHOOSE($G$3,AB107-AC107,AC107-AB107)</f>
        <v>0</v>
      </c>
      <c r="AR107" s="132" t="n">
        <f aca="false">CHOOSE($G$3,AE107-AF107,AF107-AE107)</f>
        <v>0</v>
      </c>
      <c r="AS107" s="132" t="n">
        <f aca="false">CHOOSE($G$3,AH107-AI107,AI107-AH107)</f>
        <v>0</v>
      </c>
      <c r="AT107" s="148" t="n">
        <f aca="false">AQ107+AR107+AS107</f>
        <v>0</v>
      </c>
      <c r="AU107" s="148"/>
      <c r="AV107" s="133" t="n">
        <f aca="false">AT107+AO107</f>
        <v>0</v>
      </c>
      <c r="AX107" s="133" t="n">
        <f aca="false">AJ107+AG107+AD107</f>
        <v>0</v>
      </c>
      <c r="AY107" s="149"/>
      <c r="AZ107" s="76" t="n">
        <f aca="false">R107*E107</f>
        <v>0</v>
      </c>
    </row>
    <row r="108" customFormat="false" ht="12.75" hidden="false" customHeight="false" outlineLevel="0" collapsed="false">
      <c r="A108" s="138" t="n">
        <f aca="false">EDATE(A107,1)</f>
        <v>39965</v>
      </c>
      <c r="B108" s="139" t="n">
        <f aca="false">VLOOKUP($A108,Table2,MATCH(I$3,Curves2,0))</f>
        <v>0</v>
      </c>
      <c r="C108" s="140"/>
      <c r="D108" s="141" t="n">
        <f aca="false">B108+C108</f>
        <v>0</v>
      </c>
      <c r="E108" s="126" t="n">
        <f aca="false">IF(Y108=0,0,IF(AND(Y108=1,$H$3=1),D108*T108,IF($H$3=2,D108,"N/A")))</f>
        <v>0</v>
      </c>
      <c r="F108" s="126" t="n">
        <f aca="false">E108*X108</f>
        <v>0</v>
      </c>
      <c r="G108" s="142" t="n">
        <f aca="false">VLOOKUP($A108,Table,MATCH(G$4,Curves,0))</f>
        <v>3.987</v>
      </c>
      <c r="H108" s="143" t="n">
        <f aca="false">G108</f>
        <v>3.987</v>
      </c>
      <c r="I108" s="142" t="n">
        <f aca="false">VLOOKUP($A108,Table1,MATCH(I$3,Curves1,0))</f>
        <v>0</v>
      </c>
      <c r="J108" s="142" t="n">
        <f aca="false">VLOOKUP($A108,Table,MATCH(J$4,Curves,0))</f>
        <v>-0.061</v>
      </c>
      <c r="K108" s="143" t="n">
        <f aca="false">J108</f>
        <v>-0.061</v>
      </c>
      <c r="L108" s="144" t="n">
        <v>0</v>
      </c>
      <c r="M108" s="142" t="n">
        <f aca="false">VLOOKUP($A108,Table,MATCH(M$4,Curves,0))</f>
        <v>0.005</v>
      </c>
      <c r="N108" s="143" t="n">
        <f aca="false">M108</f>
        <v>0.005</v>
      </c>
      <c r="O108" s="144" t="n">
        <v>0</v>
      </c>
      <c r="P108" s="145"/>
      <c r="Q108" s="144" t="n">
        <f aca="false">M108+J108+G108</f>
        <v>3.931</v>
      </c>
      <c r="R108" s="144" t="n">
        <f aca="false">O108+L108+I108</f>
        <v>0</v>
      </c>
      <c r="S108" s="145"/>
      <c r="T108" s="71" t="n">
        <f aca="false">A109-A108</f>
        <v>30</v>
      </c>
      <c r="U108" s="146" t="n">
        <f aca="false">CHOOSE(F$3,A109+24,A108)</f>
        <v>40019</v>
      </c>
      <c r="V108" s="71" t="n">
        <f aca="false">U108-C$3</f>
        <v>3131</v>
      </c>
      <c r="W108" s="142" t="n">
        <f aca="false">VLOOKUP($A108,Table,MATCH(W$4,Curves,0))</f>
        <v>0.058966861357273</v>
      </c>
      <c r="X108" s="147" t="n">
        <f aca="false">1/(1+CHOOSE(F$3,(W109+($K$3/10000))/2,(W108+($K$3/10000))/2))^(2*V108/365.25)</f>
        <v>0.607642794115631</v>
      </c>
      <c r="Y108" s="71" t="n">
        <f aca="false">IF(AND(mthbeg&lt;=A108,mthend&gt;=A108),1,0)</f>
        <v>0</v>
      </c>
      <c r="Z108" s="71" t="n">
        <f aca="false">T108*Y108</f>
        <v>0</v>
      </c>
      <c r="AB108" s="132" t="n">
        <f aca="false">F108*G108</f>
        <v>0</v>
      </c>
      <c r="AC108" s="132" t="n">
        <f aca="false">$F108*H108</f>
        <v>0</v>
      </c>
      <c r="AD108" s="132" t="n">
        <f aca="false">$F108*I108</f>
        <v>0</v>
      </c>
      <c r="AE108" s="132" t="n">
        <f aca="false">$F108*J108</f>
        <v>-0</v>
      </c>
      <c r="AF108" s="132" t="n">
        <f aca="false">$F108*K108</f>
        <v>-0</v>
      </c>
      <c r="AG108" s="132" t="n">
        <f aca="false">$F108*L108</f>
        <v>0</v>
      </c>
      <c r="AH108" s="132" t="n">
        <f aca="false">$F108*M108</f>
        <v>0</v>
      </c>
      <c r="AI108" s="132" t="n">
        <f aca="false">$F108*N108</f>
        <v>0</v>
      </c>
      <c r="AJ108" s="132" t="n">
        <f aca="false">F108*O108</f>
        <v>0</v>
      </c>
      <c r="AK108" s="137"/>
      <c r="AL108" s="132" t="n">
        <f aca="false">CHOOSE($G$3,AC108-AD108,AD108-AC108)</f>
        <v>0</v>
      </c>
      <c r="AM108" s="132" t="n">
        <f aca="false">CHOOSE($G$3,AF108-AG108,AG108-AF108)</f>
        <v>0</v>
      </c>
      <c r="AN108" s="132" t="n">
        <f aca="false">CHOOSE($G$3,AI108-AJ108,AJ108-AI108)</f>
        <v>0</v>
      </c>
      <c r="AO108" s="148" t="n">
        <f aca="false">SUM(AL108:AN108)</f>
        <v>0</v>
      </c>
      <c r="AQ108" s="132" t="n">
        <f aca="false">CHOOSE($G$3,AB108-AC108,AC108-AB108)</f>
        <v>0</v>
      </c>
      <c r="AR108" s="132" t="n">
        <f aca="false">CHOOSE($G$3,AE108-AF108,AF108-AE108)</f>
        <v>0</v>
      </c>
      <c r="AS108" s="132" t="n">
        <f aca="false">CHOOSE($G$3,AH108-AI108,AI108-AH108)</f>
        <v>0</v>
      </c>
      <c r="AT108" s="148" t="n">
        <f aca="false">AQ108+AR108+AS108</f>
        <v>0</v>
      </c>
      <c r="AU108" s="148"/>
      <c r="AV108" s="133" t="n">
        <f aca="false">AT108+AO108</f>
        <v>0</v>
      </c>
      <c r="AX108" s="133" t="n">
        <f aca="false">AJ108+AG108+AD108</f>
        <v>0</v>
      </c>
      <c r="AY108" s="149"/>
      <c r="AZ108" s="76" t="n">
        <f aca="false">R108*E108</f>
        <v>0</v>
      </c>
    </row>
    <row r="109" customFormat="false" ht="12.75" hidden="false" customHeight="false" outlineLevel="0" collapsed="false">
      <c r="A109" s="138" t="n">
        <f aca="false">EDATE(A108,1)</f>
        <v>39995</v>
      </c>
      <c r="B109" s="139" t="n">
        <f aca="false">VLOOKUP($A109,Table2,MATCH(I$3,Curves2,0))</f>
        <v>0</v>
      </c>
      <c r="C109" s="140"/>
      <c r="D109" s="141" t="n">
        <f aca="false">B109+C109</f>
        <v>0</v>
      </c>
      <c r="E109" s="126" t="n">
        <f aca="false">IF(Y109=0,0,IF(AND(Y109=1,$H$3=1),D109*T109,IF($H$3=2,D109,"N/A")))</f>
        <v>0</v>
      </c>
      <c r="F109" s="126" t="n">
        <f aca="false">E109*X109</f>
        <v>0</v>
      </c>
      <c r="G109" s="142" t="n">
        <f aca="false">VLOOKUP($A109,Table,MATCH(G$4,Curves,0))</f>
        <v>3.987</v>
      </c>
      <c r="H109" s="143" t="n">
        <f aca="false">G109</f>
        <v>3.987</v>
      </c>
      <c r="I109" s="142" t="n">
        <f aca="false">VLOOKUP($A109,Table1,MATCH(I$3,Curves1,0))</f>
        <v>0</v>
      </c>
      <c r="J109" s="142" t="n">
        <f aca="false">VLOOKUP($A109,Table,MATCH(J$4,Curves,0))</f>
        <v>-0.061</v>
      </c>
      <c r="K109" s="143" t="n">
        <f aca="false">J109</f>
        <v>-0.061</v>
      </c>
      <c r="L109" s="144" t="n">
        <v>0</v>
      </c>
      <c r="M109" s="142" t="n">
        <f aca="false">VLOOKUP($A109,Table,MATCH(M$4,Curves,0))</f>
        <v>0.005</v>
      </c>
      <c r="N109" s="143" t="n">
        <f aca="false">M109</f>
        <v>0.005</v>
      </c>
      <c r="O109" s="144" t="n">
        <v>0</v>
      </c>
      <c r="P109" s="145"/>
      <c r="Q109" s="144" t="n">
        <f aca="false">M109+J109+G109</f>
        <v>3.931</v>
      </c>
      <c r="R109" s="144" t="n">
        <f aca="false">O109+L109+I109</f>
        <v>0</v>
      </c>
      <c r="S109" s="145"/>
      <c r="T109" s="71" t="n">
        <f aca="false">A110-A109</f>
        <v>31</v>
      </c>
      <c r="U109" s="146" t="n">
        <f aca="false">CHOOSE(F$3,A110+24,A109)</f>
        <v>40050</v>
      </c>
      <c r="V109" s="71" t="n">
        <f aca="false">U109-C$3</f>
        <v>3162</v>
      </c>
      <c r="W109" s="142" t="n">
        <f aca="false">VLOOKUP($A109,Table,MATCH(W$4,Curves,0))</f>
        <v>0.058966861357273</v>
      </c>
      <c r="X109" s="147" t="n">
        <f aca="false">1/(1+CHOOSE(F$3,(W110+($K$3/10000))/2,(W109+($K$3/10000))/2))^(2*V109/365.25)</f>
        <v>0.604653062066586</v>
      </c>
      <c r="Y109" s="71" t="n">
        <f aca="false">IF(AND(mthbeg&lt;=A109,mthend&gt;=A109),1,0)</f>
        <v>0</v>
      </c>
      <c r="Z109" s="71" t="n">
        <f aca="false">T109*Y109</f>
        <v>0</v>
      </c>
      <c r="AB109" s="132" t="n">
        <f aca="false">F109*G109</f>
        <v>0</v>
      </c>
      <c r="AC109" s="132" t="n">
        <f aca="false">$F109*H109</f>
        <v>0</v>
      </c>
      <c r="AD109" s="132" t="n">
        <f aca="false">$F109*I109</f>
        <v>0</v>
      </c>
      <c r="AE109" s="132" t="n">
        <f aca="false">$F109*J109</f>
        <v>-0</v>
      </c>
      <c r="AF109" s="132" t="n">
        <f aca="false">$F109*K109</f>
        <v>-0</v>
      </c>
      <c r="AG109" s="132" t="n">
        <f aca="false">$F109*L109</f>
        <v>0</v>
      </c>
      <c r="AH109" s="132" t="n">
        <f aca="false">$F109*M109</f>
        <v>0</v>
      </c>
      <c r="AI109" s="132" t="n">
        <f aca="false">$F109*N109</f>
        <v>0</v>
      </c>
      <c r="AJ109" s="132" t="n">
        <f aca="false">F109*O109</f>
        <v>0</v>
      </c>
      <c r="AK109" s="137"/>
      <c r="AL109" s="132" t="n">
        <f aca="false">CHOOSE($G$3,AC109-AD109,AD109-AC109)</f>
        <v>0</v>
      </c>
      <c r="AM109" s="132" t="n">
        <f aca="false">CHOOSE($G$3,AF109-AG109,AG109-AF109)</f>
        <v>0</v>
      </c>
      <c r="AN109" s="132" t="n">
        <f aca="false">CHOOSE($G$3,AI109-AJ109,AJ109-AI109)</f>
        <v>0</v>
      </c>
      <c r="AO109" s="148" t="n">
        <f aca="false">SUM(AL109:AN109)</f>
        <v>0</v>
      </c>
      <c r="AQ109" s="132" t="n">
        <f aca="false">CHOOSE($G$3,AB109-AC109,AC109-AB109)</f>
        <v>0</v>
      </c>
      <c r="AR109" s="132" t="n">
        <f aca="false">CHOOSE($G$3,AE109-AF109,AF109-AE109)</f>
        <v>0</v>
      </c>
      <c r="AS109" s="132" t="n">
        <f aca="false">CHOOSE($G$3,AH109-AI109,AI109-AH109)</f>
        <v>0</v>
      </c>
      <c r="AT109" s="148" t="n">
        <f aca="false">AQ109+AR109+AS109</f>
        <v>0</v>
      </c>
      <c r="AU109" s="148"/>
      <c r="AV109" s="133" t="n">
        <f aca="false">AT109+AO109</f>
        <v>0</v>
      </c>
      <c r="AX109" s="133" t="n">
        <f aca="false">AJ109+AG109+AD109</f>
        <v>0</v>
      </c>
      <c r="AY109" s="149"/>
      <c r="AZ109" s="76" t="n">
        <f aca="false">R109*E109</f>
        <v>0</v>
      </c>
    </row>
    <row r="110" customFormat="false" ht="12.75" hidden="false" customHeight="false" outlineLevel="0" collapsed="false">
      <c r="A110" s="138" t="n">
        <f aca="false">EDATE(A109,1)</f>
        <v>40026</v>
      </c>
      <c r="B110" s="139" t="n">
        <f aca="false">VLOOKUP($A110,Table2,MATCH(I$3,Curves2,0))</f>
        <v>0</v>
      </c>
      <c r="C110" s="140"/>
      <c r="D110" s="141" t="n">
        <f aca="false">B110+C110</f>
        <v>0</v>
      </c>
      <c r="E110" s="126" t="n">
        <f aca="false">IF(Y110=0,0,IF(AND(Y110=1,$H$3=1),D110*T110,IF($H$3=2,D110,"N/A")))</f>
        <v>0</v>
      </c>
      <c r="F110" s="126" t="n">
        <f aca="false">E110*X110</f>
        <v>0</v>
      </c>
      <c r="G110" s="142" t="n">
        <f aca="false">VLOOKUP($A110,Table,MATCH(G$4,Curves,0))</f>
        <v>3.987</v>
      </c>
      <c r="H110" s="143" t="n">
        <f aca="false">G110</f>
        <v>3.987</v>
      </c>
      <c r="I110" s="142" t="n">
        <f aca="false">VLOOKUP($A110,Table1,MATCH(I$3,Curves1,0))</f>
        <v>0</v>
      </c>
      <c r="J110" s="142" t="n">
        <f aca="false">VLOOKUP($A110,Table,MATCH(J$4,Curves,0))</f>
        <v>-0.061</v>
      </c>
      <c r="K110" s="143" t="n">
        <f aca="false">J110</f>
        <v>-0.061</v>
      </c>
      <c r="L110" s="144" t="n">
        <v>0</v>
      </c>
      <c r="M110" s="142" t="n">
        <f aca="false">VLOOKUP($A110,Table,MATCH(M$4,Curves,0))</f>
        <v>0.005</v>
      </c>
      <c r="N110" s="143" t="n">
        <f aca="false">M110</f>
        <v>0.005</v>
      </c>
      <c r="O110" s="144" t="n">
        <v>0</v>
      </c>
      <c r="P110" s="145"/>
      <c r="Q110" s="144" t="n">
        <f aca="false">M110+J110+G110</f>
        <v>3.931</v>
      </c>
      <c r="R110" s="144" t="n">
        <f aca="false">O110+L110+I110</f>
        <v>0</v>
      </c>
      <c r="S110" s="145"/>
      <c r="T110" s="71" t="n">
        <f aca="false">A111-A110</f>
        <v>31</v>
      </c>
      <c r="U110" s="146" t="n">
        <f aca="false">CHOOSE(F$3,A111+24,A110)</f>
        <v>40081</v>
      </c>
      <c r="V110" s="71" t="n">
        <f aca="false">U110-C$3</f>
        <v>3193</v>
      </c>
      <c r="W110" s="142" t="n">
        <f aca="false">VLOOKUP($A110,Table,MATCH(W$4,Curves,0))</f>
        <v>0.058966861357273</v>
      </c>
      <c r="X110" s="147" t="n">
        <f aca="false">1/(1+CHOOSE(F$3,(W111+($K$3/10000))/2,(W110+($K$3/10000))/2))^(2*V110/365.25)</f>
        <v>0.601678040136401</v>
      </c>
      <c r="Y110" s="71" t="n">
        <f aca="false">IF(AND(mthbeg&lt;=A110,mthend&gt;=A110),1,0)</f>
        <v>0</v>
      </c>
      <c r="Z110" s="71" t="n">
        <f aca="false">T110*Y110</f>
        <v>0</v>
      </c>
      <c r="AB110" s="132" t="n">
        <f aca="false">F110*G110</f>
        <v>0</v>
      </c>
      <c r="AC110" s="132" t="n">
        <f aca="false">$F110*H110</f>
        <v>0</v>
      </c>
      <c r="AD110" s="132" t="n">
        <f aca="false">$F110*I110</f>
        <v>0</v>
      </c>
      <c r="AE110" s="132" t="n">
        <f aca="false">$F110*J110</f>
        <v>-0</v>
      </c>
      <c r="AF110" s="132" t="n">
        <f aca="false">$F110*K110</f>
        <v>-0</v>
      </c>
      <c r="AG110" s="132" t="n">
        <f aca="false">$F110*L110</f>
        <v>0</v>
      </c>
      <c r="AH110" s="132" t="n">
        <f aca="false">$F110*M110</f>
        <v>0</v>
      </c>
      <c r="AI110" s="132" t="n">
        <f aca="false">$F110*N110</f>
        <v>0</v>
      </c>
      <c r="AJ110" s="132" t="n">
        <f aca="false">F110*O110</f>
        <v>0</v>
      </c>
      <c r="AK110" s="137"/>
      <c r="AL110" s="132" t="n">
        <f aca="false">CHOOSE($G$3,AC110-AD110,AD110-AC110)</f>
        <v>0</v>
      </c>
      <c r="AM110" s="132" t="n">
        <f aca="false">CHOOSE($G$3,AF110-AG110,AG110-AF110)</f>
        <v>0</v>
      </c>
      <c r="AN110" s="132" t="n">
        <f aca="false">CHOOSE($G$3,AI110-AJ110,AJ110-AI110)</f>
        <v>0</v>
      </c>
      <c r="AO110" s="148" t="n">
        <f aca="false">SUM(AL110:AN110)</f>
        <v>0</v>
      </c>
      <c r="AQ110" s="132" t="n">
        <f aca="false">CHOOSE($G$3,AB110-AC110,AC110-AB110)</f>
        <v>0</v>
      </c>
      <c r="AR110" s="132" t="n">
        <f aca="false">CHOOSE($G$3,AE110-AF110,AF110-AE110)</f>
        <v>0</v>
      </c>
      <c r="AS110" s="132" t="n">
        <f aca="false">CHOOSE($G$3,AH110-AI110,AI110-AH110)</f>
        <v>0</v>
      </c>
      <c r="AT110" s="148" t="n">
        <f aca="false">AQ110+AR110+AS110</f>
        <v>0</v>
      </c>
      <c r="AU110" s="148"/>
      <c r="AV110" s="133" t="n">
        <f aca="false">AT110+AO110</f>
        <v>0</v>
      </c>
      <c r="AX110" s="133" t="n">
        <f aca="false">AJ110+AG110+AD110</f>
        <v>0</v>
      </c>
      <c r="AY110" s="149"/>
      <c r="AZ110" s="76" t="n">
        <f aca="false">R110*E110</f>
        <v>0</v>
      </c>
    </row>
    <row r="111" customFormat="false" ht="12.75" hidden="false" customHeight="false" outlineLevel="0" collapsed="false">
      <c r="A111" s="138" t="n">
        <f aca="false">EDATE(A110,1)</f>
        <v>40057</v>
      </c>
      <c r="B111" s="139" t="n">
        <f aca="false">VLOOKUP($A111,Table2,MATCH(I$3,Curves2,0))</f>
        <v>0</v>
      </c>
      <c r="C111" s="140"/>
      <c r="D111" s="141" t="n">
        <f aca="false">B111+C111</f>
        <v>0</v>
      </c>
      <c r="E111" s="126" t="n">
        <f aca="false">IF(Y111=0,0,IF(AND(Y111=1,$H$3=1),D111*T111,IF($H$3=2,D111,"N/A")))</f>
        <v>0</v>
      </c>
      <c r="F111" s="126" t="n">
        <f aca="false">E111*X111</f>
        <v>0</v>
      </c>
      <c r="G111" s="142" t="n">
        <f aca="false">VLOOKUP($A111,Table,MATCH(G$4,Curves,0))</f>
        <v>3.987</v>
      </c>
      <c r="H111" s="143" t="n">
        <f aca="false">G111</f>
        <v>3.987</v>
      </c>
      <c r="I111" s="142" t="n">
        <f aca="false">VLOOKUP($A111,Table1,MATCH(I$3,Curves1,0))</f>
        <v>0</v>
      </c>
      <c r="J111" s="142" t="n">
        <f aca="false">VLOOKUP($A111,Table,MATCH(J$4,Curves,0))</f>
        <v>-0.061</v>
      </c>
      <c r="K111" s="143" t="n">
        <f aca="false">J111</f>
        <v>-0.061</v>
      </c>
      <c r="L111" s="144" t="n">
        <v>0</v>
      </c>
      <c r="M111" s="142" t="n">
        <f aca="false">VLOOKUP($A111,Table,MATCH(M$4,Curves,0))</f>
        <v>0.005</v>
      </c>
      <c r="N111" s="143" t="n">
        <f aca="false">M111</f>
        <v>0.005</v>
      </c>
      <c r="O111" s="144" t="n">
        <v>0</v>
      </c>
      <c r="P111" s="145"/>
      <c r="Q111" s="144" t="n">
        <f aca="false">M111+J111+G111</f>
        <v>3.931</v>
      </c>
      <c r="R111" s="144" t="n">
        <f aca="false">O111+L111+I111</f>
        <v>0</v>
      </c>
      <c r="S111" s="145"/>
      <c r="T111" s="71" t="n">
        <f aca="false">A112-A111</f>
        <v>30</v>
      </c>
      <c r="U111" s="146" t="n">
        <f aca="false">CHOOSE(F$3,A112+24,A111)</f>
        <v>40111</v>
      </c>
      <c r="V111" s="71" t="n">
        <f aca="false">U111-C$3</f>
        <v>3223</v>
      </c>
      <c r="W111" s="142" t="n">
        <f aca="false">VLOOKUP($A111,Table,MATCH(W$4,Curves,0))</f>
        <v>0.058966861357273</v>
      </c>
      <c r="X111" s="147" t="n">
        <f aca="false">1/(1+CHOOSE(F$3,(W112+($K$3/10000))/2,(W111+($K$3/10000))/2))^(2*V111/365.25)</f>
        <v>0.598812924473856</v>
      </c>
      <c r="Y111" s="71" t="n">
        <f aca="false">IF(AND(mthbeg&lt;=A111,mthend&gt;=A111),1,0)</f>
        <v>0</v>
      </c>
      <c r="Z111" s="71" t="n">
        <f aca="false">T111*Y111</f>
        <v>0</v>
      </c>
      <c r="AB111" s="132" t="n">
        <f aca="false">F111*G111</f>
        <v>0</v>
      </c>
      <c r="AC111" s="132" t="n">
        <f aca="false">$F111*H111</f>
        <v>0</v>
      </c>
      <c r="AD111" s="132" t="n">
        <f aca="false">$F111*I111</f>
        <v>0</v>
      </c>
      <c r="AE111" s="132" t="n">
        <f aca="false">$F111*J111</f>
        <v>-0</v>
      </c>
      <c r="AF111" s="132" t="n">
        <f aca="false">$F111*K111</f>
        <v>-0</v>
      </c>
      <c r="AG111" s="132" t="n">
        <f aca="false">$F111*L111</f>
        <v>0</v>
      </c>
      <c r="AH111" s="132" t="n">
        <f aca="false">$F111*M111</f>
        <v>0</v>
      </c>
      <c r="AI111" s="132" t="n">
        <f aca="false">$F111*N111</f>
        <v>0</v>
      </c>
      <c r="AJ111" s="132" t="n">
        <f aca="false">F111*O111</f>
        <v>0</v>
      </c>
      <c r="AK111" s="137"/>
      <c r="AL111" s="132" t="n">
        <f aca="false">CHOOSE($G$3,AC111-AD111,AD111-AC111)</f>
        <v>0</v>
      </c>
      <c r="AM111" s="132" t="n">
        <f aca="false">CHOOSE($G$3,AF111-AG111,AG111-AF111)</f>
        <v>0</v>
      </c>
      <c r="AN111" s="132" t="n">
        <f aca="false">CHOOSE($G$3,AI111-AJ111,AJ111-AI111)</f>
        <v>0</v>
      </c>
      <c r="AO111" s="148" t="n">
        <f aca="false">SUM(AL111:AN111)</f>
        <v>0</v>
      </c>
      <c r="AQ111" s="132" t="n">
        <f aca="false">CHOOSE($G$3,AB111-AC111,AC111-AB111)</f>
        <v>0</v>
      </c>
      <c r="AR111" s="132" t="n">
        <f aca="false">CHOOSE($G$3,AE111-AF111,AF111-AE111)</f>
        <v>0</v>
      </c>
      <c r="AS111" s="132" t="n">
        <f aca="false">CHOOSE($G$3,AH111-AI111,AI111-AH111)</f>
        <v>0</v>
      </c>
      <c r="AT111" s="148" t="n">
        <f aca="false">AQ111+AR111+AS111</f>
        <v>0</v>
      </c>
      <c r="AU111" s="148"/>
      <c r="AV111" s="133" t="n">
        <f aca="false">AT111+AO111</f>
        <v>0</v>
      </c>
      <c r="AX111" s="133" t="n">
        <f aca="false">AJ111+AG111+AD111</f>
        <v>0</v>
      </c>
      <c r="AY111" s="149"/>
      <c r="AZ111" s="76" t="n">
        <f aca="false">R111*E111</f>
        <v>0</v>
      </c>
    </row>
    <row r="112" customFormat="false" ht="12.75" hidden="false" customHeight="false" outlineLevel="0" collapsed="false">
      <c r="A112" s="138" t="n">
        <f aca="false">EDATE(A111,1)</f>
        <v>40087</v>
      </c>
      <c r="B112" s="139" t="n">
        <f aca="false">VLOOKUP($A112,Table2,MATCH(I$3,Curves2,0))</f>
        <v>0</v>
      </c>
      <c r="C112" s="140"/>
      <c r="D112" s="141" t="n">
        <f aca="false">B112+C112</f>
        <v>0</v>
      </c>
      <c r="E112" s="126" t="n">
        <f aca="false">IF(Y112=0,0,IF(AND(Y112=1,$H$3=1),D112*T112,IF($H$3=2,D112,"N/A")))</f>
        <v>0</v>
      </c>
      <c r="F112" s="126" t="n">
        <f aca="false">E112*X112</f>
        <v>0</v>
      </c>
      <c r="G112" s="142" t="n">
        <f aca="false">VLOOKUP($A112,Table,MATCH(G$4,Curves,0))</f>
        <v>3.987</v>
      </c>
      <c r="H112" s="143" t="n">
        <f aca="false">G112</f>
        <v>3.987</v>
      </c>
      <c r="I112" s="142" t="n">
        <f aca="false">VLOOKUP($A112,Table1,MATCH(I$3,Curves1,0))</f>
        <v>0</v>
      </c>
      <c r="J112" s="142" t="n">
        <f aca="false">VLOOKUP($A112,Table,MATCH(J$4,Curves,0))</f>
        <v>-0.061</v>
      </c>
      <c r="K112" s="143" t="n">
        <f aca="false">J112</f>
        <v>-0.061</v>
      </c>
      <c r="L112" s="144" t="n">
        <v>0</v>
      </c>
      <c r="M112" s="142" t="n">
        <f aca="false">VLOOKUP($A112,Table,MATCH(M$4,Curves,0))</f>
        <v>0.005</v>
      </c>
      <c r="N112" s="143" t="n">
        <f aca="false">M112</f>
        <v>0.005</v>
      </c>
      <c r="O112" s="144" t="n">
        <v>0</v>
      </c>
      <c r="P112" s="145"/>
      <c r="Q112" s="144" t="n">
        <f aca="false">M112+J112+G112</f>
        <v>3.931</v>
      </c>
      <c r="R112" s="144" t="n">
        <f aca="false">O112+L112+I112</f>
        <v>0</v>
      </c>
      <c r="S112" s="145"/>
      <c r="T112" s="71" t="n">
        <f aca="false">A113-A112</f>
        <v>31</v>
      </c>
      <c r="U112" s="146" t="n">
        <f aca="false">CHOOSE(F$3,A113+24,A112)</f>
        <v>40142</v>
      </c>
      <c r="V112" s="71" t="n">
        <f aca="false">U112-C$3</f>
        <v>3254</v>
      </c>
      <c r="W112" s="142" t="n">
        <f aca="false">VLOOKUP($A112,Table,MATCH(W$4,Curves,0))</f>
        <v>0.058966861357273</v>
      </c>
      <c r="X112" s="147" t="n">
        <f aca="false">1/(1+CHOOSE(F$3,(W113+($K$3/10000))/2,(W112+($K$3/10000))/2))^(2*V112/365.25)</f>
        <v>0.595866637265288</v>
      </c>
      <c r="Y112" s="71" t="n">
        <f aca="false">IF(AND(mthbeg&lt;=A112,mthend&gt;=A112),1,0)</f>
        <v>0</v>
      </c>
      <c r="Z112" s="71" t="n">
        <f aca="false">T112*Y112</f>
        <v>0</v>
      </c>
      <c r="AB112" s="132" t="n">
        <f aca="false">F112*G112</f>
        <v>0</v>
      </c>
      <c r="AC112" s="132" t="n">
        <f aca="false">$F112*H112</f>
        <v>0</v>
      </c>
      <c r="AD112" s="132" t="n">
        <f aca="false">$F112*I112</f>
        <v>0</v>
      </c>
      <c r="AE112" s="132" t="n">
        <f aca="false">$F112*J112</f>
        <v>-0</v>
      </c>
      <c r="AF112" s="132" t="n">
        <f aca="false">$F112*K112</f>
        <v>-0</v>
      </c>
      <c r="AG112" s="132" t="n">
        <f aca="false">$F112*L112</f>
        <v>0</v>
      </c>
      <c r="AH112" s="132" t="n">
        <f aca="false">$F112*M112</f>
        <v>0</v>
      </c>
      <c r="AI112" s="132" t="n">
        <f aca="false">$F112*N112</f>
        <v>0</v>
      </c>
      <c r="AJ112" s="132" t="n">
        <f aca="false">F112*O112</f>
        <v>0</v>
      </c>
      <c r="AK112" s="137"/>
      <c r="AL112" s="132" t="n">
        <f aca="false">CHOOSE($G$3,AC112-AD112,AD112-AC112)</f>
        <v>0</v>
      </c>
      <c r="AM112" s="132" t="n">
        <f aca="false">CHOOSE($G$3,AF112-AG112,AG112-AF112)</f>
        <v>0</v>
      </c>
      <c r="AN112" s="132" t="n">
        <f aca="false">CHOOSE($G$3,AI112-AJ112,AJ112-AI112)</f>
        <v>0</v>
      </c>
      <c r="AO112" s="148" t="n">
        <f aca="false">SUM(AL112:AN112)</f>
        <v>0</v>
      </c>
      <c r="AQ112" s="132" t="n">
        <f aca="false">CHOOSE($G$3,AB112-AC112,AC112-AB112)</f>
        <v>0</v>
      </c>
      <c r="AR112" s="132" t="n">
        <f aca="false">CHOOSE($G$3,AE112-AF112,AF112-AE112)</f>
        <v>0</v>
      </c>
      <c r="AS112" s="132" t="n">
        <f aca="false">CHOOSE($G$3,AH112-AI112,AI112-AH112)</f>
        <v>0</v>
      </c>
      <c r="AT112" s="148" t="n">
        <f aca="false">AQ112+AR112+AS112</f>
        <v>0</v>
      </c>
      <c r="AU112" s="148"/>
      <c r="AV112" s="133" t="n">
        <f aca="false">AT112+AO112</f>
        <v>0</v>
      </c>
      <c r="AX112" s="133" t="n">
        <f aca="false">AJ112+AG112+AD112</f>
        <v>0</v>
      </c>
      <c r="AY112" s="149"/>
      <c r="AZ112" s="76" t="n">
        <f aca="false">R112*E112</f>
        <v>0</v>
      </c>
    </row>
    <row r="113" customFormat="false" ht="12.75" hidden="false" customHeight="false" outlineLevel="0" collapsed="false">
      <c r="A113" s="138" t="n">
        <f aca="false">EDATE(A112,1)</f>
        <v>40118</v>
      </c>
      <c r="B113" s="139" t="n">
        <f aca="false">VLOOKUP($A113,Table2,MATCH(I$3,Curves2,0))</f>
        <v>0</v>
      </c>
      <c r="C113" s="140"/>
      <c r="D113" s="141" t="n">
        <f aca="false">B113+C113</f>
        <v>0</v>
      </c>
      <c r="E113" s="126" t="n">
        <f aca="false">IF(Y113=0,0,IF(AND(Y113=1,$H$3=1),D113*T113,IF($H$3=2,D113,"N/A")))</f>
        <v>0</v>
      </c>
      <c r="F113" s="126" t="n">
        <f aca="false">E113*X113</f>
        <v>0</v>
      </c>
      <c r="G113" s="142" t="n">
        <f aca="false">VLOOKUP($A113,Table,MATCH(G$4,Curves,0))</f>
        <v>3.987</v>
      </c>
      <c r="H113" s="143" t="n">
        <f aca="false">G113</f>
        <v>3.987</v>
      </c>
      <c r="I113" s="142" t="n">
        <f aca="false">VLOOKUP($A113,Table1,MATCH(I$3,Curves1,0))</f>
        <v>0</v>
      </c>
      <c r="J113" s="142" t="n">
        <f aca="false">VLOOKUP($A113,Table,MATCH(J$4,Curves,0))</f>
        <v>-0.061</v>
      </c>
      <c r="K113" s="143" t="n">
        <f aca="false">J113</f>
        <v>-0.061</v>
      </c>
      <c r="L113" s="144" t="n">
        <v>0</v>
      </c>
      <c r="M113" s="142" t="n">
        <f aca="false">VLOOKUP($A113,Table,MATCH(M$4,Curves,0))</f>
        <v>0.005</v>
      </c>
      <c r="N113" s="143" t="n">
        <f aca="false">M113</f>
        <v>0.005</v>
      </c>
      <c r="O113" s="144" t="n">
        <v>0</v>
      </c>
      <c r="P113" s="145"/>
      <c r="Q113" s="144" t="n">
        <f aca="false">M113+J113+G113</f>
        <v>3.931</v>
      </c>
      <c r="R113" s="144" t="n">
        <f aca="false">O113+L113+I113</f>
        <v>0</v>
      </c>
      <c r="S113" s="145"/>
      <c r="T113" s="71" t="n">
        <f aca="false">A114-A113</f>
        <v>30</v>
      </c>
      <c r="U113" s="146" t="n">
        <f aca="false">CHOOSE(F$3,A114+24,A113)</f>
        <v>40172</v>
      </c>
      <c r="V113" s="71" t="n">
        <f aca="false">U113-C$3</f>
        <v>3284</v>
      </c>
      <c r="W113" s="142" t="n">
        <f aca="false">VLOOKUP($A113,Table,MATCH(W$4,Curves,0))</f>
        <v>0.058966861357273</v>
      </c>
      <c r="X113" s="147" t="n">
        <f aca="false">1/(1+CHOOSE(F$3,(W114+($K$3/10000))/2,(W113+($K$3/10000))/2))^(2*V113/365.25)</f>
        <v>0.593029194777227</v>
      </c>
      <c r="Y113" s="71" t="n">
        <f aca="false">IF(AND(mthbeg&lt;=A113,mthend&gt;=A113),1,0)</f>
        <v>0</v>
      </c>
      <c r="Z113" s="71" t="n">
        <f aca="false">T113*Y113</f>
        <v>0</v>
      </c>
      <c r="AB113" s="132" t="n">
        <f aca="false">F113*G113</f>
        <v>0</v>
      </c>
      <c r="AC113" s="132" t="n">
        <f aca="false">$F113*H113</f>
        <v>0</v>
      </c>
      <c r="AD113" s="132" t="n">
        <f aca="false">$F113*I113</f>
        <v>0</v>
      </c>
      <c r="AE113" s="132" t="n">
        <f aca="false">$F113*J113</f>
        <v>-0</v>
      </c>
      <c r="AF113" s="132" t="n">
        <f aca="false">$F113*K113</f>
        <v>-0</v>
      </c>
      <c r="AG113" s="132" t="n">
        <f aca="false">$F113*L113</f>
        <v>0</v>
      </c>
      <c r="AH113" s="132" t="n">
        <f aca="false">$F113*M113</f>
        <v>0</v>
      </c>
      <c r="AI113" s="132" t="n">
        <f aca="false">$F113*N113</f>
        <v>0</v>
      </c>
      <c r="AJ113" s="132" t="n">
        <f aca="false">F113*O113</f>
        <v>0</v>
      </c>
      <c r="AK113" s="137"/>
      <c r="AL113" s="132" t="n">
        <f aca="false">CHOOSE($G$3,AC113-AD113,AD113-AC113)</f>
        <v>0</v>
      </c>
      <c r="AM113" s="132" t="n">
        <f aca="false">CHOOSE($G$3,AF113-AG113,AG113-AF113)</f>
        <v>0</v>
      </c>
      <c r="AN113" s="132" t="n">
        <f aca="false">CHOOSE($G$3,AI113-AJ113,AJ113-AI113)</f>
        <v>0</v>
      </c>
      <c r="AO113" s="148" t="n">
        <f aca="false">SUM(AL113:AN113)</f>
        <v>0</v>
      </c>
      <c r="AQ113" s="132" t="n">
        <f aca="false">CHOOSE($G$3,AB113-AC113,AC113-AB113)</f>
        <v>0</v>
      </c>
      <c r="AR113" s="132" t="n">
        <f aca="false">CHOOSE($G$3,AE113-AF113,AF113-AE113)</f>
        <v>0</v>
      </c>
      <c r="AS113" s="132" t="n">
        <f aca="false">CHOOSE($G$3,AH113-AI113,AI113-AH113)</f>
        <v>0</v>
      </c>
      <c r="AT113" s="148" t="n">
        <f aca="false">AQ113+AR113+AS113</f>
        <v>0</v>
      </c>
      <c r="AU113" s="148"/>
      <c r="AV113" s="133" t="n">
        <f aca="false">AT113+AO113</f>
        <v>0</v>
      </c>
      <c r="AX113" s="133" t="n">
        <f aca="false">AJ113+AG113+AD113</f>
        <v>0</v>
      </c>
      <c r="AY113" s="149"/>
      <c r="AZ113" s="76" t="n">
        <f aca="false">R113*E113</f>
        <v>0</v>
      </c>
    </row>
    <row r="114" customFormat="false" ht="12.75" hidden="false" customHeight="false" outlineLevel="0" collapsed="false">
      <c r="A114" s="138" t="n">
        <f aca="false">EDATE(A113,1)</f>
        <v>40148</v>
      </c>
      <c r="B114" s="139" t="n">
        <f aca="false">VLOOKUP($A114,Table2,MATCH(I$3,Curves2,0))</f>
        <v>0</v>
      </c>
      <c r="C114" s="140"/>
      <c r="D114" s="141" t="n">
        <f aca="false">B114+C114</f>
        <v>0</v>
      </c>
      <c r="E114" s="126" t="n">
        <f aca="false">IF(Y114=0,0,IF(AND(Y114=1,$H$3=1),D114*T114,IF($H$3=2,D114,"N/A")))</f>
        <v>0</v>
      </c>
      <c r="F114" s="126" t="n">
        <f aca="false">E114*X114</f>
        <v>0</v>
      </c>
      <c r="G114" s="142" t="n">
        <f aca="false">VLOOKUP($A114,Table,MATCH(G$4,Curves,0))</f>
        <v>3.987</v>
      </c>
      <c r="H114" s="143" t="n">
        <f aca="false">G114</f>
        <v>3.987</v>
      </c>
      <c r="I114" s="142" t="n">
        <f aca="false">VLOOKUP($A114,Table1,MATCH(I$3,Curves1,0))</f>
        <v>0</v>
      </c>
      <c r="J114" s="142" t="n">
        <f aca="false">VLOOKUP($A114,Table,MATCH(J$4,Curves,0))</f>
        <v>-0.061</v>
      </c>
      <c r="K114" s="143" t="n">
        <f aca="false">J114</f>
        <v>-0.061</v>
      </c>
      <c r="L114" s="144" t="n">
        <v>0</v>
      </c>
      <c r="M114" s="142" t="n">
        <f aca="false">VLOOKUP($A114,Table,MATCH(M$4,Curves,0))</f>
        <v>0.005</v>
      </c>
      <c r="N114" s="143" t="n">
        <f aca="false">M114</f>
        <v>0.005</v>
      </c>
      <c r="O114" s="144" t="n">
        <v>0</v>
      </c>
      <c r="P114" s="145"/>
      <c r="Q114" s="144" t="n">
        <f aca="false">M114+J114+G114</f>
        <v>3.931</v>
      </c>
      <c r="R114" s="144" t="n">
        <f aca="false">O114+L114+I114</f>
        <v>0</v>
      </c>
      <c r="S114" s="145"/>
      <c r="T114" s="71" t="n">
        <f aca="false">A115-A114</f>
        <v>31</v>
      </c>
      <c r="U114" s="146" t="n">
        <f aca="false">CHOOSE(F$3,A115+24,A114)</f>
        <v>40203</v>
      </c>
      <c r="V114" s="71" t="n">
        <f aca="false">U114-C$3</f>
        <v>3315</v>
      </c>
      <c r="W114" s="142" t="n">
        <f aca="false">VLOOKUP($A114,Table,MATCH(W$4,Curves,0))</f>
        <v>0.058966861357273</v>
      </c>
      <c r="X114" s="147" t="n">
        <f aca="false">1/(1+CHOOSE(F$3,(W115+($K$3/10000))/2,(W114+($K$3/10000))/2))^(2*V114/365.25)</f>
        <v>0.590111364751405</v>
      </c>
      <c r="Y114" s="71" t="n">
        <f aca="false">IF(AND(mthbeg&lt;=A114,mthend&gt;=A114),1,0)</f>
        <v>0</v>
      </c>
      <c r="Z114" s="71" t="n">
        <f aca="false">T114*Y114</f>
        <v>0</v>
      </c>
      <c r="AB114" s="132" t="n">
        <f aca="false">F114*G114</f>
        <v>0</v>
      </c>
      <c r="AC114" s="132" t="n">
        <f aca="false">$F114*H114</f>
        <v>0</v>
      </c>
      <c r="AD114" s="132" t="n">
        <f aca="false">$F114*I114</f>
        <v>0</v>
      </c>
      <c r="AE114" s="132" t="n">
        <f aca="false">$F114*J114</f>
        <v>-0</v>
      </c>
      <c r="AF114" s="132" t="n">
        <f aca="false">$F114*K114</f>
        <v>-0</v>
      </c>
      <c r="AG114" s="132" t="n">
        <f aca="false">$F114*L114</f>
        <v>0</v>
      </c>
      <c r="AH114" s="132" t="n">
        <f aca="false">$F114*M114</f>
        <v>0</v>
      </c>
      <c r="AI114" s="132" t="n">
        <f aca="false">$F114*N114</f>
        <v>0</v>
      </c>
      <c r="AJ114" s="132" t="n">
        <f aca="false">F114*O114</f>
        <v>0</v>
      </c>
      <c r="AK114" s="137"/>
      <c r="AL114" s="132" t="n">
        <f aca="false">CHOOSE($G$3,AC114-AD114,AD114-AC114)</f>
        <v>0</v>
      </c>
      <c r="AM114" s="132" t="n">
        <f aca="false">CHOOSE($G$3,AF114-AG114,AG114-AF114)</f>
        <v>0</v>
      </c>
      <c r="AN114" s="132" t="n">
        <f aca="false">CHOOSE($G$3,AI114-AJ114,AJ114-AI114)</f>
        <v>0</v>
      </c>
      <c r="AO114" s="148" t="n">
        <f aca="false">SUM(AL114:AN114)</f>
        <v>0</v>
      </c>
      <c r="AQ114" s="132" t="n">
        <f aca="false">CHOOSE($G$3,AB114-AC114,AC114-AB114)</f>
        <v>0</v>
      </c>
      <c r="AR114" s="132" t="n">
        <f aca="false">CHOOSE($G$3,AE114-AF114,AF114-AE114)</f>
        <v>0</v>
      </c>
      <c r="AS114" s="132" t="n">
        <f aca="false">CHOOSE($G$3,AH114-AI114,AI114-AH114)</f>
        <v>0</v>
      </c>
      <c r="AT114" s="148" t="n">
        <f aca="false">AQ114+AR114+AS114</f>
        <v>0</v>
      </c>
      <c r="AU114" s="148"/>
      <c r="AV114" s="133" t="n">
        <f aca="false">AT114+AO114</f>
        <v>0</v>
      </c>
      <c r="AX114" s="133" t="n">
        <f aca="false">AJ114+AG114+AD114</f>
        <v>0</v>
      </c>
      <c r="AY114" s="149"/>
      <c r="AZ114" s="76" t="n">
        <f aca="false">R114*E114</f>
        <v>0</v>
      </c>
    </row>
    <row r="115" customFormat="false" ht="12.75" hidden="false" customHeight="false" outlineLevel="0" collapsed="false">
      <c r="A115" s="138" t="n">
        <f aca="false">EDATE(A114,1)</f>
        <v>40179</v>
      </c>
      <c r="B115" s="139" t="n">
        <f aca="false">VLOOKUP($A115,Table2,MATCH(I$3,Curves2,0))</f>
        <v>0</v>
      </c>
      <c r="C115" s="140"/>
      <c r="D115" s="141" t="n">
        <f aca="false">B115+C115</f>
        <v>0</v>
      </c>
      <c r="E115" s="126" t="n">
        <f aca="false">IF(Y115=0,0,IF(AND(Y115=1,$H$3=1),D115*T115,IF($H$3=2,D115,"N/A")))</f>
        <v>0</v>
      </c>
      <c r="F115" s="126" t="n">
        <f aca="false">E115*X115</f>
        <v>0</v>
      </c>
      <c r="G115" s="142" t="n">
        <f aca="false">VLOOKUP($A115,Table,MATCH(G$4,Curves,0))</f>
        <v>3.987</v>
      </c>
      <c r="H115" s="143" t="n">
        <f aca="false">G115</f>
        <v>3.987</v>
      </c>
      <c r="I115" s="142" t="n">
        <f aca="false">VLOOKUP($A115,Table1,MATCH(I$3,Curves1,0))</f>
        <v>0</v>
      </c>
      <c r="J115" s="142" t="n">
        <f aca="false">VLOOKUP($A115,Table,MATCH(J$4,Curves,0))</f>
        <v>-0.061</v>
      </c>
      <c r="K115" s="143" t="n">
        <f aca="false">J115</f>
        <v>-0.061</v>
      </c>
      <c r="L115" s="144" t="n">
        <v>0</v>
      </c>
      <c r="M115" s="142" t="n">
        <f aca="false">VLOOKUP($A115,Table,MATCH(M$4,Curves,0))</f>
        <v>0.005</v>
      </c>
      <c r="N115" s="143" t="n">
        <f aca="false">M115</f>
        <v>0.005</v>
      </c>
      <c r="O115" s="144" t="n">
        <v>0</v>
      </c>
      <c r="P115" s="145"/>
      <c r="Q115" s="144" t="n">
        <f aca="false">M115+J115+G115</f>
        <v>3.931</v>
      </c>
      <c r="R115" s="144" t="n">
        <f aca="false">O115+L115+I115</f>
        <v>0</v>
      </c>
      <c r="S115" s="145"/>
      <c r="T115" s="71" t="n">
        <f aca="false">A116-A115</f>
        <v>31</v>
      </c>
      <c r="U115" s="146" t="n">
        <f aca="false">CHOOSE(F$3,A116+24,A115)</f>
        <v>40234</v>
      </c>
      <c r="V115" s="71" t="n">
        <f aca="false">U115-C$3</f>
        <v>3346</v>
      </c>
      <c r="W115" s="142" t="n">
        <f aca="false">VLOOKUP($A115,Table,MATCH(W$4,Curves,0))</f>
        <v>0.058966861357273</v>
      </c>
      <c r="X115" s="147" t="n">
        <f aca="false">1/(1+CHOOSE(F$3,(W116+($K$3/10000))/2,(W115+($K$3/10000))/2))^(2*V115/365.25)</f>
        <v>0.587207891071165</v>
      </c>
      <c r="Y115" s="71" t="n">
        <f aca="false">IF(AND(mthbeg&lt;=A115,mthend&gt;=A115),1,0)</f>
        <v>0</v>
      </c>
      <c r="Z115" s="71" t="n">
        <f aca="false">T115*Y115</f>
        <v>0</v>
      </c>
      <c r="AB115" s="132" t="n">
        <f aca="false">F115*G115</f>
        <v>0</v>
      </c>
      <c r="AC115" s="132" t="n">
        <f aca="false">$F115*H115</f>
        <v>0</v>
      </c>
      <c r="AD115" s="132" t="n">
        <f aca="false">$F115*I115</f>
        <v>0</v>
      </c>
      <c r="AE115" s="132" t="n">
        <f aca="false">$F115*J115</f>
        <v>-0</v>
      </c>
      <c r="AF115" s="132" t="n">
        <f aca="false">$F115*K115</f>
        <v>-0</v>
      </c>
      <c r="AG115" s="132" t="n">
        <f aca="false">$F115*L115</f>
        <v>0</v>
      </c>
      <c r="AH115" s="132" t="n">
        <f aca="false">$F115*M115</f>
        <v>0</v>
      </c>
      <c r="AI115" s="132" t="n">
        <f aca="false">$F115*N115</f>
        <v>0</v>
      </c>
      <c r="AJ115" s="132" t="n">
        <f aca="false">F115*O115</f>
        <v>0</v>
      </c>
      <c r="AK115" s="137"/>
      <c r="AL115" s="132" t="n">
        <f aca="false">CHOOSE($G$3,AC115-AD115,AD115-AC115)</f>
        <v>0</v>
      </c>
      <c r="AM115" s="132" t="n">
        <f aca="false">CHOOSE($G$3,AF115-AG115,AG115-AF115)</f>
        <v>0</v>
      </c>
      <c r="AN115" s="132" t="n">
        <f aca="false">CHOOSE($G$3,AI115-AJ115,AJ115-AI115)</f>
        <v>0</v>
      </c>
      <c r="AO115" s="148" t="n">
        <f aca="false">SUM(AL115:AN115)</f>
        <v>0</v>
      </c>
      <c r="AQ115" s="132" t="n">
        <f aca="false">CHOOSE($G$3,AB115-AC115,AC115-AB115)</f>
        <v>0</v>
      </c>
      <c r="AR115" s="132" t="n">
        <f aca="false">CHOOSE($G$3,AE115-AF115,AF115-AE115)</f>
        <v>0</v>
      </c>
      <c r="AS115" s="132" t="n">
        <f aca="false">CHOOSE($G$3,AH115-AI115,AI115-AH115)</f>
        <v>0</v>
      </c>
      <c r="AT115" s="148" t="n">
        <f aca="false">AQ115+AR115+AS115</f>
        <v>0</v>
      </c>
      <c r="AU115" s="148"/>
      <c r="AV115" s="133" t="n">
        <f aca="false">AT115+AO115</f>
        <v>0</v>
      </c>
      <c r="AX115" s="133" t="n">
        <f aca="false">AJ115+AG115+AD115</f>
        <v>0</v>
      </c>
      <c r="AY115" s="149"/>
      <c r="AZ115" s="76" t="n">
        <f aca="false">R115*E115</f>
        <v>0</v>
      </c>
    </row>
    <row r="116" customFormat="false" ht="12.75" hidden="false" customHeight="false" outlineLevel="0" collapsed="false">
      <c r="A116" s="138" t="n">
        <f aca="false">EDATE(A115,1)</f>
        <v>40210</v>
      </c>
      <c r="B116" s="139" t="n">
        <f aca="false">VLOOKUP($A116,Table2,MATCH(I$3,Curves2,0))</f>
        <v>0</v>
      </c>
      <c r="C116" s="140"/>
      <c r="D116" s="141" t="n">
        <f aca="false">B116+C116</f>
        <v>0</v>
      </c>
      <c r="E116" s="126" t="n">
        <f aca="false">IF(Y116=0,0,IF(AND(Y116=1,$H$3=1),D116*T116,IF($H$3=2,D116,"N/A")))</f>
        <v>0</v>
      </c>
      <c r="F116" s="126" t="n">
        <f aca="false">E116*X116</f>
        <v>0</v>
      </c>
      <c r="G116" s="142" t="n">
        <f aca="false">VLOOKUP($A116,Table,MATCH(G$4,Curves,0))</f>
        <v>3.987</v>
      </c>
      <c r="H116" s="143" t="n">
        <f aca="false">G116</f>
        <v>3.987</v>
      </c>
      <c r="I116" s="142" t="n">
        <f aca="false">VLOOKUP($A116,Table1,MATCH(I$3,Curves1,0))</f>
        <v>0</v>
      </c>
      <c r="J116" s="142" t="n">
        <f aca="false">VLOOKUP($A116,Table,MATCH(J$4,Curves,0))</f>
        <v>-0.061</v>
      </c>
      <c r="K116" s="143" t="n">
        <f aca="false">J116</f>
        <v>-0.061</v>
      </c>
      <c r="L116" s="144" t="n">
        <v>0</v>
      </c>
      <c r="M116" s="142" t="n">
        <f aca="false">VLOOKUP($A116,Table,MATCH(M$4,Curves,0))</f>
        <v>0.005</v>
      </c>
      <c r="N116" s="143" t="n">
        <f aca="false">M116</f>
        <v>0.005</v>
      </c>
      <c r="O116" s="144" t="n">
        <v>0</v>
      </c>
      <c r="P116" s="145"/>
      <c r="Q116" s="144" t="n">
        <f aca="false">M116+J116+G116</f>
        <v>3.931</v>
      </c>
      <c r="R116" s="144" t="n">
        <f aca="false">O116+L116+I116</f>
        <v>0</v>
      </c>
      <c r="S116" s="145"/>
      <c r="T116" s="71" t="n">
        <f aca="false">A117-A116</f>
        <v>28</v>
      </c>
      <c r="U116" s="146" t="n">
        <f aca="false">CHOOSE(F$3,A117+24,A116)</f>
        <v>40262</v>
      </c>
      <c r="V116" s="71" t="n">
        <f aca="false">U116-C$3</f>
        <v>3374</v>
      </c>
      <c r="W116" s="142" t="n">
        <f aca="false">VLOOKUP($A116,Table,MATCH(W$4,Curves,0))</f>
        <v>0.058966861357273</v>
      </c>
      <c r="X116" s="147" t="n">
        <f aca="false">1/(1+CHOOSE(F$3,(W117+($K$3/10000))/2,(W116+($K$3/10000))/2))^(2*V116/365.25)</f>
        <v>0.584597679538199</v>
      </c>
      <c r="Y116" s="71" t="n">
        <f aca="false">IF(AND(mthbeg&lt;=A116,mthend&gt;=A116),1,0)</f>
        <v>0</v>
      </c>
      <c r="Z116" s="71" t="n">
        <f aca="false">T116*Y116</f>
        <v>0</v>
      </c>
      <c r="AB116" s="132" t="n">
        <f aca="false">F116*G116</f>
        <v>0</v>
      </c>
      <c r="AC116" s="132" t="n">
        <f aca="false">$F116*H116</f>
        <v>0</v>
      </c>
      <c r="AD116" s="132" t="n">
        <f aca="false">$F116*I116</f>
        <v>0</v>
      </c>
      <c r="AE116" s="132" t="n">
        <f aca="false">$F116*J116</f>
        <v>-0</v>
      </c>
      <c r="AF116" s="132" t="n">
        <f aca="false">$F116*K116</f>
        <v>-0</v>
      </c>
      <c r="AG116" s="132" t="n">
        <f aca="false">$F116*L116</f>
        <v>0</v>
      </c>
      <c r="AH116" s="132" t="n">
        <f aca="false">$F116*M116</f>
        <v>0</v>
      </c>
      <c r="AI116" s="132" t="n">
        <f aca="false">$F116*N116</f>
        <v>0</v>
      </c>
      <c r="AJ116" s="132" t="n">
        <f aca="false">F116*O116</f>
        <v>0</v>
      </c>
      <c r="AK116" s="137"/>
      <c r="AL116" s="132" t="n">
        <f aca="false">CHOOSE($G$3,AC116-AD116,AD116-AC116)</f>
        <v>0</v>
      </c>
      <c r="AM116" s="132" t="n">
        <f aca="false">CHOOSE($G$3,AF116-AG116,AG116-AF116)</f>
        <v>0</v>
      </c>
      <c r="AN116" s="132" t="n">
        <f aca="false">CHOOSE($G$3,AI116-AJ116,AJ116-AI116)</f>
        <v>0</v>
      </c>
      <c r="AO116" s="148" t="n">
        <f aca="false">SUM(AL116:AN116)</f>
        <v>0</v>
      </c>
      <c r="AQ116" s="132" t="n">
        <f aca="false">CHOOSE($G$3,AB116-AC116,AC116-AB116)</f>
        <v>0</v>
      </c>
      <c r="AR116" s="132" t="n">
        <f aca="false">CHOOSE($G$3,AE116-AF116,AF116-AE116)</f>
        <v>0</v>
      </c>
      <c r="AS116" s="132" t="n">
        <f aca="false">CHOOSE($G$3,AH116-AI116,AI116-AH116)</f>
        <v>0</v>
      </c>
      <c r="AT116" s="148" t="n">
        <f aca="false">AQ116+AR116+AS116</f>
        <v>0</v>
      </c>
      <c r="AU116" s="148"/>
      <c r="AV116" s="133" t="n">
        <f aca="false">AT116+AO116</f>
        <v>0</v>
      </c>
      <c r="AX116" s="133" t="n">
        <f aca="false">AJ116+AG116+AD116</f>
        <v>0</v>
      </c>
      <c r="AY116" s="149"/>
      <c r="AZ116" s="76" t="n">
        <f aca="false">R116*E116</f>
        <v>0</v>
      </c>
    </row>
    <row r="117" customFormat="false" ht="12.75" hidden="false" customHeight="false" outlineLevel="0" collapsed="false">
      <c r="A117" s="138" t="n">
        <f aca="false">EDATE(A116,1)</f>
        <v>40238</v>
      </c>
      <c r="B117" s="139" t="n">
        <f aca="false">VLOOKUP($A117,Table2,MATCH(I$3,Curves2,0))</f>
        <v>0</v>
      </c>
      <c r="C117" s="140"/>
      <c r="D117" s="141" t="n">
        <f aca="false">B117+C117</f>
        <v>0</v>
      </c>
      <c r="E117" s="126" t="n">
        <f aca="false">IF(Y117=0,0,IF(AND(Y117=1,$H$3=1),D117*T117,IF($H$3=2,D117,"N/A")))</f>
        <v>0</v>
      </c>
      <c r="F117" s="126" t="n">
        <f aca="false">E117*X117</f>
        <v>0</v>
      </c>
      <c r="G117" s="142" t="n">
        <f aca="false">VLOOKUP($A117,Table,MATCH(G$4,Curves,0))</f>
        <v>3.987</v>
      </c>
      <c r="H117" s="143" t="n">
        <f aca="false">G117</f>
        <v>3.987</v>
      </c>
      <c r="I117" s="142" t="n">
        <f aca="false">VLOOKUP($A117,Table1,MATCH(I$3,Curves1,0))</f>
        <v>0</v>
      </c>
      <c r="J117" s="142" t="n">
        <f aca="false">VLOOKUP($A117,Table,MATCH(J$4,Curves,0))</f>
        <v>-0.061</v>
      </c>
      <c r="K117" s="143" t="n">
        <f aca="false">J117</f>
        <v>-0.061</v>
      </c>
      <c r="L117" s="144" t="n">
        <v>0</v>
      </c>
      <c r="M117" s="142" t="n">
        <f aca="false">VLOOKUP($A117,Table,MATCH(M$4,Curves,0))</f>
        <v>0.005</v>
      </c>
      <c r="N117" s="143" t="n">
        <f aca="false">M117</f>
        <v>0.005</v>
      </c>
      <c r="O117" s="144" t="n">
        <v>0</v>
      </c>
      <c r="P117" s="145"/>
      <c r="Q117" s="144" t="n">
        <f aca="false">M117+J117+G117</f>
        <v>3.931</v>
      </c>
      <c r="R117" s="144" t="n">
        <f aca="false">O117+L117+I117</f>
        <v>0</v>
      </c>
      <c r="S117" s="145"/>
      <c r="T117" s="71" t="n">
        <f aca="false">A118-A117</f>
        <v>31</v>
      </c>
      <c r="U117" s="146" t="n">
        <f aca="false">CHOOSE(F$3,A118+24,A117)</f>
        <v>40293</v>
      </c>
      <c r="V117" s="71" t="n">
        <f aca="false">U117-C$3</f>
        <v>3405</v>
      </c>
      <c r="W117" s="142" t="n">
        <f aca="false">VLOOKUP($A117,Table,MATCH(W$4,Curves,0))</f>
        <v>0.058966861357273</v>
      </c>
      <c r="X117" s="147" t="n">
        <f aca="false">1/(1+CHOOSE(F$3,(W118+($K$3/10000))/2,(W117+($K$3/10000))/2))^(2*V117/365.25)</f>
        <v>0.581721334364294</v>
      </c>
      <c r="Y117" s="71" t="n">
        <f aca="false">IF(AND(mthbeg&lt;=A117,mthend&gt;=A117),1,0)</f>
        <v>0</v>
      </c>
      <c r="Z117" s="71" t="n">
        <f aca="false">T117*Y117</f>
        <v>0</v>
      </c>
      <c r="AB117" s="132" t="n">
        <f aca="false">F117*G117</f>
        <v>0</v>
      </c>
      <c r="AC117" s="132" t="n">
        <f aca="false">$F117*H117</f>
        <v>0</v>
      </c>
      <c r="AD117" s="132" t="n">
        <f aca="false">$F117*I117</f>
        <v>0</v>
      </c>
      <c r="AE117" s="132" t="n">
        <f aca="false">$F117*J117</f>
        <v>-0</v>
      </c>
      <c r="AF117" s="132" t="n">
        <f aca="false">$F117*K117</f>
        <v>-0</v>
      </c>
      <c r="AG117" s="132" t="n">
        <f aca="false">$F117*L117</f>
        <v>0</v>
      </c>
      <c r="AH117" s="132" t="n">
        <f aca="false">$F117*M117</f>
        <v>0</v>
      </c>
      <c r="AI117" s="132" t="n">
        <f aca="false">$F117*N117</f>
        <v>0</v>
      </c>
      <c r="AJ117" s="132" t="n">
        <f aca="false">F117*O117</f>
        <v>0</v>
      </c>
      <c r="AK117" s="137"/>
      <c r="AL117" s="132" t="n">
        <f aca="false">CHOOSE($G$3,AC117-AD117,AD117-AC117)</f>
        <v>0</v>
      </c>
      <c r="AM117" s="132" t="n">
        <f aca="false">CHOOSE($G$3,AF117-AG117,AG117-AF117)</f>
        <v>0</v>
      </c>
      <c r="AN117" s="132" t="n">
        <f aca="false">CHOOSE($G$3,AI117-AJ117,AJ117-AI117)</f>
        <v>0</v>
      </c>
      <c r="AO117" s="148" t="n">
        <f aca="false">SUM(AL117:AN117)</f>
        <v>0</v>
      </c>
      <c r="AQ117" s="132" t="n">
        <f aca="false">CHOOSE($G$3,AB117-AC117,AC117-AB117)</f>
        <v>0</v>
      </c>
      <c r="AR117" s="132" t="n">
        <f aca="false">CHOOSE($G$3,AE117-AF117,AF117-AE117)</f>
        <v>0</v>
      </c>
      <c r="AS117" s="132" t="n">
        <f aca="false">CHOOSE($G$3,AH117-AI117,AI117-AH117)</f>
        <v>0</v>
      </c>
      <c r="AT117" s="148" t="n">
        <f aca="false">AQ117+AR117+AS117</f>
        <v>0</v>
      </c>
      <c r="AU117" s="148"/>
      <c r="AV117" s="133" t="n">
        <f aca="false">AT117+AO117</f>
        <v>0</v>
      </c>
      <c r="AX117" s="133" t="n">
        <f aca="false">AJ117+AG117+AD117</f>
        <v>0</v>
      </c>
      <c r="AY117" s="149"/>
      <c r="AZ117" s="76" t="n">
        <f aca="false">R117*E117</f>
        <v>0</v>
      </c>
    </row>
    <row r="118" customFormat="false" ht="12.75" hidden="false" customHeight="false" outlineLevel="0" collapsed="false">
      <c r="A118" s="138" t="n">
        <f aca="false">EDATE(A117,1)</f>
        <v>40269</v>
      </c>
      <c r="B118" s="139" t="n">
        <f aca="false">VLOOKUP($A118,Table2,MATCH(I$3,Curves2,0))</f>
        <v>0</v>
      </c>
      <c r="C118" s="140"/>
      <c r="D118" s="141" t="n">
        <f aca="false">B118+C118</f>
        <v>0</v>
      </c>
      <c r="E118" s="126" t="n">
        <f aca="false">IF(Y118=0,0,IF(AND(Y118=1,$H$3=1),D118*T118,IF($H$3=2,D118,"N/A")))</f>
        <v>0</v>
      </c>
      <c r="F118" s="126" t="n">
        <f aca="false">E118*X118</f>
        <v>0</v>
      </c>
      <c r="G118" s="142" t="n">
        <f aca="false">VLOOKUP($A118,Table,MATCH(G$4,Curves,0))</f>
        <v>3.987</v>
      </c>
      <c r="H118" s="143" t="n">
        <f aca="false">G118</f>
        <v>3.987</v>
      </c>
      <c r="I118" s="142" t="n">
        <f aca="false">VLOOKUP($A118,Table1,MATCH(I$3,Curves1,0))</f>
        <v>0</v>
      </c>
      <c r="J118" s="142" t="n">
        <f aca="false">VLOOKUP($A118,Table,MATCH(J$4,Curves,0))</f>
        <v>-0.061</v>
      </c>
      <c r="K118" s="143" t="n">
        <f aca="false">J118</f>
        <v>-0.061</v>
      </c>
      <c r="L118" s="144" t="n">
        <v>0</v>
      </c>
      <c r="M118" s="142" t="n">
        <f aca="false">VLOOKUP($A118,Table,MATCH(M$4,Curves,0))</f>
        <v>0.005</v>
      </c>
      <c r="N118" s="143" t="n">
        <f aca="false">M118</f>
        <v>0.005</v>
      </c>
      <c r="O118" s="144" t="n">
        <v>0</v>
      </c>
      <c r="P118" s="145"/>
      <c r="Q118" s="144" t="n">
        <f aca="false">M118+J118+G118</f>
        <v>3.931</v>
      </c>
      <c r="R118" s="144" t="n">
        <f aca="false">O118+L118+I118</f>
        <v>0</v>
      </c>
      <c r="S118" s="145"/>
      <c r="T118" s="71" t="n">
        <f aca="false">A119-A118</f>
        <v>30</v>
      </c>
      <c r="U118" s="146" t="n">
        <f aca="false">CHOOSE(F$3,A119+24,A118)</f>
        <v>40323</v>
      </c>
      <c r="V118" s="71" t="n">
        <f aca="false">U118-C$3</f>
        <v>3435</v>
      </c>
      <c r="W118" s="142" t="n">
        <f aca="false">VLOOKUP($A118,Table,MATCH(W$4,Curves,0))</f>
        <v>0.058966861357273</v>
      </c>
      <c r="X118" s="147" t="n">
        <f aca="false">1/(1+CHOOSE(F$3,(W119+($K$3/10000))/2,(W118+($K$3/10000))/2))^(2*V118/365.25)</f>
        <v>0.578951250041547</v>
      </c>
      <c r="Y118" s="71" t="n">
        <f aca="false">IF(AND(mthbeg&lt;=A118,mthend&gt;=A118),1,0)</f>
        <v>0</v>
      </c>
      <c r="Z118" s="71" t="n">
        <f aca="false">T118*Y118</f>
        <v>0</v>
      </c>
      <c r="AB118" s="132" t="n">
        <f aca="false">F118*G118</f>
        <v>0</v>
      </c>
      <c r="AC118" s="132" t="n">
        <f aca="false">$F118*H118</f>
        <v>0</v>
      </c>
      <c r="AD118" s="132" t="n">
        <f aca="false">$F118*I118</f>
        <v>0</v>
      </c>
      <c r="AE118" s="132" t="n">
        <f aca="false">$F118*J118</f>
        <v>-0</v>
      </c>
      <c r="AF118" s="132" t="n">
        <f aca="false">$F118*K118</f>
        <v>-0</v>
      </c>
      <c r="AG118" s="132" t="n">
        <f aca="false">$F118*L118</f>
        <v>0</v>
      </c>
      <c r="AH118" s="132" t="n">
        <f aca="false">$F118*M118</f>
        <v>0</v>
      </c>
      <c r="AI118" s="132" t="n">
        <f aca="false">$F118*N118</f>
        <v>0</v>
      </c>
      <c r="AJ118" s="132" t="n">
        <f aca="false">F118*O118</f>
        <v>0</v>
      </c>
      <c r="AK118" s="137"/>
      <c r="AL118" s="132" t="n">
        <f aca="false">CHOOSE($G$3,AC118-AD118,AD118-AC118)</f>
        <v>0</v>
      </c>
      <c r="AM118" s="132" t="n">
        <f aca="false">CHOOSE($G$3,AF118-AG118,AG118-AF118)</f>
        <v>0</v>
      </c>
      <c r="AN118" s="132" t="n">
        <f aca="false">CHOOSE($G$3,AI118-AJ118,AJ118-AI118)</f>
        <v>0</v>
      </c>
      <c r="AO118" s="148" t="n">
        <f aca="false">SUM(AL118:AN118)</f>
        <v>0</v>
      </c>
      <c r="AQ118" s="132" t="n">
        <f aca="false">CHOOSE($G$3,AB118-AC118,AC118-AB118)</f>
        <v>0</v>
      </c>
      <c r="AR118" s="132" t="n">
        <f aca="false">CHOOSE($G$3,AE118-AF118,AF118-AE118)</f>
        <v>0</v>
      </c>
      <c r="AS118" s="132" t="n">
        <f aca="false">CHOOSE($G$3,AH118-AI118,AI118-AH118)</f>
        <v>0</v>
      </c>
      <c r="AT118" s="148" t="n">
        <f aca="false">AQ118+AR118+AS118</f>
        <v>0</v>
      </c>
      <c r="AU118" s="148"/>
      <c r="AV118" s="133" t="n">
        <f aca="false">AT118+AO118</f>
        <v>0</v>
      </c>
      <c r="AX118" s="133" t="n">
        <f aca="false">AJ118+AG118+AD118</f>
        <v>0</v>
      </c>
      <c r="AY118" s="149"/>
      <c r="AZ118" s="76" t="n">
        <f aca="false">R118*E118</f>
        <v>0</v>
      </c>
    </row>
    <row r="119" customFormat="false" ht="12.75" hidden="false" customHeight="false" outlineLevel="0" collapsed="false">
      <c r="A119" s="138" t="n">
        <f aca="false">EDATE(A118,1)</f>
        <v>40299</v>
      </c>
      <c r="B119" s="139" t="n">
        <f aca="false">VLOOKUP($A119,Table2,MATCH(I$3,Curves2,0))</f>
        <v>0</v>
      </c>
      <c r="C119" s="140"/>
      <c r="D119" s="141" t="n">
        <f aca="false">B119+C119</f>
        <v>0</v>
      </c>
      <c r="E119" s="126" t="n">
        <f aca="false">IF(Y119=0,0,IF(AND(Y119=1,$H$3=1),D119*T119,IF($H$3=2,D119,"N/A")))</f>
        <v>0</v>
      </c>
      <c r="F119" s="126" t="n">
        <f aca="false">E119*X119</f>
        <v>0</v>
      </c>
      <c r="G119" s="142" t="n">
        <f aca="false">VLOOKUP($A119,Table,MATCH(G$4,Curves,0))</f>
        <v>3.987</v>
      </c>
      <c r="H119" s="143" t="n">
        <f aca="false">G119</f>
        <v>3.987</v>
      </c>
      <c r="I119" s="142" t="n">
        <f aca="false">VLOOKUP($A119,Table1,MATCH(I$3,Curves1,0))</f>
        <v>0</v>
      </c>
      <c r="J119" s="142" t="n">
        <f aca="false">VLOOKUP($A119,Table,MATCH(J$4,Curves,0))</f>
        <v>-0.061</v>
      </c>
      <c r="K119" s="143" t="n">
        <f aca="false">J119</f>
        <v>-0.061</v>
      </c>
      <c r="L119" s="144" t="n">
        <v>0</v>
      </c>
      <c r="M119" s="142" t="n">
        <f aca="false">VLOOKUP($A119,Table,MATCH(M$4,Curves,0))</f>
        <v>0.005</v>
      </c>
      <c r="N119" s="143" t="n">
        <f aca="false">M119</f>
        <v>0.005</v>
      </c>
      <c r="O119" s="144" t="n">
        <v>0</v>
      </c>
      <c r="P119" s="145"/>
      <c r="Q119" s="144" t="n">
        <f aca="false">M119+J119+G119</f>
        <v>3.931</v>
      </c>
      <c r="R119" s="144" t="n">
        <f aca="false">O119+L119+I119</f>
        <v>0</v>
      </c>
      <c r="S119" s="145"/>
      <c r="T119" s="71" t="n">
        <f aca="false">A120-A119</f>
        <v>31</v>
      </c>
      <c r="U119" s="146" t="n">
        <f aca="false">CHOOSE(F$3,A120+24,A119)</f>
        <v>40354</v>
      </c>
      <c r="V119" s="71" t="n">
        <f aca="false">U119-C$3</f>
        <v>3466</v>
      </c>
      <c r="W119" s="142" t="n">
        <f aca="false">VLOOKUP($A119,Table,MATCH(W$4,Curves,0))</f>
        <v>0.058966861357273</v>
      </c>
      <c r="X119" s="147" t="n">
        <f aca="false">1/(1+CHOOSE(F$3,(W120+($K$3/10000))/2,(W119+($K$3/10000))/2))^(2*V119/365.25)</f>
        <v>0.576102686504143</v>
      </c>
      <c r="Y119" s="71" t="n">
        <f aca="false">IF(AND(mthbeg&lt;=A119,mthend&gt;=A119),1,0)</f>
        <v>0</v>
      </c>
      <c r="Z119" s="71" t="n">
        <f aca="false">T119*Y119</f>
        <v>0</v>
      </c>
      <c r="AB119" s="132" t="n">
        <f aca="false">F119*G119</f>
        <v>0</v>
      </c>
      <c r="AC119" s="132" t="n">
        <f aca="false">$F119*H119</f>
        <v>0</v>
      </c>
      <c r="AD119" s="132" t="n">
        <f aca="false">$F119*I119</f>
        <v>0</v>
      </c>
      <c r="AE119" s="132" t="n">
        <f aca="false">$F119*J119</f>
        <v>-0</v>
      </c>
      <c r="AF119" s="132" t="n">
        <f aca="false">$F119*K119</f>
        <v>-0</v>
      </c>
      <c r="AG119" s="132" t="n">
        <f aca="false">$F119*L119</f>
        <v>0</v>
      </c>
      <c r="AH119" s="132" t="n">
        <f aca="false">$F119*M119</f>
        <v>0</v>
      </c>
      <c r="AI119" s="132" t="n">
        <f aca="false">$F119*N119</f>
        <v>0</v>
      </c>
      <c r="AJ119" s="132" t="n">
        <f aca="false">F119*O119</f>
        <v>0</v>
      </c>
      <c r="AK119" s="137"/>
      <c r="AL119" s="132" t="n">
        <f aca="false">CHOOSE($G$3,AC119-AD119,AD119-AC119)</f>
        <v>0</v>
      </c>
      <c r="AM119" s="132" t="n">
        <f aca="false">CHOOSE($G$3,AF119-AG119,AG119-AF119)</f>
        <v>0</v>
      </c>
      <c r="AN119" s="132" t="n">
        <f aca="false">CHOOSE($G$3,AI119-AJ119,AJ119-AI119)</f>
        <v>0</v>
      </c>
      <c r="AO119" s="148" t="n">
        <f aca="false">SUM(AL119:AN119)</f>
        <v>0</v>
      </c>
      <c r="AQ119" s="132" t="n">
        <f aca="false">CHOOSE($G$3,AB119-AC119,AC119-AB119)</f>
        <v>0</v>
      </c>
      <c r="AR119" s="132" t="n">
        <f aca="false">CHOOSE($G$3,AE119-AF119,AF119-AE119)</f>
        <v>0</v>
      </c>
      <c r="AS119" s="132" t="n">
        <f aca="false">CHOOSE($G$3,AH119-AI119,AI119-AH119)</f>
        <v>0</v>
      </c>
      <c r="AT119" s="148" t="n">
        <f aca="false">AQ119+AR119+AS119</f>
        <v>0</v>
      </c>
      <c r="AU119" s="148"/>
      <c r="AV119" s="133" t="n">
        <f aca="false">AT119+AO119</f>
        <v>0</v>
      </c>
      <c r="AX119" s="133" t="n">
        <f aca="false">AJ119+AG119+AD119</f>
        <v>0</v>
      </c>
      <c r="AY119" s="149"/>
      <c r="AZ119" s="76" t="n">
        <f aca="false">R119*E119</f>
        <v>0</v>
      </c>
    </row>
    <row r="120" customFormat="false" ht="12.75" hidden="false" customHeight="false" outlineLevel="0" collapsed="false">
      <c r="A120" s="138" t="n">
        <f aca="false">EDATE(A119,1)</f>
        <v>40330</v>
      </c>
      <c r="B120" s="139" t="n">
        <f aca="false">VLOOKUP($A120,Table2,MATCH(I$3,Curves2,0))</f>
        <v>0</v>
      </c>
      <c r="C120" s="140"/>
      <c r="D120" s="141" t="n">
        <f aca="false">B120+C120</f>
        <v>0</v>
      </c>
      <c r="E120" s="126" t="n">
        <f aca="false">IF(Y120=0,0,IF(AND(Y120=1,$H$3=1),D120*T120,IF($H$3=2,D120,"N/A")))</f>
        <v>0</v>
      </c>
      <c r="F120" s="126" t="n">
        <f aca="false">E120*X120</f>
        <v>0</v>
      </c>
      <c r="G120" s="142" t="n">
        <f aca="false">VLOOKUP($A120,Table,MATCH(G$4,Curves,0))</f>
        <v>3.987</v>
      </c>
      <c r="H120" s="143" t="n">
        <f aca="false">G120</f>
        <v>3.987</v>
      </c>
      <c r="I120" s="142" t="n">
        <f aca="false">VLOOKUP($A120,Table1,MATCH(I$3,Curves1,0))</f>
        <v>0</v>
      </c>
      <c r="J120" s="142" t="n">
        <f aca="false">VLOOKUP($A120,Table,MATCH(J$4,Curves,0))</f>
        <v>-0.061</v>
      </c>
      <c r="K120" s="143" t="n">
        <f aca="false">J120</f>
        <v>-0.061</v>
      </c>
      <c r="L120" s="144" t="n">
        <v>0</v>
      </c>
      <c r="M120" s="142" t="n">
        <f aca="false">VLOOKUP($A120,Table,MATCH(M$4,Curves,0))</f>
        <v>0.005</v>
      </c>
      <c r="N120" s="143" t="n">
        <f aca="false">M120</f>
        <v>0.005</v>
      </c>
      <c r="O120" s="144" t="n">
        <v>0</v>
      </c>
      <c r="P120" s="145"/>
      <c r="Q120" s="144" t="n">
        <f aca="false">M120+J120+G120</f>
        <v>3.931</v>
      </c>
      <c r="R120" s="144" t="n">
        <f aca="false">O120+L120+I120</f>
        <v>0</v>
      </c>
      <c r="S120" s="145"/>
      <c r="T120" s="71" t="n">
        <f aca="false">A121-A120</f>
        <v>30</v>
      </c>
      <c r="U120" s="146" t="n">
        <f aca="false">CHOOSE(F$3,A121+24,A120)</f>
        <v>40384</v>
      </c>
      <c r="V120" s="71" t="n">
        <f aca="false">U120-C$3</f>
        <v>3496</v>
      </c>
      <c r="W120" s="142" t="n">
        <f aca="false">VLOOKUP($A120,Table,MATCH(W$4,Curves,0))</f>
        <v>0.058966861357273</v>
      </c>
      <c r="X120" s="147" t="n">
        <f aca="false">1/(1+CHOOSE(F$3,(W121+($K$3/10000))/2,(W120+($K$3/10000))/2))^(2*V120/365.25)</f>
        <v>0.573359357480596</v>
      </c>
      <c r="Y120" s="71" t="n">
        <f aca="false">IF(AND(mthbeg&lt;=A120,mthend&gt;=A120),1,0)</f>
        <v>0</v>
      </c>
      <c r="Z120" s="71" t="n">
        <f aca="false">T120*Y120</f>
        <v>0</v>
      </c>
      <c r="AB120" s="132" t="n">
        <f aca="false">F120*G120</f>
        <v>0</v>
      </c>
      <c r="AC120" s="132" t="n">
        <f aca="false">$F120*H120</f>
        <v>0</v>
      </c>
      <c r="AD120" s="132" t="n">
        <f aca="false">$F120*I120</f>
        <v>0</v>
      </c>
      <c r="AE120" s="132" t="n">
        <f aca="false">$F120*J120</f>
        <v>-0</v>
      </c>
      <c r="AF120" s="132" t="n">
        <f aca="false">$F120*K120</f>
        <v>-0</v>
      </c>
      <c r="AG120" s="132" t="n">
        <f aca="false">$F120*L120</f>
        <v>0</v>
      </c>
      <c r="AH120" s="132" t="n">
        <f aca="false">$F120*M120</f>
        <v>0</v>
      </c>
      <c r="AI120" s="132" t="n">
        <f aca="false">$F120*N120</f>
        <v>0</v>
      </c>
      <c r="AJ120" s="132" t="n">
        <f aca="false">F120*O120</f>
        <v>0</v>
      </c>
      <c r="AK120" s="137"/>
      <c r="AL120" s="132" t="n">
        <f aca="false">CHOOSE($G$3,AC120-AD120,AD120-AC120)</f>
        <v>0</v>
      </c>
      <c r="AM120" s="132" t="n">
        <f aca="false">CHOOSE($G$3,AF120-AG120,AG120-AF120)</f>
        <v>0</v>
      </c>
      <c r="AN120" s="132" t="n">
        <f aca="false">CHOOSE($G$3,AI120-AJ120,AJ120-AI120)</f>
        <v>0</v>
      </c>
      <c r="AO120" s="148" t="n">
        <f aca="false">SUM(AL120:AN120)</f>
        <v>0</v>
      </c>
      <c r="AQ120" s="132" t="n">
        <f aca="false">CHOOSE($G$3,AB120-AC120,AC120-AB120)</f>
        <v>0</v>
      </c>
      <c r="AR120" s="132" t="n">
        <f aca="false">CHOOSE($G$3,AE120-AF120,AF120-AE120)</f>
        <v>0</v>
      </c>
      <c r="AS120" s="132" t="n">
        <f aca="false">CHOOSE($G$3,AH120-AI120,AI120-AH120)</f>
        <v>0</v>
      </c>
      <c r="AT120" s="148" t="n">
        <f aca="false">AQ120+AR120+AS120</f>
        <v>0</v>
      </c>
      <c r="AU120" s="148"/>
      <c r="AV120" s="133" t="n">
        <f aca="false">AT120+AO120</f>
        <v>0</v>
      </c>
      <c r="AX120" s="133" t="n">
        <f aca="false">AJ120+AG120+AD120</f>
        <v>0</v>
      </c>
      <c r="AY120" s="149"/>
      <c r="AZ120" s="76" t="n">
        <f aca="false">R120*E120</f>
        <v>0</v>
      </c>
    </row>
    <row r="121" customFormat="false" ht="12.75" hidden="false" customHeight="false" outlineLevel="0" collapsed="false">
      <c r="A121" s="138" t="n">
        <f aca="false">EDATE(A120,1)</f>
        <v>40360</v>
      </c>
      <c r="B121" s="139" t="n">
        <f aca="false">VLOOKUP($A121,Table2,MATCH(I$3,Curves2,0))</f>
        <v>0</v>
      </c>
      <c r="C121" s="140"/>
      <c r="D121" s="141" t="n">
        <f aca="false">B121+C121</f>
        <v>0</v>
      </c>
      <c r="E121" s="126" t="n">
        <f aca="false">IF(Y121=0,0,IF(AND(Y121=1,$H$3=1),D121*T121,IF($H$3=2,D121,"N/A")))</f>
        <v>0</v>
      </c>
      <c r="F121" s="126" t="n">
        <f aca="false">E121*X121</f>
        <v>0</v>
      </c>
      <c r="G121" s="142" t="n">
        <f aca="false">VLOOKUP($A121,Table,MATCH(G$4,Curves,0))</f>
        <v>3.987</v>
      </c>
      <c r="H121" s="143" t="n">
        <f aca="false">G121</f>
        <v>3.987</v>
      </c>
      <c r="I121" s="142" t="n">
        <f aca="false">VLOOKUP($A121,Table1,MATCH(I$3,Curves1,0))</f>
        <v>0</v>
      </c>
      <c r="J121" s="142" t="n">
        <f aca="false">VLOOKUP($A121,Table,MATCH(J$4,Curves,0))</f>
        <v>-0.061</v>
      </c>
      <c r="K121" s="143" t="n">
        <f aca="false">J121</f>
        <v>-0.061</v>
      </c>
      <c r="L121" s="144" t="n">
        <v>0</v>
      </c>
      <c r="M121" s="142" t="n">
        <f aca="false">VLOOKUP($A121,Table,MATCH(M$4,Curves,0))</f>
        <v>0.005</v>
      </c>
      <c r="N121" s="143" t="n">
        <f aca="false">M121</f>
        <v>0.005</v>
      </c>
      <c r="O121" s="144" t="n">
        <v>0</v>
      </c>
      <c r="P121" s="145"/>
      <c r="Q121" s="144" t="n">
        <f aca="false">M121+J121+G121</f>
        <v>3.931</v>
      </c>
      <c r="R121" s="144" t="n">
        <f aca="false">O121+L121+I121</f>
        <v>0</v>
      </c>
      <c r="S121" s="145"/>
      <c r="T121" s="71" t="n">
        <f aca="false">A122-A121</f>
        <v>31</v>
      </c>
      <c r="U121" s="146" t="n">
        <f aca="false">CHOOSE(F$3,A122+24,A121)</f>
        <v>40415</v>
      </c>
      <c r="V121" s="71" t="n">
        <f aca="false">U121-C$3</f>
        <v>3527</v>
      </c>
      <c r="W121" s="142" t="n">
        <f aca="false">VLOOKUP($A121,Table,MATCH(W$4,Curves,0))</f>
        <v>0.058966861357273</v>
      </c>
      <c r="X121" s="147" t="n">
        <f aca="false">1/(1+CHOOSE(F$3,(W122+($K$3/10000))/2,(W121+($K$3/10000))/2))^(2*V121/365.25)</f>
        <v>0.570538307246348</v>
      </c>
      <c r="Y121" s="71" t="n">
        <f aca="false">IF(AND(mthbeg&lt;=A121,mthend&gt;=A121),1,0)</f>
        <v>0</v>
      </c>
      <c r="Z121" s="71" t="n">
        <f aca="false">T121*Y121</f>
        <v>0</v>
      </c>
      <c r="AB121" s="132" t="n">
        <f aca="false">F121*G121</f>
        <v>0</v>
      </c>
      <c r="AC121" s="132" t="n">
        <f aca="false">$F121*H121</f>
        <v>0</v>
      </c>
      <c r="AD121" s="132" t="n">
        <f aca="false">$F121*I121</f>
        <v>0</v>
      </c>
      <c r="AE121" s="132" t="n">
        <f aca="false">$F121*J121</f>
        <v>-0</v>
      </c>
      <c r="AF121" s="132" t="n">
        <f aca="false">$F121*K121</f>
        <v>-0</v>
      </c>
      <c r="AG121" s="132" t="n">
        <f aca="false">$F121*L121</f>
        <v>0</v>
      </c>
      <c r="AH121" s="132" t="n">
        <f aca="false">$F121*M121</f>
        <v>0</v>
      </c>
      <c r="AI121" s="132" t="n">
        <f aca="false">$F121*N121</f>
        <v>0</v>
      </c>
      <c r="AJ121" s="132" t="n">
        <f aca="false">F121*O121</f>
        <v>0</v>
      </c>
      <c r="AK121" s="137"/>
      <c r="AL121" s="132" t="n">
        <f aca="false">CHOOSE($G$3,AC121-AD121,AD121-AC121)</f>
        <v>0</v>
      </c>
      <c r="AM121" s="132" t="n">
        <f aca="false">CHOOSE($G$3,AF121-AG121,AG121-AF121)</f>
        <v>0</v>
      </c>
      <c r="AN121" s="132" t="n">
        <f aca="false">CHOOSE($G$3,AI121-AJ121,AJ121-AI121)</f>
        <v>0</v>
      </c>
      <c r="AO121" s="148" t="n">
        <f aca="false">SUM(AL121:AN121)</f>
        <v>0</v>
      </c>
      <c r="AQ121" s="132" t="n">
        <f aca="false">CHOOSE($G$3,AB121-AC121,AC121-AB121)</f>
        <v>0</v>
      </c>
      <c r="AR121" s="132" t="n">
        <f aca="false">CHOOSE($G$3,AE121-AF121,AF121-AE121)</f>
        <v>0</v>
      </c>
      <c r="AS121" s="132" t="n">
        <f aca="false">CHOOSE($G$3,AH121-AI121,AI121-AH121)</f>
        <v>0</v>
      </c>
      <c r="AT121" s="148" t="n">
        <f aca="false">AQ121+AR121+AS121</f>
        <v>0</v>
      </c>
      <c r="AU121" s="148"/>
      <c r="AV121" s="133" t="n">
        <f aca="false">AT121+AO121</f>
        <v>0</v>
      </c>
      <c r="AX121" s="133" t="n">
        <f aca="false">AJ121+AG121+AD121</f>
        <v>0</v>
      </c>
      <c r="AY121" s="149"/>
      <c r="AZ121" s="76" t="n">
        <f aca="false">R121*E121</f>
        <v>0</v>
      </c>
    </row>
    <row r="122" customFormat="false" ht="12.75" hidden="false" customHeight="false" outlineLevel="0" collapsed="false">
      <c r="A122" s="138" t="n">
        <f aca="false">EDATE(A121,1)</f>
        <v>40391</v>
      </c>
      <c r="B122" s="139" t="n">
        <f aca="false">VLOOKUP($A122,Table2,MATCH(I$3,Curves2,0))</f>
        <v>0</v>
      </c>
      <c r="C122" s="140"/>
      <c r="D122" s="141" t="n">
        <f aca="false">B122+C122</f>
        <v>0</v>
      </c>
      <c r="E122" s="126" t="n">
        <f aca="false">IF(Y122=0,0,IF(AND(Y122=1,$H$3=1),D122*T122,IF($H$3=2,D122,"N/A")))</f>
        <v>0</v>
      </c>
      <c r="F122" s="126" t="n">
        <f aca="false">E122*X122</f>
        <v>0</v>
      </c>
      <c r="G122" s="142" t="n">
        <f aca="false">VLOOKUP($A122,Table,MATCH(G$4,Curves,0))</f>
        <v>3.987</v>
      </c>
      <c r="H122" s="143" t="n">
        <f aca="false">G122</f>
        <v>3.987</v>
      </c>
      <c r="I122" s="142" t="n">
        <f aca="false">VLOOKUP($A122,Table1,MATCH(I$3,Curves1,0))</f>
        <v>0</v>
      </c>
      <c r="J122" s="142" t="n">
        <f aca="false">VLOOKUP($A122,Table,MATCH(J$4,Curves,0))</f>
        <v>-0.061</v>
      </c>
      <c r="K122" s="143" t="n">
        <f aca="false">J122</f>
        <v>-0.061</v>
      </c>
      <c r="L122" s="144" t="n">
        <v>0</v>
      </c>
      <c r="M122" s="142" t="n">
        <f aca="false">VLOOKUP($A122,Table,MATCH(M$4,Curves,0))</f>
        <v>0.005</v>
      </c>
      <c r="N122" s="143" t="n">
        <f aca="false">M122</f>
        <v>0.005</v>
      </c>
      <c r="O122" s="144" t="n">
        <v>0</v>
      </c>
      <c r="P122" s="145"/>
      <c r="Q122" s="144" t="n">
        <f aca="false">M122+J122+G122</f>
        <v>3.931</v>
      </c>
      <c r="R122" s="144" t="n">
        <f aca="false">O122+L122+I122</f>
        <v>0</v>
      </c>
      <c r="S122" s="145"/>
      <c r="T122" s="71" t="n">
        <f aca="false">A123-A122</f>
        <v>31</v>
      </c>
      <c r="U122" s="146" t="n">
        <f aca="false">CHOOSE(F$3,A123+24,A122)</f>
        <v>40446</v>
      </c>
      <c r="V122" s="71" t="n">
        <f aca="false">U122-C$3</f>
        <v>3558</v>
      </c>
      <c r="W122" s="142" t="n">
        <f aca="false">VLOOKUP($A122,Table,MATCH(W$4,Curves,0))</f>
        <v>0.058966861357273</v>
      </c>
      <c r="X122" s="147" t="n">
        <f aca="false">1/(1+CHOOSE(F$3,(W123+($K$3/10000))/2,(W122+($K$3/10000))/2))^(2*V122/365.25)</f>
        <v>0.56773113718048</v>
      </c>
      <c r="Y122" s="71" t="n">
        <f aca="false">IF(AND(mthbeg&lt;=A122,mthend&gt;=A122),1,0)</f>
        <v>0</v>
      </c>
      <c r="Z122" s="71" t="n">
        <f aca="false">T122*Y122</f>
        <v>0</v>
      </c>
      <c r="AB122" s="132" t="n">
        <f aca="false">F122*G122</f>
        <v>0</v>
      </c>
      <c r="AC122" s="132" t="n">
        <f aca="false">$F122*H122</f>
        <v>0</v>
      </c>
      <c r="AD122" s="132" t="n">
        <f aca="false">$F122*I122</f>
        <v>0</v>
      </c>
      <c r="AE122" s="132" t="n">
        <f aca="false">$F122*J122</f>
        <v>-0</v>
      </c>
      <c r="AF122" s="132" t="n">
        <f aca="false">$F122*K122</f>
        <v>-0</v>
      </c>
      <c r="AG122" s="132" t="n">
        <f aca="false">$F122*L122</f>
        <v>0</v>
      </c>
      <c r="AH122" s="132" t="n">
        <f aca="false">$F122*M122</f>
        <v>0</v>
      </c>
      <c r="AI122" s="132" t="n">
        <f aca="false">$F122*N122</f>
        <v>0</v>
      </c>
      <c r="AJ122" s="132" t="n">
        <f aca="false">F122*O122</f>
        <v>0</v>
      </c>
      <c r="AK122" s="137"/>
      <c r="AL122" s="132" t="n">
        <f aca="false">CHOOSE($G$3,AC122-AD122,AD122-AC122)</f>
        <v>0</v>
      </c>
      <c r="AM122" s="132" t="n">
        <f aca="false">CHOOSE($G$3,AF122-AG122,AG122-AF122)</f>
        <v>0</v>
      </c>
      <c r="AN122" s="132" t="n">
        <f aca="false">CHOOSE($G$3,AI122-AJ122,AJ122-AI122)</f>
        <v>0</v>
      </c>
      <c r="AO122" s="148" t="n">
        <f aca="false">SUM(AL122:AN122)</f>
        <v>0</v>
      </c>
      <c r="AQ122" s="132" t="n">
        <f aca="false">CHOOSE($G$3,AB122-AC122,AC122-AB122)</f>
        <v>0</v>
      </c>
      <c r="AR122" s="132" t="n">
        <f aca="false">CHOOSE($G$3,AE122-AF122,AF122-AE122)</f>
        <v>0</v>
      </c>
      <c r="AS122" s="132" t="n">
        <f aca="false">CHOOSE($G$3,AH122-AI122,AI122-AH122)</f>
        <v>0</v>
      </c>
      <c r="AT122" s="148" t="n">
        <f aca="false">AQ122+AR122+AS122</f>
        <v>0</v>
      </c>
      <c r="AU122" s="148"/>
      <c r="AV122" s="133" t="n">
        <f aca="false">AT122+AO122</f>
        <v>0</v>
      </c>
      <c r="AX122" s="133" t="n">
        <f aca="false">AJ122+AG122+AD122</f>
        <v>0</v>
      </c>
      <c r="AY122" s="149"/>
      <c r="AZ122" s="76" t="n">
        <f aca="false">R122*E122</f>
        <v>0</v>
      </c>
    </row>
    <row r="123" customFormat="false" ht="12.75" hidden="false" customHeight="false" outlineLevel="0" collapsed="false">
      <c r="A123" s="138" t="n">
        <f aca="false">EDATE(A122,1)</f>
        <v>40422</v>
      </c>
      <c r="B123" s="139" t="n">
        <f aca="false">VLOOKUP($A123,Table2,MATCH(I$3,Curves2,0))</f>
        <v>0</v>
      </c>
      <c r="C123" s="140"/>
      <c r="D123" s="141" t="n">
        <f aca="false">B123+C123</f>
        <v>0</v>
      </c>
      <c r="E123" s="126" t="n">
        <f aca="false">IF(Y123=0,0,IF(AND(Y123=1,$H$3=1),D123*T123,IF($H$3=2,D123,"N/A")))</f>
        <v>0</v>
      </c>
      <c r="F123" s="126" t="n">
        <f aca="false">E123*X123</f>
        <v>0</v>
      </c>
      <c r="G123" s="142" t="n">
        <f aca="false">VLOOKUP($A123,Table,MATCH(G$4,Curves,0))</f>
        <v>3.987</v>
      </c>
      <c r="H123" s="143" t="n">
        <f aca="false">G123</f>
        <v>3.987</v>
      </c>
      <c r="I123" s="142" t="n">
        <f aca="false">VLOOKUP($A123,Table1,MATCH(I$3,Curves1,0))</f>
        <v>0</v>
      </c>
      <c r="J123" s="142" t="n">
        <f aca="false">VLOOKUP($A123,Table,MATCH(J$4,Curves,0))</f>
        <v>-0.061</v>
      </c>
      <c r="K123" s="143" t="n">
        <f aca="false">J123</f>
        <v>-0.061</v>
      </c>
      <c r="L123" s="144" t="n">
        <v>0</v>
      </c>
      <c r="M123" s="142" t="n">
        <f aca="false">VLOOKUP($A123,Table,MATCH(M$4,Curves,0))</f>
        <v>0.005</v>
      </c>
      <c r="N123" s="143" t="n">
        <f aca="false">M123</f>
        <v>0.005</v>
      </c>
      <c r="O123" s="144" t="n">
        <v>0</v>
      </c>
      <c r="P123" s="145"/>
      <c r="Q123" s="144" t="n">
        <f aca="false">M123+J123+G123</f>
        <v>3.931</v>
      </c>
      <c r="R123" s="144" t="n">
        <f aca="false">O123+L123+I123</f>
        <v>0</v>
      </c>
      <c r="S123" s="145"/>
      <c r="T123" s="71" t="n">
        <f aca="false">A124-A123</f>
        <v>30</v>
      </c>
      <c r="U123" s="146" t="n">
        <f aca="false">CHOOSE(F$3,A124+24,A123)</f>
        <v>40476</v>
      </c>
      <c r="V123" s="71" t="n">
        <f aca="false">U123-C$3</f>
        <v>3588</v>
      </c>
      <c r="W123" s="142" t="n">
        <f aca="false">VLOOKUP($A123,Table,MATCH(W$4,Curves,0))</f>
        <v>0.058966861357273</v>
      </c>
      <c r="X123" s="147" t="n">
        <f aca="false">1/(1+CHOOSE(F$3,(W124+($K$3/10000))/2,(W123+($K$3/10000))/2))^(2*V123/365.25)</f>
        <v>0.565027672428997</v>
      </c>
      <c r="Y123" s="71" t="n">
        <f aca="false">IF(AND(mthbeg&lt;=A123,mthend&gt;=A123),1,0)</f>
        <v>0</v>
      </c>
      <c r="Z123" s="71" t="n">
        <f aca="false">T123*Y123</f>
        <v>0</v>
      </c>
      <c r="AB123" s="132" t="n">
        <f aca="false">F123*G123</f>
        <v>0</v>
      </c>
      <c r="AC123" s="132" t="n">
        <f aca="false">$F123*H123</f>
        <v>0</v>
      </c>
      <c r="AD123" s="132" t="n">
        <f aca="false">$F123*I123</f>
        <v>0</v>
      </c>
      <c r="AE123" s="132" t="n">
        <f aca="false">$F123*J123</f>
        <v>-0</v>
      </c>
      <c r="AF123" s="132" t="n">
        <f aca="false">$F123*K123</f>
        <v>-0</v>
      </c>
      <c r="AG123" s="132" t="n">
        <f aca="false">$F123*L123</f>
        <v>0</v>
      </c>
      <c r="AH123" s="132" t="n">
        <f aca="false">$F123*M123</f>
        <v>0</v>
      </c>
      <c r="AI123" s="132" t="n">
        <f aca="false">$F123*N123</f>
        <v>0</v>
      </c>
      <c r="AJ123" s="132" t="n">
        <f aca="false">F123*O123</f>
        <v>0</v>
      </c>
      <c r="AK123" s="137"/>
      <c r="AL123" s="132" t="n">
        <f aca="false">CHOOSE($G$3,AC123-AD123,AD123-AC123)</f>
        <v>0</v>
      </c>
      <c r="AM123" s="132" t="n">
        <f aca="false">CHOOSE($G$3,AF123-AG123,AG123-AF123)</f>
        <v>0</v>
      </c>
      <c r="AN123" s="132" t="n">
        <f aca="false">CHOOSE($G$3,AI123-AJ123,AJ123-AI123)</f>
        <v>0</v>
      </c>
      <c r="AO123" s="148" t="n">
        <f aca="false">SUM(AL123:AN123)</f>
        <v>0</v>
      </c>
      <c r="AQ123" s="132" t="n">
        <f aca="false">CHOOSE($G$3,AB123-AC123,AC123-AB123)</f>
        <v>0</v>
      </c>
      <c r="AR123" s="132" t="n">
        <f aca="false">CHOOSE($G$3,AE123-AF123,AF123-AE123)</f>
        <v>0</v>
      </c>
      <c r="AS123" s="132" t="n">
        <f aca="false">CHOOSE($G$3,AH123-AI123,AI123-AH123)</f>
        <v>0</v>
      </c>
      <c r="AT123" s="148" t="n">
        <f aca="false">AQ123+AR123+AS123</f>
        <v>0</v>
      </c>
      <c r="AU123" s="148"/>
      <c r="AV123" s="133" t="n">
        <f aca="false">AT123+AO123</f>
        <v>0</v>
      </c>
      <c r="AX123" s="133" t="n">
        <f aca="false">AJ123+AG123+AD123</f>
        <v>0</v>
      </c>
      <c r="AY123" s="149"/>
      <c r="AZ123" s="76" t="n">
        <f aca="false">R123*E123</f>
        <v>0</v>
      </c>
    </row>
    <row r="124" customFormat="false" ht="12.75" hidden="false" customHeight="false" outlineLevel="0" collapsed="false">
      <c r="A124" s="138" t="n">
        <f aca="false">EDATE(A123,1)</f>
        <v>40452</v>
      </c>
      <c r="B124" s="139" t="n">
        <f aca="false">VLOOKUP($A124,Table2,MATCH(I$3,Curves2,0))</f>
        <v>0</v>
      </c>
      <c r="C124" s="140"/>
      <c r="D124" s="141" t="n">
        <f aca="false">B124+C124</f>
        <v>0</v>
      </c>
      <c r="E124" s="126" t="n">
        <f aca="false">IF(Y124=0,0,IF(AND(Y124=1,$H$3=1),D124*T124,IF($H$3=2,D124,"N/A")))</f>
        <v>0</v>
      </c>
      <c r="F124" s="126" t="n">
        <f aca="false">E124*X124</f>
        <v>0</v>
      </c>
      <c r="G124" s="142" t="n">
        <f aca="false">VLOOKUP($A124,Table,MATCH(G$4,Curves,0))</f>
        <v>3.987</v>
      </c>
      <c r="H124" s="143" t="n">
        <f aca="false">G124</f>
        <v>3.987</v>
      </c>
      <c r="I124" s="142" t="n">
        <f aca="false">VLOOKUP($A124,Table1,MATCH(I$3,Curves1,0))</f>
        <v>0</v>
      </c>
      <c r="J124" s="142" t="n">
        <f aca="false">VLOOKUP($A124,Table,MATCH(J$4,Curves,0))</f>
        <v>-0.061</v>
      </c>
      <c r="K124" s="143" t="n">
        <f aca="false">J124</f>
        <v>-0.061</v>
      </c>
      <c r="L124" s="144" t="n">
        <v>0</v>
      </c>
      <c r="M124" s="142" t="n">
        <f aca="false">VLOOKUP($A124,Table,MATCH(M$4,Curves,0))</f>
        <v>0.005</v>
      </c>
      <c r="N124" s="143" t="n">
        <f aca="false">M124</f>
        <v>0.005</v>
      </c>
      <c r="O124" s="144" t="n">
        <v>0</v>
      </c>
      <c r="P124" s="145"/>
      <c r="Q124" s="144" t="n">
        <f aca="false">M124+J124+G124</f>
        <v>3.931</v>
      </c>
      <c r="R124" s="144" t="n">
        <f aca="false">O124+L124+I124</f>
        <v>0</v>
      </c>
      <c r="S124" s="145"/>
      <c r="T124" s="71" t="n">
        <f aca="false">A125-A124</f>
        <v>31</v>
      </c>
      <c r="U124" s="146" t="n">
        <f aca="false">CHOOSE(F$3,A125+24,A124)</f>
        <v>40507</v>
      </c>
      <c r="V124" s="71" t="n">
        <f aca="false">U124-C$3</f>
        <v>3619</v>
      </c>
      <c r="W124" s="142" t="n">
        <f aca="false">VLOOKUP($A124,Table,MATCH(W$4,Curves,0))</f>
        <v>0.058966861357273</v>
      </c>
      <c r="X124" s="147" t="n">
        <f aca="false">1/(1+CHOOSE(F$3,(W125+($K$3/10000))/2,(W124+($K$3/10000))/2))^(2*V124/365.25)</f>
        <v>0.562247615860867</v>
      </c>
      <c r="Y124" s="71" t="n">
        <f aca="false">IF(AND(mthbeg&lt;=A124,mthend&gt;=A124),1,0)</f>
        <v>0</v>
      </c>
      <c r="Z124" s="71" t="n">
        <f aca="false">T124*Y124</f>
        <v>0</v>
      </c>
      <c r="AB124" s="132" t="n">
        <f aca="false">F124*G124</f>
        <v>0</v>
      </c>
      <c r="AC124" s="132" t="n">
        <f aca="false">$F124*H124</f>
        <v>0</v>
      </c>
      <c r="AD124" s="132" t="n">
        <f aca="false">$F124*I124</f>
        <v>0</v>
      </c>
      <c r="AE124" s="132" t="n">
        <f aca="false">$F124*J124</f>
        <v>-0</v>
      </c>
      <c r="AF124" s="132" t="n">
        <f aca="false">$F124*K124</f>
        <v>-0</v>
      </c>
      <c r="AG124" s="132" t="n">
        <f aca="false">$F124*L124</f>
        <v>0</v>
      </c>
      <c r="AH124" s="132" t="n">
        <f aca="false">$F124*M124</f>
        <v>0</v>
      </c>
      <c r="AI124" s="132" t="n">
        <f aca="false">$F124*N124</f>
        <v>0</v>
      </c>
      <c r="AJ124" s="132" t="n">
        <f aca="false">F124*O124</f>
        <v>0</v>
      </c>
      <c r="AK124" s="137"/>
      <c r="AL124" s="132" t="n">
        <f aca="false">CHOOSE($G$3,AC124-AD124,AD124-AC124)</f>
        <v>0</v>
      </c>
      <c r="AM124" s="132" t="n">
        <f aca="false">CHOOSE($G$3,AF124-AG124,AG124-AF124)</f>
        <v>0</v>
      </c>
      <c r="AN124" s="132" t="n">
        <f aca="false">CHOOSE($G$3,AI124-AJ124,AJ124-AI124)</f>
        <v>0</v>
      </c>
      <c r="AO124" s="148" t="n">
        <f aca="false">SUM(AL124:AN124)</f>
        <v>0</v>
      </c>
      <c r="AQ124" s="132" t="n">
        <f aca="false">CHOOSE($G$3,AB124-AC124,AC124-AB124)</f>
        <v>0</v>
      </c>
      <c r="AR124" s="132" t="n">
        <f aca="false">CHOOSE($G$3,AE124-AF124,AF124-AE124)</f>
        <v>0</v>
      </c>
      <c r="AS124" s="132" t="n">
        <f aca="false">CHOOSE($G$3,AH124-AI124,AI124-AH124)</f>
        <v>0</v>
      </c>
      <c r="AT124" s="148" t="n">
        <f aca="false">AQ124+AR124+AS124</f>
        <v>0</v>
      </c>
      <c r="AU124" s="148"/>
      <c r="AV124" s="133" t="n">
        <f aca="false">AT124+AO124</f>
        <v>0</v>
      </c>
      <c r="AX124" s="133" t="n">
        <f aca="false">AJ124+AG124+AD124</f>
        <v>0</v>
      </c>
      <c r="AY124" s="149"/>
      <c r="AZ124" s="76" t="n">
        <f aca="false">R124*E124</f>
        <v>0</v>
      </c>
    </row>
    <row r="125" customFormat="false" ht="12.75" hidden="false" customHeight="false" outlineLevel="0" collapsed="false">
      <c r="A125" s="138" t="n">
        <f aca="false">EDATE(A124,1)</f>
        <v>40483</v>
      </c>
      <c r="B125" s="139" t="n">
        <f aca="false">VLOOKUP($A125,Table2,MATCH(I$3,Curves2,0))</f>
        <v>0</v>
      </c>
      <c r="C125" s="140"/>
      <c r="D125" s="141" t="n">
        <f aca="false">B125+C125</f>
        <v>0</v>
      </c>
      <c r="E125" s="126" t="n">
        <f aca="false">IF(Y125=0,0,IF(AND(Y125=1,$H$3=1),D125*T125,IF($H$3=2,D125,"N/A")))</f>
        <v>0</v>
      </c>
      <c r="F125" s="126" t="n">
        <f aca="false">E125*X125</f>
        <v>0</v>
      </c>
      <c r="G125" s="142" t="n">
        <f aca="false">VLOOKUP($A125,Table,MATCH(G$4,Curves,0))</f>
        <v>3.987</v>
      </c>
      <c r="H125" s="143" t="n">
        <f aca="false">G125</f>
        <v>3.987</v>
      </c>
      <c r="I125" s="142" t="n">
        <f aca="false">VLOOKUP($A125,Table1,MATCH(I$3,Curves1,0))</f>
        <v>0</v>
      </c>
      <c r="J125" s="142" t="n">
        <f aca="false">VLOOKUP($A125,Table,MATCH(J$4,Curves,0))</f>
        <v>-0.061</v>
      </c>
      <c r="K125" s="143" t="n">
        <f aca="false">J125</f>
        <v>-0.061</v>
      </c>
      <c r="L125" s="144" t="n">
        <v>0</v>
      </c>
      <c r="M125" s="142" t="n">
        <f aca="false">VLOOKUP($A125,Table,MATCH(M$4,Curves,0))</f>
        <v>0.005</v>
      </c>
      <c r="N125" s="143" t="n">
        <f aca="false">M125</f>
        <v>0.005</v>
      </c>
      <c r="O125" s="144" t="n">
        <v>0</v>
      </c>
      <c r="P125" s="145"/>
      <c r="Q125" s="144" t="n">
        <f aca="false">M125+J125+G125</f>
        <v>3.931</v>
      </c>
      <c r="R125" s="144" t="n">
        <f aca="false">O125+L125+I125</f>
        <v>0</v>
      </c>
      <c r="S125" s="145"/>
      <c r="T125" s="71" t="n">
        <f aca="false">A126-A125</f>
        <v>30</v>
      </c>
      <c r="U125" s="146" t="n">
        <f aca="false">CHOOSE(F$3,A126+24,A125)</f>
        <v>40537</v>
      </c>
      <c r="V125" s="71" t="n">
        <f aca="false">U125-C$3</f>
        <v>3649</v>
      </c>
      <c r="W125" s="142" t="n">
        <f aca="false">VLOOKUP($A125,Table,MATCH(W$4,Curves,0))</f>
        <v>0.058966861357273</v>
      </c>
      <c r="X125" s="147" t="n">
        <f aca="false">1/(1+CHOOSE(F$3,(W126+($K$3/10000))/2,(W125+($K$3/10000))/2))^(2*V125/365.25)</f>
        <v>0.55957026295288</v>
      </c>
      <c r="Y125" s="71" t="n">
        <f aca="false">IF(AND(mthbeg&lt;=A125,mthend&gt;=A125),1,0)</f>
        <v>0</v>
      </c>
      <c r="Z125" s="71" t="n">
        <f aca="false">T125*Y125</f>
        <v>0</v>
      </c>
      <c r="AB125" s="132" t="n">
        <f aca="false">F125*G125</f>
        <v>0</v>
      </c>
      <c r="AC125" s="132" t="n">
        <f aca="false">$F125*H125</f>
        <v>0</v>
      </c>
      <c r="AD125" s="132" t="n">
        <f aca="false">$F125*I125</f>
        <v>0</v>
      </c>
      <c r="AE125" s="132" t="n">
        <f aca="false">$F125*J125</f>
        <v>-0</v>
      </c>
      <c r="AF125" s="132" t="n">
        <f aca="false">$F125*K125</f>
        <v>-0</v>
      </c>
      <c r="AG125" s="132" t="n">
        <f aca="false">$F125*L125</f>
        <v>0</v>
      </c>
      <c r="AH125" s="132" t="n">
        <f aca="false">$F125*M125</f>
        <v>0</v>
      </c>
      <c r="AI125" s="132" t="n">
        <f aca="false">$F125*N125</f>
        <v>0</v>
      </c>
      <c r="AJ125" s="132" t="n">
        <f aca="false">F125*O125</f>
        <v>0</v>
      </c>
      <c r="AK125" s="137"/>
      <c r="AL125" s="132" t="n">
        <f aca="false">CHOOSE($G$3,AC125-AD125,AD125-AC125)</f>
        <v>0</v>
      </c>
      <c r="AM125" s="132" t="n">
        <f aca="false">CHOOSE($G$3,AF125-AG125,AG125-AF125)</f>
        <v>0</v>
      </c>
      <c r="AN125" s="132" t="n">
        <f aca="false">CHOOSE($G$3,AI125-AJ125,AJ125-AI125)</f>
        <v>0</v>
      </c>
      <c r="AO125" s="148" t="n">
        <f aca="false">SUM(AL125:AN125)</f>
        <v>0</v>
      </c>
      <c r="AQ125" s="132" t="n">
        <f aca="false">CHOOSE($G$3,AB125-AC125,AC125-AB125)</f>
        <v>0</v>
      </c>
      <c r="AR125" s="132" t="n">
        <f aca="false">CHOOSE($G$3,AE125-AF125,AF125-AE125)</f>
        <v>0</v>
      </c>
      <c r="AS125" s="132" t="n">
        <f aca="false">CHOOSE($G$3,AH125-AI125,AI125-AH125)</f>
        <v>0</v>
      </c>
      <c r="AT125" s="148" t="n">
        <f aca="false">AQ125+AR125+AS125</f>
        <v>0</v>
      </c>
      <c r="AU125" s="148"/>
      <c r="AV125" s="133" t="n">
        <f aca="false">AT125+AO125</f>
        <v>0</v>
      </c>
      <c r="AX125" s="133" t="n">
        <f aca="false">AJ125+AG125+AD125</f>
        <v>0</v>
      </c>
      <c r="AY125" s="149"/>
      <c r="AZ125" s="76" t="n">
        <f aca="false">R125*E125</f>
        <v>0</v>
      </c>
    </row>
    <row r="126" customFormat="false" ht="12.75" hidden="false" customHeight="false" outlineLevel="0" collapsed="false">
      <c r="A126" s="138" t="n">
        <f aca="false">EDATE(A125,1)</f>
        <v>40513</v>
      </c>
      <c r="B126" s="139" t="n">
        <f aca="false">VLOOKUP($A126,Table2,MATCH(I$3,Curves2,0))</f>
        <v>0</v>
      </c>
      <c r="C126" s="140"/>
      <c r="D126" s="141" t="n">
        <f aca="false">B126+C126</f>
        <v>0</v>
      </c>
      <c r="E126" s="126" t="n">
        <f aca="false">IF(Y126=0,0,IF(AND(Y126=1,$H$3=1),D126*T126,IF($H$3=2,D126,"N/A")))</f>
        <v>0</v>
      </c>
      <c r="F126" s="126" t="n">
        <f aca="false">E126*X126</f>
        <v>0</v>
      </c>
      <c r="G126" s="142" t="n">
        <f aca="false">VLOOKUP($A126,Table,MATCH(G$4,Curves,0))</f>
        <v>3.987</v>
      </c>
      <c r="H126" s="143" t="n">
        <f aca="false">G126</f>
        <v>3.987</v>
      </c>
      <c r="I126" s="142" t="n">
        <f aca="false">VLOOKUP($A126,Table1,MATCH(I$3,Curves1,0))</f>
        <v>0</v>
      </c>
      <c r="J126" s="142" t="n">
        <f aca="false">VLOOKUP($A126,Table,MATCH(J$4,Curves,0))</f>
        <v>-0.061</v>
      </c>
      <c r="K126" s="143" t="n">
        <f aca="false">J126</f>
        <v>-0.061</v>
      </c>
      <c r="L126" s="144" t="n">
        <v>0</v>
      </c>
      <c r="M126" s="142" t="n">
        <f aca="false">VLOOKUP($A126,Table,MATCH(M$4,Curves,0))</f>
        <v>0.005</v>
      </c>
      <c r="N126" s="143" t="n">
        <f aca="false">M126</f>
        <v>0.005</v>
      </c>
      <c r="O126" s="144" t="n">
        <v>0</v>
      </c>
      <c r="P126" s="145"/>
      <c r="Q126" s="144" t="n">
        <f aca="false">M126+J126+G126</f>
        <v>3.931</v>
      </c>
      <c r="R126" s="144" t="n">
        <f aca="false">O126+L126+I126</f>
        <v>0</v>
      </c>
      <c r="S126" s="145"/>
      <c r="T126" s="71" t="n">
        <f aca="false">A127-A126</f>
        <v>31</v>
      </c>
      <c r="U126" s="146" t="n">
        <f aca="false">CHOOSE(F$3,A127+24,A126)</f>
        <v>40568</v>
      </c>
      <c r="V126" s="71" t="n">
        <f aca="false">U126-C$3</f>
        <v>3680</v>
      </c>
      <c r="W126" s="142" t="n">
        <f aca="false">VLOOKUP($A126,Table,MATCH(W$4,Curves,0))</f>
        <v>0.058966861357273</v>
      </c>
      <c r="X126" s="147" t="n">
        <f aca="false">1/(1+CHOOSE(F$3,(W127+($K$3/10000))/2,(W126+($K$3/10000))/2))^(2*V126/365.25)</f>
        <v>0.556817058002466</v>
      </c>
      <c r="Y126" s="71" t="n">
        <f aca="false">IF(AND(mthbeg&lt;=A126,mthend&gt;=A126),1,0)</f>
        <v>0</v>
      </c>
      <c r="Z126" s="71" t="n">
        <f aca="false">T126*Y126</f>
        <v>0</v>
      </c>
      <c r="AB126" s="132" t="n">
        <f aca="false">F126*G126</f>
        <v>0</v>
      </c>
      <c r="AC126" s="132" t="n">
        <f aca="false">$F126*H126</f>
        <v>0</v>
      </c>
      <c r="AD126" s="132" t="n">
        <f aca="false">$F126*I126</f>
        <v>0</v>
      </c>
      <c r="AE126" s="132" t="n">
        <f aca="false">$F126*J126</f>
        <v>-0</v>
      </c>
      <c r="AF126" s="132" t="n">
        <f aca="false">$F126*K126</f>
        <v>-0</v>
      </c>
      <c r="AG126" s="132" t="n">
        <f aca="false">$F126*L126</f>
        <v>0</v>
      </c>
      <c r="AH126" s="132" t="n">
        <f aca="false">$F126*M126</f>
        <v>0</v>
      </c>
      <c r="AI126" s="132" t="n">
        <f aca="false">$F126*N126</f>
        <v>0</v>
      </c>
      <c r="AJ126" s="132" t="n">
        <f aca="false">F126*O126</f>
        <v>0</v>
      </c>
      <c r="AK126" s="137"/>
      <c r="AL126" s="132" t="n">
        <f aca="false">CHOOSE($G$3,AC126-AD126,AD126-AC126)</f>
        <v>0</v>
      </c>
      <c r="AM126" s="132" t="n">
        <f aca="false">CHOOSE($G$3,AF126-AG126,AG126-AF126)</f>
        <v>0</v>
      </c>
      <c r="AN126" s="132" t="n">
        <f aca="false">CHOOSE($G$3,AI126-AJ126,AJ126-AI126)</f>
        <v>0</v>
      </c>
      <c r="AO126" s="148" t="n">
        <f aca="false">SUM(AL126:AN126)</f>
        <v>0</v>
      </c>
      <c r="AQ126" s="132" t="n">
        <f aca="false">CHOOSE($G$3,AB126-AC126,AC126-AB126)</f>
        <v>0</v>
      </c>
      <c r="AR126" s="132" t="n">
        <f aca="false">CHOOSE($G$3,AE126-AF126,AF126-AE126)</f>
        <v>0</v>
      </c>
      <c r="AS126" s="132" t="n">
        <f aca="false">CHOOSE($G$3,AH126-AI126,AI126-AH126)</f>
        <v>0</v>
      </c>
      <c r="AT126" s="148" t="n">
        <f aca="false">AQ126+AR126+AS126</f>
        <v>0</v>
      </c>
      <c r="AU126" s="148"/>
      <c r="AV126" s="133" t="n">
        <f aca="false">AT126+AO126</f>
        <v>0</v>
      </c>
      <c r="AX126" s="133" t="n">
        <f aca="false">AJ126+AG126+AD126</f>
        <v>0</v>
      </c>
      <c r="AY126" s="149"/>
      <c r="AZ126" s="76" t="n">
        <f aca="false">R126*E126</f>
        <v>0</v>
      </c>
    </row>
    <row r="127" customFormat="false" ht="12.75" hidden="false" customHeight="false" outlineLevel="0" collapsed="false">
      <c r="A127" s="138" t="n">
        <f aca="false">EDATE(A126,1)</f>
        <v>40544</v>
      </c>
      <c r="B127" s="139" t="n">
        <f aca="false">VLOOKUP($A127,Table2,MATCH(I$3,Curves2,0))</f>
        <v>0</v>
      </c>
      <c r="C127" s="140"/>
      <c r="D127" s="141" t="n">
        <f aca="false">B127+C127</f>
        <v>0</v>
      </c>
      <c r="E127" s="126" t="n">
        <f aca="false">IF(Y127=0,0,IF(AND(Y127=1,$H$3=1),D127*T127,IF($H$3=2,D127,"N/A")))</f>
        <v>0</v>
      </c>
      <c r="F127" s="126" t="n">
        <f aca="false">E127*X127</f>
        <v>0</v>
      </c>
      <c r="G127" s="142" t="n">
        <f aca="false">VLOOKUP($A127,Table,MATCH(G$4,Curves,0))</f>
        <v>3.987</v>
      </c>
      <c r="H127" s="143" t="n">
        <f aca="false">G127</f>
        <v>3.987</v>
      </c>
      <c r="I127" s="142" t="n">
        <f aca="false">VLOOKUP($A127,Table1,MATCH(I$3,Curves1,0))</f>
        <v>0</v>
      </c>
      <c r="J127" s="142" t="n">
        <f aca="false">VLOOKUP($A127,Table,MATCH(J$4,Curves,0))</f>
        <v>-0.061</v>
      </c>
      <c r="K127" s="143" t="n">
        <f aca="false">J127</f>
        <v>-0.061</v>
      </c>
      <c r="L127" s="144" t="n">
        <v>0</v>
      </c>
      <c r="M127" s="142" t="n">
        <f aca="false">VLOOKUP($A127,Table,MATCH(M$4,Curves,0))</f>
        <v>0.005</v>
      </c>
      <c r="N127" s="143" t="n">
        <f aca="false">M127</f>
        <v>0.005</v>
      </c>
      <c r="O127" s="144" t="n">
        <v>0</v>
      </c>
      <c r="P127" s="145"/>
      <c r="Q127" s="144" t="n">
        <f aca="false">M127+J127+G127</f>
        <v>3.931</v>
      </c>
      <c r="R127" s="144" t="n">
        <f aca="false">O127+L127+I127</f>
        <v>0</v>
      </c>
      <c r="S127" s="145"/>
      <c r="T127" s="71" t="n">
        <f aca="false">A128-A127</f>
        <v>31</v>
      </c>
      <c r="U127" s="146" t="n">
        <f aca="false">CHOOSE(F$3,A128+24,A127)</f>
        <v>40599</v>
      </c>
      <c r="V127" s="71" t="n">
        <f aca="false">U127-C$3</f>
        <v>3711</v>
      </c>
      <c r="W127" s="142" t="n">
        <f aca="false">VLOOKUP($A127,Table,MATCH(W$4,Curves,0))</f>
        <v>0.058966861357273</v>
      </c>
      <c r="X127" s="147" t="n">
        <f aca="false">1/(1+CHOOSE(F$3,(W128+($K$3/10000))/2,(W127+($K$3/10000))/2))^(2*V127/365.25)</f>
        <v>0.554077399407176</v>
      </c>
      <c r="Y127" s="71" t="n">
        <f aca="false">IF(AND(mthbeg&lt;=A127,mthend&gt;=A127),1,0)</f>
        <v>0</v>
      </c>
      <c r="Z127" s="71" t="n">
        <f aca="false">T127*Y127</f>
        <v>0</v>
      </c>
      <c r="AB127" s="132" t="n">
        <f aca="false">F127*G127</f>
        <v>0</v>
      </c>
      <c r="AC127" s="132" t="n">
        <f aca="false">$F127*H127</f>
        <v>0</v>
      </c>
      <c r="AD127" s="132" t="n">
        <f aca="false">$F127*I127</f>
        <v>0</v>
      </c>
      <c r="AE127" s="132" t="n">
        <f aca="false">$F127*J127</f>
        <v>-0</v>
      </c>
      <c r="AF127" s="132" t="n">
        <f aca="false">$F127*K127</f>
        <v>-0</v>
      </c>
      <c r="AG127" s="132" t="n">
        <f aca="false">$F127*L127</f>
        <v>0</v>
      </c>
      <c r="AH127" s="132" t="n">
        <f aca="false">$F127*M127</f>
        <v>0</v>
      </c>
      <c r="AI127" s="132" t="n">
        <f aca="false">$F127*N127</f>
        <v>0</v>
      </c>
      <c r="AJ127" s="132" t="n">
        <f aca="false">F127*O127</f>
        <v>0</v>
      </c>
      <c r="AK127" s="137"/>
      <c r="AL127" s="132" t="n">
        <f aca="false">CHOOSE($G$3,AC127-AD127,AD127-AC127)</f>
        <v>0</v>
      </c>
      <c r="AM127" s="132" t="n">
        <f aca="false">CHOOSE($G$3,AF127-AG127,AG127-AF127)</f>
        <v>0</v>
      </c>
      <c r="AN127" s="132" t="n">
        <f aca="false">CHOOSE($G$3,AI127-AJ127,AJ127-AI127)</f>
        <v>0</v>
      </c>
      <c r="AO127" s="148" t="n">
        <f aca="false">SUM(AL127:AN127)</f>
        <v>0</v>
      </c>
      <c r="AQ127" s="132" t="n">
        <f aca="false">CHOOSE($G$3,AB127-AC127,AC127-AB127)</f>
        <v>0</v>
      </c>
      <c r="AR127" s="132" t="n">
        <f aca="false">CHOOSE($G$3,AE127-AF127,AF127-AE127)</f>
        <v>0</v>
      </c>
      <c r="AS127" s="132" t="n">
        <f aca="false">CHOOSE($G$3,AH127-AI127,AI127-AH127)</f>
        <v>0</v>
      </c>
      <c r="AT127" s="148" t="n">
        <f aca="false">AQ127+AR127+AS127</f>
        <v>0</v>
      </c>
      <c r="AU127" s="148"/>
      <c r="AV127" s="133" t="n">
        <f aca="false">AT127+AO127</f>
        <v>0</v>
      </c>
      <c r="AX127" s="133" t="n">
        <f aca="false">AJ127+AG127+AD127</f>
        <v>0</v>
      </c>
      <c r="AY127" s="149"/>
      <c r="AZ127" s="76" t="n">
        <f aca="false">R127*E127</f>
        <v>0</v>
      </c>
    </row>
    <row r="128" customFormat="false" ht="12.75" hidden="false" customHeight="false" outlineLevel="0" collapsed="false">
      <c r="A128" s="138" t="n">
        <f aca="false">EDATE(A127,1)</f>
        <v>40575</v>
      </c>
      <c r="B128" s="139" t="n">
        <f aca="false">VLOOKUP($A128,Table2,MATCH(I$3,Curves2,0))</f>
        <v>0</v>
      </c>
      <c r="C128" s="140"/>
      <c r="D128" s="141" t="n">
        <f aca="false">B128+C128</f>
        <v>0</v>
      </c>
      <c r="E128" s="126" t="n">
        <f aca="false">IF(Y128=0,0,IF(AND(Y128=1,$H$3=1),D128*T128,IF($H$3=2,D128,"N/A")))</f>
        <v>0</v>
      </c>
      <c r="F128" s="126" t="n">
        <f aca="false">E128*X128</f>
        <v>0</v>
      </c>
      <c r="G128" s="142" t="n">
        <f aca="false">VLOOKUP($A128,Table,MATCH(G$4,Curves,0))</f>
        <v>3.987</v>
      </c>
      <c r="H128" s="143" t="n">
        <f aca="false">G128</f>
        <v>3.987</v>
      </c>
      <c r="I128" s="142" t="n">
        <f aca="false">VLOOKUP($A128,Table1,MATCH(I$3,Curves1,0))</f>
        <v>0</v>
      </c>
      <c r="J128" s="142" t="n">
        <f aca="false">VLOOKUP($A128,Table,MATCH(J$4,Curves,0))</f>
        <v>-0.061</v>
      </c>
      <c r="K128" s="143" t="n">
        <f aca="false">J128</f>
        <v>-0.061</v>
      </c>
      <c r="L128" s="144" t="n">
        <v>0</v>
      </c>
      <c r="M128" s="142" t="n">
        <f aca="false">VLOOKUP($A128,Table,MATCH(M$4,Curves,0))</f>
        <v>0.005</v>
      </c>
      <c r="N128" s="143" t="n">
        <f aca="false">M128</f>
        <v>0.005</v>
      </c>
      <c r="O128" s="144" t="n">
        <v>0</v>
      </c>
      <c r="P128" s="145"/>
      <c r="Q128" s="144" t="n">
        <f aca="false">M128+J128+G128</f>
        <v>3.931</v>
      </c>
      <c r="R128" s="144" t="n">
        <f aca="false">O128+L128+I128</f>
        <v>0</v>
      </c>
      <c r="S128" s="145"/>
      <c r="T128" s="71" t="n">
        <f aca="false">A129-A128</f>
        <v>28</v>
      </c>
      <c r="U128" s="146" t="n">
        <f aca="false">CHOOSE(F$3,A129+24,A128)</f>
        <v>40627</v>
      </c>
      <c r="V128" s="71" t="n">
        <f aca="false">U128-C$3</f>
        <v>3739</v>
      </c>
      <c r="W128" s="142" t="n">
        <f aca="false">VLOOKUP($A128,Table,MATCH(W$4,Curves,0))</f>
        <v>0.058966861357273</v>
      </c>
      <c r="X128" s="147" t="n">
        <f aca="false">1/(1+CHOOSE(F$3,(W129+($K$3/10000))/2,(W128+($K$3/10000))/2))^(2*V128/365.25)</f>
        <v>0.551614456997717</v>
      </c>
      <c r="Y128" s="71" t="n">
        <f aca="false">IF(AND(mthbeg&lt;=A128,mthend&gt;=A128),1,0)</f>
        <v>0</v>
      </c>
      <c r="Z128" s="71" t="n">
        <f aca="false">T128*Y128</f>
        <v>0</v>
      </c>
      <c r="AB128" s="132" t="n">
        <f aca="false">F128*G128</f>
        <v>0</v>
      </c>
      <c r="AC128" s="132" t="n">
        <f aca="false">$F128*H128</f>
        <v>0</v>
      </c>
      <c r="AD128" s="132" t="n">
        <f aca="false">$F128*I128</f>
        <v>0</v>
      </c>
      <c r="AE128" s="132" t="n">
        <f aca="false">$F128*J128</f>
        <v>-0</v>
      </c>
      <c r="AF128" s="132" t="n">
        <f aca="false">$F128*K128</f>
        <v>-0</v>
      </c>
      <c r="AG128" s="132" t="n">
        <f aca="false">$F128*L128</f>
        <v>0</v>
      </c>
      <c r="AH128" s="132" t="n">
        <f aca="false">$F128*M128</f>
        <v>0</v>
      </c>
      <c r="AI128" s="132" t="n">
        <f aca="false">$F128*N128</f>
        <v>0</v>
      </c>
      <c r="AJ128" s="132" t="n">
        <f aca="false">F128*O128</f>
        <v>0</v>
      </c>
      <c r="AK128" s="137"/>
      <c r="AL128" s="132" t="n">
        <f aca="false">CHOOSE($G$3,AC128-AD128,AD128-AC128)</f>
        <v>0</v>
      </c>
      <c r="AM128" s="132" t="n">
        <f aca="false">CHOOSE($G$3,AF128-AG128,AG128-AF128)</f>
        <v>0</v>
      </c>
      <c r="AN128" s="132" t="n">
        <f aca="false">CHOOSE($G$3,AI128-AJ128,AJ128-AI128)</f>
        <v>0</v>
      </c>
      <c r="AO128" s="148" t="n">
        <f aca="false">SUM(AL128:AN128)</f>
        <v>0</v>
      </c>
      <c r="AQ128" s="132" t="n">
        <f aca="false">CHOOSE($G$3,AB128-AC128,AC128-AB128)</f>
        <v>0</v>
      </c>
      <c r="AR128" s="132" t="n">
        <f aca="false">CHOOSE($G$3,AE128-AF128,AF128-AE128)</f>
        <v>0</v>
      </c>
      <c r="AS128" s="132" t="n">
        <f aca="false">CHOOSE($G$3,AH128-AI128,AI128-AH128)</f>
        <v>0</v>
      </c>
      <c r="AT128" s="148" t="n">
        <f aca="false">AQ128+AR128+AS128</f>
        <v>0</v>
      </c>
      <c r="AU128" s="148"/>
      <c r="AV128" s="133" t="n">
        <f aca="false">AT128+AO128</f>
        <v>0</v>
      </c>
      <c r="AX128" s="133" t="n">
        <f aca="false">AJ128+AG128+AD128</f>
        <v>0</v>
      </c>
      <c r="AY128" s="149"/>
      <c r="AZ128" s="76" t="n">
        <f aca="false">R128*E128</f>
        <v>0</v>
      </c>
    </row>
    <row r="129" customFormat="false" ht="12.75" hidden="false" customHeight="false" outlineLevel="0" collapsed="false">
      <c r="A129" s="138" t="n">
        <f aca="false">EDATE(A128,1)</f>
        <v>40603</v>
      </c>
      <c r="B129" s="139" t="n">
        <f aca="false">VLOOKUP($A129,Table2,MATCH(I$3,Curves2,0))</f>
        <v>0</v>
      </c>
      <c r="C129" s="140"/>
      <c r="D129" s="141" t="n">
        <f aca="false">B129+C129</f>
        <v>0</v>
      </c>
      <c r="E129" s="126" t="n">
        <f aca="false">IF(Y129=0,0,IF(AND(Y129=1,$H$3=1),D129*T129,IF($H$3=2,D129,"N/A")))</f>
        <v>0</v>
      </c>
      <c r="F129" s="126" t="n">
        <f aca="false">E129*X129</f>
        <v>0</v>
      </c>
      <c r="G129" s="142" t="n">
        <f aca="false">VLOOKUP($A129,Table,MATCH(G$4,Curves,0))</f>
        <v>3.987</v>
      </c>
      <c r="H129" s="143" t="n">
        <f aca="false">G129</f>
        <v>3.987</v>
      </c>
      <c r="I129" s="142" t="n">
        <f aca="false">VLOOKUP($A129,Table1,MATCH(I$3,Curves1,0))</f>
        <v>0</v>
      </c>
      <c r="J129" s="142" t="n">
        <f aca="false">VLOOKUP($A129,Table,MATCH(J$4,Curves,0))</f>
        <v>-0.061</v>
      </c>
      <c r="K129" s="143" t="n">
        <f aca="false">J129</f>
        <v>-0.061</v>
      </c>
      <c r="L129" s="144" t="n">
        <v>0</v>
      </c>
      <c r="M129" s="142" t="n">
        <f aca="false">VLOOKUP($A129,Table,MATCH(M$4,Curves,0))</f>
        <v>0.005</v>
      </c>
      <c r="N129" s="143" t="n">
        <f aca="false">M129</f>
        <v>0.005</v>
      </c>
      <c r="O129" s="144" t="n">
        <v>0</v>
      </c>
      <c r="P129" s="145"/>
      <c r="Q129" s="144" t="n">
        <f aca="false">M129+J129+G129</f>
        <v>3.931</v>
      </c>
      <c r="R129" s="144" t="n">
        <f aca="false">O129+L129+I129</f>
        <v>0</v>
      </c>
      <c r="S129" s="145"/>
      <c r="T129" s="71" t="n">
        <f aca="false">A130-A129</f>
        <v>31</v>
      </c>
      <c r="U129" s="146" t="n">
        <f aca="false">CHOOSE(F$3,A130+24,A129)</f>
        <v>40658</v>
      </c>
      <c r="V129" s="71" t="n">
        <f aca="false">U129-C$3</f>
        <v>3770</v>
      </c>
      <c r="W129" s="142" t="n">
        <f aca="false">VLOOKUP($A129,Table,MATCH(W$4,Curves,0))</f>
        <v>0.058966861357273</v>
      </c>
      <c r="X129" s="147" t="n">
        <f aca="false">1/(1+CHOOSE(F$3,(W130+($K$3/10000))/2,(W129+($K$3/10000))/2))^(2*V129/365.25)</f>
        <v>0.548900396308159</v>
      </c>
      <c r="Y129" s="71" t="n">
        <f aca="false">IF(AND(mthbeg&lt;=A129,mthend&gt;=A129),1,0)</f>
        <v>0</v>
      </c>
      <c r="Z129" s="71" t="n">
        <f aca="false">T129*Y129</f>
        <v>0</v>
      </c>
      <c r="AB129" s="132" t="n">
        <f aca="false">F129*G129</f>
        <v>0</v>
      </c>
      <c r="AC129" s="132" t="n">
        <f aca="false">$F129*H129</f>
        <v>0</v>
      </c>
      <c r="AD129" s="132" t="n">
        <f aca="false">$F129*I129</f>
        <v>0</v>
      </c>
      <c r="AE129" s="132" t="n">
        <f aca="false">$F129*J129</f>
        <v>-0</v>
      </c>
      <c r="AF129" s="132" t="n">
        <f aca="false">$F129*K129</f>
        <v>-0</v>
      </c>
      <c r="AG129" s="132" t="n">
        <f aca="false">$F129*L129</f>
        <v>0</v>
      </c>
      <c r="AH129" s="132" t="n">
        <f aca="false">$F129*M129</f>
        <v>0</v>
      </c>
      <c r="AI129" s="132" t="n">
        <f aca="false">$F129*N129</f>
        <v>0</v>
      </c>
      <c r="AJ129" s="132" t="n">
        <f aca="false">F129*O129</f>
        <v>0</v>
      </c>
      <c r="AK129" s="137"/>
      <c r="AL129" s="132" t="n">
        <f aca="false">CHOOSE($G$3,AC129-AD129,AD129-AC129)</f>
        <v>0</v>
      </c>
      <c r="AM129" s="132" t="n">
        <f aca="false">CHOOSE($G$3,AF129-AG129,AG129-AF129)</f>
        <v>0</v>
      </c>
      <c r="AN129" s="132" t="n">
        <f aca="false">CHOOSE($G$3,AI129-AJ129,AJ129-AI129)</f>
        <v>0</v>
      </c>
      <c r="AO129" s="148" t="n">
        <f aca="false">SUM(AL129:AN129)</f>
        <v>0</v>
      </c>
      <c r="AQ129" s="132" t="n">
        <f aca="false">CHOOSE($G$3,AB129-AC129,AC129-AB129)</f>
        <v>0</v>
      </c>
      <c r="AR129" s="132" t="n">
        <f aca="false">CHOOSE($G$3,AE129-AF129,AF129-AE129)</f>
        <v>0</v>
      </c>
      <c r="AS129" s="132" t="n">
        <f aca="false">CHOOSE($G$3,AH129-AI129,AI129-AH129)</f>
        <v>0</v>
      </c>
      <c r="AT129" s="148" t="n">
        <f aca="false">AQ129+AR129+AS129</f>
        <v>0</v>
      </c>
      <c r="AU129" s="148"/>
      <c r="AV129" s="133" t="n">
        <f aca="false">AT129+AO129</f>
        <v>0</v>
      </c>
      <c r="AX129" s="133" t="n">
        <f aca="false">AJ129+AG129+AD129</f>
        <v>0</v>
      </c>
      <c r="AY129" s="149"/>
      <c r="AZ129" s="76" t="n">
        <f aca="false">R129*E129</f>
        <v>0</v>
      </c>
    </row>
    <row r="130" customFormat="false" ht="12.75" hidden="false" customHeight="false" outlineLevel="0" collapsed="false">
      <c r="A130" s="138" t="n">
        <f aca="false">EDATE(A129,1)</f>
        <v>40634</v>
      </c>
      <c r="B130" s="139" t="n">
        <f aca="false">VLOOKUP($A130,Table2,MATCH(I$3,Curves2,0))</f>
        <v>0</v>
      </c>
      <c r="C130" s="140"/>
      <c r="D130" s="141" t="n">
        <f aca="false">B130+C130</f>
        <v>0</v>
      </c>
      <c r="E130" s="126" t="n">
        <f aca="false">IF(Y130=0,0,IF(AND(Y130=1,$H$3=1),D130*T130,IF($H$3=2,D130,"N/A")))</f>
        <v>0</v>
      </c>
      <c r="F130" s="126" t="n">
        <f aca="false">E130*X130</f>
        <v>0</v>
      </c>
      <c r="G130" s="142" t="n">
        <f aca="false">VLOOKUP($A130,Table,MATCH(G$4,Curves,0))</f>
        <v>3.987</v>
      </c>
      <c r="H130" s="143" t="n">
        <f aca="false">G130</f>
        <v>3.987</v>
      </c>
      <c r="I130" s="142" t="n">
        <f aca="false">VLOOKUP($A130,Table1,MATCH(I$3,Curves1,0))</f>
        <v>0</v>
      </c>
      <c r="J130" s="142" t="n">
        <f aca="false">VLOOKUP($A130,Table,MATCH(J$4,Curves,0))</f>
        <v>-0.061</v>
      </c>
      <c r="K130" s="143" t="n">
        <f aca="false">J130</f>
        <v>-0.061</v>
      </c>
      <c r="L130" s="144" t="n">
        <v>0</v>
      </c>
      <c r="M130" s="142" t="n">
        <f aca="false">VLOOKUP($A130,Table,MATCH(M$4,Curves,0))</f>
        <v>0.005</v>
      </c>
      <c r="N130" s="143" t="n">
        <f aca="false">M130</f>
        <v>0.005</v>
      </c>
      <c r="O130" s="144" t="n">
        <v>0</v>
      </c>
      <c r="P130" s="145"/>
      <c r="Q130" s="144" t="n">
        <f aca="false">M130+J130+G130</f>
        <v>3.931</v>
      </c>
      <c r="R130" s="144" t="n">
        <f aca="false">O130+L130+I130</f>
        <v>0</v>
      </c>
      <c r="S130" s="145"/>
      <c r="T130" s="71" t="n">
        <f aca="false">A131-A130</f>
        <v>30</v>
      </c>
      <c r="U130" s="146" t="n">
        <f aca="false">CHOOSE(F$3,A131+24,A130)</f>
        <v>40688</v>
      </c>
      <c r="V130" s="71" t="n">
        <f aca="false">U130-C$3</f>
        <v>3800</v>
      </c>
      <c r="W130" s="142" t="n">
        <f aca="false">VLOOKUP($A130,Table,MATCH(W$4,Curves,0))</f>
        <v>0.058966861357273</v>
      </c>
      <c r="X130" s="147" t="n">
        <f aca="false">1/(1+CHOOSE(F$3,(W131+($K$3/10000))/2,(W130+($K$3/10000))/2))^(2*V130/365.25)</f>
        <v>0.546286601192281</v>
      </c>
      <c r="Y130" s="71" t="n">
        <f aca="false">IF(AND(mthbeg&lt;=A130,mthend&gt;=A130),1,0)</f>
        <v>0</v>
      </c>
      <c r="Z130" s="71" t="n">
        <f aca="false">T130*Y130</f>
        <v>0</v>
      </c>
      <c r="AB130" s="132" t="n">
        <f aca="false">F130*G130</f>
        <v>0</v>
      </c>
      <c r="AC130" s="132" t="n">
        <f aca="false">$F130*H130</f>
        <v>0</v>
      </c>
      <c r="AD130" s="132" t="n">
        <f aca="false">$F130*I130</f>
        <v>0</v>
      </c>
      <c r="AE130" s="132" t="n">
        <f aca="false">$F130*J130</f>
        <v>-0</v>
      </c>
      <c r="AF130" s="132" t="n">
        <f aca="false">$F130*K130</f>
        <v>-0</v>
      </c>
      <c r="AG130" s="132" t="n">
        <f aca="false">$F130*L130</f>
        <v>0</v>
      </c>
      <c r="AH130" s="132" t="n">
        <f aca="false">$F130*M130</f>
        <v>0</v>
      </c>
      <c r="AI130" s="132" t="n">
        <f aca="false">$F130*N130</f>
        <v>0</v>
      </c>
      <c r="AJ130" s="132" t="n">
        <f aca="false">F130*O130</f>
        <v>0</v>
      </c>
      <c r="AK130" s="137"/>
      <c r="AL130" s="132" t="n">
        <f aca="false">CHOOSE($G$3,AC130-AD130,AD130-AC130)</f>
        <v>0</v>
      </c>
      <c r="AM130" s="132" t="n">
        <f aca="false">CHOOSE($G$3,AF130-AG130,AG130-AF130)</f>
        <v>0</v>
      </c>
      <c r="AN130" s="132" t="n">
        <f aca="false">CHOOSE($G$3,AI130-AJ130,AJ130-AI130)</f>
        <v>0</v>
      </c>
      <c r="AO130" s="148" t="n">
        <f aca="false">SUM(AL130:AN130)</f>
        <v>0</v>
      </c>
      <c r="AQ130" s="132" t="n">
        <f aca="false">CHOOSE($G$3,AB130-AC130,AC130-AB130)</f>
        <v>0</v>
      </c>
      <c r="AR130" s="132" t="n">
        <f aca="false">CHOOSE($G$3,AE130-AF130,AF130-AE130)</f>
        <v>0</v>
      </c>
      <c r="AS130" s="132" t="n">
        <f aca="false">CHOOSE($G$3,AH130-AI130,AI130-AH130)</f>
        <v>0</v>
      </c>
      <c r="AT130" s="148" t="n">
        <f aca="false">AQ130+AR130+AS130</f>
        <v>0</v>
      </c>
      <c r="AU130" s="148"/>
      <c r="AV130" s="133" t="n">
        <f aca="false">AT130+AO130</f>
        <v>0</v>
      </c>
      <c r="AX130" s="133" t="n">
        <f aca="false">AJ130+AG130+AD130</f>
        <v>0</v>
      </c>
      <c r="AY130" s="149"/>
      <c r="AZ130" s="76" t="n">
        <f aca="false">R130*E130</f>
        <v>0</v>
      </c>
    </row>
    <row r="131" customFormat="false" ht="12.75" hidden="false" customHeight="false" outlineLevel="0" collapsed="false">
      <c r="A131" s="138" t="n">
        <f aca="false">EDATE(A130,1)</f>
        <v>40664</v>
      </c>
      <c r="B131" s="139" t="n">
        <f aca="false">VLOOKUP($A131,Table2,MATCH(I$3,Curves2,0))</f>
        <v>0</v>
      </c>
      <c r="C131" s="140"/>
      <c r="D131" s="141" t="n">
        <f aca="false">B131+C131</f>
        <v>0</v>
      </c>
      <c r="E131" s="126" t="n">
        <f aca="false">IF(Y131=0,0,IF(AND(Y131=1,$H$3=1),D131*T131,IF($H$3=2,D131,"N/A")))</f>
        <v>0</v>
      </c>
      <c r="F131" s="126" t="n">
        <f aca="false">E131*X131</f>
        <v>0</v>
      </c>
      <c r="G131" s="142" t="n">
        <f aca="false">VLOOKUP($A131,Table,MATCH(G$4,Curves,0))</f>
        <v>3.987</v>
      </c>
      <c r="H131" s="143" t="n">
        <f aca="false">G131</f>
        <v>3.987</v>
      </c>
      <c r="I131" s="142" t="n">
        <f aca="false">VLOOKUP($A131,Table1,MATCH(I$3,Curves1,0))</f>
        <v>0</v>
      </c>
      <c r="J131" s="142" t="n">
        <f aca="false">VLOOKUP($A131,Table,MATCH(J$4,Curves,0))</f>
        <v>-0.061</v>
      </c>
      <c r="K131" s="143" t="n">
        <f aca="false">J131</f>
        <v>-0.061</v>
      </c>
      <c r="L131" s="144" t="n">
        <v>0</v>
      </c>
      <c r="M131" s="142" t="n">
        <f aca="false">VLOOKUP($A131,Table,MATCH(M$4,Curves,0))</f>
        <v>0.005</v>
      </c>
      <c r="N131" s="143" t="n">
        <f aca="false">M131</f>
        <v>0.005</v>
      </c>
      <c r="O131" s="144" t="n">
        <v>0</v>
      </c>
      <c r="P131" s="145"/>
      <c r="Q131" s="144" t="n">
        <f aca="false">M131+J131+G131</f>
        <v>3.931</v>
      </c>
      <c r="R131" s="144" t="n">
        <f aca="false">O131+L131+I131</f>
        <v>0</v>
      </c>
      <c r="S131" s="145"/>
      <c r="T131" s="71" t="n">
        <f aca="false">A132-A131</f>
        <v>31</v>
      </c>
      <c r="U131" s="146" t="n">
        <f aca="false">CHOOSE(F$3,A132+24,A131)</f>
        <v>40719</v>
      </c>
      <c r="V131" s="71" t="n">
        <f aca="false">U131-C$3</f>
        <v>3831</v>
      </c>
      <c r="W131" s="142" t="n">
        <f aca="false">VLOOKUP($A131,Table,MATCH(W$4,Curves,0))</f>
        <v>0.058966861357273</v>
      </c>
      <c r="X131" s="147" t="n">
        <f aca="false">1/(1+CHOOSE(F$3,(W132+($K$3/10000))/2,(W131+($K$3/10000))/2))^(2*V131/365.25)</f>
        <v>0.543598754688769</v>
      </c>
      <c r="Y131" s="71" t="n">
        <f aca="false">IF(AND(mthbeg&lt;=A131,mthend&gt;=A131),1,0)</f>
        <v>0</v>
      </c>
      <c r="Z131" s="71" t="n">
        <f aca="false">T131*Y131</f>
        <v>0</v>
      </c>
      <c r="AB131" s="132" t="n">
        <f aca="false">F131*G131</f>
        <v>0</v>
      </c>
      <c r="AC131" s="132" t="n">
        <f aca="false">$F131*H131</f>
        <v>0</v>
      </c>
      <c r="AD131" s="132" t="n">
        <f aca="false">$F131*I131</f>
        <v>0</v>
      </c>
      <c r="AE131" s="132" t="n">
        <f aca="false">$F131*J131</f>
        <v>-0</v>
      </c>
      <c r="AF131" s="132" t="n">
        <f aca="false">$F131*K131</f>
        <v>-0</v>
      </c>
      <c r="AG131" s="132" t="n">
        <f aca="false">$F131*L131</f>
        <v>0</v>
      </c>
      <c r="AH131" s="132" t="n">
        <f aca="false">$F131*M131</f>
        <v>0</v>
      </c>
      <c r="AI131" s="132" t="n">
        <f aca="false">$F131*N131</f>
        <v>0</v>
      </c>
      <c r="AJ131" s="132" t="n">
        <f aca="false">F131*O131</f>
        <v>0</v>
      </c>
      <c r="AK131" s="137"/>
      <c r="AL131" s="132" t="n">
        <f aca="false">CHOOSE($G$3,AC131-AD131,AD131-AC131)</f>
        <v>0</v>
      </c>
      <c r="AM131" s="132" t="n">
        <f aca="false">CHOOSE($G$3,AF131-AG131,AG131-AF131)</f>
        <v>0</v>
      </c>
      <c r="AN131" s="132" t="n">
        <f aca="false">CHOOSE($G$3,AI131-AJ131,AJ131-AI131)</f>
        <v>0</v>
      </c>
      <c r="AO131" s="148" t="n">
        <f aca="false">SUM(AL131:AN131)</f>
        <v>0</v>
      </c>
      <c r="AQ131" s="132" t="n">
        <f aca="false">CHOOSE($G$3,AB131-AC131,AC131-AB131)</f>
        <v>0</v>
      </c>
      <c r="AR131" s="132" t="n">
        <f aca="false">CHOOSE($G$3,AE131-AF131,AF131-AE131)</f>
        <v>0</v>
      </c>
      <c r="AS131" s="132" t="n">
        <f aca="false">CHOOSE($G$3,AH131-AI131,AI131-AH131)</f>
        <v>0</v>
      </c>
      <c r="AT131" s="148" t="n">
        <f aca="false">AQ131+AR131+AS131</f>
        <v>0</v>
      </c>
      <c r="AU131" s="148"/>
      <c r="AV131" s="133" t="n">
        <f aca="false">AT131+AO131</f>
        <v>0</v>
      </c>
      <c r="AX131" s="133" t="n">
        <f aca="false">AJ131+AG131+AD131</f>
        <v>0</v>
      </c>
      <c r="AY131" s="149"/>
      <c r="AZ131" s="76" t="n">
        <f aca="false">R131*E131</f>
        <v>0</v>
      </c>
    </row>
    <row r="132" customFormat="false" ht="12.75" hidden="false" customHeight="false" outlineLevel="0" collapsed="false">
      <c r="A132" s="138" t="n">
        <f aca="false">EDATE(A131,1)</f>
        <v>40695</v>
      </c>
      <c r="B132" s="139" t="n">
        <f aca="false">VLOOKUP($A132,Table2,MATCH(I$3,Curves2,0))</f>
        <v>0</v>
      </c>
      <c r="C132" s="140"/>
      <c r="D132" s="141" t="n">
        <f aca="false">B132+C132</f>
        <v>0</v>
      </c>
      <c r="E132" s="126" t="n">
        <f aca="false">IF(Y132=0,0,IF(AND(Y132=1,$H$3=1),D132*T132,IF($H$3=2,D132,"N/A")))</f>
        <v>0</v>
      </c>
      <c r="F132" s="126" t="n">
        <f aca="false">E132*X132</f>
        <v>0</v>
      </c>
      <c r="G132" s="142" t="n">
        <f aca="false">VLOOKUP($A132,Table,MATCH(G$4,Curves,0))</f>
        <v>3.987</v>
      </c>
      <c r="H132" s="143" t="n">
        <f aca="false">G132</f>
        <v>3.987</v>
      </c>
      <c r="I132" s="142" t="n">
        <f aca="false">VLOOKUP($A132,Table1,MATCH(I$3,Curves1,0))</f>
        <v>0</v>
      </c>
      <c r="J132" s="142" t="n">
        <f aca="false">VLOOKUP($A132,Table,MATCH(J$4,Curves,0))</f>
        <v>-0.061</v>
      </c>
      <c r="K132" s="143" t="n">
        <f aca="false">J132</f>
        <v>-0.061</v>
      </c>
      <c r="L132" s="144" t="n">
        <v>0</v>
      </c>
      <c r="M132" s="142" t="n">
        <f aca="false">VLOOKUP($A132,Table,MATCH(M$4,Curves,0))</f>
        <v>0.005</v>
      </c>
      <c r="N132" s="143" t="n">
        <f aca="false">M132</f>
        <v>0.005</v>
      </c>
      <c r="O132" s="144" t="n">
        <v>0</v>
      </c>
      <c r="P132" s="145"/>
      <c r="Q132" s="144" t="n">
        <f aca="false">M132+J132+G132</f>
        <v>3.931</v>
      </c>
      <c r="R132" s="144" t="n">
        <f aca="false">O132+L132+I132</f>
        <v>0</v>
      </c>
      <c r="S132" s="145"/>
      <c r="T132" s="71" t="n">
        <f aca="false">A133-A132</f>
        <v>30</v>
      </c>
      <c r="U132" s="146" t="n">
        <f aca="false">CHOOSE(F$3,A133+24,A132)</f>
        <v>40749</v>
      </c>
      <c r="V132" s="71" t="n">
        <f aca="false">U132-C$3</f>
        <v>3861</v>
      </c>
      <c r="W132" s="142" t="n">
        <f aca="false">VLOOKUP($A132,Table,MATCH(W$4,Curves,0))</f>
        <v>0.058966861357273</v>
      </c>
      <c r="X132" s="147" t="n">
        <f aca="false">1/(1+CHOOSE(F$3,(W133+($K$3/10000))/2,(W132+($K$3/10000))/2))^(2*V132/365.25)</f>
        <v>0.541010205327976</v>
      </c>
      <c r="Y132" s="71" t="n">
        <f aca="false">IF(AND(mthbeg&lt;=A132,mthend&gt;=A132),1,0)</f>
        <v>0</v>
      </c>
      <c r="Z132" s="71" t="n">
        <f aca="false">T132*Y132</f>
        <v>0</v>
      </c>
      <c r="AB132" s="132" t="n">
        <f aca="false">F132*G132</f>
        <v>0</v>
      </c>
      <c r="AC132" s="132" t="n">
        <f aca="false">$F132*H132</f>
        <v>0</v>
      </c>
      <c r="AD132" s="132" t="n">
        <f aca="false">$F132*I132</f>
        <v>0</v>
      </c>
      <c r="AE132" s="132" t="n">
        <f aca="false">$F132*J132</f>
        <v>-0</v>
      </c>
      <c r="AF132" s="132" t="n">
        <f aca="false">$F132*K132</f>
        <v>-0</v>
      </c>
      <c r="AG132" s="132" t="n">
        <f aca="false">$F132*L132</f>
        <v>0</v>
      </c>
      <c r="AH132" s="132" t="n">
        <f aca="false">$F132*M132</f>
        <v>0</v>
      </c>
      <c r="AI132" s="132" t="n">
        <f aca="false">$F132*N132</f>
        <v>0</v>
      </c>
      <c r="AJ132" s="132" t="n">
        <f aca="false">F132*O132</f>
        <v>0</v>
      </c>
      <c r="AK132" s="137"/>
      <c r="AL132" s="132" t="n">
        <f aca="false">CHOOSE($G$3,AC132-AD132,AD132-AC132)</f>
        <v>0</v>
      </c>
      <c r="AM132" s="132" t="n">
        <f aca="false">CHOOSE($G$3,AF132-AG132,AG132-AF132)</f>
        <v>0</v>
      </c>
      <c r="AN132" s="132" t="n">
        <f aca="false">CHOOSE($G$3,AI132-AJ132,AJ132-AI132)</f>
        <v>0</v>
      </c>
      <c r="AO132" s="148" t="n">
        <f aca="false">SUM(AL132:AN132)</f>
        <v>0</v>
      </c>
      <c r="AQ132" s="132" t="n">
        <f aca="false">CHOOSE($G$3,AB132-AC132,AC132-AB132)</f>
        <v>0</v>
      </c>
      <c r="AR132" s="132" t="n">
        <f aca="false">CHOOSE($G$3,AE132-AF132,AF132-AE132)</f>
        <v>0</v>
      </c>
      <c r="AS132" s="132" t="n">
        <f aca="false">CHOOSE($G$3,AH132-AI132,AI132-AH132)</f>
        <v>0</v>
      </c>
      <c r="AT132" s="148" t="n">
        <f aca="false">AQ132+AR132+AS132</f>
        <v>0</v>
      </c>
      <c r="AU132" s="148"/>
      <c r="AV132" s="133" t="n">
        <f aca="false">AT132+AO132</f>
        <v>0</v>
      </c>
      <c r="AX132" s="133" t="n">
        <f aca="false">AJ132+AG132+AD132</f>
        <v>0</v>
      </c>
      <c r="AY132" s="149"/>
      <c r="AZ132" s="76" t="n">
        <f aca="false">R132*E132</f>
        <v>0</v>
      </c>
    </row>
    <row r="133" customFormat="false" ht="12.75" hidden="false" customHeight="false" outlineLevel="0" collapsed="false">
      <c r="A133" s="138" t="n">
        <f aca="false">EDATE(A132,1)</f>
        <v>40725</v>
      </c>
      <c r="B133" s="139" t="n">
        <f aca="false">VLOOKUP($A133,Table2,MATCH(I$3,Curves2,0))</f>
        <v>0</v>
      </c>
      <c r="C133" s="140"/>
      <c r="D133" s="141" t="n">
        <f aca="false">B133+C133</f>
        <v>0</v>
      </c>
      <c r="E133" s="126" t="n">
        <f aca="false">IF(Y133=0,0,IF(AND(Y133=1,$H$3=1),D133*T133,IF($H$3=2,D133,"N/A")))</f>
        <v>0</v>
      </c>
      <c r="F133" s="126" t="n">
        <f aca="false">E133*X133</f>
        <v>0</v>
      </c>
      <c r="G133" s="142" t="n">
        <f aca="false">VLOOKUP($A133,Table,MATCH(G$4,Curves,0))</f>
        <v>3.987</v>
      </c>
      <c r="H133" s="143" t="n">
        <f aca="false">G133</f>
        <v>3.987</v>
      </c>
      <c r="I133" s="142" t="n">
        <f aca="false">VLOOKUP($A133,Table1,MATCH(I$3,Curves1,0))</f>
        <v>0</v>
      </c>
      <c r="J133" s="142" t="n">
        <f aca="false">VLOOKUP($A133,Table,MATCH(J$4,Curves,0))</f>
        <v>-0.061</v>
      </c>
      <c r="K133" s="143" t="n">
        <f aca="false">J133</f>
        <v>-0.061</v>
      </c>
      <c r="L133" s="144" t="n">
        <v>0</v>
      </c>
      <c r="M133" s="142" t="n">
        <f aca="false">VLOOKUP($A133,Table,MATCH(M$4,Curves,0))</f>
        <v>0.005</v>
      </c>
      <c r="N133" s="143" t="n">
        <f aca="false">M133</f>
        <v>0.005</v>
      </c>
      <c r="O133" s="144" t="n">
        <v>0</v>
      </c>
      <c r="P133" s="145"/>
      <c r="Q133" s="144" t="n">
        <f aca="false">M133+J133+G133</f>
        <v>3.931</v>
      </c>
      <c r="R133" s="144" t="n">
        <f aca="false">O133+L133+I133</f>
        <v>0</v>
      </c>
      <c r="S133" s="145"/>
      <c r="T133" s="71" t="n">
        <f aca="false">A134-A133</f>
        <v>31</v>
      </c>
      <c r="U133" s="146" t="n">
        <f aca="false">CHOOSE(F$3,A134+24,A133)</f>
        <v>40780</v>
      </c>
      <c r="V133" s="71" t="n">
        <f aca="false">U133-C$3</f>
        <v>3892</v>
      </c>
      <c r="W133" s="142" t="n">
        <f aca="false">VLOOKUP($A133,Table,MATCH(W$4,Curves,0))</f>
        <v>0.058966861357273</v>
      </c>
      <c r="X133" s="147" t="n">
        <f aca="false">1/(1+CHOOSE(F$3,(W134+($K$3/10000))/2,(W133+($K$3/10000))/2))^(2*V133/365.25)</f>
        <v>0.538348319816631</v>
      </c>
      <c r="Y133" s="71" t="n">
        <f aca="false">IF(AND(mthbeg&lt;=A133,mthend&gt;=A133),1,0)</f>
        <v>0</v>
      </c>
      <c r="Z133" s="71" t="n">
        <f aca="false">T133*Y133</f>
        <v>0</v>
      </c>
      <c r="AB133" s="132" t="n">
        <f aca="false">F133*G133</f>
        <v>0</v>
      </c>
      <c r="AC133" s="132" t="n">
        <f aca="false">$F133*H133</f>
        <v>0</v>
      </c>
      <c r="AD133" s="132" t="n">
        <f aca="false">$F133*I133</f>
        <v>0</v>
      </c>
      <c r="AE133" s="132" t="n">
        <f aca="false">$F133*J133</f>
        <v>-0</v>
      </c>
      <c r="AF133" s="132" t="n">
        <f aca="false">$F133*K133</f>
        <v>-0</v>
      </c>
      <c r="AG133" s="132" t="n">
        <f aca="false">$F133*L133</f>
        <v>0</v>
      </c>
      <c r="AH133" s="132" t="n">
        <f aca="false">$F133*M133</f>
        <v>0</v>
      </c>
      <c r="AI133" s="132" t="n">
        <f aca="false">$F133*N133</f>
        <v>0</v>
      </c>
      <c r="AJ133" s="132" t="n">
        <f aca="false">F133*O133</f>
        <v>0</v>
      </c>
      <c r="AK133" s="137"/>
      <c r="AL133" s="132" t="n">
        <f aca="false">CHOOSE($G$3,AC133-AD133,AD133-AC133)</f>
        <v>0</v>
      </c>
      <c r="AM133" s="132" t="n">
        <f aca="false">CHOOSE($G$3,AF133-AG133,AG133-AF133)</f>
        <v>0</v>
      </c>
      <c r="AN133" s="132" t="n">
        <f aca="false">CHOOSE($G$3,AI133-AJ133,AJ133-AI133)</f>
        <v>0</v>
      </c>
      <c r="AO133" s="148" t="n">
        <f aca="false">SUM(AL133:AN133)</f>
        <v>0</v>
      </c>
      <c r="AQ133" s="132" t="n">
        <f aca="false">CHOOSE($G$3,AB133-AC133,AC133-AB133)</f>
        <v>0</v>
      </c>
      <c r="AR133" s="132" t="n">
        <f aca="false">CHOOSE($G$3,AE133-AF133,AF133-AE133)</f>
        <v>0</v>
      </c>
      <c r="AS133" s="132" t="n">
        <f aca="false">CHOOSE($G$3,AH133-AI133,AI133-AH133)</f>
        <v>0</v>
      </c>
      <c r="AT133" s="148" t="n">
        <f aca="false">AQ133+AR133+AS133</f>
        <v>0</v>
      </c>
      <c r="AU133" s="148"/>
      <c r="AV133" s="133" t="n">
        <f aca="false">AT133+AO133</f>
        <v>0</v>
      </c>
      <c r="AX133" s="133" t="n">
        <f aca="false">AJ133+AG133+AD133</f>
        <v>0</v>
      </c>
      <c r="AY133" s="149"/>
      <c r="AZ133" s="76" t="n">
        <f aca="false">R133*E133</f>
        <v>0</v>
      </c>
    </row>
    <row r="134" customFormat="false" ht="12.75" hidden="false" customHeight="false" outlineLevel="0" collapsed="false">
      <c r="A134" s="138" t="n">
        <f aca="false">EDATE(A133,1)</f>
        <v>40756</v>
      </c>
      <c r="B134" s="139" t="n">
        <f aca="false">VLOOKUP($A134,Table2,MATCH(I$3,Curves2,0))</f>
        <v>0</v>
      </c>
      <c r="C134" s="140"/>
      <c r="D134" s="141" t="n">
        <f aca="false">B134+C134</f>
        <v>0</v>
      </c>
      <c r="E134" s="126" t="n">
        <f aca="false">IF(Y134=0,0,IF(AND(Y134=1,$H$3=1),D134*T134,IF($H$3=2,D134,"N/A")))</f>
        <v>0</v>
      </c>
      <c r="F134" s="126" t="n">
        <f aca="false">E134*X134</f>
        <v>0</v>
      </c>
      <c r="G134" s="142" t="n">
        <f aca="false">VLOOKUP($A134,Table,MATCH(G$4,Curves,0))</f>
        <v>3.987</v>
      </c>
      <c r="H134" s="143" t="n">
        <f aca="false">G134</f>
        <v>3.987</v>
      </c>
      <c r="I134" s="142" t="n">
        <f aca="false">VLOOKUP($A134,Table1,MATCH(I$3,Curves1,0))</f>
        <v>0</v>
      </c>
      <c r="J134" s="142" t="n">
        <f aca="false">VLOOKUP($A134,Table,MATCH(J$4,Curves,0))</f>
        <v>-0.061</v>
      </c>
      <c r="K134" s="143" t="n">
        <f aca="false">J134</f>
        <v>-0.061</v>
      </c>
      <c r="L134" s="144" t="n">
        <v>0</v>
      </c>
      <c r="M134" s="142" t="n">
        <f aca="false">VLOOKUP($A134,Table,MATCH(M$4,Curves,0))</f>
        <v>0.005</v>
      </c>
      <c r="N134" s="143" t="n">
        <f aca="false">M134</f>
        <v>0.005</v>
      </c>
      <c r="O134" s="144" t="n">
        <v>0</v>
      </c>
      <c r="P134" s="145"/>
      <c r="Q134" s="144" t="n">
        <f aca="false">M134+J134+G134</f>
        <v>3.931</v>
      </c>
      <c r="R134" s="144" t="n">
        <f aca="false">O134+L134+I134</f>
        <v>0</v>
      </c>
      <c r="S134" s="145"/>
      <c r="T134" s="71" t="n">
        <f aca="false">A135-A134</f>
        <v>31</v>
      </c>
      <c r="U134" s="146" t="n">
        <f aca="false">CHOOSE(F$3,A135+24,A134)</f>
        <v>40811</v>
      </c>
      <c r="V134" s="71" t="n">
        <f aca="false">U134-C$3</f>
        <v>3923</v>
      </c>
      <c r="W134" s="142" t="n">
        <f aca="false">VLOOKUP($A134,Table,MATCH(W$4,Curves,0))</f>
        <v>0.058966861357273</v>
      </c>
      <c r="X134" s="147" t="n">
        <f aca="false">1/(1+CHOOSE(F$3,(W135+($K$3/10000))/2,(W134+($K$3/10000))/2))^(2*V134/365.25)</f>
        <v>0.535699531349309</v>
      </c>
      <c r="Y134" s="71" t="n">
        <f aca="false">IF(AND(mthbeg&lt;=A134,mthend&gt;=A134),1,0)</f>
        <v>0</v>
      </c>
      <c r="Z134" s="71" t="n">
        <f aca="false">T134*Y134</f>
        <v>0</v>
      </c>
      <c r="AB134" s="132" t="n">
        <f aca="false">F134*G134</f>
        <v>0</v>
      </c>
      <c r="AC134" s="132" t="n">
        <f aca="false">$F134*H134</f>
        <v>0</v>
      </c>
      <c r="AD134" s="132" t="n">
        <f aca="false">$F134*I134</f>
        <v>0</v>
      </c>
      <c r="AE134" s="132" t="n">
        <f aca="false">$F134*J134</f>
        <v>-0</v>
      </c>
      <c r="AF134" s="132" t="n">
        <f aca="false">$F134*K134</f>
        <v>-0</v>
      </c>
      <c r="AG134" s="132" t="n">
        <f aca="false">$F134*L134</f>
        <v>0</v>
      </c>
      <c r="AH134" s="132" t="n">
        <f aca="false">$F134*M134</f>
        <v>0</v>
      </c>
      <c r="AI134" s="132" t="n">
        <f aca="false">$F134*N134</f>
        <v>0</v>
      </c>
      <c r="AJ134" s="132" t="n">
        <f aca="false">F134*O134</f>
        <v>0</v>
      </c>
      <c r="AK134" s="137"/>
      <c r="AL134" s="132" t="n">
        <f aca="false">CHOOSE($G$3,AC134-AD134,AD134-AC134)</f>
        <v>0</v>
      </c>
      <c r="AM134" s="132" t="n">
        <f aca="false">CHOOSE($G$3,AF134-AG134,AG134-AF134)</f>
        <v>0</v>
      </c>
      <c r="AN134" s="132" t="n">
        <f aca="false">CHOOSE($G$3,AI134-AJ134,AJ134-AI134)</f>
        <v>0</v>
      </c>
      <c r="AO134" s="148" t="n">
        <f aca="false">SUM(AL134:AN134)</f>
        <v>0</v>
      </c>
      <c r="AQ134" s="132" t="n">
        <f aca="false">CHOOSE($G$3,AB134-AC134,AC134-AB134)</f>
        <v>0</v>
      </c>
      <c r="AR134" s="132" t="n">
        <f aca="false">CHOOSE($G$3,AE134-AF134,AF134-AE134)</f>
        <v>0</v>
      </c>
      <c r="AS134" s="132" t="n">
        <f aca="false">CHOOSE($G$3,AH134-AI134,AI134-AH134)</f>
        <v>0</v>
      </c>
      <c r="AT134" s="148" t="n">
        <f aca="false">AQ134+AR134+AS134</f>
        <v>0</v>
      </c>
      <c r="AU134" s="148"/>
      <c r="AV134" s="133" t="n">
        <f aca="false">AT134+AO134</f>
        <v>0</v>
      </c>
      <c r="AX134" s="133" t="n">
        <f aca="false">AJ134+AG134+AD134</f>
        <v>0</v>
      </c>
      <c r="AY134" s="149"/>
      <c r="AZ134" s="76" t="n">
        <f aca="false">R134*E134</f>
        <v>0</v>
      </c>
    </row>
    <row r="135" customFormat="false" ht="12.75" hidden="false" customHeight="false" outlineLevel="0" collapsed="false">
      <c r="A135" s="138" t="n">
        <f aca="false">EDATE(A134,1)</f>
        <v>40787</v>
      </c>
      <c r="B135" s="139" t="n">
        <f aca="false">VLOOKUP($A135,Table2,MATCH(I$3,Curves2,0))</f>
        <v>0</v>
      </c>
      <c r="C135" s="140"/>
      <c r="D135" s="141" t="n">
        <f aca="false">B135+C135</f>
        <v>0</v>
      </c>
      <c r="E135" s="126" t="n">
        <f aca="false">IF(Y135=0,0,IF(AND(Y135=1,$H$3=1),D135*T135,IF($H$3=2,D135,"N/A")))</f>
        <v>0</v>
      </c>
      <c r="F135" s="126" t="n">
        <f aca="false">E135*X135</f>
        <v>0</v>
      </c>
      <c r="G135" s="142" t="n">
        <f aca="false">VLOOKUP($A135,Table,MATCH(G$4,Curves,0))</f>
        <v>3.987</v>
      </c>
      <c r="H135" s="143" t="n">
        <f aca="false">G135</f>
        <v>3.987</v>
      </c>
      <c r="I135" s="142" t="n">
        <f aca="false">VLOOKUP($A135,Table1,MATCH(I$3,Curves1,0))</f>
        <v>0</v>
      </c>
      <c r="J135" s="142" t="n">
        <f aca="false">VLOOKUP($A135,Table,MATCH(J$4,Curves,0))</f>
        <v>-0.061</v>
      </c>
      <c r="K135" s="143" t="n">
        <f aca="false">J135</f>
        <v>-0.061</v>
      </c>
      <c r="L135" s="144" t="n">
        <v>0</v>
      </c>
      <c r="M135" s="142" t="n">
        <f aca="false">VLOOKUP($A135,Table,MATCH(M$4,Curves,0))</f>
        <v>0.005</v>
      </c>
      <c r="N135" s="143" t="n">
        <f aca="false">M135</f>
        <v>0.005</v>
      </c>
      <c r="O135" s="144" t="n">
        <v>0</v>
      </c>
      <c r="P135" s="145"/>
      <c r="Q135" s="144" t="n">
        <f aca="false">M135+J135+G135</f>
        <v>3.931</v>
      </c>
      <c r="R135" s="144" t="n">
        <f aca="false">O135+L135+I135</f>
        <v>0</v>
      </c>
      <c r="S135" s="145"/>
      <c r="T135" s="71" t="n">
        <f aca="false">A136-A135</f>
        <v>30</v>
      </c>
      <c r="U135" s="146" t="n">
        <f aca="false">CHOOSE(F$3,A136+24,A135)</f>
        <v>40841</v>
      </c>
      <c r="V135" s="71" t="n">
        <f aca="false">U135-C$3</f>
        <v>3953</v>
      </c>
      <c r="W135" s="142" t="n">
        <f aca="false">VLOOKUP($A135,Table,MATCH(W$4,Curves,0))</f>
        <v>0.058966861357273</v>
      </c>
      <c r="X135" s="147" t="n">
        <f aca="false">1/(1+CHOOSE(F$3,(W136+($K$3/10000))/2,(W135+($K$3/10000))/2))^(2*V135/365.25)</f>
        <v>0.533148597103248</v>
      </c>
      <c r="Y135" s="71" t="n">
        <f aca="false">IF(AND(mthbeg&lt;=A135,mthend&gt;=A135),1,0)</f>
        <v>0</v>
      </c>
      <c r="Z135" s="71" t="n">
        <f aca="false">T135*Y135</f>
        <v>0</v>
      </c>
      <c r="AB135" s="132" t="n">
        <f aca="false">F135*G135</f>
        <v>0</v>
      </c>
      <c r="AC135" s="132" t="n">
        <f aca="false">$F135*H135</f>
        <v>0</v>
      </c>
      <c r="AD135" s="132" t="n">
        <f aca="false">$F135*I135</f>
        <v>0</v>
      </c>
      <c r="AE135" s="132" t="n">
        <f aca="false">$F135*J135</f>
        <v>-0</v>
      </c>
      <c r="AF135" s="132" t="n">
        <f aca="false">$F135*K135</f>
        <v>-0</v>
      </c>
      <c r="AG135" s="132" t="n">
        <f aca="false">$F135*L135</f>
        <v>0</v>
      </c>
      <c r="AH135" s="132" t="n">
        <f aca="false">$F135*M135</f>
        <v>0</v>
      </c>
      <c r="AI135" s="132" t="n">
        <f aca="false">$F135*N135</f>
        <v>0</v>
      </c>
      <c r="AJ135" s="132" t="n">
        <f aca="false">F135*O135</f>
        <v>0</v>
      </c>
      <c r="AK135" s="137"/>
      <c r="AL135" s="132" t="n">
        <f aca="false">CHOOSE($G$3,AC135-AD135,AD135-AC135)</f>
        <v>0</v>
      </c>
      <c r="AM135" s="132" t="n">
        <f aca="false">CHOOSE($G$3,AF135-AG135,AG135-AF135)</f>
        <v>0</v>
      </c>
      <c r="AN135" s="132" t="n">
        <f aca="false">CHOOSE($G$3,AI135-AJ135,AJ135-AI135)</f>
        <v>0</v>
      </c>
      <c r="AO135" s="148" t="n">
        <f aca="false">SUM(AL135:AN135)</f>
        <v>0</v>
      </c>
      <c r="AQ135" s="132" t="n">
        <f aca="false">CHOOSE($G$3,AB135-AC135,AC135-AB135)</f>
        <v>0</v>
      </c>
      <c r="AR135" s="132" t="n">
        <f aca="false">CHOOSE($G$3,AE135-AF135,AF135-AE135)</f>
        <v>0</v>
      </c>
      <c r="AS135" s="132" t="n">
        <f aca="false">CHOOSE($G$3,AH135-AI135,AI135-AH135)</f>
        <v>0</v>
      </c>
      <c r="AT135" s="148" t="n">
        <f aca="false">AQ135+AR135+AS135</f>
        <v>0</v>
      </c>
      <c r="AU135" s="148"/>
      <c r="AV135" s="133" t="n">
        <f aca="false">AT135+AO135</f>
        <v>0</v>
      </c>
      <c r="AX135" s="133" t="n">
        <f aca="false">AJ135+AG135+AD135</f>
        <v>0</v>
      </c>
      <c r="AY135" s="149"/>
      <c r="AZ135" s="76" t="n">
        <f aca="false">R135*E135</f>
        <v>0</v>
      </c>
    </row>
    <row r="136" customFormat="false" ht="12.75" hidden="false" customHeight="false" outlineLevel="0" collapsed="false">
      <c r="A136" s="138" t="n">
        <f aca="false">EDATE(A135,1)</f>
        <v>40817</v>
      </c>
      <c r="B136" s="139" t="n">
        <f aca="false">VLOOKUP($A136,Table2,MATCH(I$3,Curves2,0))</f>
        <v>0</v>
      </c>
      <c r="C136" s="140"/>
      <c r="D136" s="141" t="n">
        <f aca="false">B136+C136</f>
        <v>0</v>
      </c>
      <c r="E136" s="126" t="n">
        <f aca="false">IF(Y136=0,0,IF(AND(Y136=1,$H$3=1),D136*T136,IF($H$3=2,D136,"N/A")))</f>
        <v>0</v>
      </c>
      <c r="F136" s="126" t="n">
        <f aca="false">E136*X136</f>
        <v>0</v>
      </c>
      <c r="G136" s="142" t="n">
        <f aca="false">VLOOKUP($A136,Table,MATCH(G$4,Curves,0))</f>
        <v>3.987</v>
      </c>
      <c r="H136" s="143" t="n">
        <f aca="false">G136</f>
        <v>3.987</v>
      </c>
      <c r="I136" s="142" t="n">
        <f aca="false">VLOOKUP($A136,Table1,MATCH(I$3,Curves1,0))</f>
        <v>0</v>
      </c>
      <c r="J136" s="142" t="n">
        <f aca="false">VLOOKUP($A136,Table,MATCH(J$4,Curves,0))</f>
        <v>-0.061</v>
      </c>
      <c r="K136" s="143" t="n">
        <f aca="false">J136</f>
        <v>-0.061</v>
      </c>
      <c r="L136" s="144" t="n">
        <v>0</v>
      </c>
      <c r="M136" s="142" t="n">
        <f aca="false">VLOOKUP($A136,Table,MATCH(M$4,Curves,0))</f>
        <v>0.005</v>
      </c>
      <c r="N136" s="143" t="n">
        <f aca="false">M136</f>
        <v>0.005</v>
      </c>
      <c r="O136" s="144" t="n">
        <v>0</v>
      </c>
      <c r="P136" s="145"/>
      <c r="Q136" s="144" t="n">
        <f aca="false">M136+J136+G136</f>
        <v>3.931</v>
      </c>
      <c r="R136" s="144" t="n">
        <f aca="false">O136+L136+I136</f>
        <v>0</v>
      </c>
      <c r="S136" s="145"/>
      <c r="T136" s="71" t="n">
        <f aca="false">A137-A136</f>
        <v>31</v>
      </c>
      <c r="U136" s="146" t="n">
        <f aca="false">CHOOSE(F$3,A137+24,A136)</f>
        <v>40872</v>
      </c>
      <c r="V136" s="71" t="n">
        <f aca="false">U136-C$3</f>
        <v>3984</v>
      </c>
      <c r="W136" s="142" t="n">
        <f aca="false">VLOOKUP($A136,Table,MATCH(W$4,Curves,0))</f>
        <v>0.058966861357273</v>
      </c>
      <c r="X136" s="147" t="n">
        <f aca="false">1/(1+CHOOSE(F$3,(W137+($K$3/10000))/2,(W136+($K$3/10000))/2))^(2*V136/365.25)</f>
        <v>0.53052539237985</v>
      </c>
      <c r="Y136" s="71" t="n">
        <f aca="false">IF(AND(mthbeg&lt;=A136,mthend&gt;=A136),1,0)</f>
        <v>0</v>
      </c>
      <c r="Z136" s="71" t="n">
        <f aca="false">T136*Y136</f>
        <v>0</v>
      </c>
      <c r="AB136" s="132" t="n">
        <f aca="false">F136*G136</f>
        <v>0</v>
      </c>
      <c r="AC136" s="132" t="n">
        <f aca="false">$F136*H136</f>
        <v>0</v>
      </c>
      <c r="AD136" s="132" t="n">
        <f aca="false">$F136*I136</f>
        <v>0</v>
      </c>
      <c r="AE136" s="132" t="n">
        <f aca="false">$F136*J136</f>
        <v>-0</v>
      </c>
      <c r="AF136" s="132" t="n">
        <f aca="false">$F136*K136</f>
        <v>-0</v>
      </c>
      <c r="AG136" s="132" t="n">
        <f aca="false">$F136*L136</f>
        <v>0</v>
      </c>
      <c r="AH136" s="132" t="n">
        <f aca="false">$F136*M136</f>
        <v>0</v>
      </c>
      <c r="AI136" s="132" t="n">
        <f aca="false">$F136*N136</f>
        <v>0</v>
      </c>
      <c r="AJ136" s="132" t="n">
        <f aca="false">F136*O136</f>
        <v>0</v>
      </c>
      <c r="AK136" s="137"/>
      <c r="AL136" s="132" t="n">
        <f aca="false">CHOOSE($G$3,AC136-AD136,AD136-AC136)</f>
        <v>0</v>
      </c>
      <c r="AM136" s="132" t="n">
        <f aca="false">CHOOSE($G$3,AF136-AG136,AG136-AF136)</f>
        <v>0</v>
      </c>
      <c r="AN136" s="132" t="n">
        <f aca="false">CHOOSE($G$3,AI136-AJ136,AJ136-AI136)</f>
        <v>0</v>
      </c>
      <c r="AO136" s="148" t="n">
        <f aca="false">SUM(AL136:AN136)</f>
        <v>0</v>
      </c>
      <c r="AQ136" s="132" t="n">
        <f aca="false">CHOOSE($G$3,AB136-AC136,AC136-AB136)</f>
        <v>0</v>
      </c>
      <c r="AR136" s="132" t="n">
        <f aca="false">CHOOSE($G$3,AE136-AF136,AF136-AE136)</f>
        <v>0</v>
      </c>
      <c r="AS136" s="132" t="n">
        <f aca="false">CHOOSE($G$3,AH136-AI136,AI136-AH136)</f>
        <v>0</v>
      </c>
      <c r="AT136" s="148" t="n">
        <f aca="false">AQ136+AR136+AS136</f>
        <v>0</v>
      </c>
      <c r="AU136" s="148"/>
      <c r="AV136" s="133" t="n">
        <f aca="false">AT136+AO136</f>
        <v>0</v>
      </c>
      <c r="AX136" s="133" t="n">
        <f aca="false">AJ136+AG136+AD136</f>
        <v>0</v>
      </c>
      <c r="AY136" s="149"/>
      <c r="AZ136" s="76" t="n">
        <f aca="false">R136*E136</f>
        <v>0</v>
      </c>
    </row>
    <row r="137" customFormat="false" ht="12.75" hidden="false" customHeight="false" outlineLevel="0" collapsed="false">
      <c r="A137" s="138" t="n">
        <f aca="false">EDATE(A136,1)</f>
        <v>40848</v>
      </c>
      <c r="B137" s="139" t="n">
        <f aca="false">VLOOKUP($A137,Table2,MATCH(I$3,Curves2,0))</f>
        <v>0</v>
      </c>
      <c r="C137" s="140"/>
      <c r="D137" s="141" t="n">
        <f aca="false">B137+C137</f>
        <v>0</v>
      </c>
      <c r="E137" s="126" t="n">
        <f aca="false">IF(Y137=0,0,IF(AND(Y137=1,$H$3=1),D137*T137,IF($H$3=2,D137,"N/A")))</f>
        <v>0</v>
      </c>
      <c r="F137" s="126" t="n">
        <f aca="false">E137*X137</f>
        <v>0</v>
      </c>
      <c r="G137" s="142" t="n">
        <f aca="false">VLOOKUP($A137,Table,MATCH(G$4,Curves,0))</f>
        <v>3.987</v>
      </c>
      <c r="H137" s="143" t="n">
        <f aca="false">G137</f>
        <v>3.987</v>
      </c>
      <c r="I137" s="142" t="n">
        <f aca="false">VLOOKUP($A137,Table1,MATCH(I$3,Curves1,0))</f>
        <v>0</v>
      </c>
      <c r="J137" s="142" t="n">
        <f aca="false">VLOOKUP($A137,Table,MATCH(J$4,Curves,0))</f>
        <v>-0.061</v>
      </c>
      <c r="K137" s="143" t="n">
        <f aca="false">J137</f>
        <v>-0.061</v>
      </c>
      <c r="L137" s="144" t="n">
        <v>0</v>
      </c>
      <c r="M137" s="142" t="n">
        <f aca="false">VLOOKUP($A137,Table,MATCH(M$4,Curves,0))</f>
        <v>0.005</v>
      </c>
      <c r="N137" s="143" t="n">
        <f aca="false">M137</f>
        <v>0.005</v>
      </c>
      <c r="O137" s="144" t="n">
        <v>0</v>
      </c>
      <c r="P137" s="145"/>
      <c r="Q137" s="144" t="n">
        <f aca="false">M137+J137+G137</f>
        <v>3.931</v>
      </c>
      <c r="R137" s="144" t="n">
        <f aca="false">O137+L137+I137</f>
        <v>0</v>
      </c>
      <c r="S137" s="145"/>
      <c r="T137" s="71" t="n">
        <f aca="false">A138-A137</f>
        <v>30</v>
      </c>
      <c r="U137" s="146" t="n">
        <f aca="false">CHOOSE(F$3,A138+24,A137)</f>
        <v>40902</v>
      </c>
      <c r="V137" s="71" t="n">
        <f aca="false">U137-C$3</f>
        <v>4014</v>
      </c>
      <c r="W137" s="142" t="n">
        <f aca="false">VLOOKUP($A137,Table,MATCH(W$4,Curves,0))</f>
        <v>0.058966861357273</v>
      </c>
      <c r="X137" s="147" t="n">
        <f aca="false">1/(1+CHOOSE(F$3,(W138+($K$3/10000))/2,(W137+($K$3/10000))/2))^(2*V137/365.25)</f>
        <v>0.527999096737183</v>
      </c>
      <c r="Y137" s="71" t="n">
        <f aca="false">IF(AND(mthbeg&lt;=A137,mthend&gt;=A137),1,0)</f>
        <v>0</v>
      </c>
      <c r="Z137" s="71" t="n">
        <f aca="false">T137*Y137</f>
        <v>0</v>
      </c>
      <c r="AB137" s="132" t="n">
        <f aca="false">F137*G137</f>
        <v>0</v>
      </c>
      <c r="AC137" s="132" t="n">
        <f aca="false">$F137*H137</f>
        <v>0</v>
      </c>
      <c r="AD137" s="132" t="n">
        <f aca="false">$F137*I137</f>
        <v>0</v>
      </c>
      <c r="AE137" s="132" t="n">
        <f aca="false">$F137*J137</f>
        <v>-0</v>
      </c>
      <c r="AF137" s="132" t="n">
        <f aca="false">$F137*K137</f>
        <v>-0</v>
      </c>
      <c r="AG137" s="132" t="n">
        <f aca="false">$F137*L137</f>
        <v>0</v>
      </c>
      <c r="AH137" s="132" t="n">
        <f aca="false">$F137*M137</f>
        <v>0</v>
      </c>
      <c r="AI137" s="132" t="n">
        <f aca="false">$F137*N137</f>
        <v>0</v>
      </c>
      <c r="AJ137" s="132" t="n">
        <f aca="false">F137*O137</f>
        <v>0</v>
      </c>
      <c r="AK137" s="137"/>
      <c r="AL137" s="132" t="n">
        <f aca="false">CHOOSE($G$3,AC137-AD137,AD137-AC137)</f>
        <v>0</v>
      </c>
      <c r="AM137" s="132" t="n">
        <f aca="false">CHOOSE($G$3,AF137-AG137,AG137-AF137)</f>
        <v>0</v>
      </c>
      <c r="AN137" s="132" t="n">
        <f aca="false">CHOOSE($G$3,AI137-AJ137,AJ137-AI137)</f>
        <v>0</v>
      </c>
      <c r="AO137" s="148" t="n">
        <f aca="false">SUM(AL137:AN137)</f>
        <v>0</v>
      </c>
      <c r="AQ137" s="132" t="n">
        <f aca="false">CHOOSE($G$3,AB137-AC137,AC137-AB137)</f>
        <v>0</v>
      </c>
      <c r="AR137" s="132" t="n">
        <f aca="false">CHOOSE($G$3,AE137-AF137,AF137-AE137)</f>
        <v>0</v>
      </c>
      <c r="AS137" s="132" t="n">
        <f aca="false">CHOOSE($G$3,AH137-AI137,AI137-AH137)</f>
        <v>0</v>
      </c>
      <c r="AT137" s="148" t="n">
        <f aca="false">AQ137+AR137+AS137</f>
        <v>0</v>
      </c>
      <c r="AU137" s="148"/>
      <c r="AV137" s="133" t="n">
        <f aca="false">AT137+AO137</f>
        <v>0</v>
      </c>
      <c r="AX137" s="133" t="n">
        <f aca="false">AJ137+AG137+AD137</f>
        <v>0</v>
      </c>
      <c r="AY137" s="149"/>
      <c r="AZ137" s="76" t="n">
        <f aca="false">R137*E137</f>
        <v>0</v>
      </c>
    </row>
    <row r="138" customFormat="false" ht="12.75" hidden="false" customHeight="false" outlineLevel="0" collapsed="false">
      <c r="A138" s="138" t="n">
        <f aca="false">EDATE(A137,1)</f>
        <v>40878</v>
      </c>
      <c r="B138" s="139" t="n">
        <f aca="false">VLOOKUP($A138,Table2,MATCH(I$3,Curves2,0))</f>
        <v>0</v>
      </c>
      <c r="C138" s="140"/>
      <c r="D138" s="141" t="n">
        <f aca="false">B138+C138</f>
        <v>0</v>
      </c>
      <c r="E138" s="126" t="n">
        <f aca="false">IF(Y138=0,0,IF(AND(Y138=1,$H$3=1),D138*T138,IF($H$3=2,D138,"N/A")))</f>
        <v>0</v>
      </c>
      <c r="F138" s="126" t="n">
        <f aca="false">E138*X138</f>
        <v>0</v>
      </c>
      <c r="G138" s="142" t="n">
        <f aca="false">VLOOKUP($A138,Table,MATCH(G$4,Curves,0))</f>
        <v>3.987</v>
      </c>
      <c r="H138" s="143" t="n">
        <f aca="false">G138</f>
        <v>3.987</v>
      </c>
      <c r="I138" s="142" t="n">
        <f aca="false">VLOOKUP($A138,Table1,MATCH(I$3,Curves1,0))</f>
        <v>0</v>
      </c>
      <c r="J138" s="142" t="n">
        <f aca="false">VLOOKUP($A138,Table,MATCH(J$4,Curves,0))</f>
        <v>-0.061</v>
      </c>
      <c r="K138" s="143" t="n">
        <f aca="false">J138</f>
        <v>-0.061</v>
      </c>
      <c r="L138" s="144" t="n">
        <v>0</v>
      </c>
      <c r="M138" s="142" t="n">
        <f aca="false">VLOOKUP($A138,Table,MATCH(M$4,Curves,0))</f>
        <v>0.005</v>
      </c>
      <c r="N138" s="143" t="n">
        <f aca="false">M138</f>
        <v>0.005</v>
      </c>
      <c r="O138" s="144" t="n">
        <v>0</v>
      </c>
      <c r="P138" s="145"/>
      <c r="Q138" s="144" t="n">
        <f aca="false">M138+J138+G138</f>
        <v>3.931</v>
      </c>
      <c r="R138" s="144" t="n">
        <f aca="false">O138+L138+I138</f>
        <v>0</v>
      </c>
      <c r="S138" s="145"/>
      <c r="T138" s="71" t="n">
        <f aca="false">A139-A138</f>
        <v>31</v>
      </c>
      <c r="U138" s="146" t="n">
        <f aca="false">CHOOSE(F$3,A139+24,A138)</f>
        <v>40933</v>
      </c>
      <c r="V138" s="71" t="n">
        <f aca="false">U138-C$3</f>
        <v>4045</v>
      </c>
      <c r="W138" s="142" t="n">
        <f aca="false">VLOOKUP($A138,Table,MATCH(W$4,Curves,0))</f>
        <v>0.058966861357273</v>
      </c>
      <c r="X138" s="147" t="n">
        <f aca="false">1/(1+CHOOSE(F$3,(W139+($K$3/10000))/2,(W138+($K$3/10000))/2))^(2*V138/365.25)</f>
        <v>0.525401228653058</v>
      </c>
      <c r="Y138" s="71" t="n">
        <f aca="false">IF(AND(mthbeg&lt;=A138,mthend&gt;=A138),1,0)</f>
        <v>0</v>
      </c>
      <c r="Z138" s="71" t="n">
        <f aca="false">T138*Y138</f>
        <v>0</v>
      </c>
      <c r="AB138" s="132" t="n">
        <f aca="false">F138*G138</f>
        <v>0</v>
      </c>
      <c r="AC138" s="132" t="n">
        <f aca="false">$F138*H138</f>
        <v>0</v>
      </c>
      <c r="AD138" s="132" t="n">
        <f aca="false">$F138*I138</f>
        <v>0</v>
      </c>
      <c r="AE138" s="132" t="n">
        <f aca="false">$F138*J138</f>
        <v>-0</v>
      </c>
      <c r="AF138" s="132" t="n">
        <f aca="false">$F138*K138</f>
        <v>-0</v>
      </c>
      <c r="AG138" s="132" t="n">
        <f aca="false">$F138*L138</f>
        <v>0</v>
      </c>
      <c r="AH138" s="132" t="n">
        <f aca="false">$F138*M138</f>
        <v>0</v>
      </c>
      <c r="AI138" s="132" t="n">
        <f aca="false">$F138*N138</f>
        <v>0</v>
      </c>
      <c r="AJ138" s="132" t="n">
        <f aca="false">F138*O138</f>
        <v>0</v>
      </c>
      <c r="AK138" s="137"/>
      <c r="AL138" s="132" t="n">
        <f aca="false">CHOOSE($G$3,AC138-AD138,AD138-AC138)</f>
        <v>0</v>
      </c>
      <c r="AM138" s="132" t="n">
        <f aca="false">CHOOSE($G$3,AF138-AG138,AG138-AF138)</f>
        <v>0</v>
      </c>
      <c r="AN138" s="132" t="n">
        <f aca="false">CHOOSE($G$3,AI138-AJ138,AJ138-AI138)</f>
        <v>0</v>
      </c>
      <c r="AO138" s="148" t="n">
        <f aca="false">SUM(AL138:AN138)</f>
        <v>0</v>
      </c>
      <c r="AQ138" s="132" t="n">
        <f aca="false">CHOOSE($G$3,AB138-AC138,AC138-AB138)</f>
        <v>0</v>
      </c>
      <c r="AR138" s="132" t="n">
        <f aca="false">CHOOSE($G$3,AE138-AF138,AF138-AE138)</f>
        <v>0</v>
      </c>
      <c r="AS138" s="132" t="n">
        <f aca="false">CHOOSE($G$3,AH138-AI138,AI138-AH138)</f>
        <v>0</v>
      </c>
      <c r="AT138" s="148" t="n">
        <f aca="false">AQ138+AR138+AS138</f>
        <v>0</v>
      </c>
      <c r="AU138" s="148"/>
      <c r="AV138" s="133" t="n">
        <f aca="false">AT138+AO138</f>
        <v>0</v>
      </c>
      <c r="AX138" s="133" t="n">
        <f aca="false">AJ138+AG138+AD138</f>
        <v>0</v>
      </c>
      <c r="AY138" s="149"/>
      <c r="AZ138" s="76" t="n">
        <f aca="false">R138*E138</f>
        <v>0</v>
      </c>
    </row>
    <row r="139" customFormat="false" ht="12.75" hidden="false" customHeight="false" outlineLevel="0" collapsed="false">
      <c r="A139" s="138" t="n">
        <f aca="false">EDATE(A138,1)</f>
        <v>40909</v>
      </c>
      <c r="B139" s="139" t="n">
        <f aca="false">VLOOKUP($A139,Table2,MATCH(I$3,Curves2,0))</f>
        <v>0</v>
      </c>
      <c r="C139" s="140"/>
      <c r="D139" s="141" t="n">
        <f aca="false">B139+C139</f>
        <v>0</v>
      </c>
      <c r="E139" s="126" t="n">
        <f aca="false">IF(Y139=0,0,IF(AND(Y139=1,$H$3=1),D139*T139,IF($H$3=2,D139,"N/A")))</f>
        <v>0</v>
      </c>
      <c r="F139" s="126" t="n">
        <f aca="false">E139*X139</f>
        <v>0</v>
      </c>
      <c r="G139" s="142" t="n">
        <f aca="false">VLOOKUP($A139,Table,MATCH(G$4,Curves,0))</f>
        <v>3.987</v>
      </c>
      <c r="H139" s="143" t="n">
        <f aca="false">G139</f>
        <v>3.987</v>
      </c>
      <c r="I139" s="142" t="n">
        <f aca="false">VLOOKUP($A139,Table1,MATCH(I$3,Curves1,0))</f>
        <v>0</v>
      </c>
      <c r="J139" s="142" t="n">
        <f aca="false">VLOOKUP($A139,Table,MATCH(J$4,Curves,0))</f>
        <v>-0.061</v>
      </c>
      <c r="K139" s="143" t="n">
        <f aca="false">J139</f>
        <v>-0.061</v>
      </c>
      <c r="L139" s="144" t="n">
        <v>0</v>
      </c>
      <c r="M139" s="142" t="n">
        <f aca="false">VLOOKUP($A139,Table,MATCH(M$4,Curves,0))</f>
        <v>0.005</v>
      </c>
      <c r="N139" s="143" t="n">
        <f aca="false">M139</f>
        <v>0.005</v>
      </c>
      <c r="O139" s="144" t="n">
        <v>0</v>
      </c>
      <c r="P139" s="145"/>
      <c r="Q139" s="144" t="n">
        <f aca="false">M139+J139+G139</f>
        <v>3.931</v>
      </c>
      <c r="R139" s="144" t="n">
        <f aca="false">O139+L139+I139</f>
        <v>0</v>
      </c>
      <c r="S139" s="145"/>
      <c r="T139" s="71" t="n">
        <f aca="false">A140-A139</f>
        <v>31</v>
      </c>
      <c r="U139" s="146" t="n">
        <f aca="false">CHOOSE(F$3,A140+24,A139)</f>
        <v>40964</v>
      </c>
      <c r="V139" s="71" t="n">
        <f aca="false">U139-C$3</f>
        <v>4076</v>
      </c>
      <c r="W139" s="142" t="n">
        <f aca="false">VLOOKUP($A139,Table,MATCH(W$4,Curves,0))</f>
        <v>0.058966861357273</v>
      </c>
      <c r="X139" s="147" t="n">
        <f aca="false">1/(1+CHOOSE(F$3,(W140+($K$3/10000))/2,(W139+($K$3/10000))/2))^(2*V139/365.25)</f>
        <v>0.522816142633569</v>
      </c>
      <c r="Y139" s="71" t="n">
        <f aca="false">IF(AND(mthbeg&lt;=A139,mthend&gt;=A139),1,0)</f>
        <v>0</v>
      </c>
      <c r="Z139" s="71" t="n">
        <f aca="false">T139*Y139</f>
        <v>0</v>
      </c>
      <c r="AB139" s="132" t="n">
        <f aca="false">F139*G139</f>
        <v>0</v>
      </c>
      <c r="AC139" s="132" t="n">
        <f aca="false">$F139*H139</f>
        <v>0</v>
      </c>
      <c r="AD139" s="132" t="n">
        <f aca="false">$F139*I139</f>
        <v>0</v>
      </c>
      <c r="AE139" s="132" t="n">
        <f aca="false">$F139*J139</f>
        <v>-0</v>
      </c>
      <c r="AF139" s="132" t="n">
        <f aca="false">$F139*K139</f>
        <v>-0</v>
      </c>
      <c r="AG139" s="132" t="n">
        <f aca="false">$F139*L139</f>
        <v>0</v>
      </c>
      <c r="AH139" s="132" t="n">
        <f aca="false">$F139*M139</f>
        <v>0</v>
      </c>
      <c r="AI139" s="132" t="n">
        <f aca="false">$F139*N139</f>
        <v>0</v>
      </c>
      <c r="AJ139" s="132" t="n">
        <f aca="false">F139*O139</f>
        <v>0</v>
      </c>
      <c r="AK139" s="137"/>
      <c r="AL139" s="132" t="n">
        <f aca="false">CHOOSE($G$3,AC139-AD139,AD139-AC139)</f>
        <v>0</v>
      </c>
      <c r="AM139" s="132" t="n">
        <f aca="false">CHOOSE($G$3,AF139-AG139,AG139-AF139)</f>
        <v>0</v>
      </c>
      <c r="AN139" s="132" t="n">
        <f aca="false">CHOOSE($G$3,AI139-AJ139,AJ139-AI139)</f>
        <v>0</v>
      </c>
      <c r="AO139" s="148" t="n">
        <f aca="false">SUM(AL139:AN139)</f>
        <v>0</v>
      </c>
      <c r="AQ139" s="132" t="n">
        <f aca="false">CHOOSE($G$3,AB139-AC139,AC139-AB139)</f>
        <v>0</v>
      </c>
      <c r="AR139" s="132" t="n">
        <f aca="false">CHOOSE($G$3,AE139-AF139,AF139-AE139)</f>
        <v>0</v>
      </c>
      <c r="AS139" s="132" t="n">
        <f aca="false">CHOOSE($G$3,AH139-AI139,AI139-AH139)</f>
        <v>0</v>
      </c>
      <c r="AT139" s="148" t="n">
        <f aca="false">AQ139+AR139+AS139</f>
        <v>0</v>
      </c>
      <c r="AU139" s="148"/>
      <c r="AV139" s="133" t="n">
        <f aca="false">AT139+AO139</f>
        <v>0</v>
      </c>
      <c r="AX139" s="133" t="n">
        <f aca="false">AJ139+AG139+AD139</f>
        <v>0</v>
      </c>
      <c r="AY139" s="149"/>
      <c r="AZ139" s="76" t="n">
        <f aca="false">R139*E139</f>
        <v>0</v>
      </c>
    </row>
    <row r="140" customFormat="false" ht="12.75" hidden="false" customHeight="false" outlineLevel="0" collapsed="false">
      <c r="A140" s="138" t="n">
        <f aca="false">EDATE(A139,1)</f>
        <v>40940</v>
      </c>
      <c r="B140" s="139" t="n">
        <f aca="false">VLOOKUP($A140,Table2,MATCH(I$3,Curves2,0))</f>
        <v>0</v>
      </c>
      <c r="C140" s="140"/>
      <c r="D140" s="141" t="n">
        <f aca="false">B140+C140</f>
        <v>0</v>
      </c>
      <c r="E140" s="126" t="n">
        <f aca="false">IF(Y140=0,0,IF(AND(Y140=1,$H$3=1),D140*T140,IF($H$3=2,D140,"N/A")))</f>
        <v>0</v>
      </c>
      <c r="F140" s="126" t="n">
        <f aca="false">E140*X140</f>
        <v>0</v>
      </c>
      <c r="G140" s="142" t="n">
        <f aca="false">VLOOKUP($A140,Table,MATCH(G$4,Curves,0))</f>
        <v>3.987</v>
      </c>
      <c r="H140" s="143" t="n">
        <f aca="false">G140</f>
        <v>3.987</v>
      </c>
      <c r="I140" s="142" t="n">
        <f aca="false">VLOOKUP($A140,Table1,MATCH(I$3,Curves1,0))</f>
        <v>0</v>
      </c>
      <c r="J140" s="142" t="n">
        <f aca="false">VLOOKUP($A140,Table,MATCH(J$4,Curves,0))</f>
        <v>-0.061</v>
      </c>
      <c r="K140" s="143" t="n">
        <f aca="false">J140</f>
        <v>-0.061</v>
      </c>
      <c r="L140" s="144" t="n">
        <v>0</v>
      </c>
      <c r="M140" s="142" t="n">
        <f aca="false">VLOOKUP($A140,Table,MATCH(M$4,Curves,0))</f>
        <v>0.005</v>
      </c>
      <c r="N140" s="143" t="n">
        <f aca="false">M140</f>
        <v>0.005</v>
      </c>
      <c r="O140" s="144" t="n">
        <v>0</v>
      </c>
      <c r="P140" s="145"/>
      <c r="Q140" s="144" t="n">
        <f aca="false">M140+J140+G140</f>
        <v>3.931</v>
      </c>
      <c r="R140" s="144" t="n">
        <f aca="false">O140+L140+I140</f>
        <v>0</v>
      </c>
      <c r="S140" s="145"/>
      <c r="T140" s="71" t="n">
        <f aca="false">A141-A140</f>
        <v>29</v>
      </c>
      <c r="U140" s="146" t="n">
        <f aca="false">CHOOSE(F$3,A141+24,A140)</f>
        <v>40993</v>
      </c>
      <c r="V140" s="71" t="n">
        <f aca="false">U140-C$3</f>
        <v>4105</v>
      </c>
      <c r="W140" s="142" t="n">
        <f aca="false">VLOOKUP($A140,Table,MATCH(W$4,Curves,0))</f>
        <v>0.058966861357273</v>
      </c>
      <c r="X140" s="147" t="n">
        <f aca="false">1/(1+CHOOSE(F$3,(W141+($K$3/10000))/2,(W140+($K$3/10000))/2))^(2*V140/365.25)</f>
        <v>0.520409352334299</v>
      </c>
      <c r="Y140" s="71" t="n">
        <f aca="false">IF(AND(mthbeg&lt;=A140,mthend&gt;=A140),1,0)</f>
        <v>0</v>
      </c>
      <c r="Z140" s="71" t="n">
        <f aca="false">T140*Y140</f>
        <v>0</v>
      </c>
      <c r="AB140" s="132" t="n">
        <f aca="false">F140*G140</f>
        <v>0</v>
      </c>
      <c r="AC140" s="132" t="n">
        <f aca="false">$F140*H140</f>
        <v>0</v>
      </c>
      <c r="AD140" s="132" t="n">
        <f aca="false">$F140*I140</f>
        <v>0</v>
      </c>
      <c r="AE140" s="132" t="n">
        <f aca="false">$F140*J140</f>
        <v>-0</v>
      </c>
      <c r="AF140" s="132" t="n">
        <f aca="false">$F140*K140</f>
        <v>-0</v>
      </c>
      <c r="AG140" s="132" t="n">
        <f aca="false">$F140*L140</f>
        <v>0</v>
      </c>
      <c r="AH140" s="132" t="n">
        <f aca="false">$F140*M140</f>
        <v>0</v>
      </c>
      <c r="AI140" s="132" t="n">
        <f aca="false">$F140*N140</f>
        <v>0</v>
      </c>
      <c r="AJ140" s="132" t="n">
        <f aca="false">F140*O140</f>
        <v>0</v>
      </c>
      <c r="AK140" s="137"/>
      <c r="AL140" s="132" t="n">
        <f aca="false">CHOOSE($G$3,AC140-AD140,AD140-AC140)</f>
        <v>0</v>
      </c>
      <c r="AM140" s="132" t="n">
        <f aca="false">CHOOSE($G$3,AF140-AG140,AG140-AF140)</f>
        <v>0</v>
      </c>
      <c r="AN140" s="132" t="n">
        <f aca="false">CHOOSE($G$3,AI140-AJ140,AJ140-AI140)</f>
        <v>0</v>
      </c>
      <c r="AO140" s="148" t="n">
        <f aca="false">SUM(AL140:AN140)</f>
        <v>0</v>
      </c>
      <c r="AQ140" s="132" t="n">
        <f aca="false">CHOOSE($G$3,AB140-AC140,AC140-AB140)</f>
        <v>0</v>
      </c>
      <c r="AR140" s="132" t="n">
        <f aca="false">CHOOSE($G$3,AE140-AF140,AF140-AE140)</f>
        <v>0</v>
      </c>
      <c r="AS140" s="132" t="n">
        <f aca="false">CHOOSE($G$3,AH140-AI140,AI140-AH140)</f>
        <v>0</v>
      </c>
      <c r="AT140" s="148" t="n">
        <f aca="false">AQ140+AR140+AS140</f>
        <v>0</v>
      </c>
      <c r="AU140" s="148"/>
      <c r="AV140" s="133" t="n">
        <f aca="false">AT140+AO140</f>
        <v>0</v>
      </c>
      <c r="AX140" s="133" t="n">
        <f aca="false">AJ140+AG140+AD140</f>
        <v>0</v>
      </c>
      <c r="AY140" s="149"/>
      <c r="AZ140" s="76" t="n">
        <f aca="false">R140*E140</f>
        <v>0</v>
      </c>
    </row>
    <row r="141" customFormat="false" ht="12.75" hidden="false" customHeight="false" outlineLevel="0" collapsed="false">
      <c r="A141" s="138" t="n">
        <f aca="false">EDATE(A140,1)</f>
        <v>40969</v>
      </c>
      <c r="B141" s="139" t="n">
        <f aca="false">VLOOKUP($A141,Table2,MATCH(I$3,Curves2,0))</f>
        <v>0</v>
      </c>
      <c r="C141" s="140"/>
      <c r="D141" s="141" t="n">
        <f aca="false">B141+C141</f>
        <v>0</v>
      </c>
      <c r="E141" s="126" t="n">
        <f aca="false">IF(Y141=0,0,IF(AND(Y141=1,$H$3=1),D141*T141,IF($H$3=2,D141,"N/A")))</f>
        <v>0</v>
      </c>
      <c r="F141" s="126" t="n">
        <f aca="false">E141*X141</f>
        <v>0</v>
      </c>
      <c r="G141" s="142" t="n">
        <f aca="false">VLOOKUP($A141,Table,MATCH(G$4,Curves,0))</f>
        <v>3.987</v>
      </c>
      <c r="H141" s="143" t="n">
        <f aca="false">G141</f>
        <v>3.987</v>
      </c>
      <c r="I141" s="142" t="n">
        <f aca="false">VLOOKUP($A141,Table1,MATCH(I$3,Curves1,0))</f>
        <v>0</v>
      </c>
      <c r="J141" s="142" t="n">
        <f aca="false">VLOOKUP($A141,Table,MATCH(J$4,Curves,0))</f>
        <v>-0.061</v>
      </c>
      <c r="K141" s="143" t="n">
        <f aca="false">J141</f>
        <v>-0.061</v>
      </c>
      <c r="L141" s="144" t="n">
        <v>0</v>
      </c>
      <c r="M141" s="142" t="n">
        <f aca="false">VLOOKUP($A141,Table,MATCH(M$4,Curves,0))</f>
        <v>0.005</v>
      </c>
      <c r="N141" s="143" t="n">
        <f aca="false">M141</f>
        <v>0.005</v>
      </c>
      <c r="O141" s="144" t="n">
        <v>0</v>
      </c>
      <c r="P141" s="145"/>
      <c r="Q141" s="144" t="n">
        <f aca="false">M141+J141+G141</f>
        <v>3.931</v>
      </c>
      <c r="R141" s="144" t="n">
        <f aca="false">O141+L141+I141</f>
        <v>0</v>
      </c>
      <c r="S141" s="145"/>
      <c r="T141" s="71" t="n">
        <f aca="false">A142-A141</f>
        <v>31</v>
      </c>
      <c r="U141" s="146" t="n">
        <f aca="false">CHOOSE(F$3,A142+24,A141)</f>
        <v>41024</v>
      </c>
      <c r="V141" s="71" t="n">
        <f aca="false">U141-C$3</f>
        <v>4136</v>
      </c>
      <c r="W141" s="142" t="n">
        <f aca="false">VLOOKUP($A141,Table,MATCH(W$4,Curves,0))</f>
        <v>0.058966861357273</v>
      </c>
      <c r="X141" s="147" t="n">
        <f aca="false">1/(1+CHOOSE(F$3,(W142+($K$3/10000))/2,(W141+($K$3/10000))/2))^(2*V141/365.25)</f>
        <v>0.517848827410177</v>
      </c>
      <c r="Y141" s="71" t="n">
        <f aca="false">IF(AND(mthbeg&lt;=A141,mthend&gt;=A141),1,0)</f>
        <v>0</v>
      </c>
      <c r="Z141" s="71" t="n">
        <f aca="false">T141*Y141</f>
        <v>0</v>
      </c>
      <c r="AB141" s="132" t="n">
        <f aca="false">F141*G141</f>
        <v>0</v>
      </c>
      <c r="AC141" s="132" t="n">
        <f aca="false">$F141*H141</f>
        <v>0</v>
      </c>
      <c r="AD141" s="132" t="n">
        <f aca="false">$F141*I141</f>
        <v>0</v>
      </c>
      <c r="AE141" s="132" t="n">
        <f aca="false">$F141*J141</f>
        <v>-0</v>
      </c>
      <c r="AF141" s="132" t="n">
        <f aca="false">$F141*K141</f>
        <v>-0</v>
      </c>
      <c r="AG141" s="132" t="n">
        <f aca="false">$F141*L141</f>
        <v>0</v>
      </c>
      <c r="AH141" s="132" t="n">
        <f aca="false">$F141*M141</f>
        <v>0</v>
      </c>
      <c r="AI141" s="132" t="n">
        <f aca="false">$F141*N141</f>
        <v>0</v>
      </c>
      <c r="AJ141" s="132" t="n">
        <f aca="false">F141*O141</f>
        <v>0</v>
      </c>
      <c r="AK141" s="137"/>
      <c r="AL141" s="132" t="n">
        <f aca="false">CHOOSE($G$3,AC141-AD141,AD141-AC141)</f>
        <v>0</v>
      </c>
      <c r="AM141" s="132" t="n">
        <f aca="false">CHOOSE($G$3,AF141-AG141,AG141-AF141)</f>
        <v>0</v>
      </c>
      <c r="AN141" s="132" t="n">
        <f aca="false">CHOOSE($G$3,AI141-AJ141,AJ141-AI141)</f>
        <v>0</v>
      </c>
      <c r="AO141" s="148" t="n">
        <f aca="false">SUM(AL141:AN141)</f>
        <v>0</v>
      </c>
      <c r="AQ141" s="132" t="n">
        <f aca="false">CHOOSE($G$3,AB141-AC141,AC141-AB141)</f>
        <v>0</v>
      </c>
      <c r="AR141" s="132" t="n">
        <f aca="false">CHOOSE($G$3,AE141-AF141,AF141-AE141)</f>
        <v>0</v>
      </c>
      <c r="AS141" s="132" t="n">
        <f aca="false">CHOOSE($G$3,AH141-AI141,AI141-AH141)</f>
        <v>0</v>
      </c>
      <c r="AT141" s="148" t="n">
        <f aca="false">AQ141+AR141+AS141</f>
        <v>0</v>
      </c>
      <c r="AU141" s="148"/>
      <c r="AV141" s="133" t="n">
        <f aca="false">AT141+AO141</f>
        <v>0</v>
      </c>
      <c r="AX141" s="133" t="n">
        <f aca="false">AJ141+AG141+AD141</f>
        <v>0</v>
      </c>
      <c r="AY141" s="149"/>
      <c r="AZ141" s="76" t="n">
        <f aca="false">R141*E141</f>
        <v>0</v>
      </c>
    </row>
    <row r="142" customFormat="false" ht="12.75" hidden="false" customHeight="false" outlineLevel="0" collapsed="false">
      <c r="A142" s="138" t="n">
        <f aca="false">EDATE(A141,1)</f>
        <v>41000</v>
      </c>
      <c r="B142" s="139" t="n">
        <f aca="false">VLOOKUP($A142,Table2,MATCH(I$3,Curves2,0))</f>
        <v>0</v>
      </c>
      <c r="C142" s="140"/>
      <c r="D142" s="141" t="n">
        <f aca="false">B142+C142</f>
        <v>0</v>
      </c>
      <c r="E142" s="126" t="n">
        <f aca="false">IF(Y142=0,0,IF(AND(Y142=1,$H$3=1),D142*T142,IF($H$3=2,D142,"N/A")))</f>
        <v>0</v>
      </c>
      <c r="F142" s="126" t="n">
        <f aca="false">E142*X142</f>
        <v>0</v>
      </c>
      <c r="G142" s="142" t="n">
        <f aca="false">VLOOKUP($A142,Table,MATCH(G$4,Curves,0))</f>
        <v>3.987</v>
      </c>
      <c r="H142" s="143" t="n">
        <f aca="false">G142</f>
        <v>3.987</v>
      </c>
      <c r="I142" s="142" t="n">
        <f aca="false">VLOOKUP($A142,Table1,MATCH(I$3,Curves1,0))</f>
        <v>0</v>
      </c>
      <c r="J142" s="142" t="n">
        <f aca="false">VLOOKUP($A142,Table,MATCH(J$4,Curves,0))</f>
        <v>-0.061</v>
      </c>
      <c r="K142" s="143" t="n">
        <f aca="false">J142</f>
        <v>-0.061</v>
      </c>
      <c r="L142" s="144" t="n">
        <v>0</v>
      </c>
      <c r="M142" s="142" t="n">
        <f aca="false">VLOOKUP($A142,Table,MATCH(M$4,Curves,0))</f>
        <v>0.005</v>
      </c>
      <c r="N142" s="143" t="n">
        <f aca="false">M142</f>
        <v>0.005</v>
      </c>
      <c r="O142" s="144" t="n">
        <v>0</v>
      </c>
      <c r="P142" s="145"/>
      <c r="Q142" s="144" t="n">
        <f aca="false">M142+J142+G142</f>
        <v>3.931</v>
      </c>
      <c r="R142" s="144" t="n">
        <f aca="false">O142+L142+I142</f>
        <v>0</v>
      </c>
      <c r="S142" s="145"/>
      <c r="T142" s="71" t="n">
        <f aca="false">A143-A142</f>
        <v>30</v>
      </c>
      <c r="U142" s="146" t="n">
        <f aca="false">CHOOSE(F$3,A143+24,A142)</f>
        <v>41054</v>
      </c>
      <c r="V142" s="71" t="n">
        <f aca="false">U142-C$3</f>
        <v>4166</v>
      </c>
      <c r="W142" s="142" t="n">
        <f aca="false">VLOOKUP($A142,Table,MATCH(W$4,Curves,0))</f>
        <v>0.058966861357273</v>
      </c>
      <c r="X142" s="147" t="n">
        <f aca="false">1/(1+CHOOSE(F$3,(W143+($K$3/10000))/2,(W142+($K$3/10000))/2))^(2*V142/365.25)</f>
        <v>0.515382895986276</v>
      </c>
      <c r="Y142" s="71" t="n">
        <f aca="false">IF(AND(mthbeg&lt;=A142,mthend&gt;=A142),1,0)</f>
        <v>0</v>
      </c>
      <c r="Z142" s="71" t="n">
        <f aca="false">T142*Y142</f>
        <v>0</v>
      </c>
      <c r="AB142" s="132" t="n">
        <f aca="false">F142*G142</f>
        <v>0</v>
      </c>
      <c r="AC142" s="132" t="n">
        <f aca="false">$F142*H142</f>
        <v>0</v>
      </c>
      <c r="AD142" s="132" t="n">
        <f aca="false">$F142*I142</f>
        <v>0</v>
      </c>
      <c r="AE142" s="132" t="n">
        <f aca="false">$F142*J142</f>
        <v>-0</v>
      </c>
      <c r="AF142" s="132" t="n">
        <f aca="false">$F142*K142</f>
        <v>-0</v>
      </c>
      <c r="AG142" s="132" t="n">
        <f aca="false">$F142*L142</f>
        <v>0</v>
      </c>
      <c r="AH142" s="132" t="n">
        <f aca="false">$F142*M142</f>
        <v>0</v>
      </c>
      <c r="AI142" s="132" t="n">
        <f aca="false">$F142*N142</f>
        <v>0</v>
      </c>
      <c r="AJ142" s="132" t="n">
        <f aca="false">F142*O142</f>
        <v>0</v>
      </c>
      <c r="AK142" s="137"/>
      <c r="AL142" s="132" t="n">
        <f aca="false">CHOOSE($G$3,AC142-AD142,AD142-AC142)</f>
        <v>0</v>
      </c>
      <c r="AM142" s="132" t="n">
        <f aca="false">CHOOSE($G$3,AF142-AG142,AG142-AF142)</f>
        <v>0</v>
      </c>
      <c r="AN142" s="132" t="n">
        <f aca="false">CHOOSE($G$3,AI142-AJ142,AJ142-AI142)</f>
        <v>0</v>
      </c>
      <c r="AO142" s="148" t="n">
        <f aca="false">SUM(AL142:AN142)</f>
        <v>0</v>
      </c>
      <c r="AQ142" s="132" t="n">
        <f aca="false">CHOOSE($G$3,AB142-AC142,AC142-AB142)</f>
        <v>0</v>
      </c>
      <c r="AR142" s="132" t="n">
        <f aca="false">CHOOSE($G$3,AE142-AF142,AF142-AE142)</f>
        <v>0</v>
      </c>
      <c r="AS142" s="132" t="n">
        <f aca="false">CHOOSE($G$3,AH142-AI142,AI142-AH142)</f>
        <v>0</v>
      </c>
      <c r="AT142" s="148" t="n">
        <f aca="false">AQ142+AR142+AS142</f>
        <v>0</v>
      </c>
      <c r="AU142" s="148"/>
      <c r="AV142" s="133" t="n">
        <f aca="false">AT142+AO142</f>
        <v>0</v>
      </c>
      <c r="AX142" s="133" t="n">
        <f aca="false">AJ142+AG142+AD142</f>
        <v>0</v>
      </c>
      <c r="AY142" s="149"/>
      <c r="AZ142" s="76" t="n">
        <f aca="false">R142*E142</f>
        <v>0</v>
      </c>
    </row>
    <row r="143" customFormat="false" ht="12.75" hidden="false" customHeight="false" outlineLevel="0" collapsed="false">
      <c r="A143" s="138" t="n">
        <f aca="false">EDATE(A142,1)</f>
        <v>41030</v>
      </c>
      <c r="B143" s="139" t="n">
        <f aca="false">VLOOKUP($A143,Table2,MATCH(I$3,Curves2,0))</f>
        <v>0</v>
      </c>
      <c r="C143" s="140"/>
      <c r="D143" s="141" t="n">
        <f aca="false">B143+C143</f>
        <v>0</v>
      </c>
      <c r="E143" s="126" t="n">
        <f aca="false">IF(Y143=0,0,IF(AND(Y143=1,$H$3=1),D143*T143,IF($H$3=2,D143,"N/A")))</f>
        <v>0</v>
      </c>
      <c r="F143" s="126" t="n">
        <f aca="false">E143*X143</f>
        <v>0</v>
      </c>
      <c r="G143" s="142" t="n">
        <f aca="false">VLOOKUP($A143,Table,MATCH(G$4,Curves,0))</f>
        <v>3.987</v>
      </c>
      <c r="H143" s="143" t="n">
        <f aca="false">G143</f>
        <v>3.987</v>
      </c>
      <c r="I143" s="142" t="n">
        <f aca="false">VLOOKUP($A143,Table1,MATCH(I$3,Curves1,0))</f>
        <v>0</v>
      </c>
      <c r="J143" s="142" t="n">
        <f aca="false">VLOOKUP($A143,Table,MATCH(J$4,Curves,0))</f>
        <v>-0.061</v>
      </c>
      <c r="K143" s="143" t="n">
        <f aca="false">J143</f>
        <v>-0.061</v>
      </c>
      <c r="L143" s="144" t="n">
        <v>0</v>
      </c>
      <c r="M143" s="142" t="n">
        <f aca="false">VLOOKUP($A143,Table,MATCH(M$4,Curves,0))</f>
        <v>0.005</v>
      </c>
      <c r="N143" s="143" t="n">
        <f aca="false">M143</f>
        <v>0.005</v>
      </c>
      <c r="O143" s="144" t="n">
        <v>0</v>
      </c>
      <c r="P143" s="145"/>
      <c r="Q143" s="144" t="n">
        <f aca="false">M143+J143+G143</f>
        <v>3.931</v>
      </c>
      <c r="R143" s="144" t="n">
        <f aca="false">O143+L143+I143</f>
        <v>0</v>
      </c>
      <c r="S143" s="145"/>
      <c r="T143" s="71" t="n">
        <f aca="false">A144-A143</f>
        <v>31</v>
      </c>
      <c r="U143" s="146" t="n">
        <f aca="false">CHOOSE(F$3,A144+24,A143)</f>
        <v>41085</v>
      </c>
      <c r="V143" s="71" t="n">
        <f aca="false">U143-C$3</f>
        <v>4197</v>
      </c>
      <c r="W143" s="142" t="n">
        <f aca="false">VLOOKUP($A143,Table,MATCH(W$4,Curves,0))</f>
        <v>0.058966861357273</v>
      </c>
      <c r="X143" s="147" t="n">
        <f aca="false">1/(1+CHOOSE(F$3,(W144+($K$3/10000))/2,(W143+($K$3/10000))/2))^(2*V143/365.25)</f>
        <v>0.512847102298634</v>
      </c>
      <c r="Y143" s="71" t="n">
        <f aca="false">IF(AND(mthbeg&lt;=A143,mthend&gt;=A143),1,0)</f>
        <v>0</v>
      </c>
      <c r="Z143" s="71" t="n">
        <f aca="false">T143*Y143</f>
        <v>0</v>
      </c>
      <c r="AB143" s="132" t="n">
        <f aca="false">F143*G143</f>
        <v>0</v>
      </c>
      <c r="AC143" s="132" t="n">
        <f aca="false">$F143*H143</f>
        <v>0</v>
      </c>
      <c r="AD143" s="132" t="n">
        <f aca="false">$F143*I143</f>
        <v>0</v>
      </c>
      <c r="AE143" s="132" t="n">
        <f aca="false">$F143*J143</f>
        <v>-0</v>
      </c>
      <c r="AF143" s="132" t="n">
        <f aca="false">$F143*K143</f>
        <v>-0</v>
      </c>
      <c r="AG143" s="132" t="n">
        <f aca="false">$F143*L143</f>
        <v>0</v>
      </c>
      <c r="AH143" s="132" t="n">
        <f aca="false">$F143*M143</f>
        <v>0</v>
      </c>
      <c r="AI143" s="132" t="n">
        <f aca="false">$F143*N143</f>
        <v>0</v>
      </c>
      <c r="AJ143" s="132" t="n">
        <f aca="false">F143*O143</f>
        <v>0</v>
      </c>
      <c r="AK143" s="137"/>
      <c r="AL143" s="132" t="n">
        <f aca="false">CHOOSE($G$3,AC143-AD143,AD143-AC143)</f>
        <v>0</v>
      </c>
      <c r="AM143" s="132" t="n">
        <f aca="false">CHOOSE($G$3,AF143-AG143,AG143-AF143)</f>
        <v>0</v>
      </c>
      <c r="AN143" s="132" t="n">
        <f aca="false">CHOOSE($G$3,AI143-AJ143,AJ143-AI143)</f>
        <v>0</v>
      </c>
      <c r="AO143" s="148" t="n">
        <f aca="false">SUM(AL143:AN143)</f>
        <v>0</v>
      </c>
      <c r="AQ143" s="132" t="n">
        <f aca="false">CHOOSE($G$3,AB143-AC143,AC143-AB143)</f>
        <v>0</v>
      </c>
      <c r="AR143" s="132" t="n">
        <f aca="false">CHOOSE($G$3,AE143-AF143,AF143-AE143)</f>
        <v>0</v>
      </c>
      <c r="AS143" s="132" t="n">
        <f aca="false">CHOOSE($G$3,AH143-AI143,AI143-AH143)</f>
        <v>0</v>
      </c>
      <c r="AT143" s="148" t="n">
        <f aca="false">AQ143+AR143+AS143</f>
        <v>0</v>
      </c>
      <c r="AU143" s="148"/>
      <c r="AV143" s="133" t="n">
        <f aca="false">AT143+AO143</f>
        <v>0</v>
      </c>
      <c r="AX143" s="133" t="n">
        <f aca="false">AJ143+AG143+AD143</f>
        <v>0</v>
      </c>
      <c r="AY143" s="149"/>
      <c r="AZ143" s="76" t="n">
        <f aca="false">R143*E143</f>
        <v>0</v>
      </c>
    </row>
    <row r="144" customFormat="false" ht="12.75" hidden="false" customHeight="false" outlineLevel="0" collapsed="false">
      <c r="A144" s="138" t="n">
        <f aca="false">EDATE(A143,1)</f>
        <v>41061</v>
      </c>
      <c r="B144" s="139" t="n">
        <f aca="false">VLOOKUP($A144,Table2,MATCH(I$3,Curves2,0))</f>
        <v>0</v>
      </c>
      <c r="C144" s="140"/>
      <c r="D144" s="141" t="n">
        <f aca="false">B144+C144</f>
        <v>0</v>
      </c>
      <c r="E144" s="126" t="n">
        <f aca="false">IF(Y144=0,0,IF(AND(Y144=1,$H$3=1),D144*T144,IF($H$3=2,D144,"N/A")))</f>
        <v>0</v>
      </c>
      <c r="F144" s="126" t="n">
        <f aca="false">E144*X144</f>
        <v>0</v>
      </c>
      <c r="G144" s="142" t="n">
        <f aca="false">VLOOKUP($A144,Table,MATCH(G$4,Curves,0))</f>
        <v>3.987</v>
      </c>
      <c r="H144" s="143" t="n">
        <f aca="false">G144</f>
        <v>3.987</v>
      </c>
      <c r="I144" s="142" t="n">
        <f aca="false">VLOOKUP($A144,Table1,MATCH(I$3,Curves1,0))</f>
        <v>0</v>
      </c>
      <c r="J144" s="142" t="n">
        <f aca="false">VLOOKUP($A144,Table,MATCH(J$4,Curves,0))</f>
        <v>-0.061</v>
      </c>
      <c r="K144" s="143" t="n">
        <f aca="false">J144</f>
        <v>-0.061</v>
      </c>
      <c r="L144" s="144" t="n">
        <v>0</v>
      </c>
      <c r="M144" s="142" t="n">
        <f aca="false">VLOOKUP($A144,Table,MATCH(M$4,Curves,0))</f>
        <v>0.005</v>
      </c>
      <c r="N144" s="143" t="n">
        <f aca="false">M144</f>
        <v>0.005</v>
      </c>
      <c r="O144" s="144" t="n">
        <v>0</v>
      </c>
      <c r="P144" s="145"/>
      <c r="Q144" s="144" t="n">
        <f aca="false">M144+J144+G144</f>
        <v>3.931</v>
      </c>
      <c r="R144" s="144" t="n">
        <f aca="false">O144+L144+I144</f>
        <v>0</v>
      </c>
      <c r="S144" s="145"/>
      <c r="T144" s="71" t="n">
        <f aca="false">A145-A144</f>
        <v>30</v>
      </c>
      <c r="U144" s="146" t="n">
        <f aca="false">CHOOSE(F$3,A145+24,A144)</f>
        <v>41115</v>
      </c>
      <c r="V144" s="71" t="n">
        <f aca="false">U144-C$3</f>
        <v>4227</v>
      </c>
      <c r="W144" s="142" t="n">
        <f aca="false">VLOOKUP($A144,Table,MATCH(W$4,Curves,0))</f>
        <v>0.058966861357273</v>
      </c>
      <c r="X144" s="147" t="n">
        <f aca="false">1/(1+CHOOSE(F$3,(W145+($K$3/10000))/2,(W144+($K$3/10000))/2))^(2*V144/365.25)</f>
        <v>0.510404988464875</v>
      </c>
      <c r="Y144" s="71" t="n">
        <f aca="false">IF(AND(mthbeg&lt;=A144,mthend&gt;=A144),1,0)</f>
        <v>0</v>
      </c>
      <c r="Z144" s="71" t="n">
        <f aca="false">T144*Y144</f>
        <v>0</v>
      </c>
      <c r="AB144" s="132" t="n">
        <f aca="false">F144*G144</f>
        <v>0</v>
      </c>
      <c r="AC144" s="132" t="n">
        <f aca="false">$F144*H144</f>
        <v>0</v>
      </c>
      <c r="AD144" s="132" t="n">
        <f aca="false">$F144*I144</f>
        <v>0</v>
      </c>
      <c r="AE144" s="132" t="n">
        <f aca="false">$F144*J144</f>
        <v>-0</v>
      </c>
      <c r="AF144" s="132" t="n">
        <f aca="false">$F144*K144</f>
        <v>-0</v>
      </c>
      <c r="AG144" s="132" t="n">
        <f aca="false">$F144*L144</f>
        <v>0</v>
      </c>
      <c r="AH144" s="132" t="n">
        <f aca="false">$F144*M144</f>
        <v>0</v>
      </c>
      <c r="AI144" s="132" t="n">
        <f aca="false">$F144*N144</f>
        <v>0</v>
      </c>
      <c r="AJ144" s="132" t="n">
        <f aca="false">F144*O144</f>
        <v>0</v>
      </c>
      <c r="AK144" s="137"/>
      <c r="AL144" s="132" t="n">
        <f aca="false">CHOOSE($G$3,AC144-AD144,AD144-AC144)</f>
        <v>0</v>
      </c>
      <c r="AM144" s="132" t="n">
        <f aca="false">CHOOSE($G$3,AF144-AG144,AG144-AF144)</f>
        <v>0</v>
      </c>
      <c r="AN144" s="132" t="n">
        <f aca="false">CHOOSE($G$3,AI144-AJ144,AJ144-AI144)</f>
        <v>0</v>
      </c>
      <c r="AO144" s="148" t="n">
        <f aca="false">SUM(AL144:AN144)</f>
        <v>0</v>
      </c>
      <c r="AQ144" s="132" t="n">
        <f aca="false">CHOOSE($G$3,AB144-AC144,AC144-AB144)</f>
        <v>0</v>
      </c>
      <c r="AR144" s="132" t="n">
        <f aca="false">CHOOSE($G$3,AE144-AF144,AF144-AE144)</f>
        <v>0</v>
      </c>
      <c r="AS144" s="132" t="n">
        <f aca="false">CHOOSE($G$3,AH144-AI144,AI144-AH144)</f>
        <v>0</v>
      </c>
      <c r="AT144" s="148" t="n">
        <f aca="false">AQ144+AR144+AS144</f>
        <v>0</v>
      </c>
      <c r="AU144" s="148"/>
      <c r="AV144" s="133" t="n">
        <f aca="false">AT144+AO144</f>
        <v>0</v>
      </c>
      <c r="AX144" s="133" t="n">
        <f aca="false">AJ144+AG144+AD144</f>
        <v>0</v>
      </c>
      <c r="AY144" s="149"/>
      <c r="AZ144" s="76" t="n">
        <f aca="false">R144*E144</f>
        <v>0</v>
      </c>
    </row>
    <row r="145" customFormat="false" ht="12.75" hidden="false" customHeight="false" outlineLevel="0" collapsed="false">
      <c r="A145" s="138" t="n">
        <f aca="false">EDATE(A144,1)</f>
        <v>41091</v>
      </c>
      <c r="B145" s="139" t="n">
        <f aca="false">VLOOKUP($A145,Table2,MATCH(I$3,Curves2,0))</f>
        <v>0</v>
      </c>
      <c r="C145" s="140"/>
      <c r="D145" s="141" t="n">
        <f aca="false">B145+C145</f>
        <v>0</v>
      </c>
      <c r="E145" s="126" t="n">
        <f aca="false">IF(Y145=0,0,IF(AND(Y145=1,$H$3=1),D145*T145,IF($H$3=2,D145,"N/A")))</f>
        <v>0</v>
      </c>
      <c r="F145" s="126" t="n">
        <f aca="false">E145*X145</f>
        <v>0</v>
      </c>
      <c r="G145" s="142" t="n">
        <f aca="false">VLOOKUP($A145,Table,MATCH(G$4,Curves,0))</f>
        <v>3.987</v>
      </c>
      <c r="H145" s="143" t="n">
        <f aca="false">G145</f>
        <v>3.987</v>
      </c>
      <c r="I145" s="142" t="n">
        <f aca="false">VLOOKUP($A145,Table1,MATCH(I$3,Curves1,0))</f>
        <v>0</v>
      </c>
      <c r="J145" s="142" t="n">
        <f aca="false">VLOOKUP($A145,Table,MATCH(J$4,Curves,0))</f>
        <v>-0.061</v>
      </c>
      <c r="K145" s="143" t="n">
        <f aca="false">J145</f>
        <v>-0.061</v>
      </c>
      <c r="L145" s="144" t="n">
        <v>0</v>
      </c>
      <c r="M145" s="142" t="n">
        <f aca="false">VLOOKUP($A145,Table,MATCH(M$4,Curves,0))</f>
        <v>0.005</v>
      </c>
      <c r="N145" s="143" t="n">
        <f aca="false">M145</f>
        <v>0.005</v>
      </c>
      <c r="O145" s="144" t="n">
        <v>0</v>
      </c>
      <c r="P145" s="145"/>
      <c r="Q145" s="144" t="n">
        <f aca="false">M145+J145+G145</f>
        <v>3.931</v>
      </c>
      <c r="R145" s="144" t="n">
        <f aca="false">O145+L145+I145</f>
        <v>0</v>
      </c>
      <c r="S145" s="145"/>
      <c r="T145" s="71" t="n">
        <f aca="false">A146-A145</f>
        <v>31</v>
      </c>
      <c r="U145" s="146" t="n">
        <f aca="false">CHOOSE(F$3,A146+24,A145)</f>
        <v>41146</v>
      </c>
      <c r="V145" s="71" t="n">
        <f aca="false">U145-C$3</f>
        <v>4258</v>
      </c>
      <c r="W145" s="142" t="n">
        <f aca="false">VLOOKUP($A145,Table,MATCH(W$4,Curves,0))</f>
        <v>0.058966861357273</v>
      </c>
      <c r="X145" s="147" t="n">
        <f aca="false">1/(1+CHOOSE(F$3,(W146+($K$3/10000))/2,(W145+($K$3/10000))/2))^(2*V145/365.25)</f>
        <v>0.507893687143139</v>
      </c>
      <c r="Y145" s="71" t="n">
        <f aca="false">IF(AND(mthbeg&lt;=A145,mthend&gt;=A145),1,0)</f>
        <v>0</v>
      </c>
      <c r="Z145" s="71" t="n">
        <f aca="false">T145*Y145</f>
        <v>0</v>
      </c>
      <c r="AB145" s="132" t="n">
        <f aca="false">F145*G145</f>
        <v>0</v>
      </c>
      <c r="AC145" s="132" t="n">
        <f aca="false">$F145*H145</f>
        <v>0</v>
      </c>
      <c r="AD145" s="132" t="n">
        <f aca="false">$F145*I145</f>
        <v>0</v>
      </c>
      <c r="AE145" s="132" t="n">
        <f aca="false">$F145*J145</f>
        <v>-0</v>
      </c>
      <c r="AF145" s="132" t="n">
        <f aca="false">$F145*K145</f>
        <v>-0</v>
      </c>
      <c r="AG145" s="132" t="n">
        <f aca="false">$F145*L145</f>
        <v>0</v>
      </c>
      <c r="AH145" s="132" t="n">
        <f aca="false">$F145*M145</f>
        <v>0</v>
      </c>
      <c r="AI145" s="132" t="n">
        <f aca="false">$F145*N145</f>
        <v>0</v>
      </c>
      <c r="AJ145" s="132" t="n">
        <f aca="false">F145*O145</f>
        <v>0</v>
      </c>
      <c r="AK145" s="137"/>
      <c r="AL145" s="132" t="n">
        <f aca="false">CHOOSE($G$3,AC145-AD145,AD145-AC145)</f>
        <v>0</v>
      </c>
      <c r="AM145" s="132" t="n">
        <f aca="false">CHOOSE($G$3,AF145-AG145,AG145-AF145)</f>
        <v>0</v>
      </c>
      <c r="AN145" s="132" t="n">
        <f aca="false">CHOOSE($G$3,AI145-AJ145,AJ145-AI145)</f>
        <v>0</v>
      </c>
      <c r="AO145" s="148" t="n">
        <f aca="false">SUM(AL145:AN145)</f>
        <v>0</v>
      </c>
      <c r="AQ145" s="132" t="n">
        <f aca="false">CHOOSE($G$3,AB145-AC145,AC145-AB145)</f>
        <v>0</v>
      </c>
      <c r="AR145" s="132" t="n">
        <f aca="false">CHOOSE($G$3,AE145-AF145,AF145-AE145)</f>
        <v>0</v>
      </c>
      <c r="AS145" s="132" t="n">
        <f aca="false">CHOOSE($G$3,AH145-AI145,AI145-AH145)</f>
        <v>0</v>
      </c>
      <c r="AT145" s="148" t="n">
        <f aca="false">AQ145+AR145+AS145</f>
        <v>0</v>
      </c>
      <c r="AU145" s="148"/>
      <c r="AV145" s="133" t="n">
        <f aca="false">AT145+AO145</f>
        <v>0</v>
      </c>
      <c r="AX145" s="133" t="n">
        <f aca="false">AJ145+AG145+AD145</f>
        <v>0</v>
      </c>
      <c r="AY145" s="149"/>
      <c r="AZ145" s="76" t="n">
        <f aca="false">R145*E145</f>
        <v>0</v>
      </c>
    </row>
    <row r="146" customFormat="false" ht="12.75" hidden="false" customHeight="false" outlineLevel="0" collapsed="false">
      <c r="A146" s="138" t="n">
        <f aca="false">EDATE(A145,1)</f>
        <v>41122</v>
      </c>
      <c r="B146" s="139" t="n">
        <f aca="false">VLOOKUP($A146,Table2,MATCH(I$3,Curves2,0))</f>
        <v>0</v>
      </c>
      <c r="C146" s="140"/>
      <c r="D146" s="141" t="n">
        <f aca="false">B146+C146</f>
        <v>0</v>
      </c>
      <c r="E146" s="126" t="n">
        <f aca="false">IF(Y146=0,0,IF(AND(Y146=1,$H$3=1),D146*T146,IF($H$3=2,D146,"N/A")))</f>
        <v>0</v>
      </c>
      <c r="F146" s="126" t="n">
        <f aca="false">E146*X146</f>
        <v>0</v>
      </c>
      <c r="G146" s="142" t="n">
        <f aca="false">VLOOKUP($A146,Table,MATCH(G$4,Curves,0))</f>
        <v>3.987</v>
      </c>
      <c r="H146" s="143" t="n">
        <f aca="false">G146</f>
        <v>3.987</v>
      </c>
      <c r="I146" s="142" t="n">
        <f aca="false">VLOOKUP($A146,Table1,MATCH(I$3,Curves1,0))</f>
        <v>0</v>
      </c>
      <c r="J146" s="142" t="n">
        <f aca="false">VLOOKUP($A146,Table,MATCH(J$4,Curves,0))</f>
        <v>-0.061</v>
      </c>
      <c r="K146" s="143" t="n">
        <f aca="false">J146</f>
        <v>-0.061</v>
      </c>
      <c r="L146" s="144" t="n">
        <v>0</v>
      </c>
      <c r="M146" s="142" t="n">
        <f aca="false">VLOOKUP($A146,Table,MATCH(M$4,Curves,0))</f>
        <v>0.005</v>
      </c>
      <c r="N146" s="143" t="n">
        <f aca="false">M146</f>
        <v>0.005</v>
      </c>
      <c r="O146" s="144" t="n">
        <v>0</v>
      </c>
      <c r="P146" s="145"/>
      <c r="Q146" s="144" t="n">
        <f aca="false">M146+J146+G146</f>
        <v>3.931</v>
      </c>
      <c r="R146" s="144" t="n">
        <f aca="false">O146+L146+I146</f>
        <v>0</v>
      </c>
      <c r="S146" s="145"/>
      <c r="T146" s="71" t="n">
        <f aca="false">A147-A146</f>
        <v>31</v>
      </c>
      <c r="U146" s="146" t="n">
        <f aca="false">CHOOSE(F$3,A147+24,A146)</f>
        <v>41177</v>
      </c>
      <c r="V146" s="71" t="n">
        <f aca="false">U146-C$3</f>
        <v>4289</v>
      </c>
      <c r="W146" s="142" t="n">
        <f aca="false">VLOOKUP($A146,Table,MATCH(W$4,Curves,0))</f>
        <v>0.058966861357273</v>
      </c>
      <c r="X146" s="147" t="n">
        <f aca="false">1/(1+CHOOSE(F$3,(W147+($K$3/10000))/2,(W146+($K$3/10000))/2))^(2*V146/365.25)</f>
        <v>0.50539474195912</v>
      </c>
      <c r="Y146" s="71" t="n">
        <f aca="false">IF(AND(mthbeg&lt;=A146,mthend&gt;=A146),1,0)</f>
        <v>0</v>
      </c>
      <c r="Z146" s="71" t="n">
        <f aca="false">T146*Y146</f>
        <v>0</v>
      </c>
      <c r="AB146" s="132" t="n">
        <f aca="false">F146*G146</f>
        <v>0</v>
      </c>
      <c r="AC146" s="132" t="n">
        <f aca="false">$F146*H146</f>
        <v>0</v>
      </c>
      <c r="AD146" s="132" t="n">
        <f aca="false">$F146*I146</f>
        <v>0</v>
      </c>
      <c r="AE146" s="132" t="n">
        <f aca="false">$F146*J146</f>
        <v>-0</v>
      </c>
      <c r="AF146" s="132" t="n">
        <f aca="false">$F146*K146</f>
        <v>-0</v>
      </c>
      <c r="AG146" s="132" t="n">
        <f aca="false">$F146*L146</f>
        <v>0</v>
      </c>
      <c r="AH146" s="132" t="n">
        <f aca="false">$F146*M146</f>
        <v>0</v>
      </c>
      <c r="AI146" s="132" t="n">
        <f aca="false">$F146*N146</f>
        <v>0</v>
      </c>
      <c r="AJ146" s="132" t="n">
        <f aca="false">F146*O146</f>
        <v>0</v>
      </c>
      <c r="AK146" s="137"/>
      <c r="AL146" s="132" t="n">
        <f aca="false">CHOOSE($G$3,AC146-AD146,AD146-AC146)</f>
        <v>0</v>
      </c>
      <c r="AM146" s="132" t="n">
        <f aca="false">CHOOSE($G$3,AF146-AG146,AG146-AF146)</f>
        <v>0</v>
      </c>
      <c r="AN146" s="132" t="n">
        <f aca="false">CHOOSE($G$3,AI146-AJ146,AJ146-AI146)</f>
        <v>0</v>
      </c>
      <c r="AO146" s="148" t="n">
        <f aca="false">SUM(AL146:AN146)</f>
        <v>0</v>
      </c>
      <c r="AQ146" s="132" t="n">
        <f aca="false">CHOOSE($G$3,AB146-AC146,AC146-AB146)</f>
        <v>0</v>
      </c>
      <c r="AR146" s="132" t="n">
        <f aca="false">CHOOSE($G$3,AE146-AF146,AF146-AE146)</f>
        <v>0</v>
      </c>
      <c r="AS146" s="132" t="n">
        <f aca="false">CHOOSE($G$3,AH146-AI146,AI146-AH146)</f>
        <v>0</v>
      </c>
      <c r="AT146" s="148" t="n">
        <f aca="false">AQ146+AR146+AS146</f>
        <v>0</v>
      </c>
      <c r="AU146" s="148"/>
      <c r="AV146" s="133" t="n">
        <f aca="false">AT146+AO146</f>
        <v>0</v>
      </c>
      <c r="AX146" s="133" t="n">
        <f aca="false">AJ146+AG146+AD146</f>
        <v>0</v>
      </c>
      <c r="AY146" s="149"/>
      <c r="AZ146" s="76" t="n">
        <f aca="false">R146*E146</f>
        <v>0</v>
      </c>
    </row>
    <row r="147" customFormat="false" ht="12.75" hidden="false" customHeight="false" outlineLevel="0" collapsed="false">
      <c r="A147" s="138" t="n">
        <f aca="false">EDATE(A146,1)</f>
        <v>41153</v>
      </c>
      <c r="B147" s="139" t="n">
        <f aca="false">VLOOKUP($A147,Table2,MATCH(I$3,Curves2,0))</f>
        <v>0</v>
      </c>
      <c r="C147" s="140"/>
      <c r="D147" s="141" t="n">
        <f aca="false">B147+C147</f>
        <v>0</v>
      </c>
      <c r="E147" s="126" t="n">
        <f aca="false">IF(Y147=0,0,IF(AND(Y147=1,$H$3=1),D147*T147,IF($H$3=2,D147,"N/A")))</f>
        <v>0</v>
      </c>
      <c r="F147" s="126" t="n">
        <f aca="false">E147*X147</f>
        <v>0</v>
      </c>
      <c r="G147" s="142" t="n">
        <f aca="false">VLOOKUP($A147,Table,MATCH(G$4,Curves,0))</f>
        <v>3.987</v>
      </c>
      <c r="H147" s="143" t="n">
        <f aca="false">G147</f>
        <v>3.987</v>
      </c>
      <c r="I147" s="142" t="n">
        <f aca="false">VLOOKUP($A147,Table1,MATCH(I$3,Curves1,0))</f>
        <v>0</v>
      </c>
      <c r="J147" s="142" t="n">
        <f aca="false">VLOOKUP($A147,Table,MATCH(J$4,Curves,0))</f>
        <v>-0.061</v>
      </c>
      <c r="K147" s="143" t="n">
        <f aca="false">J147</f>
        <v>-0.061</v>
      </c>
      <c r="L147" s="144" t="n">
        <v>0</v>
      </c>
      <c r="M147" s="142" t="n">
        <f aca="false">VLOOKUP($A147,Table,MATCH(M$4,Curves,0))</f>
        <v>0.005</v>
      </c>
      <c r="N147" s="143" t="n">
        <f aca="false">M147</f>
        <v>0.005</v>
      </c>
      <c r="O147" s="144" t="n">
        <v>0</v>
      </c>
      <c r="P147" s="145"/>
      <c r="Q147" s="144" t="n">
        <f aca="false">M147+J147+G147</f>
        <v>3.931</v>
      </c>
      <c r="R147" s="144" t="n">
        <f aca="false">O147+L147+I147</f>
        <v>0</v>
      </c>
      <c r="S147" s="145"/>
      <c r="T147" s="71" t="n">
        <f aca="false">A148-A147</f>
        <v>30</v>
      </c>
      <c r="U147" s="146" t="n">
        <f aca="false">CHOOSE(F$3,A148+24,A147)</f>
        <v>41207</v>
      </c>
      <c r="V147" s="71" t="n">
        <f aca="false">U147-C$3</f>
        <v>4319</v>
      </c>
      <c r="W147" s="142" t="n">
        <f aca="false">VLOOKUP($A147,Table,MATCH(W$4,Curves,0))</f>
        <v>0.058966861357273</v>
      </c>
      <c r="X147" s="147" t="n">
        <f aca="false">1/(1+CHOOSE(F$3,(W148+($K$3/10000))/2,(W147+($K$3/10000))/2))^(2*V147/365.25)</f>
        <v>0.502988115334312</v>
      </c>
      <c r="Y147" s="71" t="n">
        <f aca="false">IF(AND(mthbeg&lt;=A147,mthend&gt;=A147),1,0)</f>
        <v>0</v>
      </c>
      <c r="Z147" s="71" t="n">
        <f aca="false">T147*Y147</f>
        <v>0</v>
      </c>
      <c r="AB147" s="132" t="n">
        <f aca="false">F147*G147</f>
        <v>0</v>
      </c>
      <c r="AC147" s="132" t="n">
        <f aca="false">$F147*H147</f>
        <v>0</v>
      </c>
      <c r="AD147" s="132" t="n">
        <f aca="false">$F147*I147</f>
        <v>0</v>
      </c>
      <c r="AE147" s="132" t="n">
        <f aca="false">$F147*J147</f>
        <v>-0</v>
      </c>
      <c r="AF147" s="132" t="n">
        <f aca="false">$F147*K147</f>
        <v>-0</v>
      </c>
      <c r="AG147" s="132" t="n">
        <f aca="false">$F147*L147</f>
        <v>0</v>
      </c>
      <c r="AH147" s="132" t="n">
        <f aca="false">$F147*M147</f>
        <v>0</v>
      </c>
      <c r="AI147" s="132" t="n">
        <f aca="false">$F147*N147</f>
        <v>0</v>
      </c>
      <c r="AJ147" s="132" t="n">
        <f aca="false">F147*O147</f>
        <v>0</v>
      </c>
      <c r="AK147" s="137"/>
      <c r="AL147" s="132" t="n">
        <f aca="false">CHOOSE($G$3,AC147-AD147,AD147-AC147)</f>
        <v>0</v>
      </c>
      <c r="AM147" s="132" t="n">
        <f aca="false">CHOOSE($G$3,AF147-AG147,AG147-AF147)</f>
        <v>0</v>
      </c>
      <c r="AN147" s="132" t="n">
        <f aca="false">CHOOSE($G$3,AI147-AJ147,AJ147-AI147)</f>
        <v>0</v>
      </c>
      <c r="AO147" s="148" t="n">
        <f aca="false">SUM(AL147:AN147)</f>
        <v>0</v>
      </c>
      <c r="AQ147" s="132" t="n">
        <f aca="false">CHOOSE($G$3,AB147-AC147,AC147-AB147)</f>
        <v>0</v>
      </c>
      <c r="AR147" s="132" t="n">
        <f aca="false">CHOOSE($G$3,AE147-AF147,AF147-AE147)</f>
        <v>0</v>
      </c>
      <c r="AS147" s="132" t="n">
        <f aca="false">CHOOSE($G$3,AH147-AI147,AI147-AH147)</f>
        <v>0</v>
      </c>
      <c r="AT147" s="148" t="n">
        <f aca="false">AQ147+AR147+AS147</f>
        <v>0</v>
      </c>
      <c r="AU147" s="148"/>
      <c r="AV147" s="133" t="n">
        <f aca="false">AT147+AO147</f>
        <v>0</v>
      </c>
      <c r="AX147" s="133" t="n">
        <f aca="false">AJ147+AG147+AD147</f>
        <v>0</v>
      </c>
      <c r="AY147" s="149"/>
      <c r="AZ147" s="76" t="n">
        <f aca="false">R147*E147</f>
        <v>0</v>
      </c>
    </row>
    <row r="148" customFormat="false" ht="12.75" hidden="false" customHeight="false" outlineLevel="0" collapsed="false">
      <c r="A148" s="138" t="n">
        <f aca="false">EDATE(A147,1)</f>
        <v>41183</v>
      </c>
      <c r="B148" s="139" t="n">
        <f aca="false">VLOOKUP($A148,Table2,MATCH(I$3,Curves2,0))</f>
        <v>0</v>
      </c>
      <c r="C148" s="140"/>
      <c r="D148" s="141" t="n">
        <f aca="false">B148+C148</f>
        <v>0</v>
      </c>
      <c r="E148" s="126" t="n">
        <f aca="false">IF(Y148=0,0,IF(AND(Y148=1,$H$3=1),D148*T148,IF($H$3=2,D148,"N/A")))</f>
        <v>0</v>
      </c>
      <c r="F148" s="126" t="n">
        <f aca="false">E148*X148</f>
        <v>0</v>
      </c>
      <c r="G148" s="142" t="n">
        <f aca="false">VLOOKUP($A148,Table,MATCH(G$4,Curves,0))</f>
        <v>3.987</v>
      </c>
      <c r="H148" s="143" t="n">
        <f aca="false">G148</f>
        <v>3.987</v>
      </c>
      <c r="I148" s="142" t="n">
        <f aca="false">VLOOKUP($A148,Table1,MATCH(I$3,Curves1,0))</f>
        <v>0</v>
      </c>
      <c r="J148" s="142" t="n">
        <f aca="false">VLOOKUP($A148,Table,MATCH(J$4,Curves,0))</f>
        <v>-0.061</v>
      </c>
      <c r="K148" s="143" t="n">
        <f aca="false">J148</f>
        <v>-0.061</v>
      </c>
      <c r="L148" s="144" t="n">
        <v>0</v>
      </c>
      <c r="M148" s="142" t="n">
        <f aca="false">VLOOKUP($A148,Table,MATCH(M$4,Curves,0))</f>
        <v>0.005</v>
      </c>
      <c r="N148" s="143" t="n">
        <f aca="false">M148</f>
        <v>0.005</v>
      </c>
      <c r="O148" s="144" t="n">
        <v>0</v>
      </c>
      <c r="P148" s="145"/>
      <c r="Q148" s="144" t="n">
        <f aca="false">M148+J148+G148</f>
        <v>3.931</v>
      </c>
      <c r="R148" s="144" t="n">
        <f aca="false">O148+L148+I148</f>
        <v>0</v>
      </c>
      <c r="S148" s="145"/>
      <c r="T148" s="71" t="n">
        <f aca="false">A149-A148</f>
        <v>31</v>
      </c>
      <c r="U148" s="146" t="n">
        <f aca="false">CHOOSE(F$3,A149+24,A148)</f>
        <v>41238</v>
      </c>
      <c r="V148" s="71" t="n">
        <f aca="false">U148-C$3</f>
        <v>4350</v>
      </c>
      <c r="W148" s="142" t="n">
        <f aca="false">VLOOKUP($A148,Table,MATCH(W$4,Curves,0))</f>
        <v>0.058966861357273</v>
      </c>
      <c r="X148" s="147" t="n">
        <f aca="false">1/(1+CHOOSE(F$3,(W149+($K$3/10000))/2,(W148+($K$3/10000))/2))^(2*V148/365.25)</f>
        <v>0.500513306609077</v>
      </c>
      <c r="Y148" s="71" t="n">
        <f aca="false">IF(AND(mthbeg&lt;=A148,mthend&gt;=A148),1,0)</f>
        <v>0</v>
      </c>
      <c r="Z148" s="71" t="n">
        <f aca="false">T148*Y148</f>
        <v>0</v>
      </c>
      <c r="AB148" s="132" t="n">
        <f aca="false">F148*G148</f>
        <v>0</v>
      </c>
      <c r="AC148" s="132" t="n">
        <f aca="false">$F148*H148</f>
        <v>0</v>
      </c>
      <c r="AD148" s="132" t="n">
        <f aca="false">$F148*I148</f>
        <v>0</v>
      </c>
      <c r="AE148" s="132" t="n">
        <f aca="false">$F148*J148</f>
        <v>-0</v>
      </c>
      <c r="AF148" s="132" t="n">
        <f aca="false">$F148*K148</f>
        <v>-0</v>
      </c>
      <c r="AG148" s="132" t="n">
        <f aca="false">$F148*L148</f>
        <v>0</v>
      </c>
      <c r="AH148" s="132" t="n">
        <f aca="false">$F148*M148</f>
        <v>0</v>
      </c>
      <c r="AI148" s="132" t="n">
        <f aca="false">$F148*N148</f>
        <v>0</v>
      </c>
      <c r="AJ148" s="132" t="n">
        <f aca="false">F148*O148</f>
        <v>0</v>
      </c>
      <c r="AK148" s="137"/>
      <c r="AL148" s="132" t="n">
        <f aca="false">CHOOSE($G$3,AC148-AD148,AD148-AC148)</f>
        <v>0</v>
      </c>
      <c r="AM148" s="132" t="n">
        <f aca="false">CHOOSE($G$3,AF148-AG148,AG148-AF148)</f>
        <v>0</v>
      </c>
      <c r="AN148" s="132" t="n">
        <f aca="false">CHOOSE($G$3,AI148-AJ148,AJ148-AI148)</f>
        <v>0</v>
      </c>
      <c r="AO148" s="148" t="n">
        <f aca="false">SUM(AL148:AN148)</f>
        <v>0</v>
      </c>
      <c r="AQ148" s="132" t="n">
        <f aca="false">CHOOSE($G$3,AB148-AC148,AC148-AB148)</f>
        <v>0</v>
      </c>
      <c r="AR148" s="132" t="n">
        <f aca="false">CHOOSE($G$3,AE148-AF148,AF148-AE148)</f>
        <v>0</v>
      </c>
      <c r="AS148" s="132" t="n">
        <f aca="false">CHOOSE($G$3,AH148-AI148,AI148-AH148)</f>
        <v>0</v>
      </c>
      <c r="AT148" s="148" t="n">
        <f aca="false">AQ148+AR148+AS148</f>
        <v>0</v>
      </c>
      <c r="AU148" s="148"/>
      <c r="AV148" s="133" t="n">
        <f aca="false">AT148+AO148</f>
        <v>0</v>
      </c>
      <c r="AX148" s="133" t="n">
        <f aca="false">AJ148+AG148+AD148</f>
        <v>0</v>
      </c>
      <c r="AY148" s="149"/>
      <c r="AZ148" s="76" t="n">
        <f aca="false">R148*E148</f>
        <v>0</v>
      </c>
    </row>
    <row r="149" customFormat="false" ht="12.75" hidden="false" customHeight="false" outlineLevel="0" collapsed="false">
      <c r="A149" s="138" t="n">
        <f aca="false">EDATE(A148,1)</f>
        <v>41214</v>
      </c>
      <c r="B149" s="139" t="n">
        <f aca="false">VLOOKUP($A149,Table2,MATCH(I$3,Curves2,0))</f>
        <v>0</v>
      </c>
      <c r="C149" s="140"/>
      <c r="D149" s="141" t="n">
        <f aca="false">B149+C149</f>
        <v>0</v>
      </c>
      <c r="E149" s="126" t="n">
        <f aca="false">IF(Y149=0,0,IF(AND(Y149=1,$H$3=1),D149*T149,IF($H$3=2,D149,"N/A")))</f>
        <v>0</v>
      </c>
      <c r="F149" s="126" t="n">
        <f aca="false">E149*X149</f>
        <v>0</v>
      </c>
      <c r="G149" s="142" t="n">
        <f aca="false">VLOOKUP($A149,Table,MATCH(G$4,Curves,0))</f>
        <v>3.987</v>
      </c>
      <c r="H149" s="143" t="n">
        <f aca="false">G149</f>
        <v>3.987</v>
      </c>
      <c r="I149" s="142" t="n">
        <f aca="false">VLOOKUP($A149,Table1,MATCH(I$3,Curves1,0))</f>
        <v>0</v>
      </c>
      <c r="J149" s="142" t="n">
        <f aca="false">VLOOKUP($A149,Table,MATCH(J$4,Curves,0))</f>
        <v>-0.061</v>
      </c>
      <c r="K149" s="143" t="n">
        <f aca="false">J149</f>
        <v>-0.061</v>
      </c>
      <c r="L149" s="144" t="n">
        <v>0</v>
      </c>
      <c r="M149" s="142" t="n">
        <f aca="false">VLOOKUP($A149,Table,MATCH(M$4,Curves,0))</f>
        <v>0.005</v>
      </c>
      <c r="N149" s="143" t="n">
        <f aca="false">M149</f>
        <v>0.005</v>
      </c>
      <c r="O149" s="144" t="n">
        <v>0</v>
      </c>
      <c r="P149" s="145"/>
      <c r="Q149" s="144" t="n">
        <f aca="false">M149+J149+G149</f>
        <v>3.931</v>
      </c>
      <c r="R149" s="144" t="n">
        <f aca="false">O149+L149+I149</f>
        <v>0</v>
      </c>
      <c r="S149" s="145"/>
      <c r="T149" s="71" t="n">
        <f aca="false">A150-A149</f>
        <v>30</v>
      </c>
      <c r="U149" s="146" t="n">
        <f aca="false">CHOOSE(F$3,A150+24,A149)</f>
        <v>41268</v>
      </c>
      <c r="V149" s="71" t="n">
        <f aca="false">U149-C$3</f>
        <v>4380</v>
      </c>
      <c r="W149" s="142" t="n">
        <f aca="false">VLOOKUP($A149,Table,MATCH(W$4,Curves,0))</f>
        <v>0.058966861357273</v>
      </c>
      <c r="X149" s="147" t="n">
        <f aca="false">1/(1+CHOOSE(F$3,(W150+($K$3/10000))/2,(W149+($K$3/10000))/2))^(2*V149/365.25)</f>
        <v>0.498129924769593</v>
      </c>
      <c r="Y149" s="71" t="n">
        <f aca="false">IF(AND(mthbeg&lt;=A149,mthend&gt;=A149),1,0)</f>
        <v>0</v>
      </c>
      <c r="Z149" s="71" t="n">
        <f aca="false">T149*Y149</f>
        <v>0</v>
      </c>
      <c r="AB149" s="132" t="n">
        <f aca="false">F149*G149</f>
        <v>0</v>
      </c>
      <c r="AC149" s="132" t="n">
        <f aca="false">$F149*H149</f>
        <v>0</v>
      </c>
      <c r="AD149" s="132" t="n">
        <f aca="false">$F149*I149</f>
        <v>0</v>
      </c>
      <c r="AE149" s="132" t="n">
        <f aca="false">$F149*J149</f>
        <v>-0</v>
      </c>
      <c r="AF149" s="132" t="n">
        <f aca="false">$F149*K149</f>
        <v>-0</v>
      </c>
      <c r="AG149" s="132" t="n">
        <f aca="false">$F149*L149</f>
        <v>0</v>
      </c>
      <c r="AH149" s="132" t="n">
        <f aca="false">$F149*M149</f>
        <v>0</v>
      </c>
      <c r="AI149" s="132" t="n">
        <f aca="false">$F149*N149</f>
        <v>0</v>
      </c>
      <c r="AJ149" s="132" t="n">
        <f aca="false">F149*O149</f>
        <v>0</v>
      </c>
      <c r="AK149" s="137"/>
      <c r="AL149" s="132" t="n">
        <f aca="false">CHOOSE($G$3,AC149-AD149,AD149-AC149)</f>
        <v>0</v>
      </c>
      <c r="AM149" s="132" t="n">
        <f aca="false">CHOOSE($G$3,AF149-AG149,AG149-AF149)</f>
        <v>0</v>
      </c>
      <c r="AN149" s="132" t="n">
        <f aca="false">CHOOSE($G$3,AI149-AJ149,AJ149-AI149)</f>
        <v>0</v>
      </c>
      <c r="AO149" s="148" t="n">
        <f aca="false">SUM(AL149:AN149)</f>
        <v>0</v>
      </c>
      <c r="AQ149" s="132" t="n">
        <f aca="false">CHOOSE($G$3,AB149-AC149,AC149-AB149)</f>
        <v>0</v>
      </c>
      <c r="AR149" s="132" t="n">
        <f aca="false">CHOOSE($G$3,AE149-AF149,AF149-AE149)</f>
        <v>0</v>
      </c>
      <c r="AS149" s="132" t="n">
        <f aca="false">CHOOSE($G$3,AH149-AI149,AI149-AH149)</f>
        <v>0</v>
      </c>
      <c r="AT149" s="148" t="n">
        <f aca="false">AQ149+AR149+AS149</f>
        <v>0</v>
      </c>
      <c r="AU149" s="148"/>
      <c r="AV149" s="133" t="n">
        <f aca="false">AT149+AO149</f>
        <v>0</v>
      </c>
      <c r="AX149" s="133" t="n">
        <f aca="false">AJ149+AG149+AD149</f>
        <v>0</v>
      </c>
      <c r="AY149" s="149"/>
      <c r="AZ149" s="76" t="n">
        <f aca="false">R149*E149</f>
        <v>0</v>
      </c>
    </row>
    <row r="150" customFormat="false" ht="12.75" hidden="false" customHeight="false" outlineLevel="0" collapsed="false">
      <c r="A150" s="138" t="n">
        <f aca="false">EDATE(A149,1)</f>
        <v>41244</v>
      </c>
      <c r="B150" s="139" t="n">
        <f aca="false">VLOOKUP($A150,Table2,MATCH(I$3,Curves2,0))</f>
        <v>0</v>
      </c>
      <c r="C150" s="140"/>
      <c r="D150" s="141" t="n">
        <f aca="false">B150+C150</f>
        <v>0</v>
      </c>
      <c r="E150" s="126" t="n">
        <f aca="false">IF(Y150=0,0,IF(AND(Y150=1,$H$3=1),D150*T150,IF($H$3=2,D150,"N/A")))</f>
        <v>0</v>
      </c>
      <c r="F150" s="126" t="n">
        <f aca="false">E150*X150</f>
        <v>0</v>
      </c>
      <c r="G150" s="142" t="n">
        <f aca="false">VLOOKUP($A150,Table,MATCH(G$4,Curves,0))</f>
        <v>3.987</v>
      </c>
      <c r="H150" s="143" t="n">
        <f aca="false">G150</f>
        <v>3.987</v>
      </c>
      <c r="I150" s="142" t="n">
        <f aca="false">VLOOKUP($A150,Table1,MATCH(I$3,Curves1,0))</f>
        <v>0</v>
      </c>
      <c r="J150" s="142" t="n">
        <f aca="false">VLOOKUP($A150,Table,MATCH(J$4,Curves,0))</f>
        <v>-0.061</v>
      </c>
      <c r="K150" s="143" t="n">
        <f aca="false">J150</f>
        <v>-0.061</v>
      </c>
      <c r="L150" s="144" t="n">
        <v>0</v>
      </c>
      <c r="M150" s="142" t="n">
        <f aca="false">VLOOKUP($A150,Table,MATCH(M$4,Curves,0))</f>
        <v>0.005</v>
      </c>
      <c r="N150" s="143" t="n">
        <f aca="false">M150</f>
        <v>0.005</v>
      </c>
      <c r="O150" s="144" t="n">
        <v>0</v>
      </c>
      <c r="P150" s="145"/>
      <c r="Q150" s="144" t="n">
        <f aca="false">M150+J150+G150</f>
        <v>3.931</v>
      </c>
      <c r="R150" s="144" t="n">
        <f aca="false">O150+L150+I150</f>
        <v>0</v>
      </c>
      <c r="S150" s="145"/>
      <c r="T150" s="71" t="n">
        <f aca="false">A151-A150</f>
        <v>31</v>
      </c>
      <c r="U150" s="146" t="n">
        <f aca="false">CHOOSE(F$3,A151+24,A150)</f>
        <v>41299</v>
      </c>
      <c r="V150" s="71" t="n">
        <f aca="false">U150-C$3</f>
        <v>4411</v>
      </c>
      <c r="W150" s="142" t="n">
        <f aca="false">VLOOKUP($A150,Table,MATCH(W$4,Curves,0))</f>
        <v>0.058966861357273</v>
      </c>
      <c r="X150" s="147" t="n">
        <f aca="false">1/(1+CHOOSE(F$3,(W151+($K$3/10000))/2,(W150+($K$3/10000))/2))^(2*V150/365.25)</f>
        <v>0.495679019377323</v>
      </c>
      <c r="Y150" s="71" t="n">
        <f aca="false">IF(AND(mthbeg&lt;=A150,mthend&gt;=A150),1,0)</f>
        <v>0</v>
      </c>
      <c r="Z150" s="71" t="n">
        <f aca="false">T150*Y150</f>
        <v>0</v>
      </c>
      <c r="AB150" s="132" t="n">
        <f aca="false">F150*G150</f>
        <v>0</v>
      </c>
      <c r="AC150" s="132" t="n">
        <f aca="false">$F150*H150</f>
        <v>0</v>
      </c>
      <c r="AD150" s="132" t="n">
        <f aca="false">$F150*I150</f>
        <v>0</v>
      </c>
      <c r="AE150" s="132" t="n">
        <f aca="false">$F150*J150</f>
        <v>-0</v>
      </c>
      <c r="AF150" s="132" t="n">
        <f aca="false">$F150*K150</f>
        <v>-0</v>
      </c>
      <c r="AG150" s="132" t="n">
        <f aca="false">$F150*L150</f>
        <v>0</v>
      </c>
      <c r="AH150" s="132" t="n">
        <f aca="false">$F150*M150</f>
        <v>0</v>
      </c>
      <c r="AI150" s="132" t="n">
        <f aca="false">$F150*N150</f>
        <v>0</v>
      </c>
      <c r="AJ150" s="132" t="n">
        <f aca="false">F150*O150</f>
        <v>0</v>
      </c>
      <c r="AK150" s="137"/>
      <c r="AL150" s="132" t="n">
        <f aca="false">CHOOSE($G$3,AC150-AD150,AD150-AC150)</f>
        <v>0</v>
      </c>
      <c r="AM150" s="132" t="n">
        <f aca="false">CHOOSE($G$3,AF150-AG150,AG150-AF150)</f>
        <v>0</v>
      </c>
      <c r="AN150" s="132" t="n">
        <f aca="false">CHOOSE($G$3,AI150-AJ150,AJ150-AI150)</f>
        <v>0</v>
      </c>
      <c r="AO150" s="148" t="n">
        <f aca="false">SUM(AL150:AN150)</f>
        <v>0</v>
      </c>
      <c r="AQ150" s="132" t="n">
        <f aca="false">CHOOSE($G$3,AB150-AC150,AC150-AB150)</f>
        <v>0</v>
      </c>
      <c r="AR150" s="132" t="n">
        <f aca="false">CHOOSE($G$3,AE150-AF150,AF150-AE150)</f>
        <v>0</v>
      </c>
      <c r="AS150" s="132" t="n">
        <f aca="false">CHOOSE($G$3,AH150-AI150,AI150-AH150)</f>
        <v>0</v>
      </c>
      <c r="AT150" s="148" t="n">
        <f aca="false">AQ150+AR150+AS150</f>
        <v>0</v>
      </c>
      <c r="AU150" s="148"/>
      <c r="AV150" s="133" t="n">
        <f aca="false">AT150+AO150</f>
        <v>0</v>
      </c>
      <c r="AX150" s="133" t="n">
        <f aca="false">AJ150+AG150+AD150</f>
        <v>0</v>
      </c>
      <c r="AY150" s="149"/>
      <c r="AZ150" s="76" t="n">
        <f aca="false">R150*E150</f>
        <v>0</v>
      </c>
    </row>
    <row r="151" customFormat="false" ht="12.75" hidden="false" customHeight="false" outlineLevel="0" collapsed="false">
      <c r="A151" s="138" t="n">
        <f aca="false">EDATE(A150,1)</f>
        <v>41275</v>
      </c>
      <c r="B151" s="139" t="n">
        <f aca="false">VLOOKUP($A151,Table2,MATCH(I$3,Curves2,0))</f>
        <v>0</v>
      </c>
      <c r="C151" s="140"/>
      <c r="D151" s="141" t="n">
        <f aca="false">B151+C151</f>
        <v>0</v>
      </c>
      <c r="E151" s="126" t="n">
        <f aca="false">IF(Y151=0,0,IF(AND(Y151=1,$H$3=1),D151*T151,IF($H$3=2,D151,"N/A")))</f>
        <v>0</v>
      </c>
      <c r="F151" s="126" t="n">
        <f aca="false">E151*X151</f>
        <v>0</v>
      </c>
      <c r="G151" s="142" t="n">
        <f aca="false">VLOOKUP($A151,Table,MATCH(G$4,Curves,0))</f>
        <v>3.987</v>
      </c>
      <c r="H151" s="143" t="n">
        <f aca="false">G151</f>
        <v>3.987</v>
      </c>
      <c r="I151" s="142" t="n">
        <f aca="false">VLOOKUP($A151,Table1,MATCH(I$3,Curves1,0))</f>
        <v>0</v>
      </c>
      <c r="J151" s="142" t="n">
        <f aca="false">VLOOKUP($A151,Table,MATCH(J$4,Curves,0))</f>
        <v>-0.061</v>
      </c>
      <c r="K151" s="143" t="n">
        <f aca="false">J151</f>
        <v>-0.061</v>
      </c>
      <c r="L151" s="144" t="n">
        <v>0</v>
      </c>
      <c r="M151" s="142" t="n">
        <f aca="false">VLOOKUP($A151,Table,MATCH(M$4,Curves,0))</f>
        <v>0.005</v>
      </c>
      <c r="N151" s="143" t="n">
        <f aca="false">M151</f>
        <v>0.005</v>
      </c>
      <c r="O151" s="144" t="n">
        <v>0</v>
      </c>
      <c r="P151" s="145"/>
      <c r="Q151" s="144" t="n">
        <f aca="false">M151+J151+G151</f>
        <v>3.931</v>
      </c>
      <c r="R151" s="144" t="n">
        <f aca="false">O151+L151+I151</f>
        <v>0</v>
      </c>
      <c r="S151" s="145"/>
      <c r="T151" s="71" t="n">
        <f aca="false">A152-A151</f>
        <v>31</v>
      </c>
      <c r="U151" s="146" t="n">
        <f aca="false">CHOOSE(F$3,A152+24,A151)</f>
        <v>41330</v>
      </c>
      <c r="V151" s="71" t="n">
        <f aca="false">U151-C$3</f>
        <v>4442</v>
      </c>
      <c r="W151" s="142" t="n">
        <f aca="false">VLOOKUP($A151,Table,MATCH(W$4,Curves,0))</f>
        <v>0.058966861357273</v>
      </c>
      <c r="X151" s="147" t="n">
        <f aca="false">1/(1+CHOOSE(F$3,(W152+($K$3/10000))/2,(W151+($K$3/10000))/2))^(2*V151/365.25)</f>
        <v>0.493240172961925</v>
      </c>
      <c r="Y151" s="71" t="n">
        <f aca="false">IF(AND(mthbeg&lt;=A151,mthend&gt;=A151),1,0)</f>
        <v>0</v>
      </c>
      <c r="Z151" s="71" t="n">
        <f aca="false">T151*Y151</f>
        <v>0</v>
      </c>
      <c r="AB151" s="132" t="n">
        <f aca="false">F151*G151</f>
        <v>0</v>
      </c>
      <c r="AC151" s="132" t="n">
        <f aca="false">$F151*H151</f>
        <v>0</v>
      </c>
      <c r="AD151" s="132" t="n">
        <f aca="false">$F151*I151</f>
        <v>0</v>
      </c>
      <c r="AE151" s="132" t="n">
        <f aca="false">$F151*J151</f>
        <v>-0</v>
      </c>
      <c r="AF151" s="132" t="n">
        <f aca="false">$F151*K151</f>
        <v>-0</v>
      </c>
      <c r="AG151" s="132" t="n">
        <f aca="false">$F151*L151</f>
        <v>0</v>
      </c>
      <c r="AH151" s="132" t="n">
        <f aca="false">$F151*M151</f>
        <v>0</v>
      </c>
      <c r="AI151" s="132" t="n">
        <f aca="false">$F151*N151</f>
        <v>0</v>
      </c>
      <c r="AJ151" s="132" t="n">
        <f aca="false">F151*O151</f>
        <v>0</v>
      </c>
      <c r="AK151" s="137"/>
      <c r="AL151" s="132" t="n">
        <f aca="false">CHOOSE($G$3,AC151-AD151,AD151-AC151)</f>
        <v>0</v>
      </c>
      <c r="AM151" s="132" t="n">
        <f aca="false">CHOOSE($G$3,AF151-AG151,AG151-AF151)</f>
        <v>0</v>
      </c>
      <c r="AN151" s="132" t="n">
        <f aca="false">CHOOSE($G$3,AI151-AJ151,AJ151-AI151)</f>
        <v>0</v>
      </c>
      <c r="AO151" s="148" t="n">
        <f aca="false">SUM(AL151:AN151)</f>
        <v>0</v>
      </c>
      <c r="AQ151" s="132" t="n">
        <f aca="false">CHOOSE($G$3,AB151-AC151,AC151-AB151)</f>
        <v>0</v>
      </c>
      <c r="AR151" s="132" t="n">
        <f aca="false">CHOOSE($G$3,AE151-AF151,AF151-AE151)</f>
        <v>0</v>
      </c>
      <c r="AS151" s="132" t="n">
        <f aca="false">CHOOSE($G$3,AH151-AI151,AI151-AH151)</f>
        <v>0</v>
      </c>
      <c r="AT151" s="148" t="n">
        <f aca="false">AQ151+AR151+AS151</f>
        <v>0</v>
      </c>
      <c r="AU151" s="148"/>
      <c r="AV151" s="133" t="n">
        <f aca="false">AT151+AO151</f>
        <v>0</v>
      </c>
      <c r="AX151" s="133" t="n">
        <f aca="false">AJ151+AG151+AD151</f>
        <v>0</v>
      </c>
      <c r="AY151" s="149"/>
      <c r="AZ151" s="76" t="n">
        <f aca="false">R151*E151</f>
        <v>0</v>
      </c>
    </row>
    <row r="152" customFormat="false" ht="12.75" hidden="false" customHeight="false" outlineLevel="0" collapsed="false">
      <c r="A152" s="138" t="n">
        <f aca="false">EDATE(A151,1)</f>
        <v>41306</v>
      </c>
      <c r="B152" s="139" t="n">
        <f aca="false">VLOOKUP($A152,Table2,MATCH(I$3,Curves2,0))</f>
        <v>0</v>
      </c>
      <c r="C152" s="140"/>
      <c r="D152" s="141" t="n">
        <f aca="false">B152+C152</f>
        <v>0</v>
      </c>
      <c r="E152" s="126" t="n">
        <f aca="false">IF(Y152=0,0,IF(AND(Y152=1,$H$3=1),D152*T152,IF($H$3=2,D152,"N/A")))</f>
        <v>0</v>
      </c>
      <c r="F152" s="126" t="n">
        <f aca="false">E152*X152</f>
        <v>0</v>
      </c>
      <c r="G152" s="142" t="n">
        <f aca="false">VLOOKUP($A152,Table,MATCH(G$4,Curves,0))</f>
        <v>3.987</v>
      </c>
      <c r="H152" s="143" t="n">
        <f aca="false">G152</f>
        <v>3.987</v>
      </c>
      <c r="I152" s="142" t="n">
        <f aca="false">VLOOKUP($A152,Table1,MATCH(I$3,Curves1,0))</f>
        <v>0</v>
      </c>
      <c r="J152" s="142" t="n">
        <f aca="false">VLOOKUP($A152,Table,MATCH(J$4,Curves,0))</f>
        <v>-0.061</v>
      </c>
      <c r="K152" s="143" t="n">
        <f aca="false">J152</f>
        <v>-0.061</v>
      </c>
      <c r="L152" s="144" t="n">
        <v>0</v>
      </c>
      <c r="M152" s="142" t="n">
        <f aca="false">VLOOKUP($A152,Table,MATCH(M$4,Curves,0))</f>
        <v>0.005</v>
      </c>
      <c r="N152" s="143" t="n">
        <f aca="false">M152</f>
        <v>0.005</v>
      </c>
      <c r="O152" s="144" t="n">
        <v>0</v>
      </c>
      <c r="P152" s="145"/>
      <c r="Q152" s="144" t="n">
        <f aca="false">M152+J152+G152</f>
        <v>3.931</v>
      </c>
      <c r="R152" s="144" t="n">
        <f aca="false">O152+L152+I152</f>
        <v>0</v>
      </c>
      <c r="S152" s="145"/>
      <c r="T152" s="71" t="n">
        <f aca="false">A153-A152</f>
        <v>28</v>
      </c>
      <c r="U152" s="146" t="n">
        <f aca="false">CHOOSE(F$3,A153+24,A152)</f>
        <v>41358</v>
      </c>
      <c r="V152" s="71" t="n">
        <f aca="false">U152-C$3</f>
        <v>4470</v>
      </c>
      <c r="W152" s="142" t="n">
        <f aca="false">VLOOKUP($A152,Table,MATCH(W$4,Curves,0))</f>
        <v>0.058966861357273</v>
      </c>
      <c r="X152" s="147" t="n">
        <f aca="false">1/(1+CHOOSE(F$3,(W153+($K$3/10000))/2,(W152+($K$3/10000))/2))^(2*V152/365.25)</f>
        <v>0.491047659530883</v>
      </c>
      <c r="Y152" s="71" t="n">
        <f aca="false">IF(AND(mthbeg&lt;=A152,mthend&gt;=A152),1,0)</f>
        <v>0</v>
      </c>
      <c r="Z152" s="71" t="n">
        <f aca="false">T152*Y152</f>
        <v>0</v>
      </c>
      <c r="AB152" s="132" t="n">
        <f aca="false">F152*G152</f>
        <v>0</v>
      </c>
      <c r="AC152" s="132" t="n">
        <f aca="false">$F152*H152</f>
        <v>0</v>
      </c>
      <c r="AD152" s="132" t="n">
        <f aca="false">$F152*I152</f>
        <v>0</v>
      </c>
      <c r="AE152" s="132" t="n">
        <f aca="false">$F152*J152</f>
        <v>-0</v>
      </c>
      <c r="AF152" s="132" t="n">
        <f aca="false">$F152*K152</f>
        <v>-0</v>
      </c>
      <c r="AG152" s="132" t="n">
        <f aca="false">$F152*L152</f>
        <v>0</v>
      </c>
      <c r="AH152" s="132" t="n">
        <f aca="false">$F152*M152</f>
        <v>0</v>
      </c>
      <c r="AI152" s="132" t="n">
        <f aca="false">$F152*N152</f>
        <v>0</v>
      </c>
      <c r="AJ152" s="132" t="n">
        <f aca="false">F152*O152</f>
        <v>0</v>
      </c>
      <c r="AK152" s="137"/>
      <c r="AL152" s="132" t="n">
        <f aca="false">CHOOSE($G$3,AC152-AD152,AD152-AC152)</f>
        <v>0</v>
      </c>
      <c r="AM152" s="132" t="n">
        <f aca="false">CHOOSE($G$3,AF152-AG152,AG152-AF152)</f>
        <v>0</v>
      </c>
      <c r="AN152" s="132" t="n">
        <f aca="false">CHOOSE($G$3,AI152-AJ152,AJ152-AI152)</f>
        <v>0</v>
      </c>
      <c r="AO152" s="148" t="n">
        <f aca="false">SUM(AL152:AN152)</f>
        <v>0</v>
      </c>
      <c r="AQ152" s="132" t="n">
        <f aca="false">CHOOSE($G$3,AB152-AC152,AC152-AB152)</f>
        <v>0</v>
      </c>
      <c r="AR152" s="132" t="n">
        <f aca="false">CHOOSE($G$3,AE152-AF152,AF152-AE152)</f>
        <v>0</v>
      </c>
      <c r="AS152" s="132" t="n">
        <f aca="false">CHOOSE($G$3,AH152-AI152,AI152-AH152)</f>
        <v>0</v>
      </c>
      <c r="AT152" s="148" t="n">
        <f aca="false">AQ152+AR152+AS152</f>
        <v>0</v>
      </c>
      <c r="AU152" s="148"/>
      <c r="AV152" s="133" t="n">
        <f aca="false">AT152+AO152</f>
        <v>0</v>
      </c>
      <c r="AX152" s="133" t="n">
        <f aca="false">AJ152+AG152+AD152</f>
        <v>0</v>
      </c>
      <c r="AY152" s="149"/>
      <c r="AZ152" s="76" t="n">
        <f aca="false">R152*E152</f>
        <v>0</v>
      </c>
    </row>
    <row r="153" customFormat="false" ht="12.75" hidden="false" customHeight="false" outlineLevel="0" collapsed="false">
      <c r="A153" s="138" t="n">
        <f aca="false">EDATE(A152,1)</f>
        <v>41334</v>
      </c>
      <c r="B153" s="139" t="n">
        <f aca="false">VLOOKUP($A153,Table2,MATCH(I$3,Curves2,0))</f>
        <v>0</v>
      </c>
      <c r="C153" s="140"/>
      <c r="D153" s="141" t="n">
        <f aca="false">B153+C153</f>
        <v>0</v>
      </c>
      <c r="E153" s="126" t="n">
        <f aca="false">IF(Y153=0,0,IF(AND(Y153=1,$H$3=1),D153*T153,IF($H$3=2,D153,"N/A")))</f>
        <v>0</v>
      </c>
      <c r="F153" s="126" t="n">
        <f aca="false">E153*X153</f>
        <v>0</v>
      </c>
      <c r="G153" s="142" t="n">
        <f aca="false">VLOOKUP($A153,Table,MATCH(G$4,Curves,0))</f>
        <v>3.987</v>
      </c>
      <c r="H153" s="143" t="n">
        <f aca="false">G153</f>
        <v>3.987</v>
      </c>
      <c r="I153" s="142" t="n">
        <f aca="false">VLOOKUP($A153,Table1,MATCH(I$3,Curves1,0))</f>
        <v>0</v>
      </c>
      <c r="J153" s="142" t="n">
        <f aca="false">VLOOKUP($A153,Table,MATCH(J$4,Curves,0))</f>
        <v>-0.061</v>
      </c>
      <c r="K153" s="143" t="n">
        <f aca="false">J153</f>
        <v>-0.061</v>
      </c>
      <c r="L153" s="144" t="n">
        <v>0</v>
      </c>
      <c r="M153" s="142" t="n">
        <f aca="false">VLOOKUP($A153,Table,MATCH(M$4,Curves,0))</f>
        <v>0.005</v>
      </c>
      <c r="N153" s="143" t="n">
        <f aca="false">M153</f>
        <v>0.005</v>
      </c>
      <c r="O153" s="144" t="n">
        <v>0</v>
      </c>
      <c r="P153" s="145"/>
      <c r="Q153" s="144" t="n">
        <f aca="false">M153+J153+G153</f>
        <v>3.931</v>
      </c>
      <c r="R153" s="144" t="n">
        <f aca="false">O153+L153+I153</f>
        <v>0</v>
      </c>
      <c r="S153" s="145"/>
      <c r="T153" s="71" t="n">
        <f aca="false">A154-A153</f>
        <v>31</v>
      </c>
      <c r="U153" s="146" t="n">
        <f aca="false">CHOOSE(F$3,A154+24,A153)</f>
        <v>41389</v>
      </c>
      <c r="V153" s="71" t="n">
        <f aca="false">U153-C$3</f>
        <v>4501</v>
      </c>
      <c r="W153" s="142" t="n">
        <f aca="false">VLOOKUP($A153,Table,MATCH(W$4,Curves,0))</f>
        <v>0.058966861357273</v>
      </c>
      <c r="X153" s="147" t="n">
        <f aca="false">1/(1+CHOOSE(F$3,(W154+($K$3/10000))/2,(W153+($K$3/10000))/2))^(2*V153/365.25)</f>
        <v>0.488631600392974</v>
      </c>
      <c r="Y153" s="71" t="n">
        <f aca="false">IF(AND(mthbeg&lt;=A153,mthend&gt;=A153),1,0)</f>
        <v>0</v>
      </c>
      <c r="Z153" s="71" t="n">
        <f aca="false">T153*Y153</f>
        <v>0</v>
      </c>
      <c r="AB153" s="132" t="n">
        <f aca="false">F153*G153</f>
        <v>0</v>
      </c>
      <c r="AC153" s="132" t="n">
        <f aca="false">$F153*H153</f>
        <v>0</v>
      </c>
      <c r="AD153" s="132" t="n">
        <f aca="false">$F153*I153</f>
        <v>0</v>
      </c>
      <c r="AE153" s="132" t="n">
        <f aca="false">$F153*J153</f>
        <v>-0</v>
      </c>
      <c r="AF153" s="132" t="n">
        <f aca="false">$F153*K153</f>
        <v>-0</v>
      </c>
      <c r="AG153" s="132" t="n">
        <f aca="false">$F153*L153</f>
        <v>0</v>
      </c>
      <c r="AH153" s="132" t="n">
        <f aca="false">$F153*M153</f>
        <v>0</v>
      </c>
      <c r="AI153" s="132" t="n">
        <f aca="false">$F153*N153</f>
        <v>0</v>
      </c>
      <c r="AJ153" s="132" t="n">
        <f aca="false">F153*O153</f>
        <v>0</v>
      </c>
      <c r="AK153" s="137"/>
      <c r="AL153" s="132" t="n">
        <f aca="false">CHOOSE($G$3,AC153-AD153,AD153-AC153)</f>
        <v>0</v>
      </c>
      <c r="AM153" s="132" t="n">
        <f aca="false">CHOOSE($G$3,AF153-AG153,AG153-AF153)</f>
        <v>0</v>
      </c>
      <c r="AN153" s="132" t="n">
        <f aca="false">CHOOSE($G$3,AI153-AJ153,AJ153-AI153)</f>
        <v>0</v>
      </c>
      <c r="AO153" s="148" t="n">
        <f aca="false">SUM(AL153:AN153)</f>
        <v>0</v>
      </c>
      <c r="AQ153" s="132" t="n">
        <f aca="false">CHOOSE($G$3,AB153-AC153,AC153-AB153)</f>
        <v>0</v>
      </c>
      <c r="AR153" s="132" t="n">
        <f aca="false">CHOOSE($G$3,AE153-AF153,AF153-AE153)</f>
        <v>0</v>
      </c>
      <c r="AS153" s="132" t="n">
        <f aca="false">CHOOSE($G$3,AH153-AI153,AI153-AH153)</f>
        <v>0</v>
      </c>
      <c r="AT153" s="148" t="n">
        <f aca="false">AQ153+AR153+AS153</f>
        <v>0</v>
      </c>
      <c r="AU153" s="148"/>
      <c r="AV153" s="133" t="n">
        <f aca="false">AT153+AO153</f>
        <v>0</v>
      </c>
      <c r="AX153" s="133" t="n">
        <f aca="false">AJ153+AG153+AD153</f>
        <v>0</v>
      </c>
      <c r="AY153" s="149"/>
      <c r="AZ153" s="76" t="n">
        <f aca="false">R153*E153</f>
        <v>0</v>
      </c>
    </row>
    <row r="154" customFormat="false" ht="12.75" hidden="false" customHeight="false" outlineLevel="0" collapsed="false">
      <c r="A154" s="138" t="n">
        <f aca="false">EDATE(A153,1)</f>
        <v>41365</v>
      </c>
      <c r="B154" s="139" t="n">
        <f aca="false">VLOOKUP($A154,Table2,MATCH(I$3,Curves2,0))</f>
        <v>0</v>
      </c>
      <c r="C154" s="140"/>
      <c r="D154" s="141" t="n">
        <f aca="false">B154+C154</f>
        <v>0</v>
      </c>
      <c r="E154" s="126" t="n">
        <f aca="false">IF(Y154=0,0,IF(AND(Y154=1,$H$3=1),D154*T154,IF($H$3=2,D154,"N/A")))</f>
        <v>0</v>
      </c>
      <c r="F154" s="126" t="n">
        <f aca="false">E154*X154</f>
        <v>0</v>
      </c>
      <c r="G154" s="142" t="n">
        <f aca="false">VLOOKUP($A154,Table,MATCH(G$4,Curves,0))</f>
        <v>3.987</v>
      </c>
      <c r="H154" s="143" t="n">
        <f aca="false">G154</f>
        <v>3.987</v>
      </c>
      <c r="I154" s="142" t="n">
        <f aca="false">VLOOKUP($A154,Table1,MATCH(I$3,Curves1,0))</f>
        <v>0</v>
      </c>
      <c r="J154" s="142" t="n">
        <f aca="false">VLOOKUP($A154,Table,MATCH(J$4,Curves,0))</f>
        <v>-0.061</v>
      </c>
      <c r="K154" s="143" t="n">
        <f aca="false">J154</f>
        <v>-0.061</v>
      </c>
      <c r="L154" s="144" t="n">
        <v>0</v>
      </c>
      <c r="M154" s="142" t="n">
        <f aca="false">VLOOKUP($A154,Table,MATCH(M$4,Curves,0))</f>
        <v>0.005</v>
      </c>
      <c r="N154" s="143" t="n">
        <f aca="false">M154</f>
        <v>0.005</v>
      </c>
      <c r="O154" s="144" t="n">
        <v>0</v>
      </c>
      <c r="P154" s="145"/>
      <c r="Q154" s="144" t="n">
        <f aca="false">M154+J154+G154</f>
        <v>3.931</v>
      </c>
      <c r="R154" s="144" t="n">
        <f aca="false">O154+L154+I154</f>
        <v>0</v>
      </c>
      <c r="S154" s="145"/>
      <c r="T154" s="71" t="n">
        <f aca="false">A155-A154</f>
        <v>30</v>
      </c>
      <c r="U154" s="146" t="n">
        <f aca="false">CHOOSE(F$3,A155+24,A154)</f>
        <v>41419</v>
      </c>
      <c r="V154" s="71" t="n">
        <f aca="false">U154-C$3</f>
        <v>4531</v>
      </c>
      <c r="W154" s="142" t="n">
        <f aca="false">VLOOKUP($A154,Table,MATCH(W$4,Curves,0))</f>
        <v>0.058966861357273</v>
      </c>
      <c r="X154" s="147" t="n">
        <f aca="false">1/(1+CHOOSE(F$3,(W155+($K$3/10000))/2,(W154+($K$3/10000))/2))^(2*V154/365.25)</f>
        <v>0.48630479775417</v>
      </c>
      <c r="Y154" s="71" t="n">
        <f aca="false">IF(AND(mthbeg&lt;=A154,mthend&gt;=A154),1,0)</f>
        <v>0</v>
      </c>
      <c r="Z154" s="71" t="n">
        <f aca="false">T154*Y154</f>
        <v>0</v>
      </c>
      <c r="AB154" s="132" t="n">
        <f aca="false">F154*G154</f>
        <v>0</v>
      </c>
      <c r="AC154" s="132" t="n">
        <f aca="false">$F154*H154</f>
        <v>0</v>
      </c>
      <c r="AD154" s="132" t="n">
        <f aca="false">$F154*I154</f>
        <v>0</v>
      </c>
      <c r="AE154" s="132" t="n">
        <f aca="false">$F154*J154</f>
        <v>-0</v>
      </c>
      <c r="AF154" s="132" t="n">
        <f aca="false">$F154*K154</f>
        <v>-0</v>
      </c>
      <c r="AG154" s="132" t="n">
        <f aca="false">$F154*L154</f>
        <v>0</v>
      </c>
      <c r="AH154" s="132" t="n">
        <f aca="false">$F154*M154</f>
        <v>0</v>
      </c>
      <c r="AI154" s="132" t="n">
        <f aca="false">$F154*N154</f>
        <v>0</v>
      </c>
      <c r="AJ154" s="132" t="n">
        <f aca="false">F154*O154</f>
        <v>0</v>
      </c>
      <c r="AK154" s="137"/>
      <c r="AL154" s="132" t="n">
        <f aca="false">CHOOSE($G$3,AC154-AD154,AD154-AC154)</f>
        <v>0</v>
      </c>
      <c r="AM154" s="132" t="n">
        <f aca="false">CHOOSE($G$3,AF154-AG154,AG154-AF154)</f>
        <v>0</v>
      </c>
      <c r="AN154" s="132" t="n">
        <f aca="false">CHOOSE($G$3,AI154-AJ154,AJ154-AI154)</f>
        <v>0</v>
      </c>
      <c r="AO154" s="148" t="n">
        <f aca="false">SUM(AL154:AN154)</f>
        <v>0</v>
      </c>
      <c r="AQ154" s="132" t="n">
        <f aca="false">CHOOSE($G$3,AB154-AC154,AC154-AB154)</f>
        <v>0</v>
      </c>
      <c r="AR154" s="132" t="n">
        <f aca="false">CHOOSE($G$3,AE154-AF154,AF154-AE154)</f>
        <v>0</v>
      </c>
      <c r="AS154" s="132" t="n">
        <f aca="false">CHOOSE($G$3,AH154-AI154,AI154-AH154)</f>
        <v>0</v>
      </c>
      <c r="AT154" s="148" t="n">
        <f aca="false">AQ154+AR154+AS154</f>
        <v>0</v>
      </c>
      <c r="AU154" s="148"/>
      <c r="AV154" s="133" t="n">
        <f aca="false">AT154+AO154</f>
        <v>0</v>
      </c>
      <c r="AX154" s="133" t="n">
        <f aca="false">AJ154+AG154+AD154</f>
        <v>0</v>
      </c>
      <c r="AY154" s="149"/>
      <c r="AZ154" s="76" t="n">
        <f aca="false">R154*E154</f>
        <v>0</v>
      </c>
    </row>
    <row r="155" customFormat="false" ht="12.75" hidden="false" customHeight="false" outlineLevel="0" collapsed="false">
      <c r="A155" s="138" t="n">
        <f aca="false">EDATE(A154,1)</f>
        <v>41395</v>
      </c>
      <c r="B155" s="139" t="n">
        <f aca="false">VLOOKUP($A155,Table2,MATCH(I$3,Curves2,0))</f>
        <v>0</v>
      </c>
      <c r="C155" s="140"/>
      <c r="D155" s="141" t="n">
        <f aca="false">B155+C155</f>
        <v>0</v>
      </c>
      <c r="E155" s="126" t="n">
        <f aca="false">IF(Y155=0,0,IF(AND(Y155=1,$H$3=1),D155*T155,IF($H$3=2,D155,"N/A")))</f>
        <v>0</v>
      </c>
      <c r="F155" s="126" t="n">
        <f aca="false">E155*X155</f>
        <v>0</v>
      </c>
      <c r="G155" s="142" t="n">
        <f aca="false">VLOOKUP($A155,Table,MATCH(G$4,Curves,0))</f>
        <v>3.987</v>
      </c>
      <c r="H155" s="143" t="n">
        <f aca="false">G155</f>
        <v>3.987</v>
      </c>
      <c r="I155" s="142" t="n">
        <f aca="false">VLOOKUP($A155,Table1,MATCH(I$3,Curves1,0))</f>
        <v>0</v>
      </c>
      <c r="J155" s="142" t="n">
        <f aca="false">VLOOKUP($A155,Table,MATCH(J$4,Curves,0))</f>
        <v>-0.061</v>
      </c>
      <c r="K155" s="143" t="n">
        <f aca="false">J155</f>
        <v>-0.061</v>
      </c>
      <c r="L155" s="144" t="n">
        <v>0</v>
      </c>
      <c r="M155" s="142" t="n">
        <f aca="false">VLOOKUP($A155,Table,MATCH(M$4,Curves,0))</f>
        <v>0.005</v>
      </c>
      <c r="N155" s="143" t="n">
        <f aca="false">M155</f>
        <v>0.005</v>
      </c>
      <c r="O155" s="144" t="n">
        <v>0</v>
      </c>
      <c r="P155" s="145"/>
      <c r="Q155" s="144" t="n">
        <f aca="false">M155+J155+G155</f>
        <v>3.931</v>
      </c>
      <c r="R155" s="144" t="n">
        <f aca="false">O155+L155+I155</f>
        <v>0</v>
      </c>
      <c r="S155" s="145"/>
      <c r="T155" s="71" t="n">
        <f aca="false">A156-A155</f>
        <v>31</v>
      </c>
      <c r="U155" s="146" t="n">
        <f aca="false">CHOOSE(F$3,A156+24,A155)</f>
        <v>41450</v>
      </c>
      <c r="V155" s="71" t="n">
        <f aca="false">U155-C$3</f>
        <v>4562</v>
      </c>
      <c r="W155" s="142" t="n">
        <f aca="false">VLOOKUP($A155,Table,MATCH(W$4,Curves,0))</f>
        <v>0.058966861357273</v>
      </c>
      <c r="X155" s="147" t="n">
        <f aca="false">1/(1+CHOOSE(F$3,(W156+($K$3/10000))/2,(W155+($K$3/10000))/2))^(2*V155/365.25)</f>
        <v>0.48391207450701</v>
      </c>
      <c r="Y155" s="71" t="n">
        <f aca="false">IF(AND(mthbeg&lt;=A155,mthend&gt;=A155),1,0)</f>
        <v>0</v>
      </c>
      <c r="Z155" s="71" t="n">
        <f aca="false">T155*Y155</f>
        <v>0</v>
      </c>
      <c r="AB155" s="132" t="n">
        <f aca="false">F155*G155</f>
        <v>0</v>
      </c>
      <c r="AC155" s="132" t="n">
        <f aca="false">$F155*H155</f>
        <v>0</v>
      </c>
      <c r="AD155" s="132" t="n">
        <f aca="false">$F155*I155</f>
        <v>0</v>
      </c>
      <c r="AE155" s="132" t="n">
        <f aca="false">$F155*J155</f>
        <v>-0</v>
      </c>
      <c r="AF155" s="132" t="n">
        <f aca="false">$F155*K155</f>
        <v>-0</v>
      </c>
      <c r="AG155" s="132" t="n">
        <f aca="false">$F155*L155</f>
        <v>0</v>
      </c>
      <c r="AH155" s="132" t="n">
        <f aca="false">$F155*M155</f>
        <v>0</v>
      </c>
      <c r="AI155" s="132" t="n">
        <f aca="false">$F155*N155</f>
        <v>0</v>
      </c>
      <c r="AJ155" s="132" t="n">
        <f aca="false">F155*O155</f>
        <v>0</v>
      </c>
      <c r="AK155" s="137"/>
      <c r="AL155" s="132" t="n">
        <f aca="false">CHOOSE($G$3,AC155-AD155,AD155-AC155)</f>
        <v>0</v>
      </c>
      <c r="AM155" s="132" t="n">
        <f aca="false">CHOOSE($G$3,AF155-AG155,AG155-AF155)</f>
        <v>0</v>
      </c>
      <c r="AN155" s="132" t="n">
        <f aca="false">CHOOSE($G$3,AI155-AJ155,AJ155-AI155)</f>
        <v>0</v>
      </c>
      <c r="AO155" s="148" t="n">
        <f aca="false">SUM(AL155:AN155)</f>
        <v>0</v>
      </c>
      <c r="AQ155" s="132" t="n">
        <f aca="false">CHOOSE($G$3,AB155-AC155,AC155-AB155)</f>
        <v>0</v>
      </c>
      <c r="AR155" s="132" t="n">
        <f aca="false">CHOOSE($G$3,AE155-AF155,AF155-AE155)</f>
        <v>0</v>
      </c>
      <c r="AS155" s="132" t="n">
        <f aca="false">CHOOSE($G$3,AH155-AI155,AI155-AH155)</f>
        <v>0</v>
      </c>
      <c r="AT155" s="148" t="n">
        <f aca="false">AQ155+AR155+AS155</f>
        <v>0</v>
      </c>
      <c r="AU155" s="148"/>
      <c r="AV155" s="133" t="n">
        <f aca="false">AT155+AO155</f>
        <v>0</v>
      </c>
      <c r="AX155" s="133" t="n">
        <f aca="false">AJ155+AG155+AD155</f>
        <v>0</v>
      </c>
      <c r="AY155" s="149"/>
      <c r="AZ155" s="76" t="n">
        <f aca="false">R155*E155</f>
        <v>0</v>
      </c>
    </row>
    <row r="156" customFormat="false" ht="12.75" hidden="false" customHeight="false" outlineLevel="0" collapsed="false">
      <c r="A156" s="138" t="n">
        <f aca="false">EDATE(A155,1)</f>
        <v>41426</v>
      </c>
      <c r="B156" s="139" t="n">
        <f aca="false">VLOOKUP($A156,Table2,MATCH(I$3,Curves2,0))</f>
        <v>0</v>
      </c>
      <c r="C156" s="140"/>
      <c r="D156" s="141" t="n">
        <f aca="false">B156+C156</f>
        <v>0</v>
      </c>
      <c r="E156" s="126" t="n">
        <f aca="false">IF(Y156=0,0,IF(AND(Y156=1,$H$3=1),D156*T156,IF($H$3=2,D156,"N/A")))</f>
        <v>0</v>
      </c>
      <c r="F156" s="126" t="n">
        <f aca="false">E156*X156</f>
        <v>0</v>
      </c>
      <c r="G156" s="142" t="n">
        <f aca="false">VLOOKUP($A156,Table,MATCH(G$4,Curves,0))</f>
        <v>3.987</v>
      </c>
      <c r="H156" s="143" t="n">
        <f aca="false">G156</f>
        <v>3.987</v>
      </c>
      <c r="I156" s="142" t="n">
        <f aca="false">VLOOKUP($A156,Table1,MATCH(I$3,Curves1,0))</f>
        <v>0</v>
      </c>
      <c r="J156" s="142" t="n">
        <f aca="false">VLOOKUP($A156,Table,MATCH(J$4,Curves,0))</f>
        <v>-0.061</v>
      </c>
      <c r="K156" s="143" t="n">
        <f aca="false">J156</f>
        <v>-0.061</v>
      </c>
      <c r="L156" s="144" t="n">
        <v>0</v>
      </c>
      <c r="M156" s="142" t="n">
        <f aca="false">VLOOKUP($A156,Table,MATCH(M$4,Curves,0))</f>
        <v>0.005</v>
      </c>
      <c r="N156" s="143" t="n">
        <f aca="false">M156</f>
        <v>0.005</v>
      </c>
      <c r="O156" s="144" t="n">
        <v>0</v>
      </c>
      <c r="P156" s="145"/>
      <c r="Q156" s="144" t="n">
        <f aca="false">M156+J156+G156</f>
        <v>3.931</v>
      </c>
      <c r="R156" s="144" t="n">
        <f aca="false">O156+L156+I156</f>
        <v>0</v>
      </c>
      <c r="S156" s="145"/>
      <c r="T156" s="71" t="n">
        <f aca="false">A157-A156</f>
        <v>30</v>
      </c>
      <c r="U156" s="146" t="n">
        <f aca="false">CHOOSE(F$3,A157+24,A156)</f>
        <v>41480</v>
      </c>
      <c r="V156" s="71" t="n">
        <f aca="false">U156-C$3</f>
        <v>4592</v>
      </c>
      <c r="W156" s="142" t="n">
        <f aca="false">VLOOKUP($A156,Table,MATCH(W$4,Curves,0))</f>
        <v>0.058966861357273</v>
      </c>
      <c r="X156" s="147" t="n">
        <f aca="false">1/(1+CHOOSE(F$3,(W157+($K$3/10000))/2,(W156+($K$3/10000))/2))^(2*V156/365.25)</f>
        <v>0.481607745660888</v>
      </c>
      <c r="Y156" s="71" t="n">
        <f aca="false">IF(AND(mthbeg&lt;=A156,mthend&gt;=A156),1,0)</f>
        <v>0</v>
      </c>
      <c r="Z156" s="71" t="n">
        <f aca="false">T156*Y156</f>
        <v>0</v>
      </c>
      <c r="AB156" s="132" t="n">
        <f aca="false">F156*G156</f>
        <v>0</v>
      </c>
      <c r="AC156" s="132" t="n">
        <f aca="false">$F156*H156</f>
        <v>0</v>
      </c>
      <c r="AD156" s="132" t="n">
        <f aca="false">$F156*I156</f>
        <v>0</v>
      </c>
      <c r="AE156" s="132" t="n">
        <f aca="false">$F156*J156</f>
        <v>-0</v>
      </c>
      <c r="AF156" s="132" t="n">
        <f aca="false">$F156*K156</f>
        <v>-0</v>
      </c>
      <c r="AG156" s="132" t="n">
        <f aca="false">$F156*L156</f>
        <v>0</v>
      </c>
      <c r="AH156" s="132" t="n">
        <f aca="false">$F156*M156</f>
        <v>0</v>
      </c>
      <c r="AI156" s="132" t="n">
        <f aca="false">$F156*N156</f>
        <v>0</v>
      </c>
      <c r="AJ156" s="132" t="n">
        <f aca="false">F156*O156</f>
        <v>0</v>
      </c>
      <c r="AK156" s="137"/>
      <c r="AL156" s="132" t="n">
        <f aca="false">CHOOSE($G$3,AC156-AD156,AD156-AC156)</f>
        <v>0</v>
      </c>
      <c r="AM156" s="132" t="n">
        <f aca="false">CHOOSE($G$3,AF156-AG156,AG156-AF156)</f>
        <v>0</v>
      </c>
      <c r="AN156" s="132" t="n">
        <f aca="false">CHOOSE($G$3,AI156-AJ156,AJ156-AI156)</f>
        <v>0</v>
      </c>
      <c r="AO156" s="148" t="n">
        <f aca="false">SUM(AL156:AN156)</f>
        <v>0</v>
      </c>
      <c r="AQ156" s="132" t="n">
        <f aca="false">CHOOSE($G$3,AB156-AC156,AC156-AB156)</f>
        <v>0</v>
      </c>
      <c r="AR156" s="132" t="n">
        <f aca="false">CHOOSE($G$3,AE156-AF156,AF156-AE156)</f>
        <v>0</v>
      </c>
      <c r="AS156" s="132" t="n">
        <f aca="false">CHOOSE($G$3,AH156-AI156,AI156-AH156)</f>
        <v>0</v>
      </c>
      <c r="AT156" s="148" t="n">
        <f aca="false">AQ156+AR156+AS156</f>
        <v>0</v>
      </c>
      <c r="AU156" s="148"/>
      <c r="AV156" s="133" t="n">
        <f aca="false">AT156+AO156</f>
        <v>0</v>
      </c>
      <c r="AX156" s="133" t="n">
        <f aca="false">AJ156+AG156+AD156</f>
        <v>0</v>
      </c>
      <c r="AY156" s="149"/>
      <c r="AZ156" s="76" t="n">
        <f aca="false">R156*E156</f>
        <v>0</v>
      </c>
    </row>
    <row r="157" customFormat="false" ht="12.75" hidden="false" customHeight="false" outlineLevel="0" collapsed="false">
      <c r="A157" s="138" t="n">
        <f aca="false">EDATE(A156,1)</f>
        <v>41456</v>
      </c>
      <c r="B157" s="139" t="n">
        <f aca="false">VLOOKUP($A157,Table2,MATCH(I$3,Curves2,0))</f>
        <v>0</v>
      </c>
      <c r="C157" s="140"/>
      <c r="D157" s="141" t="n">
        <f aca="false">B157+C157</f>
        <v>0</v>
      </c>
      <c r="E157" s="126" t="n">
        <f aca="false">IF(Y157=0,0,IF(AND(Y157=1,$H$3=1),D157*T157,IF($H$3=2,D157,"N/A")))</f>
        <v>0</v>
      </c>
      <c r="F157" s="126" t="n">
        <f aca="false">E157*X157</f>
        <v>0</v>
      </c>
      <c r="G157" s="142" t="n">
        <f aca="false">VLOOKUP($A157,Table,MATCH(G$4,Curves,0))</f>
        <v>3.987</v>
      </c>
      <c r="H157" s="143" t="n">
        <f aca="false">G157</f>
        <v>3.987</v>
      </c>
      <c r="I157" s="142" t="n">
        <f aca="false">VLOOKUP($A157,Table1,MATCH(I$3,Curves1,0))</f>
        <v>0</v>
      </c>
      <c r="J157" s="142" t="n">
        <f aca="false">VLOOKUP($A157,Table,MATCH(J$4,Curves,0))</f>
        <v>-0.061</v>
      </c>
      <c r="K157" s="143" t="n">
        <f aca="false">J157</f>
        <v>-0.061</v>
      </c>
      <c r="L157" s="144" t="n">
        <v>0</v>
      </c>
      <c r="M157" s="142" t="n">
        <f aca="false">VLOOKUP($A157,Table,MATCH(M$4,Curves,0))</f>
        <v>0.005</v>
      </c>
      <c r="N157" s="143" t="n">
        <f aca="false">M157</f>
        <v>0.005</v>
      </c>
      <c r="O157" s="144" t="n">
        <v>0</v>
      </c>
      <c r="P157" s="145"/>
      <c r="Q157" s="144" t="n">
        <f aca="false">M157+J157+G157</f>
        <v>3.931</v>
      </c>
      <c r="R157" s="144" t="n">
        <f aca="false">O157+L157+I157</f>
        <v>0</v>
      </c>
      <c r="S157" s="145"/>
      <c r="T157" s="71" t="n">
        <f aca="false">A158-A157</f>
        <v>31</v>
      </c>
      <c r="U157" s="146" t="n">
        <f aca="false">CHOOSE(F$3,A158+24,A157)</f>
        <v>41511</v>
      </c>
      <c r="V157" s="71" t="n">
        <f aca="false">U157-C$3</f>
        <v>4623</v>
      </c>
      <c r="W157" s="142" t="n">
        <f aca="false">VLOOKUP($A157,Table,MATCH(W$4,Curves,0))</f>
        <v>0.058966861357273</v>
      </c>
      <c r="X157" s="147" t="n">
        <f aca="false">1/(1+CHOOSE(F$3,(W158+($K$3/10000))/2,(W157+($K$3/10000))/2))^(2*V157/365.25)</f>
        <v>0.479238132911071</v>
      </c>
      <c r="Y157" s="71" t="n">
        <f aca="false">IF(AND(mthbeg&lt;=A157,mthend&gt;=A157),1,0)</f>
        <v>0</v>
      </c>
      <c r="Z157" s="71" t="n">
        <f aca="false">T157*Y157</f>
        <v>0</v>
      </c>
      <c r="AB157" s="132" t="n">
        <f aca="false">F157*G157</f>
        <v>0</v>
      </c>
      <c r="AC157" s="132" t="n">
        <f aca="false">$F157*H157</f>
        <v>0</v>
      </c>
      <c r="AD157" s="132" t="n">
        <f aca="false">$F157*I157</f>
        <v>0</v>
      </c>
      <c r="AE157" s="132" t="n">
        <f aca="false">$F157*J157</f>
        <v>-0</v>
      </c>
      <c r="AF157" s="132" t="n">
        <f aca="false">$F157*K157</f>
        <v>-0</v>
      </c>
      <c r="AG157" s="132" t="n">
        <f aca="false">$F157*L157</f>
        <v>0</v>
      </c>
      <c r="AH157" s="132" t="n">
        <f aca="false">$F157*M157</f>
        <v>0</v>
      </c>
      <c r="AI157" s="132" t="n">
        <f aca="false">$F157*N157</f>
        <v>0</v>
      </c>
      <c r="AJ157" s="132" t="n">
        <f aca="false">F157*O157</f>
        <v>0</v>
      </c>
      <c r="AK157" s="137"/>
      <c r="AL157" s="132" t="n">
        <f aca="false">CHOOSE($G$3,AC157-AD157,AD157-AC157)</f>
        <v>0</v>
      </c>
      <c r="AM157" s="132" t="n">
        <f aca="false">CHOOSE($G$3,AF157-AG157,AG157-AF157)</f>
        <v>0</v>
      </c>
      <c r="AN157" s="132" t="n">
        <f aca="false">CHOOSE($G$3,AI157-AJ157,AJ157-AI157)</f>
        <v>0</v>
      </c>
      <c r="AO157" s="148" t="n">
        <f aca="false">SUM(AL157:AN157)</f>
        <v>0</v>
      </c>
      <c r="AQ157" s="132" t="n">
        <f aca="false">CHOOSE($G$3,AB157-AC157,AC157-AB157)</f>
        <v>0</v>
      </c>
      <c r="AR157" s="132" t="n">
        <f aca="false">CHOOSE($G$3,AE157-AF157,AF157-AE157)</f>
        <v>0</v>
      </c>
      <c r="AS157" s="132" t="n">
        <f aca="false">CHOOSE($G$3,AH157-AI157,AI157-AH157)</f>
        <v>0</v>
      </c>
      <c r="AT157" s="148" t="n">
        <f aca="false">AQ157+AR157+AS157</f>
        <v>0</v>
      </c>
      <c r="AU157" s="148"/>
      <c r="AV157" s="133" t="n">
        <f aca="false">AT157+AO157</f>
        <v>0</v>
      </c>
      <c r="AX157" s="133" t="n">
        <f aca="false">AJ157+AG157+AD157</f>
        <v>0</v>
      </c>
      <c r="AY157" s="149"/>
      <c r="AZ157" s="76" t="n">
        <f aca="false">R157*E157</f>
        <v>0</v>
      </c>
    </row>
    <row r="158" customFormat="false" ht="12.75" hidden="false" customHeight="false" outlineLevel="0" collapsed="false">
      <c r="A158" s="138" t="n">
        <f aca="false">EDATE(A157,1)</f>
        <v>41487</v>
      </c>
      <c r="B158" s="139" t="n">
        <f aca="false">VLOOKUP($A158,Table2,MATCH(I$3,Curves2,0))</f>
        <v>0</v>
      </c>
      <c r="C158" s="140"/>
      <c r="D158" s="141" t="n">
        <f aca="false">B158+C158</f>
        <v>0</v>
      </c>
      <c r="E158" s="126" t="n">
        <f aca="false">IF(Y158=0,0,IF(AND(Y158=1,$H$3=1),D158*T158,IF($H$3=2,D158,"N/A")))</f>
        <v>0</v>
      </c>
      <c r="F158" s="126" t="n">
        <f aca="false">E158*X158</f>
        <v>0</v>
      </c>
      <c r="G158" s="142" t="n">
        <f aca="false">VLOOKUP($A158,Table,MATCH(G$4,Curves,0))</f>
        <v>3.987</v>
      </c>
      <c r="H158" s="143" t="n">
        <f aca="false">G158</f>
        <v>3.987</v>
      </c>
      <c r="I158" s="142" t="n">
        <f aca="false">VLOOKUP($A158,Table1,MATCH(I$3,Curves1,0))</f>
        <v>0</v>
      </c>
      <c r="J158" s="142" t="n">
        <f aca="false">VLOOKUP($A158,Table,MATCH(J$4,Curves,0))</f>
        <v>-0.061</v>
      </c>
      <c r="K158" s="143" t="n">
        <f aca="false">J158</f>
        <v>-0.061</v>
      </c>
      <c r="L158" s="144" t="n">
        <v>0</v>
      </c>
      <c r="M158" s="142" t="n">
        <f aca="false">VLOOKUP($A158,Table,MATCH(M$4,Curves,0))</f>
        <v>0.005</v>
      </c>
      <c r="N158" s="143" t="n">
        <f aca="false">M158</f>
        <v>0.005</v>
      </c>
      <c r="O158" s="144" t="n">
        <v>0</v>
      </c>
      <c r="P158" s="145"/>
      <c r="Q158" s="144" t="n">
        <f aca="false">M158+J158+G158</f>
        <v>3.931</v>
      </c>
      <c r="R158" s="144" t="n">
        <f aca="false">O158+L158+I158</f>
        <v>0</v>
      </c>
      <c r="S158" s="145"/>
      <c r="T158" s="71" t="n">
        <f aca="false">A159-A158</f>
        <v>31</v>
      </c>
      <c r="U158" s="146" t="n">
        <f aca="false">CHOOSE(F$3,A159+24,A158)</f>
        <v>41542</v>
      </c>
      <c r="V158" s="71" t="n">
        <f aca="false">U158-C$3</f>
        <v>4654</v>
      </c>
      <c r="W158" s="142" t="n">
        <f aca="false">VLOOKUP($A158,Table,MATCH(W$4,Curves,0))</f>
        <v>0.058966861357273</v>
      </c>
      <c r="X158" s="147" t="n">
        <f aca="false">1/(1+CHOOSE(F$3,(W159+($K$3/10000))/2,(W158+($K$3/10000))/2))^(2*V158/365.25)</f>
        <v>0.476880179161</v>
      </c>
      <c r="Y158" s="71" t="n">
        <f aca="false">IF(AND(mthbeg&lt;=A158,mthend&gt;=A158),1,0)</f>
        <v>0</v>
      </c>
      <c r="Z158" s="71" t="n">
        <f aca="false">T158*Y158</f>
        <v>0</v>
      </c>
      <c r="AB158" s="132" t="n">
        <f aca="false">F158*G158</f>
        <v>0</v>
      </c>
      <c r="AC158" s="132" t="n">
        <f aca="false">$F158*H158</f>
        <v>0</v>
      </c>
      <c r="AD158" s="132" t="n">
        <f aca="false">$F158*I158</f>
        <v>0</v>
      </c>
      <c r="AE158" s="132" t="n">
        <f aca="false">$F158*J158</f>
        <v>-0</v>
      </c>
      <c r="AF158" s="132" t="n">
        <f aca="false">$F158*K158</f>
        <v>-0</v>
      </c>
      <c r="AG158" s="132" t="n">
        <f aca="false">$F158*L158</f>
        <v>0</v>
      </c>
      <c r="AH158" s="132" t="n">
        <f aca="false">$F158*M158</f>
        <v>0</v>
      </c>
      <c r="AI158" s="132" t="n">
        <f aca="false">$F158*N158</f>
        <v>0</v>
      </c>
      <c r="AJ158" s="132" t="n">
        <f aca="false">F158*O158</f>
        <v>0</v>
      </c>
      <c r="AK158" s="137"/>
      <c r="AL158" s="132" t="n">
        <f aca="false">CHOOSE($G$3,AC158-AD158,AD158-AC158)</f>
        <v>0</v>
      </c>
      <c r="AM158" s="132" t="n">
        <f aca="false">CHOOSE($G$3,AF158-AG158,AG158-AF158)</f>
        <v>0</v>
      </c>
      <c r="AN158" s="132" t="n">
        <f aca="false">CHOOSE($G$3,AI158-AJ158,AJ158-AI158)</f>
        <v>0</v>
      </c>
      <c r="AO158" s="148" t="n">
        <f aca="false">SUM(AL158:AN158)</f>
        <v>0</v>
      </c>
      <c r="AQ158" s="132" t="n">
        <f aca="false">CHOOSE($G$3,AB158-AC158,AC158-AB158)</f>
        <v>0</v>
      </c>
      <c r="AR158" s="132" t="n">
        <f aca="false">CHOOSE($G$3,AE158-AF158,AF158-AE158)</f>
        <v>0</v>
      </c>
      <c r="AS158" s="132" t="n">
        <f aca="false">CHOOSE($G$3,AH158-AI158,AI158-AH158)</f>
        <v>0</v>
      </c>
      <c r="AT158" s="148" t="n">
        <f aca="false">AQ158+AR158+AS158</f>
        <v>0</v>
      </c>
      <c r="AU158" s="148"/>
      <c r="AV158" s="133" t="n">
        <f aca="false">AT158+AO158</f>
        <v>0</v>
      </c>
      <c r="AX158" s="133" t="n">
        <f aca="false">AJ158+AG158+AD158</f>
        <v>0</v>
      </c>
      <c r="AY158" s="149"/>
      <c r="AZ158" s="76" t="n">
        <f aca="false">R158*E158</f>
        <v>0</v>
      </c>
    </row>
    <row r="159" customFormat="false" ht="12.75" hidden="false" customHeight="false" outlineLevel="0" collapsed="false">
      <c r="A159" s="138" t="n">
        <f aca="false">EDATE(A158,1)</f>
        <v>41518</v>
      </c>
      <c r="B159" s="139" t="n">
        <f aca="false">VLOOKUP($A159,Table2,MATCH(I$3,Curves2,0))</f>
        <v>0</v>
      </c>
      <c r="C159" s="140"/>
      <c r="D159" s="141" t="n">
        <f aca="false">B159+C159</f>
        <v>0</v>
      </c>
      <c r="E159" s="126" t="n">
        <f aca="false">IF(Y159=0,0,IF(AND(Y159=1,$H$3=1),D159*T159,IF($H$3=2,D159,"N/A")))</f>
        <v>0</v>
      </c>
      <c r="F159" s="126" t="n">
        <f aca="false">E159*X159</f>
        <v>0</v>
      </c>
      <c r="G159" s="142" t="n">
        <f aca="false">VLOOKUP($A159,Table,MATCH(G$4,Curves,0))</f>
        <v>3.987</v>
      </c>
      <c r="H159" s="143" t="n">
        <f aca="false">G159</f>
        <v>3.987</v>
      </c>
      <c r="I159" s="142" t="n">
        <f aca="false">VLOOKUP($A159,Table1,MATCH(I$3,Curves1,0))</f>
        <v>0</v>
      </c>
      <c r="J159" s="142" t="n">
        <f aca="false">VLOOKUP($A159,Table,MATCH(J$4,Curves,0))</f>
        <v>-0.061</v>
      </c>
      <c r="K159" s="143" t="n">
        <f aca="false">J159</f>
        <v>-0.061</v>
      </c>
      <c r="L159" s="144" t="n">
        <v>0</v>
      </c>
      <c r="M159" s="142" t="n">
        <f aca="false">VLOOKUP($A159,Table,MATCH(M$4,Curves,0))</f>
        <v>0.005</v>
      </c>
      <c r="N159" s="143" t="n">
        <f aca="false">M159</f>
        <v>0.005</v>
      </c>
      <c r="O159" s="144" t="n">
        <v>0</v>
      </c>
      <c r="P159" s="145"/>
      <c r="Q159" s="144" t="n">
        <f aca="false">M159+J159+G159</f>
        <v>3.931</v>
      </c>
      <c r="R159" s="144" t="n">
        <f aca="false">O159+L159+I159</f>
        <v>0</v>
      </c>
      <c r="S159" s="145"/>
      <c r="T159" s="71" t="n">
        <f aca="false">A160-A159</f>
        <v>30</v>
      </c>
      <c r="U159" s="146" t="n">
        <f aca="false">CHOOSE(F$3,A160+24,A159)</f>
        <v>41572</v>
      </c>
      <c r="V159" s="71" t="n">
        <f aca="false">U159-C$3</f>
        <v>4684</v>
      </c>
      <c r="W159" s="142" t="n">
        <f aca="false">VLOOKUP($A159,Table,MATCH(W$4,Curves,0))</f>
        <v>0.058966861357273</v>
      </c>
      <c r="X159" s="147" t="n">
        <f aca="false">1/(1+CHOOSE(F$3,(W160+($K$3/10000))/2,(W159+($K$3/10000))/2))^(2*V159/365.25)</f>
        <v>0.474609335322057</v>
      </c>
      <c r="Y159" s="71" t="n">
        <f aca="false">IF(AND(mthbeg&lt;=A159,mthend&gt;=A159),1,0)</f>
        <v>0</v>
      </c>
      <c r="Z159" s="71" t="n">
        <f aca="false">T159*Y159</f>
        <v>0</v>
      </c>
      <c r="AB159" s="132" t="n">
        <f aca="false">F159*G159</f>
        <v>0</v>
      </c>
      <c r="AC159" s="132" t="n">
        <f aca="false">$F159*H159</f>
        <v>0</v>
      </c>
      <c r="AD159" s="132" t="n">
        <f aca="false">$F159*I159</f>
        <v>0</v>
      </c>
      <c r="AE159" s="132" t="n">
        <f aca="false">$F159*J159</f>
        <v>-0</v>
      </c>
      <c r="AF159" s="132" t="n">
        <f aca="false">$F159*K159</f>
        <v>-0</v>
      </c>
      <c r="AG159" s="132" t="n">
        <f aca="false">$F159*L159</f>
        <v>0</v>
      </c>
      <c r="AH159" s="132" t="n">
        <f aca="false">$F159*M159</f>
        <v>0</v>
      </c>
      <c r="AI159" s="132" t="n">
        <f aca="false">$F159*N159</f>
        <v>0</v>
      </c>
      <c r="AJ159" s="132" t="n">
        <f aca="false">F159*O159</f>
        <v>0</v>
      </c>
      <c r="AK159" s="137"/>
      <c r="AL159" s="132" t="n">
        <f aca="false">CHOOSE($G$3,AC159-AD159,AD159-AC159)</f>
        <v>0</v>
      </c>
      <c r="AM159" s="132" t="n">
        <f aca="false">CHOOSE($G$3,AF159-AG159,AG159-AF159)</f>
        <v>0</v>
      </c>
      <c r="AN159" s="132" t="n">
        <f aca="false">CHOOSE($G$3,AI159-AJ159,AJ159-AI159)</f>
        <v>0</v>
      </c>
      <c r="AO159" s="148" t="n">
        <f aca="false">SUM(AL159:AN159)</f>
        <v>0</v>
      </c>
      <c r="AQ159" s="132" t="n">
        <f aca="false">CHOOSE($G$3,AB159-AC159,AC159-AB159)</f>
        <v>0</v>
      </c>
      <c r="AR159" s="132" t="n">
        <f aca="false">CHOOSE($G$3,AE159-AF159,AF159-AE159)</f>
        <v>0</v>
      </c>
      <c r="AS159" s="132" t="n">
        <f aca="false">CHOOSE($G$3,AH159-AI159,AI159-AH159)</f>
        <v>0</v>
      </c>
      <c r="AT159" s="148" t="n">
        <f aca="false">AQ159+AR159+AS159</f>
        <v>0</v>
      </c>
      <c r="AU159" s="148"/>
      <c r="AV159" s="133" t="n">
        <f aca="false">AT159+AO159</f>
        <v>0</v>
      </c>
      <c r="AX159" s="133" t="n">
        <f aca="false">AJ159+AG159+AD159</f>
        <v>0</v>
      </c>
      <c r="AY159" s="149"/>
      <c r="AZ159" s="76" t="n">
        <f aca="false">R159*E159</f>
        <v>0</v>
      </c>
    </row>
    <row r="160" customFormat="false" ht="12.75" hidden="false" customHeight="false" outlineLevel="0" collapsed="false">
      <c r="A160" s="138" t="n">
        <f aca="false">EDATE(A159,1)</f>
        <v>41548</v>
      </c>
      <c r="B160" s="139" t="n">
        <f aca="false">VLOOKUP($A160,Table2,MATCH(I$3,Curves2,0))</f>
        <v>0</v>
      </c>
      <c r="C160" s="140"/>
      <c r="D160" s="141" t="n">
        <f aca="false">B160+C160</f>
        <v>0</v>
      </c>
      <c r="E160" s="126" t="n">
        <f aca="false">IF(Y160=0,0,IF(AND(Y160=1,$H$3=1),D160*T160,IF($H$3=2,D160,"N/A")))</f>
        <v>0</v>
      </c>
      <c r="F160" s="126" t="n">
        <f aca="false">E160*X160</f>
        <v>0</v>
      </c>
      <c r="G160" s="142" t="n">
        <f aca="false">VLOOKUP($A160,Table,MATCH(G$4,Curves,0))</f>
        <v>3.987</v>
      </c>
      <c r="H160" s="143" t="n">
        <f aca="false">G160</f>
        <v>3.987</v>
      </c>
      <c r="I160" s="142" t="n">
        <f aca="false">VLOOKUP($A160,Table1,MATCH(I$3,Curves1,0))</f>
        <v>0</v>
      </c>
      <c r="J160" s="142" t="n">
        <f aca="false">VLOOKUP($A160,Table,MATCH(J$4,Curves,0))</f>
        <v>-0.061</v>
      </c>
      <c r="K160" s="143" t="n">
        <f aca="false">J160</f>
        <v>-0.061</v>
      </c>
      <c r="L160" s="144" t="n">
        <v>0</v>
      </c>
      <c r="M160" s="142" t="n">
        <f aca="false">VLOOKUP($A160,Table,MATCH(M$4,Curves,0))</f>
        <v>0.005</v>
      </c>
      <c r="N160" s="143" t="n">
        <f aca="false">M160</f>
        <v>0.005</v>
      </c>
      <c r="O160" s="144" t="n">
        <v>0</v>
      </c>
      <c r="P160" s="145"/>
      <c r="Q160" s="144" t="n">
        <f aca="false">M160+J160+G160</f>
        <v>3.931</v>
      </c>
      <c r="R160" s="144" t="n">
        <f aca="false">O160+L160+I160</f>
        <v>0</v>
      </c>
      <c r="S160" s="145"/>
      <c r="T160" s="71" t="n">
        <f aca="false">A161-A160</f>
        <v>31</v>
      </c>
      <c r="U160" s="146" t="n">
        <f aca="false">CHOOSE(F$3,A161+24,A160)</f>
        <v>41603</v>
      </c>
      <c r="V160" s="71" t="n">
        <f aca="false">U160-C$3</f>
        <v>4715</v>
      </c>
      <c r="W160" s="142" t="n">
        <f aca="false">VLOOKUP($A160,Table,MATCH(W$4,Curves,0))</f>
        <v>0.058966861357273</v>
      </c>
      <c r="X160" s="147" t="n">
        <f aca="false">1/(1+CHOOSE(F$3,(W161+($K$3/10000))/2,(W160+($K$3/10000))/2))^(2*V160/365.25)</f>
        <v>0.472274156242623</v>
      </c>
      <c r="Y160" s="71" t="n">
        <f aca="false">IF(AND(mthbeg&lt;=A160,mthend&gt;=A160),1,0)</f>
        <v>0</v>
      </c>
      <c r="Z160" s="71" t="n">
        <f aca="false">T160*Y160</f>
        <v>0</v>
      </c>
      <c r="AB160" s="132" t="n">
        <f aca="false">F160*G160</f>
        <v>0</v>
      </c>
      <c r="AC160" s="132" t="n">
        <f aca="false">$F160*H160</f>
        <v>0</v>
      </c>
      <c r="AD160" s="132" t="n">
        <f aca="false">$F160*I160</f>
        <v>0</v>
      </c>
      <c r="AE160" s="132" t="n">
        <f aca="false">$F160*J160</f>
        <v>-0</v>
      </c>
      <c r="AF160" s="132" t="n">
        <f aca="false">$F160*K160</f>
        <v>-0</v>
      </c>
      <c r="AG160" s="132" t="n">
        <f aca="false">$F160*L160</f>
        <v>0</v>
      </c>
      <c r="AH160" s="132" t="n">
        <f aca="false">$F160*M160</f>
        <v>0</v>
      </c>
      <c r="AI160" s="132" t="n">
        <f aca="false">$F160*N160</f>
        <v>0</v>
      </c>
      <c r="AJ160" s="132" t="n">
        <f aca="false">F160*O160</f>
        <v>0</v>
      </c>
      <c r="AK160" s="137"/>
      <c r="AL160" s="132" t="n">
        <f aca="false">CHOOSE($G$3,AC160-AD160,AD160-AC160)</f>
        <v>0</v>
      </c>
      <c r="AM160" s="132" t="n">
        <f aca="false">CHOOSE($G$3,AF160-AG160,AG160-AF160)</f>
        <v>0</v>
      </c>
      <c r="AN160" s="132" t="n">
        <f aca="false">CHOOSE($G$3,AI160-AJ160,AJ160-AI160)</f>
        <v>0</v>
      </c>
      <c r="AO160" s="148" t="n">
        <f aca="false">SUM(AL160:AN160)</f>
        <v>0</v>
      </c>
      <c r="AQ160" s="132" t="n">
        <f aca="false">CHOOSE($G$3,AB160-AC160,AC160-AB160)</f>
        <v>0</v>
      </c>
      <c r="AR160" s="132" t="n">
        <f aca="false">CHOOSE($G$3,AE160-AF160,AF160-AE160)</f>
        <v>0</v>
      </c>
      <c r="AS160" s="132" t="n">
        <f aca="false">CHOOSE($G$3,AH160-AI160,AI160-AH160)</f>
        <v>0</v>
      </c>
      <c r="AT160" s="148" t="n">
        <f aca="false">AQ160+AR160+AS160</f>
        <v>0</v>
      </c>
      <c r="AU160" s="148"/>
      <c r="AV160" s="133" t="n">
        <f aca="false">AT160+AO160</f>
        <v>0</v>
      </c>
      <c r="AX160" s="133" t="n">
        <f aca="false">AJ160+AG160+AD160</f>
        <v>0</v>
      </c>
      <c r="AY160" s="149"/>
      <c r="AZ160" s="76" t="n">
        <f aca="false">R160*E160</f>
        <v>0</v>
      </c>
    </row>
    <row r="161" customFormat="false" ht="12.75" hidden="false" customHeight="false" outlineLevel="0" collapsed="false">
      <c r="A161" s="138" t="n">
        <f aca="false">EDATE(A160,1)</f>
        <v>41579</v>
      </c>
      <c r="B161" s="139" t="n">
        <f aca="false">VLOOKUP($A161,Table2,MATCH(I$3,Curves2,0))</f>
        <v>0</v>
      </c>
      <c r="C161" s="140"/>
      <c r="D161" s="141" t="n">
        <f aca="false">B161+C161</f>
        <v>0</v>
      </c>
      <c r="E161" s="126" t="n">
        <f aca="false">IF(Y161=0,0,IF(AND(Y161=1,$H$3=1),D161*T161,IF($H$3=2,D161,"N/A")))</f>
        <v>0</v>
      </c>
      <c r="F161" s="126" t="n">
        <f aca="false">E161*X161</f>
        <v>0</v>
      </c>
      <c r="G161" s="142" t="n">
        <f aca="false">VLOOKUP($A161,Table,MATCH(G$4,Curves,0))</f>
        <v>3.987</v>
      </c>
      <c r="H161" s="143" t="n">
        <f aca="false">G161</f>
        <v>3.987</v>
      </c>
      <c r="I161" s="142" t="n">
        <f aca="false">VLOOKUP($A161,Table1,MATCH(I$3,Curves1,0))</f>
        <v>0</v>
      </c>
      <c r="J161" s="142" t="n">
        <f aca="false">VLOOKUP($A161,Table,MATCH(J$4,Curves,0))</f>
        <v>-0.061</v>
      </c>
      <c r="K161" s="143" t="n">
        <f aca="false">J161</f>
        <v>-0.061</v>
      </c>
      <c r="L161" s="144" t="n">
        <v>0</v>
      </c>
      <c r="M161" s="142" t="n">
        <f aca="false">VLOOKUP($A161,Table,MATCH(M$4,Curves,0))</f>
        <v>0.005</v>
      </c>
      <c r="N161" s="143" t="n">
        <f aca="false">M161</f>
        <v>0.005</v>
      </c>
      <c r="O161" s="144" t="n">
        <v>0</v>
      </c>
      <c r="P161" s="145"/>
      <c r="Q161" s="144" t="n">
        <f aca="false">M161+J161+G161</f>
        <v>3.931</v>
      </c>
      <c r="R161" s="144" t="n">
        <f aca="false">O161+L161+I161</f>
        <v>0</v>
      </c>
      <c r="S161" s="145"/>
      <c r="T161" s="71" t="n">
        <f aca="false">A162-A161</f>
        <v>30</v>
      </c>
      <c r="U161" s="146" t="n">
        <f aca="false">CHOOSE(F$3,A162+24,A161)</f>
        <v>41633</v>
      </c>
      <c r="V161" s="71" t="n">
        <f aca="false">U161-C$3</f>
        <v>4745</v>
      </c>
      <c r="W161" s="142" t="n">
        <f aca="false">VLOOKUP($A161,Table,MATCH(W$4,Curves,0))</f>
        <v>0.058966861357273</v>
      </c>
      <c r="X161" s="147" t="n">
        <f aca="false">1/(1+CHOOSE(F$3,(W162+($K$3/10000))/2,(W161+($K$3/10000))/2))^(2*V161/365.25)</f>
        <v>0.470025245709409</v>
      </c>
      <c r="Y161" s="71" t="n">
        <f aca="false">IF(AND(mthbeg&lt;=A161,mthend&gt;=A161),1,0)</f>
        <v>0</v>
      </c>
      <c r="Z161" s="71" t="n">
        <f aca="false">T161*Y161</f>
        <v>0</v>
      </c>
      <c r="AB161" s="132" t="n">
        <f aca="false">F161*G161</f>
        <v>0</v>
      </c>
      <c r="AC161" s="132" t="n">
        <f aca="false">$F161*H161</f>
        <v>0</v>
      </c>
      <c r="AD161" s="132" t="n">
        <f aca="false">$F161*I161</f>
        <v>0</v>
      </c>
      <c r="AE161" s="132" t="n">
        <f aca="false">$F161*J161</f>
        <v>-0</v>
      </c>
      <c r="AF161" s="132" t="n">
        <f aca="false">$F161*K161</f>
        <v>-0</v>
      </c>
      <c r="AG161" s="132" t="n">
        <f aca="false">$F161*L161</f>
        <v>0</v>
      </c>
      <c r="AH161" s="132" t="n">
        <f aca="false">$F161*M161</f>
        <v>0</v>
      </c>
      <c r="AI161" s="132" t="n">
        <f aca="false">$F161*N161</f>
        <v>0</v>
      </c>
      <c r="AJ161" s="132" t="n">
        <f aca="false">F161*O161</f>
        <v>0</v>
      </c>
      <c r="AK161" s="137"/>
      <c r="AL161" s="132" t="n">
        <f aca="false">CHOOSE($G$3,AC161-AD161,AD161-AC161)</f>
        <v>0</v>
      </c>
      <c r="AM161" s="132" t="n">
        <f aca="false">CHOOSE($G$3,AF161-AG161,AG161-AF161)</f>
        <v>0</v>
      </c>
      <c r="AN161" s="132" t="n">
        <f aca="false">CHOOSE($G$3,AI161-AJ161,AJ161-AI161)</f>
        <v>0</v>
      </c>
      <c r="AO161" s="148" t="n">
        <f aca="false">SUM(AL161:AN161)</f>
        <v>0</v>
      </c>
      <c r="AQ161" s="132" t="n">
        <f aca="false">CHOOSE($G$3,AB161-AC161,AC161-AB161)</f>
        <v>0</v>
      </c>
      <c r="AR161" s="132" t="n">
        <f aca="false">CHOOSE($G$3,AE161-AF161,AF161-AE161)</f>
        <v>0</v>
      </c>
      <c r="AS161" s="132" t="n">
        <f aca="false">CHOOSE($G$3,AH161-AI161,AI161-AH161)</f>
        <v>0</v>
      </c>
      <c r="AT161" s="148" t="n">
        <f aca="false">AQ161+AR161+AS161</f>
        <v>0</v>
      </c>
      <c r="AU161" s="148"/>
      <c r="AV161" s="133" t="n">
        <f aca="false">AT161+AO161</f>
        <v>0</v>
      </c>
      <c r="AX161" s="133" t="n">
        <f aca="false">AJ161+AG161+AD161</f>
        <v>0</v>
      </c>
      <c r="AY161" s="149"/>
      <c r="AZ161" s="76" t="n">
        <f aca="false">R161*E161</f>
        <v>0</v>
      </c>
    </row>
    <row r="162" customFormat="false" ht="12.75" hidden="false" customHeight="false" outlineLevel="0" collapsed="false">
      <c r="A162" s="138" t="n">
        <f aca="false">EDATE(A161,1)</f>
        <v>41609</v>
      </c>
      <c r="B162" s="139" t="n">
        <f aca="false">VLOOKUP($A162,Table2,MATCH(I$3,Curves2,0))</f>
        <v>0</v>
      </c>
      <c r="C162" s="140"/>
      <c r="D162" s="141" t="n">
        <f aca="false">B162+C162</f>
        <v>0</v>
      </c>
      <c r="E162" s="126" t="n">
        <f aca="false">IF(Y162=0,0,IF(AND(Y162=1,$H$3=1),D162*T162,IF($H$3=2,D162,"N/A")))</f>
        <v>0</v>
      </c>
      <c r="F162" s="126" t="n">
        <f aca="false">E162*X162</f>
        <v>0</v>
      </c>
      <c r="G162" s="142" t="n">
        <f aca="false">VLOOKUP($A162,Table,MATCH(G$4,Curves,0))</f>
        <v>3.987</v>
      </c>
      <c r="H162" s="143" t="n">
        <f aca="false">G162</f>
        <v>3.987</v>
      </c>
      <c r="I162" s="142" t="n">
        <f aca="false">VLOOKUP($A162,Table1,MATCH(I$3,Curves1,0))</f>
        <v>0</v>
      </c>
      <c r="J162" s="142" t="n">
        <f aca="false">VLOOKUP($A162,Table,MATCH(J$4,Curves,0))</f>
        <v>-0.061</v>
      </c>
      <c r="K162" s="143" t="n">
        <f aca="false">J162</f>
        <v>-0.061</v>
      </c>
      <c r="L162" s="144" t="n">
        <v>0</v>
      </c>
      <c r="M162" s="142" t="n">
        <f aca="false">VLOOKUP($A162,Table,MATCH(M$4,Curves,0))</f>
        <v>0.005</v>
      </c>
      <c r="N162" s="143" t="n">
        <f aca="false">M162</f>
        <v>0.005</v>
      </c>
      <c r="O162" s="144" t="n">
        <v>0</v>
      </c>
      <c r="P162" s="145"/>
      <c r="Q162" s="144" t="n">
        <f aca="false">M162+J162+G162</f>
        <v>3.931</v>
      </c>
      <c r="R162" s="144" t="n">
        <f aca="false">O162+L162+I162</f>
        <v>0</v>
      </c>
      <c r="S162" s="145"/>
      <c r="T162" s="71" t="n">
        <f aca="false">A163-A162</f>
        <v>31</v>
      </c>
      <c r="U162" s="146" t="n">
        <f aca="false">CHOOSE(F$3,A163+24,A162)</f>
        <v>41664</v>
      </c>
      <c r="V162" s="71" t="n">
        <f aca="false">U162-C$3</f>
        <v>4776</v>
      </c>
      <c r="W162" s="142" t="n">
        <f aca="false">VLOOKUP($A162,Table,MATCH(W$4,Curves,0))</f>
        <v>0.058966861357273</v>
      </c>
      <c r="X162" s="147" t="n">
        <f aca="false">1/(1+CHOOSE(F$3,(W163+($K$3/10000))/2,(W162+($K$3/10000))/2))^(2*V162/365.25)</f>
        <v>0.467712621327839</v>
      </c>
      <c r="Y162" s="71" t="n">
        <f aca="false">IF(AND(mthbeg&lt;=A162,mthend&gt;=A162),1,0)</f>
        <v>0</v>
      </c>
      <c r="Z162" s="71" t="n">
        <f aca="false">T162*Y162</f>
        <v>0</v>
      </c>
      <c r="AB162" s="132" t="n">
        <f aca="false">F162*G162</f>
        <v>0</v>
      </c>
      <c r="AC162" s="132" t="n">
        <f aca="false">$F162*H162</f>
        <v>0</v>
      </c>
      <c r="AD162" s="132" t="n">
        <f aca="false">$F162*I162</f>
        <v>0</v>
      </c>
      <c r="AE162" s="132" t="n">
        <f aca="false">$F162*J162</f>
        <v>-0</v>
      </c>
      <c r="AF162" s="132" t="n">
        <f aca="false">$F162*K162</f>
        <v>-0</v>
      </c>
      <c r="AG162" s="132" t="n">
        <f aca="false">$F162*L162</f>
        <v>0</v>
      </c>
      <c r="AH162" s="132" t="n">
        <f aca="false">$F162*M162</f>
        <v>0</v>
      </c>
      <c r="AI162" s="132" t="n">
        <f aca="false">$F162*N162</f>
        <v>0</v>
      </c>
      <c r="AJ162" s="132" t="n">
        <f aca="false">F162*O162</f>
        <v>0</v>
      </c>
      <c r="AK162" s="137"/>
      <c r="AL162" s="132" t="n">
        <f aca="false">CHOOSE($G$3,AC162-AD162,AD162-AC162)</f>
        <v>0</v>
      </c>
      <c r="AM162" s="132" t="n">
        <f aca="false">CHOOSE($G$3,AF162-AG162,AG162-AF162)</f>
        <v>0</v>
      </c>
      <c r="AN162" s="132" t="n">
        <f aca="false">CHOOSE($G$3,AI162-AJ162,AJ162-AI162)</f>
        <v>0</v>
      </c>
      <c r="AO162" s="148" t="n">
        <f aca="false">SUM(AL162:AN162)</f>
        <v>0</v>
      </c>
      <c r="AQ162" s="132" t="n">
        <f aca="false">CHOOSE($G$3,AB162-AC162,AC162-AB162)</f>
        <v>0</v>
      </c>
      <c r="AR162" s="132" t="n">
        <f aca="false">CHOOSE($G$3,AE162-AF162,AF162-AE162)</f>
        <v>0</v>
      </c>
      <c r="AS162" s="132" t="n">
        <f aca="false">CHOOSE($G$3,AH162-AI162,AI162-AH162)</f>
        <v>0</v>
      </c>
      <c r="AT162" s="148" t="n">
        <f aca="false">AQ162+AR162+AS162</f>
        <v>0</v>
      </c>
      <c r="AU162" s="148"/>
      <c r="AV162" s="133" t="n">
        <f aca="false">AT162+AO162</f>
        <v>0</v>
      </c>
      <c r="AX162" s="133" t="n">
        <f aca="false">AJ162+AG162+AD162</f>
        <v>0</v>
      </c>
      <c r="AY162" s="149"/>
      <c r="AZ162" s="76" t="n">
        <f aca="false">R162*E162</f>
        <v>0</v>
      </c>
    </row>
    <row r="163" customFormat="false" ht="12.75" hidden="false" customHeight="false" outlineLevel="0" collapsed="false">
      <c r="A163" s="138" t="n">
        <f aca="false">EDATE(A162,1)</f>
        <v>41640</v>
      </c>
      <c r="B163" s="139" t="n">
        <f aca="false">VLOOKUP($A163,Table2,MATCH(I$3,Curves2,0))</f>
        <v>0</v>
      </c>
      <c r="C163" s="140"/>
      <c r="D163" s="141" t="n">
        <f aca="false">B163+C163</f>
        <v>0</v>
      </c>
      <c r="E163" s="126" t="n">
        <f aca="false">IF(Y163=0,0,IF(AND(Y163=1,$H$3=1),D163*T163,IF($H$3=2,D163,"N/A")))</f>
        <v>0</v>
      </c>
      <c r="F163" s="126" t="n">
        <f aca="false">E163*X163</f>
        <v>0</v>
      </c>
      <c r="G163" s="142" t="n">
        <f aca="false">VLOOKUP($A163,Table,MATCH(G$4,Curves,0))</f>
        <v>3.987</v>
      </c>
      <c r="H163" s="143" t="n">
        <f aca="false">G163</f>
        <v>3.987</v>
      </c>
      <c r="I163" s="142" t="n">
        <f aca="false">VLOOKUP($A163,Table1,MATCH(I$3,Curves1,0))</f>
        <v>0</v>
      </c>
      <c r="J163" s="142" t="n">
        <f aca="false">VLOOKUP($A163,Table,MATCH(J$4,Curves,0))</f>
        <v>-0.061</v>
      </c>
      <c r="K163" s="143" t="n">
        <f aca="false">J163</f>
        <v>-0.061</v>
      </c>
      <c r="L163" s="144" t="n">
        <v>0</v>
      </c>
      <c r="M163" s="142" t="n">
        <f aca="false">VLOOKUP($A163,Table,MATCH(M$4,Curves,0))</f>
        <v>0.005</v>
      </c>
      <c r="N163" s="143" t="n">
        <f aca="false">M163</f>
        <v>0.005</v>
      </c>
      <c r="O163" s="144" t="n">
        <v>0</v>
      </c>
      <c r="P163" s="145"/>
      <c r="Q163" s="144" t="n">
        <f aca="false">M163+J163+G163</f>
        <v>3.931</v>
      </c>
      <c r="R163" s="144" t="n">
        <f aca="false">O163+L163+I163</f>
        <v>0</v>
      </c>
      <c r="S163" s="145"/>
      <c r="T163" s="71" t="n">
        <f aca="false">A164-A163</f>
        <v>31</v>
      </c>
      <c r="U163" s="146" t="n">
        <f aca="false">CHOOSE(F$3,A164+24,A163)</f>
        <v>41695</v>
      </c>
      <c r="V163" s="71" t="n">
        <f aca="false">U163-C$3</f>
        <v>4807</v>
      </c>
      <c r="W163" s="142" t="n">
        <f aca="false">VLOOKUP($A163,Table,MATCH(W$4,Curves,0))</f>
        <v>0.058966861357273</v>
      </c>
      <c r="X163" s="147" t="n">
        <f aca="false">1/(1+CHOOSE(F$3,(W164+($K$3/10000))/2,(W163+($K$3/10000))/2))^(2*V163/365.25)</f>
        <v>0.465411375551097</v>
      </c>
      <c r="Y163" s="71" t="n">
        <f aca="false">IF(AND(mthbeg&lt;=A163,mthend&gt;=A163),1,0)</f>
        <v>0</v>
      </c>
      <c r="Z163" s="71" t="n">
        <f aca="false">T163*Y163</f>
        <v>0</v>
      </c>
      <c r="AB163" s="132" t="n">
        <f aca="false">F163*G163</f>
        <v>0</v>
      </c>
      <c r="AC163" s="132" t="n">
        <f aca="false">$F163*H163</f>
        <v>0</v>
      </c>
      <c r="AD163" s="132" t="n">
        <f aca="false">$F163*I163</f>
        <v>0</v>
      </c>
      <c r="AE163" s="132" t="n">
        <f aca="false">$F163*J163</f>
        <v>-0</v>
      </c>
      <c r="AF163" s="132" t="n">
        <f aca="false">$F163*K163</f>
        <v>-0</v>
      </c>
      <c r="AG163" s="132" t="n">
        <f aca="false">$F163*L163</f>
        <v>0</v>
      </c>
      <c r="AH163" s="132" t="n">
        <f aca="false">$F163*M163</f>
        <v>0</v>
      </c>
      <c r="AI163" s="132" t="n">
        <f aca="false">$F163*N163</f>
        <v>0</v>
      </c>
      <c r="AJ163" s="132" t="n">
        <f aca="false">F163*O163</f>
        <v>0</v>
      </c>
      <c r="AK163" s="137"/>
      <c r="AL163" s="132" t="n">
        <f aca="false">CHOOSE($G$3,AC163-AD163,AD163-AC163)</f>
        <v>0</v>
      </c>
      <c r="AM163" s="132" t="n">
        <f aca="false">CHOOSE($G$3,AF163-AG163,AG163-AF163)</f>
        <v>0</v>
      </c>
      <c r="AN163" s="132" t="n">
        <f aca="false">CHOOSE($G$3,AI163-AJ163,AJ163-AI163)</f>
        <v>0</v>
      </c>
      <c r="AO163" s="148" t="n">
        <f aca="false">SUM(AL163:AN163)</f>
        <v>0</v>
      </c>
      <c r="AQ163" s="132" t="n">
        <f aca="false">CHOOSE($G$3,AB163-AC163,AC163-AB163)</f>
        <v>0</v>
      </c>
      <c r="AR163" s="132" t="n">
        <f aca="false">CHOOSE($G$3,AE163-AF163,AF163-AE163)</f>
        <v>0</v>
      </c>
      <c r="AS163" s="132" t="n">
        <f aca="false">CHOOSE($G$3,AH163-AI163,AI163-AH163)</f>
        <v>0</v>
      </c>
      <c r="AT163" s="148" t="n">
        <f aca="false">AQ163+AR163+AS163</f>
        <v>0</v>
      </c>
      <c r="AU163" s="148"/>
      <c r="AV163" s="133" t="n">
        <f aca="false">AT163+AO163</f>
        <v>0</v>
      </c>
      <c r="AX163" s="133" t="n">
        <f aca="false">AJ163+AG163+AD163</f>
        <v>0</v>
      </c>
      <c r="AY163" s="149"/>
      <c r="AZ163" s="76" t="n">
        <f aca="false">R163*E163</f>
        <v>0</v>
      </c>
    </row>
    <row r="164" customFormat="false" ht="12.75" hidden="false" customHeight="false" outlineLevel="0" collapsed="false">
      <c r="A164" s="138" t="n">
        <f aca="false">EDATE(A163,1)</f>
        <v>41671</v>
      </c>
      <c r="B164" s="139" t="n">
        <f aca="false">VLOOKUP($A164,Table2,MATCH(I$3,Curves2,0))</f>
        <v>0</v>
      </c>
      <c r="C164" s="140"/>
      <c r="D164" s="141" t="n">
        <f aca="false">B164+C164</f>
        <v>0</v>
      </c>
      <c r="E164" s="126" t="n">
        <f aca="false">IF(Y164=0,0,IF(AND(Y164=1,$H$3=1),D164*T164,IF($H$3=2,D164,"N/A")))</f>
        <v>0</v>
      </c>
      <c r="F164" s="126" t="n">
        <f aca="false">E164*X164</f>
        <v>0</v>
      </c>
      <c r="G164" s="142" t="n">
        <f aca="false">VLOOKUP($A164,Table,MATCH(G$4,Curves,0))</f>
        <v>3.987</v>
      </c>
      <c r="H164" s="143" t="n">
        <f aca="false">G164</f>
        <v>3.987</v>
      </c>
      <c r="I164" s="142" t="n">
        <f aca="false">VLOOKUP($A164,Table1,MATCH(I$3,Curves1,0))</f>
        <v>0</v>
      </c>
      <c r="J164" s="142" t="n">
        <f aca="false">VLOOKUP($A164,Table,MATCH(J$4,Curves,0))</f>
        <v>-0.061</v>
      </c>
      <c r="K164" s="143" t="n">
        <f aca="false">J164</f>
        <v>-0.061</v>
      </c>
      <c r="L164" s="144" t="n">
        <v>0</v>
      </c>
      <c r="M164" s="142" t="n">
        <f aca="false">VLOOKUP($A164,Table,MATCH(M$4,Curves,0))</f>
        <v>0.005</v>
      </c>
      <c r="N164" s="143" t="n">
        <f aca="false">M164</f>
        <v>0.005</v>
      </c>
      <c r="O164" s="144" t="n">
        <v>0</v>
      </c>
      <c r="P164" s="145"/>
      <c r="Q164" s="144" t="n">
        <f aca="false">M164+J164+G164</f>
        <v>3.931</v>
      </c>
      <c r="R164" s="144" t="n">
        <f aca="false">O164+L164+I164</f>
        <v>0</v>
      </c>
      <c r="S164" s="145"/>
      <c r="T164" s="71" t="n">
        <f aca="false">A165-A164</f>
        <v>28</v>
      </c>
      <c r="U164" s="146" t="n">
        <f aca="false">CHOOSE(F$3,A165+24,A164)</f>
        <v>41723</v>
      </c>
      <c r="V164" s="71" t="n">
        <f aca="false">U164-C$3</f>
        <v>4835</v>
      </c>
      <c r="W164" s="142" t="n">
        <f aca="false">VLOOKUP($A164,Table,MATCH(W$4,Curves,0))</f>
        <v>0.058966861357273</v>
      </c>
      <c r="X164" s="147" t="n">
        <f aca="false">1/(1+CHOOSE(F$3,(W165+($K$3/10000))/2,(W164+($K$3/10000))/2))^(2*V164/365.25)</f>
        <v>0.463342564558416</v>
      </c>
      <c r="Y164" s="71" t="n">
        <f aca="false">IF(AND(mthbeg&lt;=A164,mthend&gt;=A164),1,0)</f>
        <v>0</v>
      </c>
      <c r="Z164" s="71" t="n">
        <f aca="false">T164*Y164</f>
        <v>0</v>
      </c>
      <c r="AB164" s="132" t="n">
        <f aca="false">F164*G164</f>
        <v>0</v>
      </c>
      <c r="AC164" s="132" t="n">
        <f aca="false">$F164*H164</f>
        <v>0</v>
      </c>
      <c r="AD164" s="132" t="n">
        <f aca="false">$F164*I164</f>
        <v>0</v>
      </c>
      <c r="AE164" s="132" t="n">
        <f aca="false">$F164*J164</f>
        <v>-0</v>
      </c>
      <c r="AF164" s="132" t="n">
        <f aca="false">$F164*K164</f>
        <v>-0</v>
      </c>
      <c r="AG164" s="132" t="n">
        <f aca="false">$F164*L164</f>
        <v>0</v>
      </c>
      <c r="AH164" s="132" t="n">
        <f aca="false">$F164*M164</f>
        <v>0</v>
      </c>
      <c r="AI164" s="132" t="n">
        <f aca="false">$F164*N164</f>
        <v>0</v>
      </c>
      <c r="AJ164" s="132" t="n">
        <f aca="false">F164*O164</f>
        <v>0</v>
      </c>
      <c r="AK164" s="137"/>
      <c r="AL164" s="132" t="n">
        <f aca="false">CHOOSE($G$3,AC164-AD164,AD164-AC164)</f>
        <v>0</v>
      </c>
      <c r="AM164" s="132" t="n">
        <f aca="false">CHOOSE($G$3,AF164-AG164,AG164-AF164)</f>
        <v>0</v>
      </c>
      <c r="AN164" s="132" t="n">
        <f aca="false">CHOOSE($G$3,AI164-AJ164,AJ164-AI164)</f>
        <v>0</v>
      </c>
      <c r="AO164" s="148" t="n">
        <f aca="false">SUM(AL164:AN164)</f>
        <v>0</v>
      </c>
      <c r="AQ164" s="132" t="n">
        <f aca="false">CHOOSE($G$3,AB164-AC164,AC164-AB164)</f>
        <v>0</v>
      </c>
      <c r="AR164" s="132" t="n">
        <f aca="false">CHOOSE($G$3,AE164-AF164,AF164-AE164)</f>
        <v>0</v>
      </c>
      <c r="AS164" s="132" t="n">
        <f aca="false">CHOOSE($G$3,AH164-AI164,AI164-AH164)</f>
        <v>0</v>
      </c>
      <c r="AT164" s="148" t="n">
        <f aca="false">AQ164+AR164+AS164</f>
        <v>0</v>
      </c>
      <c r="AU164" s="148"/>
      <c r="AV164" s="133" t="n">
        <f aca="false">AT164+AO164</f>
        <v>0</v>
      </c>
      <c r="AX164" s="133" t="n">
        <f aca="false">AJ164+AG164+AD164</f>
        <v>0</v>
      </c>
      <c r="AY164" s="149"/>
      <c r="AZ164" s="76" t="n">
        <f aca="false">R164*E164</f>
        <v>0</v>
      </c>
    </row>
    <row r="165" customFormat="false" ht="12.75" hidden="false" customHeight="false" outlineLevel="0" collapsed="false">
      <c r="A165" s="138" t="n">
        <f aca="false">EDATE(A164,1)</f>
        <v>41699</v>
      </c>
      <c r="B165" s="139" t="n">
        <f aca="false">VLOOKUP($A165,Table2,MATCH(I$3,Curves2,0))</f>
        <v>0</v>
      </c>
      <c r="C165" s="140"/>
      <c r="D165" s="141" t="n">
        <f aca="false">B165+C165</f>
        <v>0</v>
      </c>
      <c r="E165" s="126" t="n">
        <f aca="false">IF(Y165=0,0,IF(AND(Y165=1,$H$3=1),D165*T165,IF($H$3=2,D165,"N/A")))</f>
        <v>0</v>
      </c>
      <c r="F165" s="126" t="n">
        <f aca="false">E165*X165</f>
        <v>0</v>
      </c>
      <c r="G165" s="142" t="n">
        <f aca="false">VLOOKUP($A165,Table,MATCH(G$4,Curves,0))</f>
        <v>3.987</v>
      </c>
      <c r="H165" s="143" t="n">
        <f aca="false">G165</f>
        <v>3.987</v>
      </c>
      <c r="I165" s="142" t="n">
        <f aca="false">VLOOKUP($A165,Table1,MATCH(I$3,Curves1,0))</f>
        <v>0</v>
      </c>
      <c r="J165" s="142" t="n">
        <f aca="false">VLOOKUP($A165,Table,MATCH(J$4,Curves,0))</f>
        <v>-0.061</v>
      </c>
      <c r="K165" s="143" t="n">
        <f aca="false">J165</f>
        <v>-0.061</v>
      </c>
      <c r="L165" s="144" t="n">
        <v>0</v>
      </c>
      <c r="M165" s="142" t="n">
        <f aca="false">VLOOKUP($A165,Table,MATCH(M$4,Curves,0))</f>
        <v>0.005</v>
      </c>
      <c r="N165" s="143" t="n">
        <f aca="false">M165</f>
        <v>0.005</v>
      </c>
      <c r="O165" s="144" t="n">
        <v>0</v>
      </c>
      <c r="P165" s="145"/>
      <c r="Q165" s="144" t="n">
        <f aca="false">M165+J165+G165</f>
        <v>3.931</v>
      </c>
      <c r="R165" s="144" t="n">
        <f aca="false">O165+L165+I165</f>
        <v>0</v>
      </c>
      <c r="S165" s="145"/>
      <c r="T165" s="71" t="n">
        <f aca="false">A166-A165</f>
        <v>31</v>
      </c>
      <c r="U165" s="146" t="n">
        <f aca="false">CHOOSE(F$3,A166+24,A165)</f>
        <v>41754</v>
      </c>
      <c r="V165" s="71" t="n">
        <f aca="false">U165-C$3</f>
        <v>4866</v>
      </c>
      <c r="W165" s="142" t="n">
        <f aca="false">VLOOKUP($A165,Table,MATCH(W$4,Curves,0))</f>
        <v>0.058966861357273</v>
      </c>
      <c r="X165" s="147" t="n">
        <f aca="false">1/(1+CHOOSE(F$3,(W166+($K$3/10000))/2,(W165+($K$3/10000))/2))^(2*V165/365.25)</f>
        <v>0.461062820392334</v>
      </c>
      <c r="Y165" s="71" t="n">
        <f aca="false">IF(AND(mthbeg&lt;=A165,mthend&gt;=A165),1,0)</f>
        <v>0</v>
      </c>
      <c r="Z165" s="71" t="n">
        <f aca="false">T165*Y165</f>
        <v>0</v>
      </c>
      <c r="AB165" s="132" t="n">
        <f aca="false">F165*G165</f>
        <v>0</v>
      </c>
      <c r="AC165" s="132" t="n">
        <f aca="false">$F165*H165</f>
        <v>0</v>
      </c>
      <c r="AD165" s="132" t="n">
        <f aca="false">$F165*I165</f>
        <v>0</v>
      </c>
      <c r="AE165" s="132" t="n">
        <f aca="false">$F165*J165</f>
        <v>-0</v>
      </c>
      <c r="AF165" s="132" t="n">
        <f aca="false">$F165*K165</f>
        <v>-0</v>
      </c>
      <c r="AG165" s="132" t="n">
        <f aca="false">$F165*L165</f>
        <v>0</v>
      </c>
      <c r="AH165" s="132" t="n">
        <f aca="false">$F165*M165</f>
        <v>0</v>
      </c>
      <c r="AI165" s="132" t="n">
        <f aca="false">$F165*N165</f>
        <v>0</v>
      </c>
      <c r="AJ165" s="132" t="n">
        <f aca="false">F165*O165</f>
        <v>0</v>
      </c>
      <c r="AK165" s="137"/>
      <c r="AL165" s="132" t="n">
        <f aca="false">CHOOSE($G$3,AC165-AD165,AD165-AC165)</f>
        <v>0</v>
      </c>
      <c r="AM165" s="132" t="n">
        <f aca="false">CHOOSE($G$3,AF165-AG165,AG165-AF165)</f>
        <v>0</v>
      </c>
      <c r="AN165" s="132" t="n">
        <f aca="false">CHOOSE($G$3,AI165-AJ165,AJ165-AI165)</f>
        <v>0</v>
      </c>
      <c r="AO165" s="148" t="n">
        <f aca="false">SUM(AL165:AN165)</f>
        <v>0</v>
      </c>
      <c r="AQ165" s="132" t="n">
        <f aca="false">CHOOSE($G$3,AB165-AC165,AC165-AB165)</f>
        <v>0</v>
      </c>
      <c r="AR165" s="132" t="n">
        <f aca="false">CHOOSE($G$3,AE165-AF165,AF165-AE165)</f>
        <v>0</v>
      </c>
      <c r="AS165" s="132" t="n">
        <f aca="false">CHOOSE($G$3,AH165-AI165,AI165-AH165)</f>
        <v>0</v>
      </c>
      <c r="AT165" s="148" t="n">
        <f aca="false">AQ165+AR165+AS165</f>
        <v>0</v>
      </c>
      <c r="AU165" s="148"/>
      <c r="AV165" s="133" t="n">
        <f aca="false">AT165+AO165</f>
        <v>0</v>
      </c>
      <c r="AX165" s="133" t="n">
        <f aca="false">AJ165+AG165+AD165</f>
        <v>0</v>
      </c>
      <c r="AY165" s="149"/>
      <c r="AZ165" s="76" t="n">
        <f aca="false">R165*E165</f>
        <v>0</v>
      </c>
    </row>
    <row r="166" customFormat="false" ht="12.75" hidden="false" customHeight="false" outlineLevel="0" collapsed="false">
      <c r="A166" s="138" t="n">
        <f aca="false">EDATE(A165,1)</f>
        <v>41730</v>
      </c>
      <c r="B166" s="139" t="n">
        <f aca="false">VLOOKUP($A166,Table2,MATCH(I$3,Curves2,0))</f>
        <v>0</v>
      </c>
      <c r="C166" s="140"/>
      <c r="D166" s="141" t="n">
        <f aca="false">B166+C166</f>
        <v>0</v>
      </c>
      <c r="E166" s="126" t="n">
        <f aca="false">IF(Y166=0,0,IF(AND(Y166=1,$H$3=1),D166*T166,IF($H$3=2,D166,"N/A")))</f>
        <v>0</v>
      </c>
      <c r="F166" s="126" t="n">
        <f aca="false">E166*X166</f>
        <v>0</v>
      </c>
      <c r="G166" s="142" t="n">
        <f aca="false">VLOOKUP($A166,Table,MATCH(G$4,Curves,0))</f>
        <v>3.987</v>
      </c>
      <c r="H166" s="143" t="n">
        <f aca="false">G166</f>
        <v>3.987</v>
      </c>
      <c r="I166" s="142" t="n">
        <f aca="false">VLOOKUP($A166,Table1,MATCH(I$3,Curves1,0))</f>
        <v>0</v>
      </c>
      <c r="J166" s="142" t="n">
        <f aca="false">VLOOKUP($A166,Table,MATCH(J$4,Curves,0))</f>
        <v>-0.061</v>
      </c>
      <c r="K166" s="143" t="n">
        <f aca="false">J166</f>
        <v>-0.061</v>
      </c>
      <c r="L166" s="144" t="n">
        <v>0</v>
      </c>
      <c r="M166" s="142" t="n">
        <f aca="false">VLOOKUP($A166,Table,MATCH(M$4,Curves,0))</f>
        <v>0.005</v>
      </c>
      <c r="N166" s="143" t="n">
        <f aca="false">M166</f>
        <v>0.005</v>
      </c>
      <c r="O166" s="144" t="n">
        <v>0</v>
      </c>
      <c r="P166" s="145"/>
      <c r="Q166" s="144" t="n">
        <f aca="false">M166+J166+G166</f>
        <v>3.931</v>
      </c>
      <c r="R166" s="144" t="n">
        <f aca="false">O166+L166+I166</f>
        <v>0</v>
      </c>
      <c r="S166" s="145"/>
      <c r="T166" s="71" t="n">
        <f aca="false">A167-A166</f>
        <v>30</v>
      </c>
      <c r="U166" s="146" t="n">
        <f aca="false">CHOOSE(F$3,A167+24,A166)</f>
        <v>41784</v>
      </c>
      <c r="V166" s="71" t="n">
        <f aca="false">U166-C$3</f>
        <v>4896</v>
      </c>
      <c r="W166" s="142" t="n">
        <f aca="false">VLOOKUP($A166,Table,MATCH(W$4,Curves,0))</f>
        <v>0.058966861357273</v>
      </c>
      <c r="X166" s="147" t="n">
        <f aca="false">1/(1+CHOOSE(F$3,(W167+($K$3/10000))/2,(W166+($K$3/10000))/2))^(2*V166/365.25)</f>
        <v>0.458867296839865</v>
      </c>
      <c r="Y166" s="71" t="n">
        <f aca="false">IF(AND(mthbeg&lt;=A166,mthend&gt;=A166),1,0)</f>
        <v>0</v>
      </c>
      <c r="Z166" s="71" t="n">
        <f aca="false">T166*Y166</f>
        <v>0</v>
      </c>
      <c r="AB166" s="132" t="n">
        <f aca="false">F166*G166</f>
        <v>0</v>
      </c>
      <c r="AC166" s="132" t="n">
        <f aca="false">$F166*H166</f>
        <v>0</v>
      </c>
      <c r="AD166" s="132" t="n">
        <f aca="false">$F166*I166</f>
        <v>0</v>
      </c>
      <c r="AE166" s="132" t="n">
        <f aca="false">$F166*J166</f>
        <v>-0</v>
      </c>
      <c r="AF166" s="132" t="n">
        <f aca="false">$F166*K166</f>
        <v>-0</v>
      </c>
      <c r="AG166" s="132" t="n">
        <f aca="false">$F166*L166</f>
        <v>0</v>
      </c>
      <c r="AH166" s="132" t="n">
        <f aca="false">$F166*M166</f>
        <v>0</v>
      </c>
      <c r="AI166" s="132" t="n">
        <f aca="false">$F166*N166</f>
        <v>0</v>
      </c>
      <c r="AJ166" s="132" t="n">
        <f aca="false">F166*O166</f>
        <v>0</v>
      </c>
      <c r="AK166" s="137"/>
      <c r="AL166" s="132" t="n">
        <f aca="false">CHOOSE($G$3,AC166-AD166,AD166-AC166)</f>
        <v>0</v>
      </c>
      <c r="AM166" s="132" t="n">
        <f aca="false">CHOOSE($G$3,AF166-AG166,AG166-AF166)</f>
        <v>0</v>
      </c>
      <c r="AN166" s="132" t="n">
        <f aca="false">CHOOSE($G$3,AI166-AJ166,AJ166-AI166)</f>
        <v>0</v>
      </c>
      <c r="AO166" s="148" t="n">
        <f aca="false">SUM(AL166:AN166)</f>
        <v>0</v>
      </c>
      <c r="AQ166" s="132" t="n">
        <f aca="false">CHOOSE($G$3,AB166-AC166,AC166-AB166)</f>
        <v>0</v>
      </c>
      <c r="AR166" s="132" t="n">
        <f aca="false">CHOOSE($G$3,AE166-AF166,AF166-AE166)</f>
        <v>0</v>
      </c>
      <c r="AS166" s="132" t="n">
        <f aca="false">CHOOSE($G$3,AH166-AI166,AI166-AH166)</f>
        <v>0</v>
      </c>
      <c r="AT166" s="148" t="n">
        <f aca="false">AQ166+AR166+AS166</f>
        <v>0</v>
      </c>
      <c r="AU166" s="148"/>
      <c r="AV166" s="133" t="n">
        <f aca="false">AT166+AO166</f>
        <v>0</v>
      </c>
      <c r="AX166" s="133" t="n">
        <f aca="false">AJ166+AG166+AD166</f>
        <v>0</v>
      </c>
      <c r="AY166" s="149"/>
      <c r="AZ166" s="76" t="n">
        <f aca="false">R166*E166</f>
        <v>0</v>
      </c>
    </row>
    <row r="167" customFormat="false" ht="12.75" hidden="false" customHeight="false" outlineLevel="0" collapsed="false">
      <c r="A167" s="138" t="n">
        <f aca="false">EDATE(A166,1)</f>
        <v>41760</v>
      </c>
      <c r="B167" s="139" t="n">
        <f aca="false">VLOOKUP($A167,Table2,MATCH(I$3,Curves2,0))</f>
        <v>0</v>
      </c>
      <c r="C167" s="140"/>
      <c r="D167" s="141" t="n">
        <f aca="false">B167+C167</f>
        <v>0</v>
      </c>
      <c r="E167" s="126" t="n">
        <f aca="false">IF(Y167=0,0,IF(AND(Y167=1,$H$3=1),D167*T167,IF($H$3=2,D167,"N/A")))</f>
        <v>0</v>
      </c>
      <c r="F167" s="126" t="n">
        <f aca="false">E167*X167</f>
        <v>0</v>
      </c>
      <c r="G167" s="142" t="n">
        <f aca="false">VLOOKUP($A167,Table,MATCH(G$4,Curves,0))</f>
        <v>3.987</v>
      </c>
      <c r="H167" s="143" t="n">
        <f aca="false">G167</f>
        <v>3.987</v>
      </c>
      <c r="I167" s="142" t="n">
        <f aca="false">VLOOKUP($A167,Table1,MATCH(I$3,Curves1,0))</f>
        <v>0</v>
      </c>
      <c r="J167" s="142" t="n">
        <f aca="false">VLOOKUP($A167,Table,MATCH(J$4,Curves,0))</f>
        <v>-0.061</v>
      </c>
      <c r="K167" s="143" t="n">
        <f aca="false">J167</f>
        <v>-0.061</v>
      </c>
      <c r="L167" s="144" t="n">
        <v>0</v>
      </c>
      <c r="M167" s="142" t="n">
        <f aca="false">VLOOKUP($A167,Table,MATCH(M$4,Curves,0))</f>
        <v>0.005</v>
      </c>
      <c r="N167" s="143" t="n">
        <f aca="false">M167</f>
        <v>0.005</v>
      </c>
      <c r="O167" s="144" t="n">
        <v>0</v>
      </c>
      <c r="P167" s="145"/>
      <c r="Q167" s="144" t="n">
        <f aca="false">M167+J167+G167</f>
        <v>3.931</v>
      </c>
      <c r="R167" s="144" t="n">
        <f aca="false">O167+L167+I167</f>
        <v>0</v>
      </c>
      <c r="S167" s="145"/>
      <c r="T167" s="71" t="n">
        <f aca="false">A168-A167</f>
        <v>31</v>
      </c>
      <c r="U167" s="146" t="n">
        <f aca="false">CHOOSE(F$3,A168+24,A167)</f>
        <v>41815</v>
      </c>
      <c r="V167" s="71" t="n">
        <f aca="false">U167-C$3</f>
        <v>4927</v>
      </c>
      <c r="W167" s="142" t="n">
        <f aca="false">VLOOKUP($A167,Table,MATCH(W$4,Curves,0))</f>
        <v>0.058966861357273</v>
      </c>
      <c r="X167" s="147" t="n">
        <f aca="false">1/(1+CHOOSE(F$3,(W168+($K$3/10000))/2,(W167+($K$3/10000))/2))^(2*V167/365.25)</f>
        <v>0.456609571944736</v>
      </c>
      <c r="Y167" s="71" t="n">
        <f aca="false">IF(AND(mthbeg&lt;=A167,mthend&gt;=A167),1,0)</f>
        <v>0</v>
      </c>
      <c r="Z167" s="71" t="n">
        <f aca="false">T167*Y167</f>
        <v>0</v>
      </c>
      <c r="AB167" s="132" t="n">
        <f aca="false">F167*G167</f>
        <v>0</v>
      </c>
      <c r="AC167" s="132" t="n">
        <f aca="false">$F167*H167</f>
        <v>0</v>
      </c>
      <c r="AD167" s="132" t="n">
        <f aca="false">$F167*I167</f>
        <v>0</v>
      </c>
      <c r="AE167" s="132" t="n">
        <f aca="false">$F167*J167</f>
        <v>-0</v>
      </c>
      <c r="AF167" s="132" t="n">
        <f aca="false">$F167*K167</f>
        <v>-0</v>
      </c>
      <c r="AG167" s="132" t="n">
        <f aca="false">$F167*L167</f>
        <v>0</v>
      </c>
      <c r="AH167" s="132" t="n">
        <f aca="false">$F167*M167</f>
        <v>0</v>
      </c>
      <c r="AI167" s="132" t="n">
        <f aca="false">$F167*N167</f>
        <v>0</v>
      </c>
      <c r="AJ167" s="132" t="n">
        <f aca="false">F167*O167</f>
        <v>0</v>
      </c>
      <c r="AK167" s="137"/>
      <c r="AL167" s="132" t="n">
        <f aca="false">CHOOSE($G$3,AC167-AD167,AD167-AC167)</f>
        <v>0</v>
      </c>
      <c r="AM167" s="132" t="n">
        <f aca="false">CHOOSE($G$3,AF167-AG167,AG167-AF167)</f>
        <v>0</v>
      </c>
      <c r="AN167" s="132" t="n">
        <f aca="false">CHOOSE($G$3,AI167-AJ167,AJ167-AI167)</f>
        <v>0</v>
      </c>
      <c r="AO167" s="148" t="n">
        <f aca="false">SUM(AL167:AN167)</f>
        <v>0</v>
      </c>
      <c r="AQ167" s="132" t="n">
        <f aca="false">CHOOSE($G$3,AB167-AC167,AC167-AB167)</f>
        <v>0</v>
      </c>
      <c r="AR167" s="132" t="n">
        <f aca="false">CHOOSE($G$3,AE167-AF167,AF167-AE167)</f>
        <v>0</v>
      </c>
      <c r="AS167" s="132" t="n">
        <f aca="false">CHOOSE($G$3,AH167-AI167,AI167-AH167)</f>
        <v>0</v>
      </c>
      <c r="AT167" s="148" t="n">
        <f aca="false">AQ167+AR167+AS167</f>
        <v>0</v>
      </c>
      <c r="AU167" s="148"/>
      <c r="AV167" s="133" t="n">
        <f aca="false">AT167+AO167</f>
        <v>0</v>
      </c>
      <c r="AX167" s="133" t="n">
        <f aca="false">AJ167+AG167+AD167</f>
        <v>0</v>
      </c>
      <c r="AY167" s="149"/>
      <c r="AZ167" s="76" t="n">
        <f aca="false">R167*E167</f>
        <v>0</v>
      </c>
    </row>
    <row r="168" customFormat="false" ht="12.75" hidden="false" customHeight="false" outlineLevel="0" collapsed="false">
      <c r="A168" s="138" t="n">
        <f aca="false">EDATE(A167,1)</f>
        <v>41791</v>
      </c>
      <c r="B168" s="139" t="n">
        <f aca="false">VLOOKUP($A168,Table2,MATCH(I$3,Curves2,0))</f>
        <v>0</v>
      </c>
      <c r="C168" s="140"/>
      <c r="D168" s="141" t="n">
        <f aca="false">B168+C168</f>
        <v>0</v>
      </c>
      <c r="E168" s="126" t="n">
        <f aca="false">IF(Y168=0,0,IF(AND(Y168=1,$H$3=1),D168*T168,IF($H$3=2,D168,"N/A")))</f>
        <v>0</v>
      </c>
      <c r="F168" s="126" t="n">
        <f aca="false">E168*X168</f>
        <v>0</v>
      </c>
      <c r="G168" s="142" t="n">
        <f aca="false">VLOOKUP($A168,Table,MATCH(G$4,Curves,0))</f>
        <v>3.987</v>
      </c>
      <c r="H168" s="143" t="n">
        <f aca="false">G168</f>
        <v>3.987</v>
      </c>
      <c r="I168" s="142" t="n">
        <f aca="false">VLOOKUP($A168,Table1,MATCH(I$3,Curves1,0))</f>
        <v>0</v>
      </c>
      <c r="J168" s="142" t="n">
        <f aca="false">VLOOKUP($A168,Table,MATCH(J$4,Curves,0))</f>
        <v>-0.061</v>
      </c>
      <c r="K168" s="143" t="n">
        <f aca="false">J168</f>
        <v>-0.061</v>
      </c>
      <c r="L168" s="144" t="n">
        <v>0</v>
      </c>
      <c r="M168" s="142" t="n">
        <f aca="false">VLOOKUP($A168,Table,MATCH(M$4,Curves,0))</f>
        <v>0.005</v>
      </c>
      <c r="N168" s="143" t="n">
        <f aca="false">M168</f>
        <v>0.005</v>
      </c>
      <c r="O168" s="144" t="n">
        <v>0</v>
      </c>
      <c r="P168" s="145"/>
      <c r="Q168" s="144" t="n">
        <f aca="false">M168+J168+G168</f>
        <v>3.931</v>
      </c>
      <c r="R168" s="144" t="n">
        <f aca="false">O168+L168+I168</f>
        <v>0</v>
      </c>
      <c r="S168" s="145"/>
      <c r="T168" s="71" t="n">
        <f aca="false">A169-A168</f>
        <v>30</v>
      </c>
      <c r="U168" s="146" t="n">
        <f aca="false">CHOOSE(F$3,A169+24,A168)</f>
        <v>41845</v>
      </c>
      <c r="V168" s="71" t="n">
        <f aca="false">U168-C$3</f>
        <v>4957</v>
      </c>
      <c r="W168" s="142" t="n">
        <f aca="false">VLOOKUP($A168,Table,MATCH(W$4,Curves,0))</f>
        <v>0.058966861357273</v>
      </c>
      <c r="X168" s="147" t="n">
        <f aca="false">1/(1+CHOOSE(F$3,(W169+($K$3/10000))/2,(W168+($K$3/10000))/2))^(2*V168/365.25)</f>
        <v>0.454435254205052</v>
      </c>
      <c r="Y168" s="71" t="n">
        <f aca="false">IF(AND(mthbeg&lt;=A168,mthend&gt;=A168),1,0)</f>
        <v>0</v>
      </c>
      <c r="Z168" s="71" t="n">
        <f aca="false">T168*Y168</f>
        <v>0</v>
      </c>
      <c r="AB168" s="132" t="n">
        <f aca="false">F168*G168</f>
        <v>0</v>
      </c>
      <c r="AC168" s="132" t="n">
        <f aca="false">$F168*H168</f>
        <v>0</v>
      </c>
      <c r="AD168" s="132" t="n">
        <f aca="false">$F168*I168</f>
        <v>0</v>
      </c>
      <c r="AE168" s="132" t="n">
        <f aca="false">$F168*J168</f>
        <v>-0</v>
      </c>
      <c r="AF168" s="132" t="n">
        <f aca="false">$F168*K168</f>
        <v>-0</v>
      </c>
      <c r="AG168" s="132" t="n">
        <f aca="false">$F168*L168</f>
        <v>0</v>
      </c>
      <c r="AH168" s="132" t="n">
        <f aca="false">$F168*M168</f>
        <v>0</v>
      </c>
      <c r="AI168" s="132" t="n">
        <f aca="false">$F168*N168</f>
        <v>0</v>
      </c>
      <c r="AJ168" s="132" t="n">
        <f aca="false">F168*O168</f>
        <v>0</v>
      </c>
      <c r="AK168" s="137"/>
      <c r="AL168" s="132" t="n">
        <f aca="false">CHOOSE($G$3,AC168-AD168,AD168-AC168)</f>
        <v>0</v>
      </c>
      <c r="AM168" s="132" t="n">
        <f aca="false">CHOOSE($G$3,AF168-AG168,AG168-AF168)</f>
        <v>0</v>
      </c>
      <c r="AN168" s="132" t="n">
        <f aca="false">CHOOSE($G$3,AI168-AJ168,AJ168-AI168)</f>
        <v>0</v>
      </c>
      <c r="AO168" s="148" t="n">
        <f aca="false">SUM(AL168:AN168)</f>
        <v>0</v>
      </c>
      <c r="AQ168" s="132" t="n">
        <f aca="false">CHOOSE($G$3,AB168-AC168,AC168-AB168)</f>
        <v>0</v>
      </c>
      <c r="AR168" s="132" t="n">
        <f aca="false">CHOOSE($G$3,AE168-AF168,AF168-AE168)</f>
        <v>0</v>
      </c>
      <c r="AS168" s="132" t="n">
        <f aca="false">CHOOSE($G$3,AH168-AI168,AI168-AH168)</f>
        <v>0</v>
      </c>
      <c r="AT168" s="148" t="n">
        <f aca="false">AQ168+AR168+AS168</f>
        <v>0</v>
      </c>
      <c r="AU168" s="148"/>
      <c r="AV168" s="133" t="n">
        <f aca="false">AT168+AO168</f>
        <v>0</v>
      </c>
      <c r="AX168" s="133" t="n">
        <f aca="false">AJ168+AG168+AD168</f>
        <v>0</v>
      </c>
      <c r="AY168" s="149"/>
      <c r="AZ168" s="76" t="n">
        <f aca="false">R168*E168</f>
        <v>0</v>
      </c>
    </row>
    <row r="169" customFormat="false" ht="12.75" hidden="false" customHeight="false" outlineLevel="0" collapsed="false">
      <c r="A169" s="138" t="n">
        <f aca="false">EDATE(A168,1)</f>
        <v>41821</v>
      </c>
      <c r="B169" s="139" t="n">
        <f aca="false">VLOOKUP($A169,Table2,MATCH(I$3,Curves2,0))</f>
        <v>0</v>
      </c>
      <c r="C169" s="140"/>
      <c r="D169" s="141" t="n">
        <f aca="false">B169+C169</f>
        <v>0</v>
      </c>
      <c r="E169" s="126" t="n">
        <f aca="false">IF(Y169=0,0,IF(AND(Y169=1,$H$3=1),D169*T169,IF($H$3=2,D169,"N/A")))</f>
        <v>0</v>
      </c>
      <c r="F169" s="126" t="n">
        <f aca="false">E169*X169</f>
        <v>0</v>
      </c>
      <c r="G169" s="142" t="n">
        <f aca="false">VLOOKUP($A169,Table,MATCH(G$4,Curves,0))</f>
        <v>3.987</v>
      </c>
      <c r="H169" s="143" t="n">
        <f aca="false">G169</f>
        <v>3.987</v>
      </c>
      <c r="I169" s="142" t="n">
        <f aca="false">VLOOKUP($A169,Table1,MATCH(I$3,Curves1,0))</f>
        <v>0</v>
      </c>
      <c r="J169" s="142" t="n">
        <f aca="false">VLOOKUP($A169,Table,MATCH(J$4,Curves,0))</f>
        <v>-0.061</v>
      </c>
      <c r="K169" s="143" t="n">
        <f aca="false">J169</f>
        <v>-0.061</v>
      </c>
      <c r="L169" s="144" t="n">
        <v>0</v>
      </c>
      <c r="M169" s="142" t="n">
        <f aca="false">VLOOKUP($A169,Table,MATCH(M$4,Curves,0))</f>
        <v>0.005</v>
      </c>
      <c r="N169" s="143" t="n">
        <f aca="false">M169</f>
        <v>0.005</v>
      </c>
      <c r="O169" s="144" t="n">
        <v>0</v>
      </c>
      <c r="P169" s="145"/>
      <c r="Q169" s="144" t="n">
        <f aca="false">M169+J169+G169</f>
        <v>3.931</v>
      </c>
      <c r="R169" s="144" t="n">
        <f aca="false">O169+L169+I169</f>
        <v>0</v>
      </c>
      <c r="S169" s="145"/>
      <c r="T169" s="71" t="n">
        <f aca="false">A170-A169</f>
        <v>31</v>
      </c>
      <c r="U169" s="146" t="n">
        <f aca="false">CHOOSE(F$3,A170+24,A169)</f>
        <v>41876</v>
      </c>
      <c r="V169" s="71" t="n">
        <f aca="false">U169-C$3</f>
        <v>4988</v>
      </c>
      <c r="W169" s="142" t="n">
        <f aca="false">VLOOKUP($A169,Table,MATCH(W$4,Curves,0))</f>
        <v>0.058966861357273</v>
      </c>
      <c r="X169" s="147" t="n">
        <f aca="false">1/(1+CHOOSE(F$3,(W170+($K$3/10000))/2,(W169+($K$3/10000))/2))^(2*V169/365.25)</f>
        <v>0.452199335904252</v>
      </c>
      <c r="Y169" s="71" t="n">
        <f aca="false">IF(AND(mthbeg&lt;=A169,mthend&gt;=A169),1,0)</f>
        <v>0</v>
      </c>
      <c r="Z169" s="71" t="n">
        <f aca="false">T169*Y169</f>
        <v>0</v>
      </c>
      <c r="AB169" s="132" t="n">
        <f aca="false">F169*G169</f>
        <v>0</v>
      </c>
      <c r="AC169" s="132" t="n">
        <f aca="false">$F169*H169</f>
        <v>0</v>
      </c>
      <c r="AD169" s="132" t="n">
        <f aca="false">$F169*I169</f>
        <v>0</v>
      </c>
      <c r="AE169" s="132" t="n">
        <f aca="false">$F169*J169</f>
        <v>-0</v>
      </c>
      <c r="AF169" s="132" t="n">
        <f aca="false">$F169*K169</f>
        <v>-0</v>
      </c>
      <c r="AG169" s="132" t="n">
        <f aca="false">$F169*L169</f>
        <v>0</v>
      </c>
      <c r="AH169" s="132" t="n">
        <f aca="false">$F169*M169</f>
        <v>0</v>
      </c>
      <c r="AI169" s="132" t="n">
        <f aca="false">$F169*N169</f>
        <v>0</v>
      </c>
      <c r="AJ169" s="132" t="n">
        <f aca="false">F169*O169</f>
        <v>0</v>
      </c>
      <c r="AK169" s="137"/>
      <c r="AL169" s="132" t="n">
        <f aca="false">CHOOSE($G$3,AC169-AD169,AD169-AC169)</f>
        <v>0</v>
      </c>
      <c r="AM169" s="132" t="n">
        <f aca="false">CHOOSE($G$3,AF169-AG169,AG169-AF169)</f>
        <v>0</v>
      </c>
      <c r="AN169" s="132" t="n">
        <f aca="false">CHOOSE($G$3,AI169-AJ169,AJ169-AI169)</f>
        <v>0</v>
      </c>
      <c r="AO169" s="148" t="n">
        <f aca="false">SUM(AL169:AN169)</f>
        <v>0</v>
      </c>
      <c r="AQ169" s="132" t="n">
        <f aca="false">CHOOSE($G$3,AB169-AC169,AC169-AB169)</f>
        <v>0</v>
      </c>
      <c r="AR169" s="132" t="n">
        <f aca="false">CHOOSE($G$3,AE169-AF169,AF169-AE169)</f>
        <v>0</v>
      </c>
      <c r="AS169" s="132" t="n">
        <f aca="false">CHOOSE($G$3,AH169-AI169,AI169-AH169)</f>
        <v>0</v>
      </c>
      <c r="AT169" s="148" t="n">
        <f aca="false">AQ169+AR169+AS169</f>
        <v>0</v>
      </c>
      <c r="AU169" s="148"/>
      <c r="AV169" s="133" t="n">
        <f aca="false">AT169+AO169</f>
        <v>0</v>
      </c>
      <c r="AX169" s="133" t="n">
        <f aca="false">AJ169+AG169+AD169</f>
        <v>0</v>
      </c>
      <c r="AY169" s="149"/>
      <c r="AZ169" s="76" t="n">
        <f aca="false">R169*E169</f>
        <v>0</v>
      </c>
    </row>
    <row r="170" customFormat="false" ht="12" hidden="false" customHeight="true" outlineLevel="0" collapsed="false">
      <c r="A170" s="138" t="n">
        <f aca="false">EDATE(A169,1)</f>
        <v>41852</v>
      </c>
      <c r="B170" s="139" t="n">
        <f aca="false">VLOOKUP($A170,Table2,MATCH(I$3,Curves2,0))</f>
        <v>0</v>
      </c>
      <c r="C170" s="140"/>
      <c r="D170" s="141" t="n">
        <f aca="false">B170+C170</f>
        <v>0</v>
      </c>
      <c r="E170" s="126" t="n">
        <f aca="false">IF(Y170=0,0,IF(AND(Y170=1,$H$3=1),D170*T170,IF($H$3=2,D170,"N/A")))</f>
        <v>0</v>
      </c>
      <c r="F170" s="126" t="n">
        <f aca="false">E170*X170</f>
        <v>0</v>
      </c>
      <c r="G170" s="142" t="n">
        <f aca="false">VLOOKUP($A170,Table,MATCH(G$4,Curves,0))</f>
        <v>3.987</v>
      </c>
      <c r="H170" s="143" t="n">
        <f aca="false">G170</f>
        <v>3.987</v>
      </c>
      <c r="I170" s="142" t="n">
        <f aca="false">VLOOKUP($A170,Table1,MATCH(I$3,Curves1,0))</f>
        <v>0</v>
      </c>
      <c r="J170" s="142" t="n">
        <f aca="false">VLOOKUP($A170,Table,MATCH(J$4,Curves,0))</f>
        <v>-0.061</v>
      </c>
      <c r="K170" s="143" t="n">
        <f aca="false">J170</f>
        <v>-0.061</v>
      </c>
      <c r="L170" s="144" t="n">
        <v>0</v>
      </c>
      <c r="M170" s="142" t="n">
        <f aca="false">VLOOKUP($A170,Table,MATCH(M$4,Curves,0))</f>
        <v>0.005</v>
      </c>
      <c r="N170" s="143" t="n">
        <f aca="false">M170</f>
        <v>0.005</v>
      </c>
      <c r="O170" s="144" t="n">
        <v>0</v>
      </c>
      <c r="P170" s="145"/>
      <c r="Q170" s="144" t="n">
        <f aca="false">M170+J170+G170</f>
        <v>3.931</v>
      </c>
      <c r="R170" s="144" t="n">
        <f aca="false">O170+L170+I170</f>
        <v>0</v>
      </c>
      <c r="S170" s="145"/>
      <c r="T170" s="71" t="n">
        <f aca="false">A171-A170</f>
        <v>31</v>
      </c>
      <c r="U170" s="146" t="n">
        <f aca="false">CHOOSE(F$3,A171+24,A170)</f>
        <v>41907</v>
      </c>
      <c r="V170" s="71" t="n">
        <f aca="false">U170-C$3</f>
        <v>5019</v>
      </c>
      <c r="W170" s="142" t="n">
        <f aca="false">VLOOKUP($A170,Table,MATCH(W$4,Curves,0))</f>
        <v>0.058966861357273</v>
      </c>
      <c r="X170" s="147" t="n">
        <f aca="false">1/(1+CHOOSE(F$3,(W171+($K$3/10000))/2,(W170+($K$3/10000))/2))^(2*V170/365.25)</f>
        <v>0.449974418798015</v>
      </c>
      <c r="Y170" s="71" t="n">
        <f aca="false">IF(AND(mthbeg&lt;=A170,mthend&gt;=A170),1,0)</f>
        <v>0</v>
      </c>
      <c r="Z170" s="71" t="n">
        <f aca="false">T170*Y170</f>
        <v>0</v>
      </c>
      <c r="AB170" s="132" t="n">
        <f aca="false">F170*G170</f>
        <v>0</v>
      </c>
      <c r="AC170" s="132" t="n">
        <f aca="false">$F170*H170</f>
        <v>0</v>
      </c>
      <c r="AD170" s="132" t="n">
        <f aca="false">$F170*I170</f>
        <v>0</v>
      </c>
      <c r="AE170" s="132" t="n">
        <f aca="false">$F170*J170</f>
        <v>-0</v>
      </c>
      <c r="AF170" s="132" t="n">
        <f aca="false">$F170*K170</f>
        <v>-0</v>
      </c>
      <c r="AG170" s="132" t="n">
        <f aca="false">$F170*L170</f>
        <v>0</v>
      </c>
      <c r="AH170" s="132" t="n">
        <f aca="false">$F170*M170</f>
        <v>0</v>
      </c>
      <c r="AI170" s="132" t="n">
        <f aca="false">$F170*N170</f>
        <v>0</v>
      </c>
      <c r="AJ170" s="132" t="n">
        <f aca="false">F170*O170</f>
        <v>0</v>
      </c>
      <c r="AK170" s="137"/>
      <c r="AL170" s="132" t="n">
        <f aca="false">CHOOSE($G$3,AC170-AD170,AD170-AC170)</f>
        <v>0</v>
      </c>
      <c r="AM170" s="132" t="n">
        <f aca="false">CHOOSE($G$3,AF170-AG170,AG170-AF170)</f>
        <v>0</v>
      </c>
      <c r="AN170" s="132" t="n">
        <f aca="false">CHOOSE($G$3,AI170-AJ170,AJ170-AI170)</f>
        <v>0</v>
      </c>
      <c r="AO170" s="148" t="n">
        <f aca="false">SUM(AL170:AN170)</f>
        <v>0</v>
      </c>
      <c r="AQ170" s="132" t="n">
        <f aca="false">CHOOSE($G$3,AB170-AC170,AC170-AB170)</f>
        <v>0</v>
      </c>
      <c r="AR170" s="132" t="n">
        <f aca="false">CHOOSE($G$3,AE170-AF170,AF170-AE170)</f>
        <v>0</v>
      </c>
      <c r="AS170" s="132" t="n">
        <f aca="false">CHOOSE($G$3,AH170-AI170,AI170-AH170)</f>
        <v>0</v>
      </c>
      <c r="AT170" s="148" t="n">
        <f aca="false">AQ170+AR170+AS170</f>
        <v>0</v>
      </c>
      <c r="AU170" s="148"/>
      <c r="AV170" s="133" t="n">
        <f aca="false">AT170+AO170</f>
        <v>0</v>
      </c>
      <c r="AX170" s="133" t="n">
        <f aca="false">AJ170+AG170+AD170</f>
        <v>0</v>
      </c>
      <c r="AY170" s="149"/>
      <c r="AZ170" s="76" t="n">
        <f aca="false">R170*E170</f>
        <v>0</v>
      </c>
    </row>
    <row r="171" customFormat="false" ht="12" hidden="false" customHeight="true" outlineLevel="0" collapsed="false">
      <c r="A171" s="138" t="n">
        <f aca="false">EDATE(A170,1)</f>
        <v>41883</v>
      </c>
      <c r="B171" s="139" t="n">
        <f aca="false">VLOOKUP($A171,Table2,MATCH(I$3,Curves2,0))</f>
        <v>0</v>
      </c>
      <c r="C171" s="140"/>
      <c r="D171" s="141" t="n">
        <f aca="false">B171+C171</f>
        <v>0</v>
      </c>
      <c r="E171" s="126" t="n">
        <f aca="false">IF(Y171=0,0,IF(AND(Y171=1,$H$3=1),D171*T171,IF($H$3=2,D171,"N/A")))</f>
        <v>0</v>
      </c>
      <c r="F171" s="126" t="n">
        <f aca="false">E171*X171</f>
        <v>0</v>
      </c>
      <c r="G171" s="142" t="n">
        <f aca="false">VLOOKUP($A171,Table,MATCH(G$4,Curves,0))</f>
        <v>3.987</v>
      </c>
      <c r="H171" s="143" t="n">
        <f aca="false">G171</f>
        <v>3.987</v>
      </c>
      <c r="I171" s="142" t="n">
        <f aca="false">VLOOKUP($A171,Table1,MATCH(I$3,Curves1,0))</f>
        <v>0</v>
      </c>
      <c r="J171" s="142" t="n">
        <f aca="false">VLOOKUP($A171,Table,MATCH(J$4,Curves,0))</f>
        <v>-0.061</v>
      </c>
      <c r="K171" s="143" t="n">
        <f aca="false">J171</f>
        <v>-0.061</v>
      </c>
      <c r="L171" s="144" t="n">
        <v>0</v>
      </c>
      <c r="M171" s="142" t="n">
        <f aca="false">VLOOKUP($A171,Table,MATCH(M$4,Curves,0))</f>
        <v>0.005</v>
      </c>
      <c r="N171" s="143" t="n">
        <f aca="false">M171</f>
        <v>0.005</v>
      </c>
      <c r="O171" s="144" t="n">
        <v>0</v>
      </c>
      <c r="P171" s="145"/>
      <c r="Q171" s="144" t="n">
        <f aca="false">M171+J171+G171</f>
        <v>3.931</v>
      </c>
      <c r="R171" s="144" t="n">
        <f aca="false">O171+L171+I171</f>
        <v>0</v>
      </c>
      <c r="S171" s="145"/>
      <c r="T171" s="71" t="n">
        <f aca="false">A172-A171</f>
        <v>30</v>
      </c>
      <c r="U171" s="146" t="n">
        <f aca="false">CHOOSE(F$3,A172+24,A171)</f>
        <v>41937</v>
      </c>
      <c r="V171" s="71" t="n">
        <f aca="false">U171-C$3</f>
        <v>5049</v>
      </c>
      <c r="W171" s="142" t="n">
        <f aca="false">VLOOKUP($A171,Table,MATCH(W$4,Curves,0))</f>
        <v>0.058966861357273</v>
      </c>
      <c r="X171" s="147" t="n">
        <f aca="false">1/(1+CHOOSE(F$3,(W172+($K$3/10000))/2,(W171+($K$3/10000))/2))^(2*V171/365.25)</f>
        <v>0.44783169682872</v>
      </c>
      <c r="Y171" s="71" t="n">
        <f aca="false">IF(AND(mthbeg&lt;=A171,mthend&gt;=A171),1,0)</f>
        <v>0</v>
      </c>
      <c r="Z171" s="71" t="n">
        <f aca="false">T171*Y171</f>
        <v>0</v>
      </c>
      <c r="AB171" s="132" t="n">
        <f aca="false">F171*G171</f>
        <v>0</v>
      </c>
      <c r="AC171" s="132" t="n">
        <f aca="false">$F171*H171</f>
        <v>0</v>
      </c>
      <c r="AD171" s="132" t="n">
        <f aca="false">$F171*I171</f>
        <v>0</v>
      </c>
      <c r="AE171" s="132" t="n">
        <f aca="false">$F171*J171</f>
        <v>-0</v>
      </c>
      <c r="AF171" s="132" t="n">
        <f aca="false">$F171*K171</f>
        <v>-0</v>
      </c>
      <c r="AG171" s="132" t="n">
        <f aca="false">$F171*L171</f>
        <v>0</v>
      </c>
      <c r="AH171" s="132" t="n">
        <f aca="false">$F171*M171</f>
        <v>0</v>
      </c>
      <c r="AI171" s="132" t="n">
        <f aca="false">$F171*N171</f>
        <v>0</v>
      </c>
      <c r="AJ171" s="132" t="n">
        <f aca="false">F171*O171</f>
        <v>0</v>
      </c>
      <c r="AK171" s="137"/>
      <c r="AL171" s="132" t="n">
        <f aca="false">CHOOSE($G$3,AC171-AD171,AD171-AC171)</f>
        <v>0</v>
      </c>
      <c r="AM171" s="132" t="n">
        <f aca="false">CHOOSE($G$3,AF171-AG171,AG171-AF171)</f>
        <v>0</v>
      </c>
      <c r="AN171" s="132" t="n">
        <f aca="false">CHOOSE($G$3,AI171-AJ171,AJ171-AI171)</f>
        <v>0</v>
      </c>
      <c r="AO171" s="148" t="n">
        <f aca="false">SUM(AL171:AN171)</f>
        <v>0</v>
      </c>
      <c r="AQ171" s="132" t="n">
        <f aca="false">CHOOSE($G$3,AB171-AC171,AC171-AB171)</f>
        <v>0</v>
      </c>
      <c r="AR171" s="132" t="n">
        <f aca="false">CHOOSE($G$3,AE171-AF171,AF171-AE171)</f>
        <v>0</v>
      </c>
      <c r="AS171" s="132" t="n">
        <f aca="false">CHOOSE($G$3,AH171-AI171,AI171-AH171)</f>
        <v>0</v>
      </c>
      <c r="AT171" s="148" t="n">
        <f aca="false">AQ171+AR171+AS171</f>
        <v>0</v>
      </c>
      <c r="AU171" s="148"/>
      <c r="AV171" s="133" t="n">
        <f aca="false">AT171+AO171</f>
        <v>0</v>
      </c>
      <c r="AX171" s="133" t="n">
        <f aca="false">AJ171+AG171+AD171</f>
        <v>0</v>
      </c>
      <c r="AY171" s="149"/>
      <c r="AZ171" s="76" t="n">
        <f aca="false">R171*E171</f>
        <v>0</v>
      </c>
    </row>
    <row r="172" customFormat="false" ht="12" hidden="false" customHeight="true" outlineLevel="0" collapsed="false">
      <c r="A172" s="138" t="n">
        <f aca="false">EDATE(A171,1)</f>
        <v>41913</v>
      </c>
      <c r="B172" s="139" t="n">
        <f aca="false">VLOOKUP($A172,Table2,MATCH(I$3,Curves2,0))</f>
        <v>0</v>
      </c>
      <c r="C172" s="140"/>
      <c r="D172" s="141" t="n">
        <f aca="false">B172+C172</f>
        <v>0</v>
      </c>
      <c r="E172" s="126" t="n">
        <f aca="false">IF(Y172=0,0,IF(AND(Y172=1,$H$3=1),D172*T172,IF($H$3=2,D172,"N/A")))</f>
        <v>0</v>
      </c>
      <c r="F172" s="126" t="n">
        <f aca="false">E172*X172</f>
        <v>0</v>
      </c>
      <c r="G172" s="142" t="n">
        <f aca="false">VLOOKUP($A172,Table,MATCH(G$4,Curves,0))</f>
        <v>3.987</v>
      </c>
      <c r="H172" s="143" t="n">
        <f aca="false">G172</f>
        <v>3.987</v>
      </c>
      <c r="I172" s="142" t="n">
        <f aca="false">VLOOKUP($A172,Table1,MATCH(I$3,Curves1,0))</f>
        <v>0</v>
      </c>
      <c r="J172" s="142" t="n">
        <f aca="false">VLOOKUP($A172,Table,MATCH(J$4,Curves,0))</f>
        <v>-0.061</v>
      </c>
      <c r="K172" s="143" t="n">
        <f aca="false">J172</f>
        <v>-0.061</v>
      </c>
      <c r="L172" s="144" t="n">
        <v>0</v>
      </c>
      <c r="M172" s="142" t="n">
        <f aca="false">VLOOKUP($A172,Table,MATCH(M$4,Curves,0))</f>
        <v>0.005</v>
      </c>
      <c r="N172" s="143" t="n">
        <f aca="false">M172</f>
        <v>0.005</v>
      </c>
      <c r="O172" s="144" t="n">
        <v>0</v>
      </c>
      <c r="P172" s="145"/>
      <c r="Q172" s="144" t="n">
        <f aca="false">M172+J172+G172</f>
        <v>3.931</v>
      </c>
      <c r="R172" s="144" t="n">
        <f aca="false">O172+L172+I172</f>
        <v>0</v>
      </c>
      <c r="S172" s="145"/>
      <c r="T172" s="71" t="n">
        <f aca="false">A173-A172</f>
        <v>31</v>
      </c>
      <c r="U172" s="146" t="n">
        <f aca="false">CHOOSE(F$3,A173+24,A172)</f>
        <v>41968</v>
      </c>
      <c r="V172" s="71" t="n">
        <f aca="false">U172-C$3</f>
        <v>5080</v>
      </c>
      <c r="W172" s="142" t="n">
        <f aca="false">VLOOKUP($A172,Table,MATCH(W$4,Curves,0))</f>
        <v>0.058966861357273</v>
      </c>
      <c r="X172" s="147" t="n">
        <f aca="false">1/(1+CHOOSE(F$3,(W173+($K$3/10000))/2,(W172+($K$3/10000))/2))^(2*V172/365.25)</f>
        <v>0.445628269437574</v>
      </c>
      <c r="Y172" s="71" t="n">
        <f aca="false">IF(AND(mthbeg&lt;=A172,mthend&gt;=A172),1,0)</f>
        <v>0</v>
      </c>
      <c r="Z172" s="71" t="n">
        <f aca="false">T172*Y172</f>
        <v>0</v>
      </c>
      <c r="AB172" s="132" t="n">
        <f aca="false">F172*G172</f>
        <v>0</v>
      </c>
      <c r="AC172" s="132" t="n">
        <f aca="false">$F172*H172</f>
        <v>0</v>
      </c>
      <c r="AD172" s="132" t="n">
        <f aca="false">$F172*I172</f>
        <v>0</v>
      </c>
      <c r="AE172" s="132" t="n">
        <f aca="false">$F172*J172</f>
        <v>-0</v>
      </c>
      <c r="AF172" s="132" t="n">
        <f aca="false">$F172*K172</f>
        <v>-0</v>
      </c>
      <c r="AG172" s="132" t="n">
        <f aca="false">$F172*L172</f>
        <v>0</v>
      </c>
      <c r="AH172" s="132" t="n">
        <f aca="false">$F172*M172</f>
        <v>0</v>
      </c>
      <c r="AI172" s="132" t="n">
        <f aca="false">$F172*N172</f>
        <v>0</v>
      </c>
      <c r="AJ172" s="132" t="n">
        <f aca="false">F172*O172</f>
        <v>0</v>
      </c>
      <c r="AK172" s="137"/>
      <c r="AL172" s="132" t="n">
        <f aca="false">CHOOSE($G$3,AC172-AD172,AD172-AC172)</f>
        <v>0</v>
      </c>
      <c r="AM172" s="132" t="n">
        <f aca="false">CHOOSE($G$3,AF172-AG172,AG172-AF172)</f>
        <v>0</v>
      </c>
      <c r="AN172" s="132" t="n">
        <f aca="false">CHOOSE($G$3,AI172-AJ172,AJ172-AI172)</f>
        <v>0</v>
      </c>
      <c r="AO172" s="148" t="n">
        <f aca="false">SUM(AL172:AN172)</f>
        <v>0</v>
      </c>
      <c r="AQ172" s="132" t="n">
        <f aca="false">CHOOSE($G$3,AB172-AC172,AC172-AB172)</f>
        <v>0</v>
      </c>
      <c r="AR172" s="132" t="n">
        <f aca="false">CHOOSE($G$3,AE172-AF172,AF172-AE172)</f>
        <v>0</v>
      </c>
      <c r="AS172" s="132" t="n">
        <f aca="false">CHOOSE($G$3,AH172-AI172,AI172-AH172)</f>
        <v>0</v>
      </c>
      <c r="AT172" s="148" t="n">
        <f aca="false">AQ172+AR172+AS172</f>
        <v>0</v>
      </c>
      <c r="AU172" s="148"/>
      <c r="AV172" s="133" t="n">
        <f aca="false">AT172+AO172</f>
        <v>0</v>
      </c>
      <c r="AX172" s="133" t="n">
        <f aca="false">AJ172+AG172+AD172</f>
        <v>0</v>
      </c>
      <c r="AY172" s="149"/>
      <c r="AZ172" s="76" t="n">
        <f aca="false">R172*E172</f>
        <v>0</v>
      </c>
    </row>
    <row r="173" customFormat="false" ht="12" hidden="false" customHeight="true" outlineLevel="0" collapsed="false">
      <c r="A173" s="138" t="n">
        <f aca="false">EDATE(A172,1)</f>
        <v>41944</v>
      </c>
      <c r="B173" s="139" t="n">
        <f aca="false">VLOOKUP($A173,Table2,MATCH(I$3,Curves2,0))</f>
        <v>0</v>
      </c>
      <c r="C173" s="140"/>
      <c r="D173" s="141" t="n">
        <f aca="false">B173+C173</f>
        <v>0</v>
      </c>
      <c r="E173" s="126" t="n">
        <f aca="false">IF(Y173=0,0,IF(AND(Y173=1,$H$3=1),D173*T173,IF($H$3=2,D173,"N/A")))</f>
        <v>0</v>
      </c>
      <c r="F173" s="126" t="n">
        <f aca="false">E173*X173</f>
        <v>0</v>
      </c>
      <c r="G173" s="142" t="n">
        <f aca="false">VLOOKUP($A173,Table,MATCH(G$4,Curves,0))</f>
        <v>3.987</v>
      </c>
      <c r="H173" s="143" t="n">
        <f aca="false">G173</f>
        <v>3.987</v>
      </c>
      <c r="I173" s="142" t="n">
        <f aca="false">VLOOKUP($A173,Table1,MATCH(I$3,Curves1,0))</f>
        <v>0</v>
      </c>
      <c r="J173" s="142" t="n">
        <f aca="false">VLOOKUP($A173,Table,MATCH(J$4,Curves,0))</f>
        <v>-0.061</v>
      </c>
      <c r="K173" s="143" t="n">
        <f aca="false">J173</f>
        <v>-0.061</v>
      </c>
      <c r="L173" s="144" t="n">
        <v>0</v>
      </c>
      <c r="M173" s="142" t="n">
        <f aca="false">VLOOKUP($A173,Table,MATCH(M$4,Curves,0))</f>
        <v>0.005</v>
      </c>
      <c r="N173" s="143" t="n">
        <f aca="false">M173</f>
        <v>0.005</v>
      </c>
      <c r="O173" s="144" t="n">
        <v>0</v>
      </c>
      <c r="P173" s="145"/>
      <c r="Q173" s="144" t="n">
        <f aca="false">M173+J173+G173</f>
        <v>3.931</v>
      </c>
      <c r="R173" s="144" t="n">
        <f aca="false">O173+L173+I173</f>
        <v>0</v>
      </c>
      <c r="S173" s="145"/>
      <c r="T173" s="71" t="n">
        <f aca="false">A174-A173</f>
        <v>30</v>
      </c>
      <c r="U173" s="146" t="n">
        <f aca="false">CHOOSE(F$3,A174+24,A173)</f>
        <v>41998</v>
      </c>
      <c r="V173" s="71" t="n">
        <f aca="false">U173-C$3</f>
        <v>5110</v>
      </c>
      <c r="W173" s="142" t="n">
        <f aca="false">VLOOKUP($A173,Table,MATCH(W$4,Curves,0))</f>
        <v>0.058966861357273</v>
      </c>
      <c r="X173" s="147" t="n">
        <f aca="false">1/(1+CHOOSE(F$3,(W174+($K$3/10000))/2,(W173+($K$3/10000))/2))^(2*V173/365.25)</f>
        <v>0.443506243288591</v>
      </c>
      <c r="Y173" s="71" t="n">
        <f aca="false">IF(AND(mthbeg&lt;=A173,mthend&gt;=A173),1,0)</f>
        <v>0</v>
      </c>
      <c r="Z173" s="71" t="n">
        <f aca="false">T173*Y173</f>
        <v>0</v>
      </c>
      <c r="AB173" s="132" t="n">
        <f aca="false">F173*G173</f>
        <v>0</v>
      </c>
      <c r="AC173" s="132" t="n">
        <f aca="false">$F173*H173</f>
        <v>0</v>
      </c>
      <c r="AD173" s="132" t="n">
        <f aca="false">$F173*I173</f>
        <v>0</v>
      </c>
      <c r="AE173" s="132" t="n">
        <f aca="false">$F173*J173</f>
        <v>-0</v>
      </c>
      <c r="AF173" s="132" t="n">
        <f aca="false">$F173*K173</f>
        <v>-0</v>
      </c>
      <c r="AG173" s="132" t="n">
        <f aca="false">$F173*L173</f>
        <v>0</v>
      </c>
      <c r="AH173" s="132" t="n">
        <f aca="false">$F173*M173</f>
        <v>0</v>
      </c>
      <c r="AI173" s="132" t="n">
        <f aca="false">$F173*N173</f>
        <v>0</v>
      </c>
      <c r="AJ173" s="132" t="n">
        <f aca="false">F173*O173</f>
        <v>0</v>
      </c>
      <c r="AK173" s="137"/>
      <c r="AL173" s="132" t="n">
        <f aca="false">CHOOSE($G$3,AC173-AD173,AD173-AC173)</f>
        <v>0</v>
      </c>
      <c r="AM173" s="132" t="n">
        <f aca="false">CHOOSE($G$3,AF173-AG173,AG173-AF173)</f>
        <v>0</v>
      </c>
      <c r="AN173" s="132" t="n">
        <f aca="false">CHOOSE($G$3,AI173-AJ173,AJ173-AI173)</f>
        <v>0</v>
      </c>
      <c r="AO173" s="148" t="n">
        <f aca="false">SUM(AL173:AN173)</f>
        <v>0</v>
      </c>
      <c r="AQ173" s="132" t="n">
        <f aca="false">CHOOSE($G$3,AB173-AC173,AC173-AB173)</f>
        <v>0</v>
      </c>
      <c r="AR173" s="132" t="n">
        <f aca="false">CHOOSE($G$3,AE173-AF173,AF173-AE173)</f>
        <v>0</v>
      </c>
      <c r="AS173" s="132" t="n">
        <f aca="false">CHOOSE($G$3,AH173-AI173,AI173-AH173)</f>
        <v>0</v>
      </c>
      <c r="AT173" s="148" t="n">
        <f aca="false">AQ173+AR173+AS173</f>
        <v>0</v>
      </c>
      <c r="AU173" s="148"/>
      <c r="AV173" s="133" t="n">
        <f aca="false">AT173+AO173</f>
        <v>0</v>
      </c>
      <c r="AX173" s="133" t="n">
        <f aca="false">AJ173+AG173+AD173</f>
        <v>0</v>
      </c>
      <c r="AY173" s="149"/>
      <c r="AZ173" s="76" t="n">
        <f aca="false">R173*E173</f>
        <v>0</v>
      </c>
    </row>
    <row r="174" customFormat="false" ht="12" hidden="false" customHeight="true" outlineLevel="0" collapsed="false">
      <c r="A174" s="138" t="n">
        <f aca="false">EDATE(A173,1)</f>
        <v>41974</v>
      </c>
      <c r="B174" s="139" t="n">
        <f aca="false">VLOOKUP($A174,Table2,MATCH(I$3,Curves2,0))</f>
        <v>0</v>
      </c>
      <c r="C174" s="140"/>
      <c r="D174" s="141" t="n">
        <f aca="false">B174+C174</f>
        <v>0</v>
      </c>
      <c r="E174" s="126" t="n">
        <f aca="false">IF(Y174=0,0,IF(AND(Y174=1,$H$3=1),D174*T174,IF($H$3=2,D174,"N/A")))</f>
        <v>0</v>
      </c>
      <c r="F174" s="126" t="n">
        <f aca="false">E174*X174</f>
        <v>0</v>
      </c>
      <c r="G174" s="142" t="n">
        <f aca="false">VLOOKUP($A174,Table,MATCH(G$4,Curves,0))</f>
        <v>3.987</v>
      </c>
      <c r="H174" s="143" t="n">
        <f aca="false">G174</f>
        <v>3.987</v>
      </c>
      <c r="I174" s="142" t="n">
        <f aca="false">VLOOKUP($A174,Table1,MATCH(I$3,Curves1,0))</f>
        <v>0</v>
      </c>
      <c r="J174" s="142" t="n">
        <f aca="false">VLOOKUP($A174,Table,MATCH(J$4,Curves,0))</f>
        <v>-0.061</v>
      </c>
      <c r="K174" s="143" t="n">
        <f aca="false">J174</f>
        <v>-0.061</v>
      </c>
      <c r="L174" s="144" t="n">
        <v>0</v>
      </c>
      <c r="M174" s="142" t="n">
        <f aca="false">VLOOKUP($A174,Table,MATCH(M$4,Curves,0))</f>
        <v>0.005</v>
      </c>
      <c r="N174" s="143" t="n">
        <f aca="false">M174</f>
        <v>0.005</v>
      </c>
      <c r="O174" s="144" t="n">
        <v>0</v>
      </c>
      <c r="P174" s="145"/>
      <c r="Q174" s="144" t="n">
        <f aca="false">M174+J174+G174</f>
        <v>3.931</v>
      </c>
      <c r="R174" s="144" t="n">
        <f aca="false">O174+L174+I174</f>
        <v>0</v>
      </c>
      <c r="S174" s="145"/>
      <c r="T174" s="71" t="n">
        <f aca="false">A175-A174</f>
        <v>31</v>
      </c>
      <c r="U174" s="146" t="n">
        <f aca="false">CHOOSE(F$3,A175+24,A174)</f>
        <v>42029</v>
      </c>
      <c r="V174" s="71" t="n">
        <f aca="false">U174-C$3</f>
        <v>5141</v>
      </c>
      <c r="W174" s="142" t="n">
        <f aca="false">VLOOKUP($A174,Table,MATCH(W$4,Curves,0))</f>
        <v>0.058966861357273</v>
      </c>
      <c r="X174" s="147" t="n">
        <f aca="false">1/(1+CHOOSE(F$3,(W175+($K$3/10000))/2,(W174+($K$3/10000))/2))^(2*V174/365.25)</f>
        <v>0.441324098050712</v>
      </c>
      <c r="Y174" s="71" t="n">
        <f aca="false">IF(AND(mthbeg&lt;=A174,mthend&gt;=A174),1,0)</f>
        <v>0</v>
      </c>
      <c r="Z174" s="71" t="n">
        <f aca="false">T174*Y174</f>
        <v>0</v>
      </c>
      <c r="AB174" s="132" t="n">
        <f aca="false">F174*G174</f>
        <v>0</v>
      </c>
      <c r="AC174" s="132" t="n">
        <f aca="false">$F174*H174</f>
        <v>0</v>
      </c>
      <c r="AD174" s="132" t="n">
        <f aca="false">$F174*I174</f>
        <v>0</v>
      </c>
      <c r="AE174" s="132" t="n">
        <f aca="false">$F174*J174</f>
        <v>-0</v>
      </c>
      <c r="AF174" s="132" t="n">
        <f aca="false">$F174*K174</f>
        <v>-0</v>
      </c>
      <c r="AG174" s="132" t="n">
        <f aca="false">$F174*L174</f>
        <v>0</v>
      </c>
      <c r="AH174" s="132" t="n">
        <f aca="false">$F174*M174</f>
        <v>0</v>
      </c>
      <c r="AI174" s="132" t="n">
        <f aca="false">$F174*N174</f>
        <v>0</v>
      </c>
      <c r="AJ174" s="132" t="n">
        <f aca="false">F174*O174</f>
        <v>0</v>
      </c>
      <c r="AK174" s="137"/>
      <c r="AL174" s="132" t="n">
        <f aca="false">CHOOSE($G$3,AC174-AD174,AD174-AC174)</f>
        <v>0</v>
      </c>
      <c r="AM174" s="132" t="n">
        <f aca="false">CHOOSE($G$3,AF174-AG174,AG174-AF174)</f>
        <v>0</v>
      </c>
      <c r="AN174" s="132" t="n">
        <f aca="false">CHOOSE($G$3,AI174-AJ174,AJ174-AI174)</f>
        <v>0</v>
      </c>
      <c r="AO174" s="148" t="n">
        <f aca="false">SUM(AL174:AN174)</f>
        <v>0</v>
      </c>
      <c r="AQ174" s="132" t="n">
        <f aca="false">CHOOSE($G$3,AB174-AC174,AC174-AB174)</f>
        <v>0</v>
      </c>
      <c r="AR174" s="132" t="n">
        <f aca="false">CHOOSE($G$3,AE174-AF174,AF174-AE174)</f>
        <v>0</v>
      </c>
      <c r="AS174" s="132" t="n">
        <f aca="false">CHOOSE($G$3,AH174-AI174,AI174-AH174)</f>
        <v>0</v>
      </c>
      <c r="AT174" s="148" t="n">
        <f aca="false">AQ174+AR174+AS174</f>
        <v>0</v>
      </c>
      <c r="AU174" s="148"/>
      <c r="AV174" s="133" t="n">
        <f aca="false">AT174+AO174</f>
        <v>0</v>
      </c>
      <c r="AX174" s="133" t="n">
        <f aca="false">AJ174+AG174+AD174</f>
        <v>0</v>
      </c>
      <c r="AY174" s="149"/>
      <c r="AZ174" s="76" t="n">
        <f aca="false">R174*E174</f>
        <v>0</v>
      </c>
    </row>
    <row r="175" customFormat="false" ht="12" hidden="false" customHeight="true" outlineLevel="0" collapsed="false">
      <c r="A175" s="138" t="n">
        <f aca="false">EDATE(A174,1)</f>
        <v>42005</v>
      </c>
      <c r="B175" s="139" t="n">
        <f aca="false">VLOOKUP($A175,Table2,MATCH(I$3,Curves2,0))</f>
        <v>0</v>
      </c>
      <c r="C175" s="140"/>
      <c r="D175" s="141" t="n">
        <f aca="false">B175+C175</f>
        <v>0</v>
      </c>
      <c r="E175" s="126" t="n">
        <f aca="false">IF(Y175=0,0,IF(AND(Y175=1,$H$3=1),D175*T175,IF($H$3=2,D175,"N/A")))</f>
        <v>0</v>
      </c>
      <c r="F175" s="126" t="n">
        <f aca="false">E175*X175</f>
        <v>0</v>
      </c>
      <c r="G175" s="142" t="n">
        <f aca="false">VLOOKUP($A175,Table,MATCH(G$4,Curves,0))</f>
        <v>3.987</v>
      </c>
      <c r="H175" s="143" t="n">
        <f aca="false">G175</f>
        <v>3.987</v>
      </c>
      <c r="I175" s="142" t="n">
        <f aca="false">VLOOKUP($A175,Table1,MATCH(I$3,Curves1,0))</f>
        <v>0</v>
      </c>
      <c r="J175" s="142" t="n">
        <f aca="false">VLOOKUP($A175,Table,MATCH(J$4,Curves,0))</f>
        <v>-0.061</v>
      </c>
      <c r="K175" s="143" t="n">
        <f aca="false">J175</f>
        <v>-0.061</v>
      </c>
      <c r="L175" s="144" t="n">
        <v>0</v>
      </c>
      <c r="M175" s="142" t="n">
        <f aca="false">VLOOKUP($A175,Table,MATCH(M$4,Curves,0))</f>
        <v>0.005</v>
      </c>
      <c r="N175" s="143" t="n">
        <f aca="false">M175</f>
        <v>0.005</v>
      </c>
      <c r="O175" s="144" t="n">
        <v>0</v>
      </c>
      <c r="P175" s="145"/>
      <c r="Q175" s="144" t="n">
        <f aca="false">M175+J175+G175</f>
        <v>3.931</v>
      </c>
      <c r="R175" s="144" t="n">
        <f aca="false">O175+L175+I175</f>
        <v>0</v>
      </c>
      <c r="S175" s="145"/>
      <c r="T175" s="71" t="n">
        <f aca="false">A176-A175</f>
        <v>31</v>
      </c>
      <c r="U175" s="146" t="n">
        <f aca="false">CHOOSE(F$3,A176+24,A175)</f>
        <v>42060</v>
      </c>
      <c r="V175" s="71" t="n">
        <f aca="false">U175-C$3</f>
        <v>5172</v>
      </c>
      <c r="W175" s="142" t="n">
        <f aca="false">VLOOKUP($A175,Table,MATCH(W$4,Curves,0))</f>
        <v>0.058966861357273</v>
      </c>
      <c r="X175" s="147" t="n">
        <f aca="false">1/(1+CHOOSE(F$3,(W176+($K$3/10000))/2,(W175+($K$3/10000))/2))^(2*V175/365.25)</f>
        <v>0.439152689432466</v>
      </c>
      <c r="Y175" s="71" t="n">
        <f aca="false">IF(AND(mthbeg&lt;=A175,mthend&gt;=A175),1,0)</f>
        <v>0</v>
      </c>
      <c r="Z175" s="71" t="n">
        <f aca="false">T175*Y175</f>
        <v>0</v>
      </c>
      <c r="AB175" s="132" t="n">
        <f aca="false">F175*G175</f>
        <v>0</v>
      </c>
      <c r="AC175" s="132" t="n">
        <f aca="false">$F175*H175</f>
        <v>0</v>
      </c>
      <c r="AD175" s="132" t="n">
        <f aca="false">$F175*I175</f>
        <v>0</v>
      </c>
      <c r="AE175" s="132" t="n">
        <f aca="false">$F175*J175</f>
        <v>-0</v>
      </c>
      <c r="AF175" s="132" t="n">
        <f aca="false">$F175*K175</f>
        <v>-0</v>
      </c>
      <c r="AG175" s="132" t="n">
        <f aca="false">$F175*L175</f>
        <v>0</v>
      </c>
      <c r="AH175" s="132" t="n">
        <f aca="false">$F175*M175</f>
        <v>0</v>
      </c>
      <c r="AI175" s="132" t="n">
        <f aca="false">$F175*N175</f>
        <v>0</v>
      </c>
      <c r="AJ175" s="132" t="n">
        <f aca="false">F175*O175</f>
        <v>0</v>
      </c>
      <c r="AK175" s="137"/>
      <c r="AL175" s="132" t="n">
        <f aca="false">CHOOSE($G$3,AC175-AD175,AD175-AC175)</f>
        <v>0</v>
      </c>
      <c r="AM175" s="132" t="n">
        <f aca="false">CHOOSE($G$3,AF175-AG175,AG175-AF175)</f>
        <v>0</v>
      </c>
      <c r="AN175" s="132" t="n">
        <f aca="false">CHOOSE($G$3,AI175-AJ175,AJ175-AI175)</f>
        <v>0</v>
      </c>
      <c r="AO175" s="148" t="n">
        <f aca="false">SUM(AL175:AN175)</f>
        <v>0</v>
      </c>
      <c r="AQ175" s="132" t="n">
        <f aca="false">CHOOSE($G$3,AB175-AC175,AC175-AB175)</f>
        <v>0</v>
      </c>
      <c r="AR175" s="132" t="n">
        <f aca="false">CHOOSE($G$3,AE175-AF175,AF175-AE175)</f>
        <v>0</v>
      </c>
      <c r="AS175" s="132" t="n">
        <f aca="false">CHOOSE($G$3,AH175-AI175,AI175-AH175)</f>
        <v>0</v>
      </c>
      <c r="AT175" s="148" t="n">
        <f aca="false">AQ175+AR175+AS175</f>
        <v>0</v>
      </c>
      <c r="AU175" s="148"/>
      <c r="AV175" s="133" t="n">
        <f aca="false">AT175+AO175</f>
        <v>0</v>
      </c>
      <c r="AX175" s="133" t="n">
        <f aca="false">AJ175+AG175+AD175</f>
        <v>0</v>
      </c>
      <c r="AY175" s="149"/>
      <c r="AZ175" s="76" t="n">
        <f aca="false">R175*E175</f>
        <v>0</v>
      </c>
    </row>
    <row r="176" customFormat="false" ht="12" hidden="false" customHeight="true" outlineLevel="0" collapsed="false">
      <c r="A176" s="138" t="n">
        <f aca="false">EDATE(A175,1)</f>
        <v>42036</v>
      </c>
      <c r="B176" s="139" t="n">
        <f aca="false">VLOOKUP($A176,Table2,MATCH(I$3,Curves2,0))</f>
        <v>0</v>
      </c>
      <c r="C176" s="140"/>
      <c r="D176" s="141" t="n">
        <f aca="false">B176+C176</f>
        <v>0</v>
      </c>
      <c r="E176" s="126" t="n">
        <f aca="false">IF(Y176=0,0,IF(AND(Y176=1,$H$3=1),D176*T176,IF($H$3=2,D176,"N/A")))</f>
        <v>0</v>
      </c>
      <c r="F176" s="126" t="n">
        <f aca="false">E176*X176</f>
        <v>0</v>
      </c>
      <c r="G176" s="142" t="n">
        <f aca="false">VLOOKUP($A176,Table,MATCH(G$4,Curves,0))</f>
        <v>3.987</v>
      </c>
      <c r="H176" s="143" t="n">
        <f aca="false">G176</f>
        <v>3.987</v>
      </c>
      <c r="I176" s="142" t="n">
        <f aca="false">VLOOKUP($A176,Table1,MATCH(I$3,Curves1,0))</f>
        <v>0</v>
      </c>
      <c r="J176" s="142" t="n">
        <f aca="false">VLOOKUP($A176,Table,MATCH(J$4,Curves,0))</f>
        <v>-0.061</v>
      </c>
      <c r="K176" s="143" t="n">
        <f aca="false">J176</f>
        <v>-0.061</v>
      </c>
      <c r="L176" s="144" t="n">
        <v>0</v>
      </c>
      <c r="M176" s="142" t="n">
        <f aca="false">VLOOKUP($A176,Table,MATCH(M$4,Curves,0))</f>
        <v>0.005</v>
      </c>
      <c r="N176" s="143" t="n">
        <f aca="false">M176</f>
        <v>0.005</v>
      </c>
      <c r="O176" s="144" t="n">
        <v>0</v>
      </c>
      <c r="P176" s="145"/>
      <c r="Q176" s="144" t="n">
        <f aca="false">M176+J176+G176</f>
        <v>3.931</v>
      </c>
      <c r="R176" s="144" t="n">
        <f aca="false">O176+L176+I176</f>
        <v>0</v>
      </c>
      <c r="S176" s="145"/>
      <c r="T176" s="71" t="n">
        <f aca="false">A177-A176</f>
        <v>28</v>
      </c>
      <c r="U176" s="146" t="n">
        <f aca="false">CHOOSE(F$3,A177+24,A176)</f>
        <v>42088</v>
      </c>
      <c r="V176" s="71" t="n">
        <f aca="false">U176-C$3</f>
        <v>5200</v>
      </c>
      <c r="W176" s="142" t="n">
        <f aca="false">VLOOKUP($A176,Table,MATCH(W$4,Curves,0))</f>
        <v>0.058966861357273</v>
      </c>
      <c r="X176" s="147" t="n">
        <f aca="false">1/(1+CHOOSE(F$3,(W177+($K$3/10000))/2,(W176+($K$3/10000))/2))^(2*V176/365.25)</f>
        <v>0.437200601539712</v>
      </c>
      <c r="Y176" s="71" t="n">
        <f aca="false">IF(AND(mthbeg&lt;=A176,mthend&gt;=A176),1,0)</f>
        <v>0</v>
      </c>
      <c r="Z176" s="71" t="n">
        <f aca="false">T176*Y176</f>
        <v>0</v>
      </c>
      <c r="AB176" s="132" t="n">
        <f aca="false">F176*G176</f>
        <v>0</v>
      </c>
      <c r="AC176" s="132" t="n">
        <f aca="false">$F176*H176</f>
        <v>0</v>
      </c>
      <c r="AD176" s="132" t="n">
        <f aca="false">$F176*I176</f>
        <v>0</v>
      </c>
      <c r="AE176" s="132" t="n">
        <f aca="false">$F176*J176</f>
        <v>-0</v>
      </c>
      <c r="AF176" s="132" t="n">
        <f aca="false">$F176*K176</f>
        <v>-0</v>
      </c>
      <c r="AG176" s="132" t="n">
        <f aca="false">$F176*L176</f>
        <v>0</v>
      </c>
      <c r="AH176" s="132" t="n">
        <f aca="false">$F176*M176</f>
        <v>0</v>
      </c>
      <c r="AI176" s="132" t="n">
        <f aca="false">$F176*N176</f>
        <v>0</v>
      </c>
      <c r="AJ176" s="132" t="n">
        <f aca="false">F176*O176</f>
        <v>0</v>
      </c>
      <c r="AK176" s="137"/>
      <c r="AL176" s="132" t="n">
        <f aca="false">CHOOSE($G$3,AC176-AD176,AD176-AC176)</f>
        <v>0</v>
      </c>
      <c r="AM176" s="132" t="n">
        <f aca="false">CHOOSE($G$3,AF176-AG176,AG176-AF176)</f>
        <v>0</v>
      </c>
      <c r="AN176" s="132" t="n">
        <f aca="false">CHOOSE($G$3,AI176-AJ176,AJ176-AI176)</f>
        <v>0</v>
      </c>
      <c r="AO176" s="148" t="n">
        <f aca="false">SUM(AL176:AN176)</f>
        <v>0</v>
      </c>
      <c r="AQ176" s="132" t="n">
        <f aca="false">CHOOSE($G$3,AB176-AC176,AC176-AB176)</f>
        <v>0</v>
      </c>
      <c r="AR176" s="132" t="n">
        <f aca="false">CHOOSE($G$3,AE176-AF176,AF176-AE176)</f>
        <v>0</v>
      </c>
      <c r="AS176" s="132" t="n">
        <f aca="false">CHOOSE($G$3,AH176-AI176,AI176-AH176)</f>
        <v>0</v>
      </c>
      <c r="AT176" s="148" t="n">
        <f aca="false">AQ176+AR176+AS176</f>
        <v>0</v>
      </c>
      <c r="AU176" s="148"/>
      <c r="AV176" s="133" t="n">
        <f aca="false">AT176+AO176</f>
        <v>0</v>
      </c>
      <c r="AX176" s="133" t="n">
        <f aca="false">AJ176+AG176+AD176</f>
        <v>0</v>
      </c>
      <c r="AY176" s="149"/>
      <c r="AZ176" s="76" t="n">
        <f aca="false">R176*E176</f>
        <v>0</v>
      </c>
    </row>
    <row r="177" customFormat="false" ht="12" hidden="false" customHeight="true" outlineLevel="0" collapsed="false">
      <c r="A177" s="138" t="n">
        <f aca="false">EDATE(A176,1)</f>
        <v>42064</v>
      </c>
      <c r="B177" s="139" t="n">
        <f aca="false">VLOOKUP($A177,Table2,MATCH(I$3,Curves2,0))</f>
        <v>0</v>
      </c>
      <c r="C177" s="140"/>
      <c r="D177" s="141" t="n">
        <f aca="false">B177+C177</f>
        <v>0</v>
      </c>
      <c r="E177" s="126" t="n">
        <f aca="false">IF(Y177=0,0,IF(AND(Y177=1,$H$3=1),D177*T177,IF($H$3=2,D177,"N/A")))</f>
        <v>0</v>
      </c>
      <c r="F177" s="126" t="n">
        <f aca="false">E177*X177</f>
        <v>0</v>
      </c>
      <c r="G177" s="142" t="n">
        <f aca="false">VLOOKUP($A177,Table,MATCH(G$4,Curves,0))</f>
        <v>3.987</v>
      </c>
      <c r="H177" s="143" t="n">
        <f aca="false">G177</f>
        <v>3.987</v>
      </c>
      <c r="I177" s="142" t="n">
        <f aca="false">VLOOKUP($A177,Table1,MATCH(I$3,Curves1,0))</f>
        <v>0</v>
      </c>
      <c r="J177" s="142" t="n">
        <f aca="false">VLOOKUP($A177,Table,MATCH(J$4,Curves,0))</f>
        <v>-0.061</v>
      </c>
      <c r="K177" s="143" t="n">
        <f aca="false">J177</f>
        <v>-0.061</v>
      </c>
      <c r="L177" s="144" t="n">
        <v>0</v>
      </c>
      <c r="M177" s="142" t="n">
        <f aca="false">VLOOKUP($A177,Table,MATCH(M$4,Curves,0))</f>
        <v>0.005</v>
      </c>
      <c r="N177" s="143" t="n">
        <f aca="false">M177</f>
        <v>0.005</v>
      </c>
      <c r="O177" s="144" t="n">
        <v>0</v>
      </c>
      <c r="P177" s="145"/>
      <c r="Q177" s="144" t="n">
        <f aca="false">M177+J177+G177</f>
        <v>3.931</v>
      </c>
      <c r="R177" s="144" t="n">
        <f aca="false">O177+L177+I177</f>
        <v>0</v>
      </c>
      <c r="S177" s="145"/>
      <c r="T177" s="71" t="n">
        <f aca="false">A178-A177</f>
        <v>31</v>
      </c>
      <c r="U177" s="146" t="n">
        <f aca="false">CHOOSE(F$3,A178+24,A177)</f>
        <v>42119</v>
      </c>
      <c r="V177" s="71" t="n">
        <f aca="false">U177-C$3</f>
        <v>5231</v>
      </c>
      <c r="W177" s="142" t="n">
        <f aca="false">VLOOKUP($A177,Table,MATCH(W$4,Curves,0))</f>
        <v>0.058966861357273</v>
      </c>
      <c r="X177" s="147" t="n">
        <f aca="false">1/(1+CHOOSE(F$3,(W178+($K$3/10000))/2,(W177+($K$3/10000))/2))^(2*V177/365.25)</f>
        <v>0.435049481403107</v>
      </c>
      <c r="Y177" s="71" t="n">
        <f aca="false">IF(AND(mthbeg&lt;=A177,mthend&gt;=A177),1,0)</f>
        <v>0</v>
      </c>
      <c r="Z177" s="71" t="n">
        <f aca="false">T177*Y177</f>
        <v>0</v>
      </c>
      <c r="AB177" s="132" t="n">
        <f aca="false">F177*G177</f>
        <v>0</v>
      </c>
      <c r="AC177" s="132" t="n">
        <f aca="false">$F177*H177</f>
        <v>0</v>
      </c>
      <c r="AD177" s="132" t="n">
        <f aca="false">$F177*I177</f>
        <v>0</v>
      </c>
      <c r="AE177" s="132" t="n">
        <f aca="false">$F177*J177</f>
        <v>-0</v>
      </c>
      <c r="AF177" s="132" t="n">
        <f aca="false">$F177*K177</f>
        <v>-0</v>
      </c>
      <c r="AG177" s="132" t="n">
        <f aca="false">$F177*L177</f>
        <v>0</v>
      </c>
      <c r="AH177" s="132" t="n">
        <f aca="false">$F177*M177</f>
        <v>0</v>
      </c>
      <c r="AI177" s="132" t="n">
        <f aca="false">$F177*N177</f>
        <v>0</v>
      </c>
      <c r="AJ177" s="132" t="n">
        <f aca="false">F177*O177</f>
        <v>0</v>
      </c>
      <c r="AK177" s="137"/>
      <c r="AL177" s="132" t="n">
        <f aca="false">CHOOSE($G$3,AC177-AD177,AD177-AC177)</f>
        <v>0</v>
      </c>
      <c r="AM177" s="132" t="n">
        <f aca="false">CHOOSE($G$3,AF177-AG177,AG177-AF177)</f>
        <v>0</v>
      </c>
      <c r="AN177" s="132" t="n">
        <f aca="false">CHOOSE($G$3,AI177-AJ177,AJ177-AI177)</f>
        <v>0</v>
      </c>
      <c r="AO177" s="148" t="n">
        <f aca="false">SUM(AL177:AN177)</f>
        <v>0</v>
      </c>
      <c r="AQ177" s="132" t="n">
        <f aca="false">CHOOSE($G$3,AB177-AC177,AC177-AB177)</f>
        <v>0</v>
      </c>
      <c r="AR177" s="132" t="n">
        <f aca="false">CHOOSE($G$3,AE177-AF177,AF177-AE177)</f>
        <v>0</v>
      </c>
      <c r="AS177" s="132" t="n">
        <f aca="false">CHOOSE($G$3,AH177-AI177,AI177-AH177)</f>
        <v>0</v>
      </c>
      <c r="AT177" s="148" t="n">
        <f aca="false">AQ177+AR177+AS177</f>
        <v>0</v>
      </c>
      <c r="AU177" s="148"/>
      <c r="AV177" s="133" t="n">
        <f aca="false">AT177+AO177</f>
        <v>0</v>
      </c>
      <c r="AX177" s="133" t="n">
        <f aca="false">AJ177+AG177+AD177</f>
        <v>0</v>
      </c>
      <c r="AY177" s="149"/>
      <c r="AZ177" s="76" t="n">
        <f aca="false">R177*E177</f>
        <v>0</v>
      </c>
    </row>
    <row r="178" customFormat="false" ht="12" hidden="false" customHeight="true" outlineLevel="0" collapsed="false">
      <c r="A178" s="138" t="n">
        <f aca="false">EDATE(A177,1)</f>
        <v>42095</v>
      </c>
      <c r="B178" s="139" t="n">
        <f aca="false">VLOOKUP($A178,Table2,MATCH(I$3,Curves2,0))</f>
        <v>0</v>
      </c>
      <c r="C178" s="140"/>
      <c r="D178" s="141" t="n">
        <f aca="false">B178+C178</f>
        <v>0</v>
      </c>
      <c r="E178" s="126" t="n">
        <f aca="false">IF(Y178=0,0,IF(AND(Y178=1,$H$3=1),D178*T178,IF($H$3=2,D178,"N/A")))</f>
        <v>0</v>
      </c>
      <c r="F178" s="126" t="n">
        <f aca="false">E178*X178</f>
        <v>0</v>
      </c>
      <c r="G178" s="142" t="n">
        <f aca="false">VLOOKUP($A178,Table,MATCH(G$4,Curves,0))</f>
        <v>3.987</v>
      </c>
      <c r="H178" s="143" t="n">
        <f aca="false">G178</f>
        <v>3.987</v>
      </c>
      <c r="I178" s="142" t="n">
        <f aca="false">VLOOKUP($A178,Table1,MATCH(I$3,Curves1,0))</f>
        <v>0</v>
      </c>
      <c r="J178" s="142" t="n">
        <f aca="false">VLOOKUP($A178,Table,MATCH(J$4,Curves,0))</f>
        <v>-0.061</v>
      </c>
      <c r="K178" s="143" t="n">
        <f aca="false">J178</f>
        <v>-0.061</v>
      </c>
      <c r="L178" s="144" t="n">
        <v>0</v>
      </c>
      <c r="M178" s="142" t="n">
        <f aca="false">VLOOKUP($A178,Table,MATCH(M$4,Curves,0))</f>
        <v>0.005</v>
      </c>
      <c r="N178" s="143" t="n">
        <f aca="false">M178</f>
        <v>0.005</v>
      </c>
      <c r="O178" s="144" t="n">
        <v>0</v>
      </c>
      <c r="P178" s="145"/>
      <c r="Q178" s="144" t="n">
        <f aca="false">M178+J178+G178</f>
        <v>3.931</v>
      </c>
      <c r="R178" s="144" t="n">
        <f aca="false">O178+L178+I178</f>
        <v>0</v>
      </c>
      <c r="S178" s="145"/>
      <c r="T178" s="71" t="n">
        <f aca="false">A179-A178</f>
        <v>30</v>
      </c>
      <c r="U178" s="146" t="n">
        <f aca="false">CHOOSE(F$3,A179+24,A178)</f>
        <v>42149</v>
      </c>
      <c r="V178" s="71" t="n">
        <f aca="false">U178-C$3</f>
        <v>5261</v>
      </c>
      <c r="W178" s="142" t="n">
        <f aca="false">VLOOKUP($A178,Table,MATCH(W$4,Curves,0))</f>
        <v>0.058966861357273</v>
      </c>
      <c r="X178" s="147" t="n">
        <f aca="false">1/(1+CHOOSE(F$3,(W179+($K$3/10000))/2,(W178+($K$3/10000))/2))^(2*V178/365.25)</f>
        <v>0.43297783012119</v>
      </c>
      <c r="Y178" s="71" t="n">
        <f aca="false">IF(AND(mthbeg&lt;=A178,mthend&gt;=A178),1,0)</f>
        <v>0</v>
      </c>
      <c r="Z178" s="71" t="n">
        <f aca="false">T178*Y178</f>
        <v>0</v>
      </c>
      <c r="AB178" s="132" t="n">
        <f aca="false">F178*G178</f>
        <v>0</v>
      </c>
      <c r="AC178" s="132" t="n">
        <f aca="false">$F178*H178</f>
        <v>0</v>
      </c>
      <c r="AD178" s="132" t="n">
        <f aca="false">$F178*I178</f>
        <v>0</v>
      </c>
      <c r="AE178" s="132" t="n">
        <f aca="false">$F178*J178</f>
        <v>-0</v>
      </c>
      <c r="AF178" s="132" t="n">
        <f aca="false">$F178*K178</f>
        <v>-0</v>
      </c>
      <c r="AG178" s="132" t="n">
        <f aca="false">$F178*L178</f>
        <v>0</v>
      </c>
      <c r="AH178" s="132" t="n">
        <f aca="false">$F178*M178</f>
        <v>0</v>
      </c>
      <c r="AI178" s="132" t="n">
        <f aca="false">$F178*N178</f>
        <v>0</v>
      </c>
      <c r="AJ178" s="132" t="n">
        <f aca="false">F178*O178</f>
        <v>0</v>
      </c>
      <c r="AK178" s="137"/>
      <c r="AL178" s="132" t="n">
        <f aca="false">CHOOSE($G$3,AC178-AD178,AD178-AC178)</f>
        <v>0</v>
      </c>
      <c r="AM178" s="132" t="n">
        <f aca="false">CHOOSE($G$3,AF178-AG178,AG178-AF178)</f>
        <v>0</v>
      </c>
      <c r="AN178" s="132" t="n">
        <f aca="false">CHOOSE($G$3,AI178-AJ178,AJ178-AI178)</f>
        <v>0</v>
      </c>
      <c r="AO178" s="148" t="n">
        <f aca="false">SUM(AL178:AN178)</f>
        <v>0</v>
      </c>
      <c r="AQ178" s="132" t="n">
        <f aca="false">CHOOSE($G$3,AB178-AC178,AC178-AB178)</f>
        <v>0</v>
      </c>
      <c r="AR178" s="132" t="n">
        <f aca="false">CHOOSE($G$3,AE178-AF178,AF178-AE178)</f>
        <v>0</v>
      </c>
      <c r="AS178" s="132" t="n">
        <f aca="false">CHOOSE($G$3,AH178-AI178,AI178-AH178)</f>
        <v>0</v>
      </c>
      <c r="AT178" s="148" t="n">
        <f aca="false">AQ178+AR178+AS178</f>
        <v>0</v>
      </c>
      <c r="AU178" s="148"/>
      <c r="AV178" s="133" t="n">
        <f aca="false">AT178+AO178</f>
        <v>0</v>
      </c>
      <c r="AX178" s="133" t="n">
        <f aca="false">AJ178+AG178+AD178</f>
        <v>0</v>
      </c>
      <c r="AY178" s="149"/>
      <c r="AZ178" s="76" t="n">
        <f aca="false">R178*E178</f>
        <v>0</v>
      </c>
    </row>
    <row r="179" customFormat="false" ht="12" hidden="false" customHeight="true" outlineLevel="0" collapsed="false">
      <c r="A179" s="138" t="n">
        <f aca="false">EDATE(A178,1)</f>
        <v>42125</v>
      </c>
      <c r="B179" s="139" t="n">
        <f aca="false">VLOOKUP($A179,Table2,MATCH(I$3,Curves2,0))</f>
        <v>0</v>
      </c>
      <c r="C179" s="140"/>
      <c r="D179" s="141" t="n">
        <f aca="false">B179+C179</f>
        <v>0</v>
      </c>
      <c r="E179" s="126" t="n">
        <f aca="false">IF(Y179=0,0,IF(AND(Y179=1,$H$3=1),D179*T179,IF($H$3=2,D179,"N/A")))</f>
        <v>0</v>
      </c>
      <c r="F179" s="126" t="n">
        <f aca="false">E179*X179</f>
        <v>0</v>
      </c>
      <c r="G179" s="142" t="n">
        <f aca="false">VLOOKUP($A179,Table,MATCH(G$4,Curves,0))</f>
        <v>3.987</v>
      </c>
      <c r="H179" s="143" t="n">
        <f aca="false">G179</f>
        <v>3.987</v>
      </c>
      <c r="I179" s="142" t="n">
        <f aca="false">VLOOKUP($A179,Table1,MATCH(I$3,Curves1,0))</f>
        <v>0</v>
      </c>
      <c r="J179" s="142" t="n">
        <f aca="false">VLOOKUP($A179,Table,MATCH(J$4,Curves,0))</f>
        <v>-0.061</v>
      </c>
      <c r="K179" s="143" t="n">
        <f aca="false">J179</f>
        <v>-0.061</v>
      </c>
      <c r="L179" s="144" t="n">
        <v>0</v>
      </c>
      <c r="M179" s="142" t="n">
        <f aca="false">VLOOKUP($A179,Table,MATCH(M$4,Curves,0))</f>
        <v>0.005</v>
      </c>
      <c r="N179" s="143" t="n">
        <f aca="false">M179</f>
        <v>0.005</v>
      </c>
      <c r="O179" s="144" t="n">
        <v>0</v>
      </c>
      <c r="P179" s="145"/>
      <c r="Q179" s="144" t="n">
        <f aca="false">M179+J179+G179</f>
        <v>3.931</v>
      </c>
      <c r="R179" s="144" t="n">
        <f aca="false">O179+L179+I179</f>
        <v>0</v>
      </c>
      <c r="S179" s="145"/>
      <c r="T179" s="71" t="n">
        <f aca="false">A180-A179</f>
        <v>31</v>
      </c>
      <c r="U179" s="146" t="n">
        <f aca="false">CHOOSE(F$3,A180+24,A179)</f>
        <v>42180</v>
      </c>
      <c r="V179" s="71" t="n">
        <f aca="false">U179-C$3</f>
        <v>5292</v>
      </c>
      <c r="W179" s="142" t="n">
        <f aca="false">VLOOKUP($A179,Table,MATCH(W$4,Curves,0))</f>
        <v>0.058966861357273</v>
      </c>
      <c r="X179" s="147" t="n">
        <f aca="false">1/(1+CHOOSE(F$3,(W180+($K$3/10000))/2,(W179+($K$3/10000))/2))^(2*V179/365.25)</f>
        <v>0.43084748691993</v>
      </c>
      <c r="Y179" s="71" t="n">
        <f aca="false">IF(AND(mthbeg&lt;=A179,mthend&gt;=A179),1,0)</f>
        <v>0</v>
      </c>
      <c r="Z179" s="71" t="n">
        <f aca="false">T179*Y179</f>
        <v>0</v>
      </c>
      <c r="AB179" s="132" t="n">
        <f aca="false">F179*G179</f>
        <v>0</v>
      </c>
      <c r="AC179" s="132" t="n">
        <f aca="false">$F179*H179</f>
        <v>0</v>
      </c>
      <c r="AD179" s="132" t="n">
        <f aca="false">$F179*I179</f>
        <v>0</v>
      </c>
      <c r="AE179" s="132" t="n">
        <f aca="false">$F179*J179</f>
        <v>-0</v>
      </c>
      <c r="AF179" s="132" t="n">
        <f aca="false">$F179*K179</f>
        <v>-0</v>
      </c>
      <c r="AG179" s="132" t="n">
        <f aca="false">$F179*L179</f>
        <v>0</v>
      </c>
      <c r="AH179" s="132" t="n">
        <f aca="false">$F179*M179</f>
        <v>0</v>
      </c>
      <c r="AI179" s="132" t="n">
        <f aca="false">$F179*N179</f>
        <v>0</v>
      </c>
      <c r="AJ179" s="132" t="n">
        <f aca="false">F179*O179</f>
        <v>0</v>
      </c>
      <c r="AK179" s="137"/>
      <c r="AL179" s="132" t="n">
        <f aca="false">CHOOSE($G$3,AC179-AD179,AD179-AC179)</f>
        <v>0</v>
      </c>
      <c r="AM179" s="132" t="n">
        <f aca="false">CHOOSE($G$3,AF179-AG179,AG179-AF179)</f>
        <v>0</v>
      </c>
      <c r="AN179" s="132" t="n">
        <f aca="false">CHOOSE($G$3,AI179-AJ179,AJ179-AI179)</f>
        <v>0</v>
      </c>
      <c r="AO179" s="148" t="n">
        <f aca="false">SUM(AL179:AN179)</f>
        <v>0</v>
      </c>
      <c r="AQ179" s="132" t="n">
        <f aca="false">CHOOSE($G$3,AB179-AC179,AC179-AB179)</f>
        <v>0</v>
      </c>
      <c r="AR179" s="132" t="n">
        <f aca="false">CHOOSE($G$3,AE179-AF179,AF179-AE179)</f>
        <v>0</v>
      </c>
      <c r="AS179" s="132" t="n">
        <f aca="false">CHOOSE($G$3,AH179-AI179,AI179-AH179)</f>
        <v>0</v>
      </c>
      <c r="AT179" s="148" t="n">
        <f aca="false">AQ179+AR179+AS179</f>
        <v>0</v>
      </c>
      <c r="AU179" s="148"/>
      <c r="AV179" s="133" t="n">
        <f aca="false">AT179+AO179</f>
        <v>0</v>
      </c>
      <c r="AX179" s="133" t="n">
        <f aca="false">AJ179+AG179+AD179</f>
        <v>0</v>
      </c>
      <c r="AY179" s="149"/>
      <c r="AZ179" s="76" t="n">
        <f aca="false">R179*E179</f>
        <v>0</v>
      </c>
    </row>
    <row r="180" customFormat="false" ht="12" hidden="false" customHeight="true" outlineLevel="0" collapsed="false">
      <c r="A180" s="138" t="n">
        <f aca="false">EDATE(A179,1)</f>
        <v>42156</v>
      </c>
      <c r="B180" s="139" t="n">
        <f aca="false">VLOOKUP($A180,Table2,MATCH(I$3,Curves2,0))</f>
        <v>0</v>
      </c>
      <c r="C180" s="140"/>
      <c r="D180" s="141" t="n">
        <f aca="false">B180+C180</f>
        <v>0</v>
      </c>
      <c r="E180" s="126" t="n">
        <f aca="false">IF(Y180=0,0,IF(AND(Y180=1,$H$3=1),D180*T180,IF($H$3=2,D180,"N/A")))</f>
        <v>0</v>
      </c>
      <c r="F180" s="126" t="n">
        <f aca="false">E180*X180</f>
        <v>0</v>
      </c>
      <c r="G180" s="142" t="n">
        <f aca="false">VLOOKUP($A180,Table,MATCH(G$4,Curves,0))</f>
        <v>3.987</v>
      </c>
      <c r="H180" s="143" t="n">
        <f aca="false">G180</f>
        <v>3.987</v>
      </c>
      <c r="I180" s="142" t="n">
        <f aca="false">VLOOKUP($A180,Table1,MATCH(I$3,Curves1,0))</f>
        <v>0</v>
      </c>
      <c r="J180" s="142" t="n">
        <f aca="false">VLOOKUP($A180,Table,MATCH(J$4,Curves,0))</f>
        <v>-0.061</v>
      </c>
      <c r="K180" s="143" t="n">
        <f aca="false">J180</f>
        <v>-0.061</v>
      </c>
      <c r="L180" s="144" t="n">
        <v>0</v>
      </c>
      <c r="M180" s="142" t="n">
        <f aca="false">VLOOKUP($A180,Table,MATCH(M$4,Curves,0))</f>
        <v>0.005</v>
      </c>
      <c r="N180" s="143" t="n">
        <f aca="false">M180</f>
        <v>0.005</v>
      </c>
      <c r="O180" s="144" t="n">
        <v>0</v>
      </c>
      <c r="P180" s="145"/>
      <c r="Q180" s="144" t="n">
        <f aca="false">M180+J180+G180</f>
        <v>3.931</v>
      </c>
      <c r="R180" s="144" t="n">
        <f aca="false">O180+L180+I180</f>
        <v>0</v>
      </c>
      <c r="S180" s="145"/>
      <c r="T180" s="71" t="n">
        <f aca="false">A181-A180</f>
        <v>30</v>
      </c>
      <c r="U180" s="146" t="n">
        <f aca="false">CHOOSE(F$3,A181+24,A180)</f>
        <v>42210</v>
      </c>
      <c r="V180" s="71" t="n">
        <f aca="false">U180-C$3</f>
        <v>5322</v>
      </c>
      <c r="W180" s="142" t="n">
        <f aca="false">VLOOKUP($A180,Table,MATCH(W$4,Curves,0))</f>
        <v>0.058966861357273</v>
      </c>
      <c r="X180" s="147" t="n">
        <f aca="false">1/(1+CHOOSE(F$3,(W181+($K$3/10000))/2,(W180+($K$3/10000))/2))^(2*V180/365.25)</f>
        <v>0.428795845010808</v>
      </c>
      <c r="Y180" s="71" t="n">
        <f aca="false">IF(AND(mthbeg&lt;=A180,mthend&gt;=A180),1,0)</f>
        <v>0</v>
      </c>
      <c r="Z180" s="71" t="n">
        <f aca="false">T180*Y180</f>
        <v>0</v>
      </c>
      <c r="AB180" s="132" t="n">
        <f aca="false">F180*G180</f>
        <v>0</v>
      </c>
      <c r="AC180" s="132" t="n">
        <f aca="false">$F180*H180</f>
        <v>0</v>
      </c>
      <c r="AD180" s="132" t="n">
        <f aca="false">$F180*I180</f>
        <v>0</v>
      </c>
      <c r="AE180" s="132" t="n">
        <f aca="false">$F180*J180</f>
        <v>-0</v>
      </c>
      <c r="AF180" s="132" t="n">
        <f aca="false">$F180*K180</f>
        <v>-0</v>
      </c>
      <c r="AG180" s="132" t="n">
        <f aca="false">$F180*L180</f>
        <v>0</v>
      </c>
      <c r="AH180" s="132" t="n">
        <f aca="false">$F180*M180</f>
        <v>0</v>
      </c>
      <c r="AI180" s="132" t="n">
        <f aca="false">$F180*N180</f>
        <v>0</v>
      </c>
      <c r="AJ180" s="132" t="n">
        <f aca="false">F180*O180</f>
        <v>0</v>
      </c>
      <c r="AK180" s="137"/>
      <c r="AL180" s="132" t="n">
        <f aca="false">CHOOSE($G$3,AC180-AD180,AD180-AC180)</f>
        <v>0</v>
      </c>
      <c r="AM180" s="132" t="n">
        <f aca="false">CHOOSE($G$3,AF180-AG180,AG180-AF180)</f>
        <v>0</v>
      </c>
      <c r="AN180" s="132" t="n">
        <f aca="false">CHOOSE($G$3,AI180-AJ180,AJ180-AI180)</f>
        <v>0</v>
      </c>
      <c r="AO180" s="148" t="n">
        <f aca="false">SUM(AL180:AN180)</f>
        <v>0</v>
      </c>
      <c r="AQ180" s="132" t="n">
        <f aca="false">CHOOSE($G$3,AB180-AC180,AC180-AB180)</f>
        <v>0</v>
      </c>
      <c r="AR180" s="132" t="n">
        <f aca="false">CHOOSE($G$3,AE180-AF180,AF180-AE180)</f>
        <v>0</v>
      </c>
      <c r="AS180" s="132" t="n">
        <f aca="false">CHOOSE($G$3,AH180-AI180,AI180-AH180)</f>
        <v>0</v>
      </c>
      <c r="AT180" s="148" t="n">
        <f aca="false">AQ180+AR180+AS180</f>
        <v>0</v>
      </c>
      <c r="AU180" s="148"/>
      <c r="AV180" s="133" t="n">
        <f aca="false">AT180+AO180</f>
        <v>0</v>
      </c>
      <c r="AX180" s="133" t="n">
        <f aca="false">AJ180+AG180+AD180</f>
        <v>0</v>
      </c>
      <c r="AY180" s="149"/>
      <c r="AZ180" s="76" t="n">
        <f aca="false">R180*E180</f>
        <v>0</v>
      </c>
    </row>
    <row r="181" customFormat="false" ht="12" hidden="false" customHeight="true" outlineLevel="0" collapsed="false">
      <c r="A181" s="138" t="n">
        <f aca="false">EDATE(A180,1)</f>
        <v>42186</v>
      </c>
      <c r="B181" s="139" t="n">
        <f aca="false">VLOOKUP($A181,Table2,MATCH(I$3,Curves2,0))</f>
        <v>0</v>
      </c>
      <c r="C181" s="140"/>
      <c r="D181" s="141" t="n">
        <f aca="false">B181+C181</f>
        <v>0</v>
      </c>
      <c r="E181" s="126" t="n">
        <f aca="false">IF(Y181=0,0,IF(AND(Y181=1,$H$3=1),D181*T181,IF($H$3=2,D181,"N/A")))</f>
        <v>0</v>
      </c>
      <c r="F181" s="126" t="n">
        <f aca="false">E181*X181</f>
        <v>0</v>
      </c>
      <c r="G181" s="142" t="n">
        <f aca="false">VLOOKUP($A181,Table,MATCH(G$4,Curves,0))</f>
        <v>3.987</v>
      </c>
      <c r="H181" s="143" t="n">
        <f aca="false">G181</f>
        <v>3.987</v>
      </c>
      <c r="I181" s="142" t="n">
        <f aca="false">VLOOKUP($A181,Table1,MATCH(I$3,Curves1,0))</f>
        <v>0</v>
      </c>
      <c r="J181" s="142" t="n">
        <f aca="false">VLOOKUP($A181,Table,MATCH(J$4,Curves,0))</f>
        <v>-0.061</v>
      </c>
      <c r="K181" s="143" t="n">
        <f aca="false">J181</f>
        <v>-0.061</v>
      </c>
      <c r="L181" s="144" t="n">
        <v>0</v>
      </c>
      <c r="M181" s="142" t="n">
        <f aca="false">VLOOKUP($A181,Table,MATCH(M$4,Curves,0))</f>
        <v>0.005</v>
      </c>
      <c r="N181" s="143" t="n">
        <f aca="false">M181</f>
        <v>0.005</v>
      </c>
      <c r="O181" s="144" t="n">
        <v>0</v>
      </c>
      <c r="P181" s="145"/>
      <c r="Q181" s="144" t="n">
        <f aca="false">M181+J181+G181</f>
        <v>3.931</v>
      </c>
      <c r="R181" s="144" t="n">
        <f aca="false">O181+L181+I181</f>
        <v>0</v>
      </c>
      <c r="S181" s="145"/>
      <c r="T181" s="71" t="n">
        <f aca="false">A182-A181</f>
        <v>31</v>
      </c>
      <c r="U181" s="146" t="n">
        <f aca="false">CHOOSE(F$3,A182+24,A181)</f>
        <v>42241</v>
      </c>
      <c r="V181" s="71" t="n">
        <f aca="false">U181-C$3</f>
        <v>5353</v>
      </c>
      <c r="W181" s="142" t="n">
        <f aca="false">VLOOKUP($A181,Table,MATCH(W$4,Curves,0))</f>
        <v>0.058966861357273</v>
      </c>
      <c r="X181" s="147" t="n">
        <f aca="false">1/(1+CHOOSE(F$3,(W182+($K$3/10000))/2,(W181+($K$3/10000))/2))^(2*V181/365.25)</f>
        <v>0.426686078067563</v>
      </c>
      <c r="Y181" s="71" t="n">
        <f aca="false">IF(AND(mthbeg&lt;=A181,mthend&gt;=A181),1,0)</f>
        <v>0</v>
      </c>
      <c r="Z181" s="71" t="n">
        <f aca="false">T181*Y181</f>
        <v>0</v>
      </c>
      <c r="AB181" s="132" t="n">
        <f aca="false">F181*G181</f>
        <v>0</v>
      </c>
      <c r="AC181" s="132" t="n">
        <f aca="false">$F181*H181</f>
        <v>0</v>
      </c>
      <c r="AD181" s="132" t="n">
        <f aca="false">$F181*I181</f>
        <v>0</v>
      </c>
      <c r="AE181" s="132" t="n">
        <f aca="false">$F181*J181</f>
        <v>-0</v>
      </c>
      <c r="AF181" s="132" t="n">
        <f aca="false">$F181*K181</f>
        <v>-0</v>
      </c>
      <c r="AG181" s="132" t="n">
        <f aca="false">$F181*L181</f>
        <v>0</v>
      </c>
      <c r="AH181" s="132" t="n">
        <f aca="false">$F181*M181</f>
        <v>0</v>
      </c>
      <c r="AI181" s="132" t="n">
        <f aca="false">$F181*N181</f>
        <v>0</v>
      </c>
      <c r="AJ181" s="132" t="n">
        <f aca="false">F181*O181</f>
        <v>0</v>
      </c>
      <c r="AK181" s="137"/>
      <c r="AL181" s="132" t="n">
        <f aca="false">CHOOSE($G$3,AC181-AD181,AD181-AC181)</f>
        <v>0</v>
      </c>
      <c r="AM181" s="132" t="n">
        <f aca="false">CHOOSE($G$3,AF181-AG181,AG181-AF181)</f>
        <v>0</v>
      </c>
      <c r="AN181" s="132" t="n">
        <f aca="false">CHOOSE($G$3,AI181-AJ181,AJ181-AI181)</f>
        <v>0</v>
      </c>
      <c r="AO181" s="148" t="n">
        <f aca="false">SUM(AL181:AN181)</f>
        <v>0</v>
      </c>
      <c r="AQ181" s="132" t="n">
        <f aca="false">CHOOSE($G$3,AB181-AC181,AC181-AB181)</f>
        <v>0</v>
      </c>
      <c r="AR181" s="132" t="n">
        <f aca="false">CHOOSE($G$3,AE181-AF181,AF181-AE181)</f>
        <v>0</v>
      </c>
      <c r="AS181" s="132" t="n">
        <f aca="false">CHOOSE($G$3,AH181-AI181,AI181-AH181)</f>
        <v>0</v>
      </c>
      <c r="AT181" s="148" t="n">
        <f aca="false">AQ181+AR181+AS181</f>
        <v>0</v>
      </c>
      <c r="AU181" s="148"/>
      <c r="AV181" s="133" t="n">
        <f aca="false">AT181+AO181</f>
        <v>0</v>
      </c>
      <c r="AX181" s="133" t="n">
        <f aca="false">AJ181+AG181+AD181</f>
        <v>0</v>
      </c>
      <c r="AY181" s="149"/>
      <c r="AZ181" s="76" t="n">
        <f aca="false">R181*E181</f>
        <v>0</v>
      </c>
    </row>
    <row r="182" customFormat="false" ht="12" hidden="false" customHeight="true" outlineLevel="0" collapsed="false">
      <c r="A182" s="138" t="n">
        <f aca="false">EDATE(A181,1)</f>
        <v>42217</v>
      </c>
      <c r="B182" s="139" t="n">
        <f aca="false">VLOOKUP($A182,Table2,MATCH(I$3,Curves2,0))</f>
        <v>0</v>
      </c>
      <c r="C182" s="140"/>
      <c r="D182" s="141" t="n">
        <f aca="false">B182+C182</f>
        <v>0</v>
      </c>
      <c r="E182" s="126" t="n">
        <f aca="false">IF(Y182=0,0,IF(AND(Y182=1,$H$3=1),D182*T182,IF($H$3=2,D182,"N/A")))</f>
        <v>0</v>
      </c>
      <c r="F182" s="126" t="n">
        <f aca="false">E182*X182</f>
        <v>0</v>
      </c>
      <c r="G182" s="142" t="n">
        <f aca="false">VLOOKUP($A182,Table,MATCH(G$4,Curves,0))</f>
        <v>3.987</v>
      </c>
      <c r="H182" s="143" t="n">
        <f aca="false">G182</f>
        <v>3.987</v>
      </c>
      <c r="I182" s="142" t="n">
        <f aca="false">VLOOKUP($A182,Table1,MATCH(I$3,Curves1,0))</f>
        <v>0</v>
      </c>
      <c r="J182" s="142" t="n">
        <f aca="false">VLOOKUP($A182,Table,MATCH(J$4,Curves,0))</f>
        <v>-0.061</v>
      </c>
      <c r="K182" s="143" t="n">
        <f aca="false">J182</f>
        <v>-0.061</v>
      </c>
      <c r="L182" s="144" t="n">
        <v>0</v>
      </c>
      <c r="M182" s="142" t="n">
        <f aca="false">VLOOKUP($A182,Table,MATCH(M$4,Curves,0))</f>
        <v>0.005</v>
      </c>
      <c r="N182" s="143" t="n">
        <f aca="false">M182</f>
        <v>0.005</v>
      </c>
      <c r="O182" s="144" t="n">
        <v>0</v>
      </c>
      <c r="P182" s="145"/>
      <c r="Q182" s="144" t="n">
        <f aca="false">M182+J182+G182</f>
        <v>3.931</v>
      </c>
      <c r="R182" s="144" t="n">
        <f aca="false">O182+L182+I182</f>
        <v>0</v>
      </c>
      <c r="S182" s="145"/>
      <c r="T182" s="71" t="n">
        <f aca="false">A183-A182</f>
        <v>31</v>
      </c>
      <c r="U182" s="146" t="n">
        <f aca="false">CHOOSE(F$3,A183+24,A182)</f>
        <v>42272</v>
      </c>
      <c r="V182" s="71" t="n">
        <f aca="false">U182-C$3</f>
        <v>5384</v>
      </c>
      <c r="W182" s="142" t="n">
        <f aca="false">VLOOKUP($A182,Table,MATCH(W$4,Curves,0))</f>
        <v>0.058966861357273</v>
      </c>
      <c r="X182" s="147" t="n">
        <f aca="false">1/(1+CHOOSE(F$3,(W183+($K$3/10000))/2,(W182+($K$3/10000))/2))^(2*V182/365.25)</f>
        <v>0.424586691627317</v>
      </c>
      <c r="Y182" s="71" t="n">
        <f aca="false">IF(AND(mthbeg&lt;=A182,mthend&gt;=A182),1,0)</f>
        <v>0</v>
      </c>
      <c r="Z182" s="71" t="n">
        <f aca="false">T182*Y182</f>
        <v>0</v>
      </c>
      <c r="AB182" s="132" t="n">
        <f aca="false">F182*G182</f>
        <v>0</v>
      </c>
      <c r="AC182" s="132" t="n">
        <f aca="false">$F182*H182</f>
        <v>0</v>
      </c>
      <c r="AD182" s="132" t="n">
        <f aca="false">$F182*I182</f>
        <v>0</v>
      </c>
      <c r="AE182" s="132" t="n">
        <f aca="false">$F182*J182</f>
        <v>-0</v>
      </c>
      <c r="AF182" s="132" t="n">
        <f aca="false">$F182*K182</f>
        <v>-0</v>
      </c>
      <c r="AG182" s="132" t="n">
        <f aca="false">$F182*L182</f>
        <v>0</v>
      </c>
      <c r="AH182" s="132" t="n">
        <f aca="false">$F182*M182</f>
        <v>0</v>
      </c>
      <c r="AI182" s="132" t="n">
        <f aca="false">$F182*N182</f>
        <v>0</v>
      </c>
      <c r="AJ182" s="132" t="n">
        <f aca="false">F182*O182</f>
        <v>0</v>
      </c>
      <c r="AK182" s="137"/>
      <c r="AL182" s="132" t="n">
        <f aca="false">CHOOSE($G$3,AC182-AD182,AD182-AC182)</f>
        <v>0</v>
      </c>
      <c r="AM182" s="132" t="n">
        <f aca="false">CHOOSE($G$3,AF182-AG182,AG182-AF182)</f>
        <v>0</v>
      </c>
      <c r="AN182" s="132" t="n">
        <f aca="false">CHOOSE($G$3,AI182-AJ182,AJ182-AI182)</f>
        <v>0</v>
      </c>
      <c r="AO182" s="148" t="n">
        <f aca="false">SUM(AL182:AN182)</f>
        <v>0</v>
      </c>
      <c r="AQ182" s="132" t="n">
        <f aca="false">CHOOSE($G$3,AB182-AC182,AC182-AB182)</f>
        <v>0</v>
      </c>
      <c r="AR182" s="132" t="n">
        <f aca="false">CHOOSE($G$3,AE182-AF182,AF182-AE182)</f>
        <v>0</v>
      </c>
      <c r="AS182" s="132" t="n">
        <f aca="false">CHOOSE($G$3,AH182-AI182,AI182-AH182)</f>
        <v>0</v>
      </c>
      <c r="AT182" s="148" t="n">
        <f aca="false">AQ182+AR182+AS182</f>
        <v>0</v>
      </c>
      <c r="AU182" s="148"/>
      <c r="AV182" s="133" t="n">
        <f aca="false">AT182+AO182</f>
        <v>0</v>
      </c>
      <c r="AX182" s="133" t="n">
        <f aca="false">AJ182+AG182+AD182</f>
        <v>0</v>
      </c>
      <c r="AY182" s="149"/>
      <c r="AZ182" s="76" t="n">
        <f aca="false">R182*E182</f>
        <v>0</v>
      </c>
    </row>
    <row r="183" customFormat="false" ht="12" hidden="false" customHeight="true" outlineLevel="0" collapsed="false">
      <c r="A183" s="138" t="n">
        <f aca="false">EDATE(A182,1)</f>
        <v>42248</v>
      </c>
      <c r="B183" s="139" t="n">
        <f aca="false">VLOOKUP($A183,Table2,MATCH(I$3,Curves2,0))</f>
        <v>0</v>
      </c>
      <c r="C183" s="140"/>
      <c r="D183" s="141" t="n">
        <f aca="false">B183+C183</f>
        <v>0</v>
      </c>
      <c r="E183" s="126" t="n">
        <f aca="false">IF(Y183=0,0,IF(AND(Y183=1,$H$3=1),D183*T183,IF($H$3=2,D183,"N/A")))</f>
        <v>0</v>
      </c>
      <c r="F183" s="126" t="n">
        <f aca="false">E183*X183</f>
        <v>0</v>
      </c>
      <c r="G183" s="142" t="n">
        <f aca="false">VLOOKUP($A183,Table,MATCH(G$4,Curves,0))</f>
        <v>3.987</v>
      </c>
      <c r="H183" s="143" t="n">
        <f aca="false">G183</f>
        <v>3.987</v>
      </c>
      <c r="I183" s="142" t="n">
        <f aca="false">VLOOKUP($A183,Table1,MATCH(I$3,Curves1,0))</f>
        <v>0</v>
      </c>
      <c r="J183" s="142" t="n">
        <f aca="false">VLOOKUP($A183,Table,MATCH(J$4,Curves,0))</f>
        <v>-0.061</v>
      </c>
      <c r="K183" s="143" t="n">
        <f aca="false">J183</f>
        <v>-0.061</v>
      </c>
      <c r="L183" s="144" t="n">
        <v>0</v>
      </c>
      <c r="M183" s="142" t="n">
        <f aca="false">VLOOKUP($A183,Table,MATCH(M$4,Curves,0))</f>
        <v>0.005</v>
      </c>
      <c r="N183" s="143" t="n">
        <f aca="false">M183</f>
        <v>0.005</v>
      </c>
      <c r="O183" s="144" t="n">
        <v>0</v>
      </c>
      <c r="P183" s="145"/>
      <c r="Q183" s="144" t="n">
        <f aca="false">M183+J183+G183</f>
        <v>3.931</v>
      </c>
      <c r="R183" s="144" t="n">
        <f aca="false">O183+L183+I183</f>
        <v>0</v>
      </c>
      <c r="S183" s="145"/>
      <c r="T183" s="71" t="n">
        <f aca="false">A184-A183</f>
        <v>30</v>
      </c>
      <c r="U183" s="146" t="n">
        <f aca="false">CHOOSE(F$3,A184+24,A183)</f>
        <v>42302</v>
      </c>
      <c r="V183" s="71" t="n">
        <f aca="false">U183-C$3</f>
        <v>5414</v>
      </c>
      <c r="W183" s="142" t="n">
        <f aca="false">VLOOKUP($A183,Table,MATCH(W$4,Curves,0))</f>
        <v>0.058966861357273</v>
      </c>
      <c r="X183" s="147" t="n">
        <f aca="false">1/(1+CHOOSE(F$3,(W184+($K$3/10000))/2,(W183+($K$3/10000))/2))^(2*V183/365.25)</f>
        <v>0.422564862843249</v>
      </c>
      <c r="Y183" s="71" t="n">
        <f aca="false">IF(AND(mthbeg&lt;=A183,mthend&gt;=A183),1,0)</f>
        <v>0</v>
      </c>
      <c r="Z183" s="71" t="n">
        <f aca="false">T183*Y183</f>
        <v>0</v>
      </c>
      <c r="AB183" s="132" t="n">
        <f aca="false">F183*G183</f>
        <v>0</v>
      </c>
      <c r="AC183" s="132" t="n">
        <f aca="false">$F183*H183</f>
        <v>0</v>
      </c>
      <c r="AD183" s="132" t="n">
        <f aca="false">$F183*I183</f>
        <v>0</v>
      </c>
      <c r="AE183" s="132" t="n">
        <f aca="false">$F183*J183</f>
        <v>-0</v>
      </c>
      <c r="AF183" s="132" t="n">
        <f aca="false">$F183*K183</f>
        <v>-0</v>
      </c>
      <c r="AG183" s="132" t="n">
        <f aca="false">$F183*L183</f>
        <v>0</v>
      </c>
      <c r="AH183" s="132" t="n">
        <f aca="false">$F183*M183</f>
        <v>0</v>
      </c>
      <c r="AI183" s="132" t="n">
        <f aca="false">$F183*N183</f>
        <v>0</v>
      </c>
      <c r="AJ183" s="132" t="n">
        <f aca="false">F183*O183</f>
        <v>0</v>
      </c>
      <c r="AK183" s="137"/>
      <c r="AL183" s="132" t="n">
        <f aca="false">CHOOSE($G$3,AC183-AD183,AD183-AC183)</f>
        <v>0</v>
      </c>
      <c r="AM183" s="132" t="n">
        <f aca="false">CHOOSE($G$3,AF183-AG183,AG183-AF183)</f>
        <v>0</v>
      </c>
      <c r="AN183" s="132" t="n">
        <f aca="false">CHOOSE($G$3,AI183-AJ183,AJ183-AI183)</f>
        <v>0</v>
      </c>
      <c r="AO183" s="148" t="n">
        <f aca="false">SUM(AL183:AN183)</f>
        <v>0</v>
      </c>
      <c r="AQ183" s="132" t="n">
        <f aca="false">CHOOSE($G$3,AB183-AC183,AC183-AB183)</f>
        <v>0</v>
      </c>
      <c r="AR183" s="132" t="n">
        <f aca="false">CHOOSE($G$3,AE183-AF183,AF183-AE183)</f>
        <v>0</v>
      </c>
      <c r="AS183" s="132" t="n">
        <f aca="false">CHOOSE($G$3,AH183-AI183,AI183-AH183)</f>
        <v>0</v>
      </c>
      <c r="AT183" s="148" t="n">
        <f aca="false">AQ183+AR183+AS183</f>
        <v>0</v>
      </c>
      <c r="AU183" s="148"/>
      <c r="AV183" s="133" t="n">
        <f aca="false">AT183+AO183</f>
        <v>0</v>
      </c>
      <c r="AX183" s="133" t="n">
        <f aca="false">AJ183+AG183+AD183</f>
        <v>0</v>
      </c>
      <c r="AY183" s="149"/>
      <c r="AZ183" s="76" t="n">
        <f aca="false">R183*E183</f>
        <v>0</v>
      </c>
    </row>
    <row r="184" customFormat="false" ht="12" hidden="false" customHeight="true" outlineLevel="0" collapsed="false">
      <c r="A184" s="138" t="n">
        <f aca="false">EDATE(A183,1)</f>
        <v>42278</v>
      </c>
      <c r="B184" s="139" t="n">
        <f aca="false">VLOOKUP($A184,Table2,MATCH(I$3,Curves2,0))</f>
        <v>0</v>
      </c>
      <c r="C184" s="140"/>
      <c r="D184" s="141" t="n">
        <f aca="false">B184+C184</f>
        <v>0</v>
      </c>
      <c r="E184" s="126" t="n">
        <f aca="false">IF(Y184=0,0,IF(AND(Y184=1,$H$3=1),D184*T184,IF($H$3=2,D184,"N/A")))</f>
        <v>0</v>
      </c>
      <c r="F184" s="126" t="n">
        <f aca="false">E184*X184</f>
        <v>0</v>
      </c>
      <c r="G184" s="142" t="n">
        <f aca="false">VLOOKUP($A184,Table,MATCH(G$4,Curves,0))</f>
        <v>3.987</v>
      </c>
      <c r="H184" s="143" t="n">
        <f aca="false">G184</f>
        <v>3.987</v>
      </c>
      <c r="I184" s="142" t="n">
        <f aca="false">VLOOKUP($A184,Table1,MATCH(I$3,Curves1,0))</f>
        <v>0</v>
      </c>
      <c r="J184" s="142" t="n">
        <f aca="false">VLOOKUP($A184,Table,MATCH(J$4,Curves,0))</f>
        <v>-0.061</v>
      </c>
      <c r="K184" s="143" t="n">
        <f aca="false">J184</f>
        <v>-0.061</v>
      </c>
      <c r="L184" s="144" t="n">
        <v>0</v>
      </c>
      <c r="M184" s="142" t="n">
        <f aca="false">VLOOKUP($A184,Table,MATCH(M$4,Curves,0))</f>
        <v>0.005</v>
      </c>
      <c r="N184" s="143" t="n">
        <f aca="false">M184</f>
        <v>0.005</v>
      </c>
      <c r="O184" s="144" t="n">
        <v>0</v>
      </c>
      <c r="P184" s="145"/>
      <c r="Q184" s="144" t="n">
        <f aca="false">M184+J184+G184</f>
        <v>3.931</v>
      </c>
      <c r="R184" s="144" t="n">
        <f aca="false">O184+L184+I184</f>
        <v>0</v>
      </c>
      <c r="S184" s="145"/>
      <c r="T184" s="71" t="n">
        <f aca="false">A185-A184</f>
        <v>31</v>
      </c>
      <c r="U184" s="146" t="n">
        <f aca="false">CHOOSE(F$3,A185+24,A184)</f>
        <v>42333</v>
      </c>
      <c r="V184" s="71" t="n">
        <f aca="false">U184-C$3</f>
        <v>5445</v>
      </c>
      <c r="W184" s="142" t="n">
        <f aca="false">VLOOKUP($A184,Table,MATCH(W$4,Curves,0))</f>
        <v>0.058966861357273</v>
      </c>
      <c r="X184" s="147" t="n">
        <f aca="false">1/(1+CHOOSE(F$3,(W185+($K$3/10000))/2,(W184+($K$3/10000))/2))^(2*V184/365.25)</f>
        <v>0.420485753660228</v>
      </c>
      <c r="Y184" s="71" t="n">
        <f aca="false">IF(AND(mthbeg&lt;=A184,mthend&gt;=A184),1,0)</f>
        <v>0</v>
      </c>
      <c r="Z184" s="71" t="n">
        <f aca="false">T184*Y184</f>
        <v>0</v>
      </c>
      <c r="AB184" s="132" t="n">
        <f aca="false">F184*G184</f>
        <v>0</v>
      </c>
      <c r="AC184" s="132" t="n">
        <f aca="false">$F184*H184</f>
        <v>0</v>
      </c>
      <c r="AD184" s="132" t="n">
        <f aca="false">$F184*I184</f>
        <v>0</v>
      </c>
      <c r="AE184" s="132" t="n">
        <f aca="false">$F184*J184</f>
        <v>-0</v>
      </c>
      <c r="AF184" s="132" t="n">
        <f aca="false">$F184*K184</f>
        <v>-0</v>
      </c>
      <c r="AG184" s="132" t="n">
        <f aca="false">$F184*L184</f>
        <v>0</v>
      </c>
      <c r="AH184" s="132" t="n">
        <f aca="false">$F184*M184</f>
        <v>0</v>
      </c>
      <c r="AI184" s="132" t="n">
        <f aca="false">$F184*N184</f>
        <v>0</v>
      </c>
      <c r="AJ184" s="132" t="n">
        <f aca="false">F184*O184</f>
        <v>0</v>
      </c>
      <c r="AK184" s="137"/>
      <c r="AL184" s="132" t="n">
        <f aca="false">CHOOSE($G$3,AC184-AD184,AD184-AC184)</f>
        <v>0</v>
      </c>
      <c r="AM184" s="132" t="n">
        <f aca="false">CHOOSE($G$3,AF184-AG184,AG184-AF184)</f>
        <v>0</v>
      </c>
      <c r="AN184" s="132" t="n">
        <f aca="false">CHOOSE($G$3,AI184-AJ184,AJ184-AI184)</f>
        <v>0</v>
      </c>
      <c r="AO184" s="148" t="n">
        <f aca="false">SUM(AL184:AN184)</f>
        <v>0</v>
      </c>
      <c r="AQ184" s="132" t="n">
        <f aca="false">CHOOSE($G$3,AB184-AC184,AC184-AB184)</f>
        <v>0</v>
      </c>
      <c r="AR184" s="132" t="n">
        <f aca="false">CHOOSE($G$3,AE184-AF184,AF184-AE184)</f>
        <v>0</v>
      </c>
      <c r="AS184" s="132" t="n">
        <f aca="false">CHOOSE($G$3,AH184-AI184,AI184-AH184)</f>
        <v>0</v>
      </c>
      <c r="AT184" s="148" t="n">
        <f aca="false">AQ184+AR184+AS184</f>
        <v>0</v>
      </c>
      <c r="AU184" s="148"/>
      <c r="AV184" s="133" t="n">
        <f aca="false">AT184+AO184</f>
        <v>0</v>
      </c>
      <c r="AX184" s="133" t="n">
        <f aca="false">AJ184+AG184+AD184</f>
        <v>0</v>
      </c>
      <c r="AY184" s="149"/>
      <c r="AZ184" s="76" t="n">
        <f aca="false">R184*E184</f>
        <v>0</v>
      </c>
    </row>
    <row r="185" customFormat="false" ht="12" hidden="false" customHeight="true" outlineLevel="0" collapsed="false">
      <c r="A185" s="138" t="n">
        <f aca="false">EDATE(A184,1)</f>
        <v>42309</v>
      </c>
      <c r="B185" s="139" t="n">
        <f aca="false">VLOOKUP($A185,Table2,MATCH(I$3,Curves2,0))</f>
        <v>0</v>
      </c>
      <c r="C185" s="140"/>
      <c r="D185" s="141" t="n">
        <f aca="false">B185+C185</f>
        <v>0</v>
      </c>
      <c r="E185" s="126" t="n">
        <f aca="false">IF(Y185=0,0,IF(AND(Y185=1,$H$3=1),D185*T185,IF($H$3=2,D185,"N/A")))</f>
        <v>0</v>
      </c>
      <c r="F185" s="126" t="n">
        <f aca="false">E185*X185</f>
        <v>0</v>
      </c>
      <c r="G185" s="142" t="n">
        <f aca="false">VLOOKUP($A185,Table,MATCH(G$4,Curves,0))</f>
        <v>3.987</v>
      </c>
      <c r="H185" s="143" t="n">
        <f aca="false">G185</f>
        <v>3.987</v>
      </c>
      <c r="I185" s="142" t="n">
        <f aca="false">VLOOKUP($A185,Table1,MATCH(I$3,Curves1,0))</f>
        <v>0</v>
      </c>
      <c r="J185" s="142" t="n">
        <f aca="false">VLOOKUP($A185,Table,MATCH(J$4,Curves,0))</f>
        <v>-0.061</v>
      </c>
      <c r="K185" s="143" t="n">
        <f aca="false">J185</f>
        <v>-0.061</v>
      </c>
      <c r="L185" s="144" t="n">
        <v>0</v>
      </c>
      <c r="M185" s="142" t="n">
        <f aca="false">VLOOKUP($A185,Table,MATCH(M$4,Curves,0))</f>
        <v>0.005</v>
      </c>
      <c r="N185" s="143" t="n">
        <f aca="false">M185</f>
        <v>0.005</v>
      </c>
      <c r="O185" s="144" t="n">
        <v>0</v>
      </c>
      <c r="P185" s="145"/>
      <c r="Q185" s="144" t="n">
        <f aca="false">M185+J185+G185</f>
        <v>3.931</v>
      </c>
      <c r="R185" s="144" t="n">
        <f aca="false">O185+L185+I185</f>
        <v>0</v>
      </c>
      <c r="S185" s="145"/>
      <c r="T185" s="71" t="n">
        <f aca="false">A186-A185</f>
        <v>30</v>
      </c>
      <c r="U185" s="146" t="n">
        <f aca="false">CHOOSE(F$3,A186+24,A185)</f>
        <v>42363</v>
      </c>
      <c r="V185" s="71" t="n">
        <f aca="false">U185-C$3</f>
        <v>5475</v>
      </c>
      <c r="W185" s="142" t="n">
        <f aca="false">VLOOKUP($A185,Table,MATCH(W$4,Curves,0))</f>
        <v>0.058966861357273</v>
      </c>
      <c r="X185" s="147" t="n">
        <f aca="false">1/(1+CHOOSE(F$3,(W186+($K$3/10000))/2,(W185+($K$3/10000))/2))^(2*V185/365.25)</f>
        <v>0.41848345303045</v>
      </c>
      <c r="Y185" s="71" t="n">
        <f aca="false">IF(AND(mthbeg&lt;=A185,mthend&gt;=A185),1,0)</f>
        <v>0</v>
      </c>
      <c r="Z185" s="71" t="n">
        <f aca="false">T185*Y185</f>
        <v>0</v>
      </c>
      <c r="AB185" s="132" t="n">
        <f aca="false">F185*G185</f>
        <v>0</v>
      </c>
      <c r="AC185" s="132" t="n">
        <f aca="false">$F185*H185</f>
        <v>0</v>
      </c>
      <c r="AD185" s="132" t="n">
        <f aca="false">$F185*I185</f>
        <v>0</v>
      </c>
      <c r="AE185" s="132" t="n">
        <f aca="false">$F185*J185</f>
        <v>-0</v>
      </c>
      <c r="AF185" s="132" t="n">
        <f aca="false">$F185*K185</f>
        <v>-0</v>
      </c>
      <c r="AG185" s="132" t="n">
        <f aca="false">$F185*L185</f>
        <v>0</v>
      </c>
      <c r="AH185" s="132" t="n">
        <f aca="false">$F185*M185</f>
        <v>0</v>
      </c>
      <c r="AI185" s="132" t="n">
        <f aca="false">$F185*N185</f>
        <v>0</v>
      </c>
      <c r="AJ185" s="132" t="n">
        <f aca="false">F185*O185</f>
        <v>0</v>
      </c>
      <c r="AK185" s="137"/>
      <c r="AL185" s="132" t="n">
        <f aca="false">CHOOSE($G$3,AC185-AD185,AD185-AC185)</f>
        <v>0</v>
      </c>
      <c r="AM185" s="132" t="n">
        <f aca="false">CHOOSE($G$3,AF185-AG185,AG185-AF185)</f>
        <v>0</v>
      </c>
      <c r="AN185" s="132" t="n">
        <f aca="false">CHOOSE($G$3,AI185-AJ185,AJ185-AI185)</f>
        <v>0</v>
      </c>
      <c r="AO185" s="148" t="n">
        <f aca="false">SUM(AL185:AN185)</f>
        <v>0</v>
      </c>
      <c r="AQ185" s="132" t="n">
        <f aca="false">CHOOSE($G$3,AB185-AC185,AC185-AB185)</f>
        <v>0</v>
      </c>
      <c r="AR185" s="132" t="n">
        <f aca="false">CHOOSE($G$3,AE185-AF185,AF185-AE185)</f>
        <v>0</v>
      </c>
      <c r="AS185" s="132" t="n">
        <f aca="false">CHOOSE($G$3,AH185-AI185,AI185-AH185)</f>
        <v>0</v>
      </c>
      <c r="AT185" s="148" t="n">
        <f aca="false">AQ185+AR185+AS185</f>
        <v>0</v>
      </c>
      <c r="AU185" s="148"/>
      <c r="AV185" s="133" t="n">
        <f aca="false">AT185+AO185</f>
        <v>0</v>
      </c>
      <c r="AX185" s="133" t="n">
        <f aca="false">AJ185+AG185+AD185</f>
        <v>0</v>
      </c>
      <c r="AY185" s="149"/>
      <c r="AZ185" s="76" t="n">
        <f aca="false">R185*E185</f>
        <v>0</v>
      </c>
    </row>
    <row r="186" customFormat="false" ht="12" hidden="false" customHeight="true" outlineLevel="0" collapsed="false">
      <c r="A186" s="138" t="n">
        <f aca="false">EDATE(A185,1)</f>
        <v>42339</v>
      </c>
      <c r="B186" s="139" t="n">
        <f aca="false">VLOOKUP($A186,Table2,MATCH(I$3,Curves2,0))</f>
        <v>0</v>
      </c>
      <c r="C186" s="140"/>
      <c r="D186" s="141" t="n">
        <f aca="false">B186+C186</f>
        <v>0</v>
      </c>
      <c r="E186" s="126" t="n">
        <f aca="false">IF(Y186=0,0,IF(AND(Y186=1,$H$3=1),D186*T186,IF($H$3=2,D186,"N/A")))</f>
        <v>0</v>
      </c>
      <c r="F186" s="126" t="n">
        <f aca="false">E186*X186</f>
        <v>0</v>
      </c>
      <c r="G186" s="142" t="n">
        <f aca="false">VLOOKUP($A186,Table,MATCH(G$4,Curves,0))</f>
        <v>3.987</v>
      </c>
      <c r="H186" s="143" t="n">
        <f aca="false">G186</f>
        <v>3.987</v>
      </c>
      <c r="I186" s="142" t="n">
        <f aca="false">VLOOKUP($A186,Table1,MATCH(I$3,Curves1,0))</f>
        <v>0</v>
      </c>
      <c r="J186" s="142" t="n">
        <f aca="false">VLOOKUP($A186,Table,MATCH(J$4,Curves,0))</f>
        <v>-0.061</v>
      </c>
      <c r="K186" s="143" t="n">
        <f aca="false">J186</f>
        <v>-0.061</v>
      </c>
      <c r="L186" s="144" t="n">
        <v>0</v>
      </c>
      <c r="M186" s="142" t="n">
        <f aca="false">VLOOKUP($A186,Table,MATCH(M$4,Curves,0))</f>
        <v>0.005</v>
      </c>
      <c r="N186" s="143" t="n">
        <f aca="false">M186</f>
        <v>0.005</v>
      </c>
      <c r="O186" s="144" t="n">
        <v>0</v>
      </c>
      <c r="P186" s="145"/>
      <c r="Q186" s="144" t="n">
        <f aca="false">M186+J186+G186</f>
        <v>3.931</v>
      </c>
      <c r="R186" s="144" t="n">
        <f aca="false">O186+L186+I186</f>
        <v>0</v>
      </c>
      <c r="S186" s="145"/>
      <c r="T186" s="71" t="n">
        <f aca="false">A187-A186</f>
        <v>31</v>
      </c>
      <c r="U186" s="146" t="n">
        <f aca="false">CHOOSE(F$3,A187+24,A186)</f>
        <v>42394</v>
      </c>
      <c r="V186" s="71" t="n">
        <f aca="false">U186-C$3</f>
        <v>5506</v>
      </c>
      <c r="W186" s="142" t="n">
        <f aca="false">VLOOKUP($A186,Table,MATCH(W$4,Curves,0))</f>
        <v>0.058966861357273</v>
      </c>
      <c r="X186" s="147" t="n">
        <f aca="false">1/(1+CHOOSE(F$3,(W187+($K$3/10000))/2,(W186+($K$3/10000))/2))^(2*V186/365.25)</f>
        <v>0.416424425253545</v>
      </c>
      <c r="Y186" s="71" t="n">
        <f aca="false">IF(AND(mthbeg&lt;=A186,mthend&gt;=A186),1,0)</f>
        <v>0</v>
      </c>
      <c r="Z186" s="71" t="n">
        <f aca="false">T186*Y186</f>
        <v>0</v>
      </c>
      <c r="AB186" s="132" t="n">
        <f aca="false">F186*G186</f>
        <v>0</v>
      </c>
      <c r="AC186" s="132" t="n">
        <f aca="false">$F186*H186</f>
        <v>0</v>
      </c>
      <c r="AD186" s="132" t="n">
        <f aca="false">$F186*I186</f>
        <v>0</v>
      </c>
      <c r="AE186" s="132" t="n">
        <f aca="false">$F186*J186</f>
        <v>-0</v>
      </c>
      <c r="AF186" s="132" t="n">
        <f aca="false">$F186*K186</f>
        <v>-0</v>
      </c>
      <c r="AG186" s="132" t="n">
        <f aca="false">$F186*L186</f>
        <v>0</v>
      </c>
      <c r="AH186" s="132" t="n">
        <f aca="false">$F186*M186</f>
        <v>0</v>
      </c>
      <c r="AI186" s="132" t="n">
        <f aca="false">$F186*N186</f>
        <v>0</v>
      </c>
      <c r="AJ186" s="132" t="n">
        <f aca="false">F186*O186</f>
        <v>0</v>
      </c>
      <c r="AK186" s="137"/>
      <c r="AL186" s="132" t="n">
        <f aca="false">CHOOSE($G$3,AC186-AD186,AD186-AC186)</f>
        <v>0</v>
      </c>
      <c r="AM186" s="132" t="n">
        <f aca="false">CHOOSE($G$3,AF186-AG186,AG186-AF186)</f>
        <v>0</v>
      </c>
      <c r="AN186" s="132" t="n">
        <f aca="false">CHOOSE($G$3,AI186-AJ186,AJ186-AI186)</f>
        <v>0</v>
      </c>
      <c r="AO186" s="148" t="n">
        <f aca="false">SUM(AL186:AN186)</f>
        <v>0</v>
      </c>
      <c r="AQ186" s="132" t="n">
        <f aca="false">CHOOSE($G$3,AB186-AC186,AC186-AB186)</f>
        <v>0</v>
      </c>
      <c r="AR186" s="132" t="n">
        <f aca="false">CHOOSE($G$3,AE186-AF186,AF186-AE186)</f>
        <v>0</v>
      </c>
      <c r="AS186" s="132" t="n">
        <f aca="false">CHOOSE($G$3,AH186-AI186,AI186-AH186)</f>
        <v>0</v>
      </c>
      <c r="AT186" s="148" t="n">
        <f aca="false">AQ186+AR186+AS186</f>
        <v>0</v>
      </c>
      <c r="AU186" s="148"/>
      <c r="AV186" s="133" t="n">
        <f aca="false">AT186+AO186</f>
        <v>0</v>
      </c>
      <c r="AX186" s="133" t="n">
        <f aca="false">AJ186+AG186+AD186</f>
        <v>0</v>
      </c>
      <c r="AY186" s="149"/>
      <c r="AZ186" s="76" t="n">
        <f aca="false">R186*E186</f>
        <v>0</v>
      </c>
    </row>
    <row r="187" customFormat="false" ht="12" hidden="false" customHeight="true" outlineLevel="0" collapsed="false">
      <c r="A187" s="138" t="n">
        <f aca="false">EDATE(A186,1)</f>
        <v>42370</v>
      </c>
      <c r="B187" s="139" t="n">
        <f aca="false">VLOOKUP($A187,Table2,MATCH(I$3,Curves2,0))</f>
        <v>0</v>
      </c>
      <c r="C187" s="140"/>
      <c r="D187" s="141" t="n">
        <f aca="false">B187+C187</f>
        <v>0</v>
      </c>
      <c r="E187" s="126" t="n">
        <f aca="false">IF(Y187=0,0,IF(AND(Y187=1,$H$3=1),D187*T187,IF($H$3=2,D187,"N/A")))</f>
        <v>0</v>
      </c>
      <c r="F187" s="126" t="n">
        <f aca="false">E187*X187</f>
        <v>0</v>
      </c>
      <c r="G187" s="142" t="n">
        <f aca="false">VLOOKUP($A187,Table,MATCH(G$4,Curves,0))</f>
        <v>3.987</v>
      </c>
      <c r="H187" s="143" t="n">
        <f aca="false">G187</f>
        <v>3.987</v>
      </c>
      <c r="I187" s="142" t="n">
        <f aca="false">VLOOKUP($A187,Table1,MATCH(I$3,Curves1,0))</f>
        <v>0</v>
      </c>
      <c r="J187" s="142" t="n">
        <f aca="false">VLOOKUP($A187,Table,MATCH(J$4,Curves,0))</f>
        <v>-0.061</v>
      </c>
      <c r="K187" s="143" t="n">
        <f aca="false">J187</f>
        <v>-0.061</v>
      </c>
      <c r="L187" s="144" t="n">
        <v>0</v>
      </c>
      <c r="M187" s="142" t="n">
        <f aca="false">VLOOKUP($A187,Table,MATCH(M$4,Curves,0))</f>
        <v>0.005</v>
      </c>
      <c r="N187" s="143" t="n">
        <f aca="false">M187</f>
        <v>0.005</v>
      </c>
      <c r="O187" s="144" t="n">
        <v>0</v>
      </c>
      <c r="P187" s="145"/>
      <c r="Q187" s="144" t="n">
        <f aca="false">M187+J187+G187</f>
        <v>3.931</v>
      </c>
      <c r="R187" s="144" t="n">
        <f aca="false">O187+L187+I187</f>
        <v>0</v>
      </c>
      <c r="S187" s="145"/>
      <c r="T187" s="71" t="n">
        <f aca="false">A188-A187</f>
        <v>31</v>
      </c>
      <c r="U187" s="146" t="n">
        <f aca="false">CHOOSE(F$3,A188+24,A187)</f>
        <v>42425</v>
      </c>
      <c r="V187" s="71" t="n">
        <f aca="false">U187-C$3</f>
        <v>5537</v>
      </c>
      <c r="W187" s="142" t="n">
        <f aca="false">VLOOKUP($A187,Table,MATCH(W$4,Curves,0))</f>
        <v>0.058966861357273</v>
      </c>
      <c r="X187" s="147" t="n">
        <f aca="false">1/(1+CHOOSE(F$3,(W188+($K$3/10000))/2,(W187+($K$3/10000))/2))^(2*V187/365.25)</f>
        <v>0.414375528332127</v>
      </c>
      <c r="Y187" s="71" t="n">
        <f aca="false">IF(AND(mthbeg&lt;=A187,mthend&gt;=A187),1,0)</f>
        <v>0</v>
      </c>
      <c r="Z187" s="71" t="n">
        <f aca="false">T187*Y187</f>
        <v>0</v>
      </c>
      <c r="AB187" s="132" t="n">
        <f aca="false">F187*G187</f>
        <v>0</v>
      </c>
      <c r="AC187" s="132" t="n">
        <f aca="false">$F187*H187</f>
        <v>0</v>
      </c>
      <c r="AD187" s="132" t="n">
        <f aca="false">$F187*I187</f>
        <v>0</v>
      </c>
      <c r="AE187" s="132" t="n">
        <f aca="false">$F187*J187</f>
        <v>-0</v>
      </c>
      <c r="AF187" s="132" t="n">
        <f aca="false">$F187*K187</f>
        <v>-0</v>
      </c>
      <c r="AG187" s="132" t="n">
        <f aca="false">$F187*L187</f>
        <v>0</v>
      </c>
      <c r="AH187" s="132" t="n">
        <f aca="false">$F187*M187</f>
        <v>0</v>
      </c>
      <c r="AI187" s="132" t="n">
        <f aca="false">$F187*N187</f>
        <v>0</v>
      </c>
      <c r="AJ187" s="132" t="n">
        <f aca="false">F187*O187</f>
        <v>0</v>
      </c>
      <c r="AK187" s="137"/>
      <c r="AL187" s="132" t="n">
        <f aca="false">CHOOSE($G$3,AC187-AD187,AD187-AC187)</f>
        <v>0</v>
      </c>
      <c r="AM187" s="132" t="n">
        <f aca="false">CHOOSE($G$3,AF187-AG187,AG187-AF187)</f>
        <v>0</v>
      </c>
      <c r="AN187" s="132" t="n">
        <f aca="false">CHOOSE($G$3,AI187-AJ187,AJ187-AI187)</f>
        <v>0</v>
      </c>
      <c r="AO187" s="148" t="n">
        <f aca="false">SUM(AL187:AN187)</f>
        <v>0</v>
      </c>
      <c r="AQ187" s="132" t="n">
        <f aca="false">CHOOSE($G$3,AB187-AC187,AC187-AB187)</f>
        <v>0</v>
      </c>
      <c r="AR187" s="132" t="n">
        <f aca="false">CHOOSE($G$3,AE187-AF187,AF187-AE187)</f>
        <v>0</v>
      </c>
      <c r="AS187" s="132" t="n">
        <f aca="false">CHOOSE($G$3,AH187-AI187,AI187-AH187)</f>
        <v>0</v>
      </c>
      <c r="AT187" s="148" t="n">
        <f aca="false">AQ187+AR187+AS187</f>
        <v>0</v>
      </c>
      <c r="AU187" s="148"/>
      <c r="AV187" s="133" t="n">
        <f aca="false">AT187+AO187</f>
        <v>0</v>
      </c>
      <c r="AX187" s="133" t="n">
        <f aca="false">AJ187+AG187+AD187</f>
        <v>0</v>
      </c>
      <c r="AY187" s="149"/>
      <c r="AZ187" s="76" t="n">
        <f aca="false">R187*E187</f>
        <v>0</v>
      </c>
    </row>
    <row r="188" customFormat="false" ht="12" hidden="false" customHeight="true" outlineLevel="0" collapsed="false">
      <c r="A188" s="138" t="n">
        <f aca="false">EDATE(A187,1)</f>
        <v>42401</v>
      </c>
      <c r="B188" s="139" t="n">
        <f aca="false">VLOOKUP($A188,Table2,MATCH(I$3,Curves2,0))</f>
        <v>0</v>
      </c>
      <c r="C188" s="140"/>
      <c r="D188" s="141" t="n">
        <f aca="false">B188+C188</f>
        <v>0</v>
      </c>
      <c r="E188" s="126" t="n">
        <f aca="false">IF(Y188=0,0,IF(AND(Y188=1,$H$3=1),D188*T188,IF($H$3=2,D188,"N/A")))</f>
        <v>0</v>
      </c>
      <c r="F188" s="126" t="n">
        <f aca="false">E188*X188</f>
        <v>0</v>
      </c>
      <c r="G188" s="142" t="n">
        <f aca="false">VLOOKUP($A188,Table,MATCH(G$4,Curves,0))</f>
        <v>3.987</v>
      </c>
      <c r="H188" s="143" t="n">
        <f aca="false">G188</f>
        <v>3.987</v>
      </c>
      <c r="I188" s="142" t="n">
        <f aca="false">VLOOKUP($A188,Table1,MATCH(I$3,Curves1,0))</f>
        <v>0</v>
      </c>
      <c r="J188" s="142" t="n">
        <f aca="false">VLOOKUP($A188,Table,MATCH(J$4,Curves,0))</f>
        <v>-0.061</v>
      </c>
      <c r="K188" s="143" t="n">
        <f aca="false">J188</f>
        <v>-0.061</v>
      </c>
      <c r="L188" s="144" t="n">
        <v>0</v>
      </c>
      <c r="M188" s="142" t="n">
        <f aca="false">VLOOKUP($A188,Table,MATCH(M$4,Curves,0))</f>
        <v>0.005</v>
      </c>
      <c r="N188" s="143" t="n">
        <f aca="false">M188</f>
        <v>0.005</v>
      </c>
      <c r="O188" s="144" t="n">
        <v>0</v>
      </c>
      <c r="P188" s="145"/>
      <c r="Q188" s="144" t="n">
        <f aca="false">M188+J188+G188</f>
        <v>3.931</v>
      </c>
      <c r="R188" s="144" t="n">
        <f aca="false">O188+L188+I188</f>
        <v>0</v>
      </c>
      <c r="S188" s="145"/>
      <c r="T188" s="71" t="n">
        <f aca="false">A189-A188</f>
        <v>29</v>
      </c>
      <c r="U188" s="146" t="n">
        <f aca="false">CHOOSE(F$3,A189+24,A188)</f>
        <v>42454</v>
      </c>
      <c r="V188" s="71" t="n">
        <f aca="false">U188-C$3</f>
        <v>5566</v>
      </c>
      <c r="W188" s="142" t="n">
        <f aca="false">VLOOKUP($A188,Table,MATCH(W$4,Curves,0))</f>
        <v>0.058966861357273</v>
      </c>
      <c r="X188" s="147" t="n">
        <f aca="false">1/(1+CHOOSE(F$3,(W189+($K$3/10000))/2,(W188+($K$3/10000))/2))^(2*V188/365.25)</f>
        <v>0.412467945684007</v>
      </c>
      <c r="Y188" s="71" t="n">
        <f aca="false">IF(AND(mthbeg&lt;=A188,mthend&gt;=A188),1,0)</f>
        <v>0</v>
      </c>
      <c r="Z188" s="71" t="n">
        <f aca="false">T188*Y188</f>
        <v>0</v>
      </c>
      <c r="AB188" s="132" t="n">
        <f aca="false">F188*G188</f>
        <v>0</v>
      </c>
      <c r="AC188" s="132" t="n">
        <f aca="false">$F188*H188</f>
        <v>0</v>
      </c>
      <c r="AD188" s="132" t="n">
        <f aca="false">$F188*I188</f>
        <v>0</v>
      </c>
      <c r="AE188" s="132" t="n">
        <f aca="false">$F188*J188</f>
        <v>-0</v>
      </c>
      <c r="AF188" s="132" t="n">
        <f aca="false">$F188*K188</f>
        <v>-0</v>
      </c>
      <c r="AG188" s="132" t="n">
        <f aca="false">$F188*L188</f>
        <v>0</v>
      </c>
      <c r="AH188" s="132" t="n">
        <f aca="false">$F188*M188</f>
        <v>0</v>
      </c>
      <c r="AI188" s="132" t="n">
        <f aca="false">$F188*N188</f>
        <v>0</v>
      </c>
      <c r="AJ188" s="132" t="n">
        <f aca="false">F188*O188</f>
        <v>0</v>
      </c>
      <c r="AK188" s="137"/>
      <c r="AL188" s="132" t="n">
        <f aca="false">CHOOSE($G$3,AC188-AD188,AD188-AC188)</f>
        <v>0</v>
      </c>
      <c r="AM188" s="132" t="n">
        <f aca="false">CHOOSE($G$3,AF188-AG188,AG188-AF188)</f>
        <v>0</v>
      </c>
      <c r="AN188" s="132" t="n">
        <f aca="false">CHOOSE($G$3,AI188-AJ188,AJ188-AI188)</f>
        <v>0</v>
      </c>
      <c r="AO188" s="148" t="n">
        <f aca="false">SUM(AL188:AN188)</f>
        <v>0</v>
      </c>
      <c r="AQ188" s="132" t="n">
        <f aca="false">CHOOSE($G$3,AB188-AC188,AC188-AB188)</f>
        <v>0</v>
      </c>
      <c r="AR188" s="132" t="n">
        <f aca="false">CHOOSE($G$3,AE188-AF188,AF188-AE188)</f>
        <v>0</v>
      </c>
      <c r="AS188" s="132" t="n">
        <f aca="false">CHOOSE($G$3,AH188-AI188,AI188-AH188)</f>
        <v>0</v>
      </c>
      <c r="AT188" s="148" t="n">
        <f aca="false">AQ188+AR188+AS188</f>
        <v>0</v>
      </c>
      <c r="AU188" s="148"/>
      <c r="AV188" s="133" t="n">
        <f aca="false">AT188+AO188</f>
        <v>0</v>
      </c>
      <c r="AX188" s="133" t="n">
        <f aca="false">AJ188+AG188+AD188</f>
        <v>0</v>
      </c>
      <c r="AY188" s="149"/>
      <c r="AZ188" s="76" t="n">
        <f aca="false">R188*E188</f>
        <v>0</v>
      </c>
    </row>
    <row r="189" customFormat="false" ht="12" hidden="false" customHeight="true" outlineLevel="0" collapsed="false">
      <c r="A189" s="138" t="n">
        <f aca="false">EDATE(A188,1)</f>
        <v>42430</v>
      </c>
      <c r="B189" s="139" t="n">
        <f aca="false">VLOOKUP($A189,Table2,MATCH(I$3,Curves2,0))</f>
        <v>0</v>
      </c>
      <c r="C189" s="140"/>
      <c r="D189" s="141" t="n">
        <f aca="false">B189+C189</f>
        <v>0</v>
      </c>
      <c r="E189" s="126" t="n">
        <f aca="false">IF(Y189=0,0,IF(AND(Y189=1,$H$3=1),D189*T189,IF($H$3=2,D189,"N/A")))</f>
        <v>0</v>
      </c>
      <c r="F189" s="126" t="n">
        <f aca="false">E189*X189</f>
        <v>0</v>
      </c>
      <c r="G189" s="142" t="n">
        <f aca="false">VLOOKUP($A189,Table,MATCH(G$4,Curves,0))</f>
        <v>3.987</v>
      </c>
      <c r="H189" s="143" t="n">
        <f aca="false">G189</f>
        <v>3.987</v>
      </c>
      <c r="I189" s="142" t="n">
        <f aca="false">VLOOKUP($A189,Table1,MATCH(I$3,Curves1,0))</f>
        <v>0</v>
      </c>
      <c r="J189" s="142" t="n">
        <f aca="false">VLOOKUP($A189,Table,MATCH(J$4,Curves,0))</f>
        <v>-0.061</v>
      </c>
      <c r="K189" s="143" t="n">
        <f aca="false">J189</f>
        <v>-0.061</v>
      </c>
      <c r="L189" s="144" t="n">
        <v>0</v>
      </c>
      <c r="M189" s="142" t="n">
        <f aca="false">VLOOKUP($A189,Table,MATCH(M$4,Curves,0))</f>
        <v>0.005</v>
      </c>
      <c r="N189" s="143" t="n">
        <f aca="false">M189</f>
        <v>0.005</v>
      </c>
      <c r="O189" s="144" t="n">
        <v>0</v>
      </c>
      <c r="P189" s="145"/>
      <c r="Q189" s="144" t="n">
        <f aca="false">M189+J189+G189</f>
        <v>3.931</v>
      </c>
      <c r="R189" s="144" t="n">
        <f aca="false">O189+L189+I189</f>
        <v>0</v>
      </c>
      <c r="S189" s="145"/>
      <c r="T189" s="71" t="n">
        <f aca="false">A190-A189</f>
        <v>31</v>
      </c>
      <c r="U189" s="146" t="n">
        <f aca="false">CHOOSE(F$3,A190+24,A189)</f>
        <v>42485</v>
      </c>
      <c r="V189" s="71" t="n">
        <f aca="false">U189-C$3</f>
        <v>5597</v>
      </c>
      <c r="W189" s="142" t="n">
        <f aca="false">VLOOKUP($A189,Table,MATCH(W$4,Curves,0))</f>
        <v>0.058966861357273</v>
      </c>
      <c r="X189" s="147" t="n">
        <f aca="false">1/(1+CHOOSE(F$3,(W190+($K$3/10000))/2,(W189+($K$3/10000))/2))^(2*V189/365.25)</f>
        <v>0.410438515485284</v>
      </c>
      <c r="Y189" s="71" t="n">
        <f aca="false">IF(AND(mthbeg&lt;=A189,mthend&gt;=A189),1,0)</f>
        <v>0</v>
      </c>
      <c r="Z189" s="71" t="n">
        <f aca="false">T189*Y189</f>
        <v>0</v>
      </c>
      <c r="AB189" s="132" t="n">
        <f aca="false">F189*G189</f>
        <v>0</v>
      </c>
      <c r="AC189" s="132" t="n">
        <f aca="false">$F189*H189</f>
        <v>0</v>
      </c>
      <c r="AD189" s="132" t="n">
        <f aca="false">$F189*I189</f>
        <v>0</v>
      </c>
      <c r="AE189" s="132" t="n">
        <f aca="false">$F189*J189</f>
        <v>-0</v>
      </c>
      <c r="AF189" s="132" t="n">
        <f aca="false">$F189*K189</f>
        <v>-0</v>
      </c>
      <c r="AG189" s="132" t="n">
        <f aca="false">$F189*L189</f>
        <v>0</v>
      </c>
      <c r="AH189" s="132" t="n">
        <f aca="false">$F189*M189</f>
        <v>0</v>
      </c>
      <c r="AI189" s="132" t="n">
        <f aca="false">$F189*N189</f>
        <v>0</v>
      </c>
      <c r="AJ189" s="132" t="n">
        <f aca="false">F189*O189</f>
        <v>0</v>
      </c>
      <c r="AK189" s="137"/>
      <c r="AL189" s="132" t="n">
        <f aca="false">CHOOSE($G$3,AC189-AD189,AD189-AC189)</f>
        <v>0</v>
      </c>
      <c r="AM189" s="132" t="n">
        <f aca="false">CHOOSE($G$3,AF189-AG189,AG189-AF189)</f>
        <v>0</v>
      </c>
      <c r="AN189" s="132" t="n">
        <f aca="false">CHOOSE($G$3,AI189-AJ189,AJ189-AI189)</f>
        <v>0</v>
      </c>
      <c r="AO189" s="148" t="n">
        <f aca="false">SUM(AL189:AN189)</f>
        <v>0</v>
      </c>
      <c r="AQ189" s="132" t="n">
        <f aca="false">CHOOSE($G$3,AB189-AC189,AC189-AB189)</f>
        <v>0</v>
      </c>
      <c r="AR189" s="132" t="n">
        <f aca="false">CHOOSE($G$3,AE189-AF189,AF189-AE189)</f>
        <v>0</v>
      </c>
      <c r="AS189" s="132" t="n">
        <f aca="false">CHOOSE($G$3,AH189-AI189,AI189-AH189)</f>
        <v>0</v>
      </c>
      <c r="AT189" s="148" t="n">
        <f aca="false">AQ189+AR189+AS189</f>
        <v>0</v>
      </c>
      <c r="AU189" s="148"/>
      <c r="AV189" s="133" t="n">
        <f aca="false">AT189+AO189</f>
        <v>0</v>
      </c>
      <c r="AX189" s="133" t="n">
        <f aca="false">AJ189+AG189+AD189</f>
        <v>0</v>
      </c>
      <c r="AY189" s="149"/>
      <c r="AZ189" s="76" t="n">
        <f aca="false">R189*E189</f>
        <v>0</v>
      </c>
    </row>
    <row r="190" customFormat="false" ht="12" hidden="false" customHeight="true" outlineLevel="0" collapsed="false">
      <c r="A190" s="138" t="n">
        <f aca="false">EDATE(A189,1)</f>
        <v>42461</v>
      </c>
      <c r="B190" s="139" t="n">
        <f aca="false">VLOOKUP($A190,Table2,MATCH(I$3,Curves2,0))</f>
        <v>0</v>
      </c>
      <c r="C190" s="140"/>
      <c r="D190" s="141" t="n">
        <f aca="false">B190+C190</f>
        <v>0</v>
      </c>
      <c r="E190" s="126" t="n">
        <f aca="false">IF(Y190=0,0,IF(AND(Y190=1,$H$3=1),D190*T190,IF($H$3=2,D190,"N/A")))</f>
        <v>0</v>
      </c>
      <c r="F190" s="126" t="n">
        <f aca="false">E190*X190</f>
        <v>0</v>
      </c>
      <c r="G190" s="142" t="n">
        <f aca="false">VLOOKUP($A190,Table,MATCH(G$4,Curves,0))</f>
        <v>3.987</v>
      </c>
      <c r="H190" s="143" t="n">
        <f aca="false">G190</f>
        <v>3.987</v>
      </c>
      <c r="I190" s="142" t="n">
        <f aca="false">VLOOKUP($A190,Table1,MATCH(I$3,Curves1,0))</f>
        <v>0</v>
      </c>
      <c r="J190" s="142" t="n">
        <f aca="false">VLOOKUP($A190,Table,MATCH(J$4,Curves,0))</f>
        <v>-0.061</v>
      </c>
      <c r="K190" s="143" t="n">
        <f aca="false">J190</f>
        <v>-0.061</v>
      </c>
      <c r="L190" s="144" t="n">
        <v>0</v>
      </c>
      <c r="M190" s="142" t="n">
        <f aca="false">VLOOKUP($A190,Table,MATCH(M$4,Curves,0))</f>
        <v>0.005</v>
      </c>
      <c r="N190" s="143" t="n">
        <f aca="false">M190</f>
        <v>0.005</v>
      </c>
      <c r="O190" s="144" t="n">
        <v>0</v>
      </c>
      <c r="P190" s="145"/>
      <c r="Q190" s="144" t="n">
        <f aca="false">M190+J190+G190</f>
        <v>3.931</v>
      </c>
      <c r="R190" s="144" t="n">
        <f aca="false">O190+L190+I190</f>
        <v>0</v>
      </c>
      <c r="S190" s="145"/>
      <c r="T190" s="71" t="n">
        <f aca="false">A191-A190</f>
        <v>30</v>
      </c>
      <c r="U190" s="146" t="n">
        <f aca="false">CHOOSE(F$3,A191+24,A190)</f>
        <v>42515</v>
      </c>
      <c r="V190" s="71" t="n">
        <f aca="false">U190-C$3</f>
        <v>5627</v>
      </c>
      <c r="W190" s="142" t="n">
        <f aca="false">VLOOKUP($A190,Table,MATCH(W$4,Curves,0))</f>
        <v>0.058966861357273</v>
      </c>
      <c r="X190" s="147" t="n">
        <f aca="false">1/(1+CHOOSE(F$3,(W191+($K$3/10000))/2,(W190+($K$3/10000))/2))^(2*V190/365.25)</f>
        <v>0.408484058548544</v>
      </c>
      <c r="Y190" s="71" t="n">
        <f aca="false">IF(AND(mthbeg&lt;=A190,mthend&gt;=A190),1,0)</f>
        <v>0</v>
      </c>
      <c r="Z190" s="71" t="n">
        <f aca="false">T190*Y190</f>
        <v>0</v>
      </c>
      <c r="AB190" s="132" t="n">
        <f aca="false">F190*G190</f>
        <v>0</v>
      </c>
      <c r="AC190" s="132" t="n">
        <f aca="false">$F190*H190</f>
        <v>0</v>
      </c>
      <c r="AD190" s="132" t="n">
        <f aca="false">$F190*I190</f>
        <v>0</v>
      </c>
      <c r="AE190" s="132" t="n">
        <f aca="false">$F190*J190</f>
        <v>-0</v>
      </c>
      <c r="AF190" s="132" t="n">
        <f aca="false">$F190*K190</f>
        <v>-0</v>
      </c>
      <c r="AG190" s="132" t="n">
        <f aca="false">$F190*L190</f>
        <v>0</v>
      </c>
      <c r="AH190" s="132" t="n">
        <f aca="false">$F190*M190</f>
        <v>0</v>
      </c>
      <c r="AI190" s="132" t="n">
        <f aca="false">$F190*N190</f>
        <v>0</v>
      </c>
      <c r="AJ190" s="132" t="n">
        <f aca="false">F190*O190</f>
        <v>0</v>
      </c>
      <c r="AK190" s="137"/>
      <c r="AL190" s="132" t="n">
        <f aca="false">CHOOSE($G$3,AC190-AD190,AD190-AC190)</f>
        <v>0</v>
      </c>
      <c r="AM190" s="132" t="n">
        <f aca="false">CHOOSE($G$3,AF190-AG190,AG190-AF190)</f>
        <v>0</v>
      </c>
      <c r="AN190" s="132" t="n">
        <f aca="false">CHOOSE($G$3,AI190-AJ190,AJ190-AI190)</f>
        <v>0</v>
      </c>
      <c r="AO190" s="148" t="n">
        <f aca="false">SUM(AL190:AN190)</f>
        <v>0</v>
      </c>
      <c r="AQ190" s="132" t="n">
        <f aca="false">CHOOSE($G$3,AB190-AC190,AC190-AB190)</f>
        <v>0</v>
      </c>
      <c r="AR190" s="132" t="n">
        <f aca="false">CHOOSE($G$3,AE190-AF190,AF190-AE190)</f>
        <v>0</v>
      </c>
      <c r="AS190" s="132" t="n">
        <f aca="false">CHOOSE($G$3,AH190-AI190,AI190-AH190)</f>
        <v>0</v>
      </c>
      <c r="AT190" s="148" t="n">
        <f aca="false">AQ190+AR190+AS190</f>
        <v>0</v>
      </c>
      <c r="AU190" s="148"/>
      <c r="AV190" s="133" t="n">
        <f aca="false">AT190+AO190</f>
        <v>0</v>
      </c>
      <c r="AX190" s="133" t="n">
        <f aca="false">AJ190+AG190+AD190</f>
        <v>0</v>
      </c>
      <c r="AY190" s="149"/>
      <c r="AZ190" s="76" t="n">
        <f aca="false">R190*E190</f>
        <v>0</v>
      </c>
    </row>
    <row r="191" customFormat="false" ht="12" hidden="false" customHeight="true" outlineLevel="0" collapsed="false">
      <c r="A191" s="138" t="n">
        <f aca="false">EDATE(A190,1)</f>
        <v>42491</v>
      </c>
      <c r="B191" s="139" t="n">
        <f aca="false">VLOOKUP($A191,Table2,MATCH(I$3,Curves2,0))</f>
        <v>0</v>
      </c>
      <c r="C191" s="140"/>
      <c r="D191" s="141" t="n">
        <f aca="false">B191+C191</f>
        <v>0</v>
      </c>
      <c r="E191" s="126" t="n">
        <f aca="false">IF(Y191=0,0,IF(AND(Y191=1,$H$3=1),D191*T191,IF($H$3=2,D191,"N/A")))</f>
        <v>0</v>
      </c>
      <c r="F191" s="126" t="n">
        <f aca="false">E191*X191</f>
        <v>0</v>
      </c>
      <c r="G191" s="142" t="n">
        <f aca="false">VLOOKUP($A191,Table,MATCH(G$4,Curves,0))</f>
        <v>3.987</v>
      </c>
      <c r="H191" s="143" t="n">
        <f aca="false">G191</f>
        <v>3.987</v>
      </c>
      <c r="I191" s="142" t="n">
        <f aca="false">VLOOKUP($A191,Table1,MATCH(I$3,Curves1,0))</f>
        <v>0</v>
      </c>
      <c r="J191" s="142" t="n">
        <f aca="false">VLOOKUP($A191,Table,MATCH(J$4,Curves,0))</f>
        <v>-0.061</v>
      </c>
      <c r="K191" s="143" t="n">
        <f aca="false">J191</f>
        <v>-0.061</v>
      </c>
      <c r="L191" s="144" t="n">
        <v>0</v>
      </c>
      <c r="M191" s="142" t="n">
        <f aca="false">VLOOKUP($A191,Table,MATCH(M$4,Curves,0))</f>
        <v>0.005</v>
      </c>
      <c r="N191" s="143" t="n">
        <f aca="false">M191</f>
        <v>0.005</v>
      </c>
      <c r="O191" s="144" t="n">
        <v>0</v>
      </c>
      <c r="P191" s="145"/>
      <c r="Q191" s="144" t="n">
        <f aca="false">M191+J191+G191</f>
        <v>3.931</v>
      </c>
      <c r="R191" s="144" t="n">
        <f aca="false">O191+L191+I191</f>
        <v>0</v>
      </c>
      <c r="S191" s="145"/>
      <c r="T191" s="71" t="n">
        <f aca="false">A192-A191</f>
        <v>31</v>
      </c>
      <c r="U191" s="146" t="n">
        <f aca="false">CHOOSE(F$3,A192+24,A191)</f>
        <v>42546</v>
      </c>
      <c r="V191" s="71" t="n">
        <f aca="false">U191-C$3</f>
        <v>5658</v>
      </c>
      <c r="W191" s="142" t="n">
        <f aca="false">VLOOKUP($A191,Table,MATCH(W$4,Curves,0))</f>
        <v>0.058966861357273</v>
      </c>
      <c r="X191" s="147" t="n">
        <f aca="false">1/(1+CHOOSE(F$3,(W192+($K$3/10000))/2,(W191+($K$3/10000))/2))^(2*V191/365.25)</f>
        <v>0.406474229923581</v>
      </c>
      <c r="Y191" s="71" t="n">
        <f aca="false">IF(AND(mthbeg&lt;=A191,mthend&gt;=A191),1,0)</f>
        <v>0</v>
      </c>
      <c r="Z191" s="71" t="n">
        <f aca="false">T191*Y191</f>
        <v>0</v>
      </c>
      <c r="AB191" s="132" t="n">
        <f aca="false">F191*G191</f>
        <v>0</v>
      </c>
      <c r="AC191" s="132" t="n">
        <f aca="false">$F191*H191</f>
        <v>0</v>
      </c>
      <c r="AD191" s="132" t="n">
        <f aca="false">$F191*I191</f>
        <v>0</v>
      </c>
      <c r="AE191" s="132" t="n">
        <f aca="false">$F191*J191</f>
        <v>-0</v>
      </c>
      <c r="AF191" s="132" t="n">
        <f aca="false">$F191*K191</f>
        <v>-0</v>
      </c>
      <c r="AG191" s="132" t="n">
        <f aca="false">$F191*L191</f>
        <v>0</v>
      </c>
      <c r="AH191" s="132" t="n">
        <f aca="false">$F191*M191</f>
        <v>0</v>
      </c>
      <c r="AI191" s="132" t="n">
        <f aca="false">$F191*N191</f>
        <v>0</v>
      </c>
      <c r="AJ191" s="132" t="n">
        <f aca="false">F191*O191</f>
        <v>0</v>
      </c>
      <c r="AK191" s="137"/>
      <c r="AL191" s="132" t="n">
        <f aca="false">CHOOSE($G$3,AC191-AD191,AD191-AC191)</f>
        <v>0</v>
      </c>
      <c r="AM191" s="132" t="n">
        <f aca="false">CHOOSE($G$3,AF191-AG191,AG191-AF191)</f>
        <v>0</v>
      </c>
      <c r="AN191" s="132" t="n">
        <f aca="false">CHOOSE($G$3,AI191-AJ191,AJ191-AI191)</f>
        <v>0</v>
      </c>
      <c r="AO191" s="148" t="n">
        <f aca="false">SUM(AL191:AN191)</f>
        <v>0</v>
      </c>
      <c r="AQ191" s="132" t="n">
        <f aca="false">CHOOSE($G$3,AB191-AC191,AC191-AB191)</f>
        <v>0</v>
      </c>
      <c r="AR191" s="132" t="n">
        <f aca="false">CHOOSE($G$3,AE191-AF191,AF191-AE191)</f>
        <v>0</v>
      </c>
      <c r="AS191" s="132" t="n">
        <f aca="false">CHOOSE($G$3,AH191-AI191,AI191-AH191)</f>
        <v>0</v>
      </c>
      <c r="AT191" s="148" t="n">
        <f aca="false">AQ191+AR191+AS191</f>
        <v>0</v>
      </c>
      <c r="AU191" s="148"/>
      <c r="AV191" s="133" t="n">
        <f aca="false">AT191+AO191</f>
        <v>0</v>
      </c>
      <c r="AX191" s="133" t="n">
        <f aca="false">AJ191+AG191+AD191</f>
        <v>0</v>
      </c>
      <c r="AY191" s="149"/>
      <c r="AZ191" s="76" t="n">
        <f aca="false">R191*E191</f>
        <v>0</v>
      </c>
    </row>
    <row r="192" customFormat="false" ht="12" hidden="false" customHeight="true" outlineLevel="0" collapsed="false">
      <c r="A192" s="138" t="n">
        <f aca="false">EDATE(A191,1)</f>
        <v>42522</v>
      </c>
      <c r="B192" s="139" t="n">
        <f aca="false">VLOOKUP($A192,Table2,MATCH(I$3,Curves2,0))</f>
        <v>0</v>
      </c>
      <c r="C192" s="140"/>
      <c r="D192" s="141" t="n">
        <f aca="false">B192+C192</f>
        <v>0</v>
      </c>
      <c r="E192" s="126" t="n">
        <f aca="false">IF(Y192=0,0,IF(AND(Y192=1,$H$3=1),D192*T192,IF($H$3=2,D192,"N/A")))</f>
        <v>0</v>
      </c>
      <c r="F192" s="126" t="n">
        <f aca="false">E192*X192</f>
        <v>0</v>
      </c>
      <c r="G192" s="142" t="n">
        <f aca="false">VLOOKUP($A192,Table,MATCH(G$4,Curves,0))</f>
        <v>3.987</v>
      </c>
      <c r="H192" s="143" t="n">
        <f aca="false">G192</f>
        <v>3.987</v>
      </c>
      <c r="I192" s="142" t="n">
        <f aca="false">VLOOKUP($A192,Table1,MATCH(I$3,Curves1,0))</f>
        <v>0</v>
      </c>
      <c r="J192" s="142" t="n">
        <f aca="false">VLOOKUP($A192,Table,MATCH(J$4,Curves,0))</f>
        <v>-0.061</v>
      </c>
      <c r="K192" s="143" t="n">
        <f aca="false">J192</f>
        <v>-0.061</v>
      </c>
      <c r="L192" s="144" t="n">
        <v>0</v>
      </c>
      <c r="M192" s="142" t="n">
        <f aca="false">VLOOKUP($A192,Table,MATCH(M$4,Curves,0))</f>
        <v>0.005</v>
      </c>
      <c r="N192" s="143" t="n">
        <f aca="false">M192</f>
        <v>0.005</v>
      </c>
      <c r="O192" s="144" t="n">
        <v>0</v>
      </c>
      <c r="P192" s="145"/>
      <c r="Q192" s="144" t="n">
        <f aca="false">M192+J192+G192</f>
        <v>3.931</v>
      </c>
      <c r="R192" s="144" t="n">
        <f aca="false">O192+L192+I192</f>
        <v>0</v>
      </c>
      <c r="S192" s="145"/>
      <c r="T192" s="71" t="n">
        <f aca="false">A193-A192</f>
        <v>30</v>
      </c>
      <c r="U192" s="146" t="n">
        <f aca="false">CHOOSE(F$3,A193+24,A192)</f>
        <v>42576</v>
      </c>
      <c r="V192" s="71" t="n">
        <f aca="false">U192-C$3</f>
        <v>5688</v>
      </c>
      <c r="W192" s="142" t="n">
        <f aca="false">VLOOKUP($A192,Table,MATCH(W$4,Curves,0))</f>
        <v>0.058966861357273</v>
      </c>
      <c r="X192" s="147" t="n">
        <f aca="false">1/(1+CHOOSE(F$3,(W193+($K$3/10000))/2,(W192+($K$3/10000))/2))^(2*V192/365.25)</f>
        <v>0.404538650419448</v>
      </c>
      <c r="Y192" s="71" t="n">
        <f aca="false">IF(AND(mthbeg&lt;=A192,mthend&gt;=A192),1,0)</f>
        <v>0</v>
      </c>
      <c r="Z192" s="71" t="n">
        <f aca="false">T192*Y192</f>
        <v>0</v>
      </c>
      <c r="AB192" s="132" t="n">
        <f aca="false">F192*G192</f>
        <v>0</v>
      </c>
      <c r="AC192" s="132" t="n">
        <f aca="false">$F192*H192</f>
        <v>0</v>
      </c>
      <c r="AD192" s="132" t="n">
        <f aca="false">$F192*I192</f>
        <v>0</v>
      </c>
      <c r="AE192" s="132" t="n">
        <f aca="false">$F192*J192</f>
        <v>-0</v>
      </c>
      <c r="AF192" s="132" t="n">
        <f aca="false">$F192*K192</f>
        <v>-0</v>
      </c>
      <c r="AG192" s="132" t="n">
        <f aca="false">$F192*L192</f>
        <v>0</v>
      </c>
      <c r="AH192" s="132" t="n">
        <f aca="false">$F192*M192</f>
        <v>0</v>
      </c>
      <c r="AI192" s="132" t="n">
        <f aca="false">$F192*N192</f>
        <v>0</v>
      </c>
      <c r="AJ192" s="132" t="n">
        <f aca="false">F192*O192</f>
        <v>0</v>
      </c>
      <c r="AK192" s="137"/>
      <c r="AL192" s="132" t="n">
        <f aca="false">CHOOSE($G$3,AC192-AD192,AD192-AC192)</f>
        <v>0</v>
      </c>
      <c r="AM192" s="132" t="n">
        <f aca="false">CHOOSE($G$3,AF192-AG192,AG192-AF192)</f>
        <v>0</v>
      </c>
      <c r="AN192" s="132" t="n">
        <f aca="false">CHOOSE($G$3,AI192-AJ192,AJ192-AI192)</f>
        <v>0</v>
      </c>
      <c r="AO192" s="148" t="n">
        <f aca="false">SUM(AL192:AN192)</f>
        <v>0</v>
      </c>
      <c r="AQ192" s="132" t="n">
        <f aca="false">CHOOSE($G$3,AB192-AC192,AC192-AB192)</f>
        <v>0</v>
      </c>
      <c r="AR192" s="132" t="n">
        <f aca="false">CHOOSE($G$3,AE192-AF192,AF192-AE192)</f>
        <v>0</v>
      </c>
      <c r="AS192" s="132" t="n">
        <f aca="false">CHOOSE($G$3,AH192-AI192,AI192-AH192)</f>
        <v>0</v>
      </c>
      <c r="AT192" s="148" t="n">
        <f aca="false">AQ192+AR192+AS192</f>
        <v>0</v>
      </c>
      <c r="AU192" s="148"/>
      <c r="AV192" s="133" t="n">
        <f aca="false">AT192+AO192</f>
        <v>0</v>
      </c>
      <c r="AX192" s="133" t="n">
        <f aca="false">AJ192+AG192+AD192</f>
        <v>0</v>
      </c>
      <c r="AY192" s="149"/>
      <c r="AZ192" s="76" t="n">
        <f aca="false">R192*E192</f>
        <v>0</v>
      </c>
    </row>
    <row r="193" customFormat="false" ht="12" hidden="false" customHeight="true" outlineLevel="0" collapsed="false">
      <c r="A193" s="138" t="n">
        <f aca="false">EDATE(A192,1)</f>
        <v>42552</v>
      </c>
      <c r="B193" s="139" t="n">
        <f aca="false">VLOOKUP($A193,Table2,MATCH(I$3,Curves2,0))</f>
        <v>0</v>
      </c>
      <c r="C193" s="140"/>
      <c r="D193" s="141" t="n">
        <f aca="false">B193+C193</f>
        <v>0</v>
      </c>
      <c r="E193" s="126" t="n">
        <f aca="false">IF(Y193=0,0,IF(AND(Y193=1,$H$3=1),D193*T193,IF($H$3=2,D193,"N/A")))</f>
        <v>0</v>
      </c>
      <c r="F193" s="126" t="n">
        <f aca="false">E193*X193</f>
        <v>0</v>
      </c>
      <c r="G193" s="142" t="n">
        <f aca="false">VLOOKUP($A193,Table,MATCH(G$4,Curves,0))</f>
        <v>3.987</v>
      </c>
      <c r="H193" s="143" t="n">
        <f aca="false">G193</f>
        <v>3.987</v>
      </c>
      <c r="I193" s="142" t="n">
        <f aca="false">VLOOKUP($A193,Table1,MATCH(I$3,Curves1,0))</f>
        <v>0</v>
      </c>
      <c r="J193" s="142" t="n">
        <f aca="false">VLOOKUP($A193,Table,MATCH(J$4,Curves,0))</f>
        <v>-0.061</v>
      </c>
      <c r="K193" s="143" t="n">
        <f aca="false">J193</f>
        <v>-0.061</v>
      </c>
      <c r="L193" s="144" t="n">
        <v>0</v>
      </c>
      <c r="M193" s="142" t="n">
        <f aca="false">VLOOKUP($A193,Table,MATCH(M$4,Curves,0))</f>
        <v>0.005</v>
      </c>
      <c r="N193" s="143" t="n">
        <f aca="false">M193</f>
        <v>0.005</v>
      </c>
      <c r="O193" s="144" t="n">
        <v>0</v>
      </c>
      <c r="P193" s="145"/>
      <c r="Q193" s="144" t="n">
        <f aca="false">M193+J193+G193</f>
        <v>3.931</v>
      </c>
      <c r="R193" s="144" t="n">
        <f aca="false">O193+L193+I193</f>
        <v>0</v>
      </c>
      <c r="S193" s="145"/>
      <c r="T193" s="71" t="n">
        <f aca="false">A194-A193</f>
        <v>31</v>
      </c>
      <c r="U193" s="146" t="n">
        <f aca="false">CHOOSE(F$3,A194+24,A193)</f>
        <v>42607</v>
      </c>
      <c r="V193" s="71" t="n">
        <f aca="false">U193-C$3</f>
        <v>5719</v>
      </c>
      <c r="W193" s="142" t="n">
        <f aca="false">VLOOKUP($A193,Table,MATCH(W$4,Curves,0))</f>
        <v>0.058966861357273</v>
      </c>
      <c r="X193" s="147" t="n">
        <f aca="false">1/(1+CHOOSE(F$3,(W194+($K$3/10000))/2,(W193+($K$3/10000))/2))^(2*V193/365.25)</f>
        <v>0.402548234043333</v>
      </c>
      <c r="Y193" s="71" t="n">
        <f aca="false">IF(AND(mthbeg&lt;=A193,mthend&gt;=A193),1,0)</f>
        <v>0</v>
      </c>
      <c r="Z193" s="71" t="n">
        <f aca="false">T193*Y193</f>
        <v>0</v>
      </c>
      <c r="AB193" s="132" t="n">
        <f aca="false">F193*G193</f>
        <v>0</v>
      </c>
      <c r="AC193" s="132" t="n">
        <f aca="false">$F193*H193</f>
        <v>0</v>
      </c>
      <c r="AD193" s="132" t="n">
        <f aca="false">$F193*I193</f>
        <v>0</v>
      </c>
      <c r="AE193" s="132" t="n">
        <f aca="false">$F193*J193</f>
        <v>-0</v>
      </c>
      <c r="AF193" s="132" t="n">
        <f aca="false">$F193*K193</f>
        <v>-0</v>
      </c>
      <c r="AG193" s="132" t="n">
        <f aca="false">$F193*L193</f>
        <v>0</v>
      </c>
      <c r="AH193" s="132" t="n">
        <f aca="false">$F193*M193</f>
        <v>0</v>
      </c>
      <c r="AI193" s="132" t="n">
        <f aca="false">$F193*N193</f>
        <v>0</v>
      </c>
      <c r="AJ193" s="132" t="n">
        <f aca="false">F193*O193</f>
        <v>0</v>
      </c>
      <c r="AK193" s="137"/>
      <c r="AL193" s="132" t="n">
        <f aca="false">CHOOSE($G$3,AC193-AD193,AD193-AC193)</f>
        <v>0</v>
      </c>
      <c r="AM193" s="132" t="n">
        <f aca="false">CHOOSE($G$3,AF193-AG193,AG193-AF193)</f>
        <v>0</v>
      </c>
      <c r="AN193" s="132" t="n">
        <f aca="false">CHOOSE($G$3,AI193-AJ193,AJ193-AI193)</f>
        <v>0</v>
      </c>
      <c r="AO193" s="148" t="n">
        <f aca="false">SUM(AL193:AN193)</f>
        <v>0</v>
      </c>
      <c r="AQ193" s="132" t="n">
        <f aca="false">CHOOSE($G$3,AB193-AC193,AC193-AB193)</f>
        <v>0</v>
      </c>
      <c r="AR193" s="132" t="n">
        <f aca="false">CHOOSE($G$3,AE193-AF193,AF193-AE193)</f>
        <v>0</v>
      </c>
      <c r="AS193" s="132" t="n">
        <f aca="false">CHOOSE($G$3,AH193-AI193,AI193-AH193)</f>
        <v>0</v>
      </c>
      <c r="AT193" s="148" t="n">
        <f aca="false">AQ193+AR193+AS193</f>
        <v>0</v>
      </c>
      <c r="AU193" s="148"/>
      <c r="AV193" s="133" t="n">
        <f aca="false">AT193+AO193</f>
        <v>0</v>
      </c>
      <c r="AX193" s="133" t="n">
        <f aca="false">AJ193+AG193+AD193</f>
        <v>0</v>
      </c>
      <c r="AY193" s="149"/>
      <c r="AZ193" s="76" t="n">
        <f aca="false">R193*E193</f>
        <v>0</v>
      </c>
    </row>
    <row r="194" customFormat="false" ht="12" hidden="false" customHeight="true" outlineLevel="0" collapsed="false">
      <c r="A194" s="138" t="n">
        <f aca="false">EDATE(A193,1)</f>
        <v>42583</v>
      </c>
      <c r="B194" s="139" t="n">
        <f aca="false">VLOOKUP($A194,Table2,MATCH(I$3,Curves2,0))</f>
        <v>0</v>
      </c>
      <c r="C194" s="140"/>
      <c r="D194" s="141" t="n">
        <f aca="false">B194+C194</f>
        <v>0</v>
      </c>
      <c r="E194" s="126" t="n">
        <f aca="false">IF(Y194=0,0,IF(AND(Y194=1,$H$3=1),D194*T194,IF($H$3=2,D194,"N/A")))</f>
        <v>0</v>
      </c>
      <c r="F194" s="126" t="n">
        <f aca="false">E194*X194</f>
        <v>0</v>
      </c>
      <c r="G194" s="142" t="n">
        <f aca="false">VLOOKUP($A194,Table,MATCH(G$4,Curves,0))</f>
        <v>3.987</v>
      </c>
      <c r="H194" s="143" t="n">
        <f aca="false">G194</f>
        <v>3.987</v>
      </c>
      <c r="I194" s="142" t="n">
        <f aca="false">VLOOKUP($A194,Table1,MATCH(I$3,Curves1,0))</f>
        <v>0</v>
      </c>
      <c r="J194" s="142" t="n">
        <f aca="false">VLOOKUP($A194,Table,MATCH(J$4,Curves,0))</f>
        <v>-0.061</v>
      </c>
      <c r="K194" s="143" t="n">
        <f aca="false">J194</f>
        <v>-0.061</v>
      </c>
      <c r="L194" s="144" t="n">
        <v>0</v>
      </c>
      <c r="M194" s="142" t="n">
        <f aca="false">VLOOKUP($A194,Table,MATCH(M$4,Curves,0))</f>
        <v>0.005</v>
      </c>
      <c r="N194" s="143" t="n">
        <f aca="false">M194</f>
        <v>0.005</v>
      </c>
      <c r="O194" s="144" t="n">
        <v>0</v>
      </c>
      <c r="P194" s="145"/>
      <c r="Q194" s="144" t="n">
        <f aca="false">M194+J194+G194</f>
        <v>3.931</v>
      </c>
      <c r="R194" s="144" t="n">
        <f aca="false">O194+L194+I194</f>
        <v>0</v>
      </c>
      <c r="S194" s="145"/>
      <c r="T194" s="71" t="n">
        <f aca="false">A195-A194</f>
        <v>31</v>
      </c>
      <c r="U194" s="146" t="n">
        <f aca="false">CHOOSE(F$3,A195+24,A194)</f>
        <v>42638</v>
      </c>
      <c r="V194" s="71" t="n">
        <f aca="false">U194-C$3</f>
        <v>5750</v>
      </c>
      <c r="W194" s="142" t="n">
        <f aca="false">VLOOKUP($A194,Table,MATCH(W$4,Curves,0))</f>
        <v>0.058966861357273</v>
      </c>
      <c r="X194" s="147" t="n">
        <f aca="false">1/(1+CHOOSE(F$3,(W195+($K$3/10000))/2,(W194+($K$3/10000))/2))^(2*V194/365.25)</f>
        <v>0.400567610939989</v>
      </c>
      <c r="Y194" s="71" t="n">
        <f aca="false">IF(AND(mthbeg&lt;=A194,mthend&gt;=A194),1,0)</f>
        <v>0</v>
      </c>
      <c r="Z194" s="71" t="n">
        <f aca="false">T194*Y194</f>
        <v>0</v>
      </c>
      <c r="AB194" s="132" t="n">
        <f aca="false">F194*G194</f>
        <v>0</v>
      </c>
      <c r="AC194" s="132" t="n">
        <f aca="false">$F194*H194</f>
        <v>0</v>
      </c>
      <c r="AD194" s="132" t="n">
        <f aca="false">$F194*I194</f>
        <v>0</v>
      </c>
      <c r="AE194" s="132" t="n">
        <f aca="false">$F194*J194</f>
        <v>-0</v>
      </c>
      <c r="AF194" s="132" t="n">
        <f aca="false">$F194*K194</f>
        <v>-0</v>
      </c>
      <c r="AG194" s="132" t="n">
        <f aca="false">$F194*L194</f>
        <v>0</v>
      </c>
      <c r="AH194" s="132" t="n">
        <f aca="false">$F194*M194</f>
        <v>0</v>
      </c>
      <c r="AI194" s="132" t="n">
        <f aca="false">$F194*N194</f>
        <v>0</v>
      </c>
      <c r="AJ194" s="132" t="n">
        <f aca="false">F194*O194</f>
        <v>0</v>
      </c>
      <c r="AK194" s="137"/>
      <c r="AL194" s="132" t="n">
        <f aca="false">CHOOSE($G$3,AC194-AD194,AD194-AC194)</f>
        <v>0</v>
      </c>
      <c r="AM194" s="132" t="n">
        <f aca="false">CHOOSE($G$3,AF194-AG194,AG194-AF194)</f>
        <v>0</v>
      </c>
      <c r="AN194" s="132" t="n">
        <f aca="false">CHOOSE($G$3,AI194-AJ194,AJ194-AI194)</f>
        <v>0</v>
      </c>
      <c r="AO194" s="148" t="n">
        <f aca="false">SUM(AL194:AN194)</f>
        <v>0</v>
      </c>
      <c r="AQ194" s="132" t="n">
        <f aca="false">CHOOSE($G$3,AB194-AC194,AC194-AB194)</f>
        <v>0</v>
      </c>
      <c r="AR194" s="132" t="n">
        <f aca="false">CHOOSE($G$3,AE194-AF194,AF194-AE194)</f>
        <v>0</v>
      </c>
      <c r="AS194" s="132" t="n">
        <f aca="false">CHOOSE($G$3,AH194-AI194,AI194-AH194)</f>
        <v>0</v>
      </c>
      <c r="AT194" s="148" t="n">
        <f aca="false">AQ194+AR194+AS194</f>
        <v>0</v>
      </c>
      <c r="AU194" s="148"/>
      <c r="AV194" s="133" t="n">
        <f aca="false">AT194+AO194</f>
        <v>0</v>
      </c>
      <c r="AX194" s="133" t="n">
        <f aca="false">AJ194+AG194+AD194</f>
        <v>0</v>
      </c>
      <c r="AY194" s="149"/>
      <c r="AZ194" s="76" t="n">
        <f aca="false">R194*E194</f>
        <v>0</v>
      </c>
    </row>
    <row r="195" customFormat="false" ht="12" hidden="false" customHeight="true" outlineLevel="0" collapsed="false">
      <c r="A195" s="138" t="n">
        <f aca="false">EDATE(A194,1)</f>
        <v>42614</v>
      </c>
      <c r="B195" s="139" t="n">
        <f aca="false">VLOOKUP($A195,Table2,MATCH(I$3,Curves2,0))</f>
        <v>0</v>
      </c>
      <c r="C195" s="140"/>
      <c r="D195" s="141" t="n">
        <f aca="false">B195+C195</f>
        <v>0</v>
      </c>
      <c r="E195" s="126" t="n">
        <f aca="false">IF(Y195=0,0,IF(AND(Y195=1,$H$3=1),D195*T195,IF($H$3=2,D195,"N/A")))</f>
        <v>0</v>
      </c>
      <c r="F195" s="126" t="n">
        <f aca="false">E195*X195</f>
        <v>0</v>
      </c>
      <c r="G195" s="142" t="n">
        <f aca="false">VLOOKUP($A195,Table,MATCH(G$4,Curves,0))</f>
        <v>3.987</v>
      </c>
      <c r="H195" s="143" t="n">
        <f aca="false">G195</f>
        <v>3.987</v>
      </c>
      <c r="I195" s="142" t="n">
        <f aca="false">VLOOKUP($A195,Table1,MATCH(I$3,Curves1,0))</f>
        <v>0</v>
      </c>
      <c r="J195" s="142" t="n">
        <f aca="false">VLOOKUP($A195,Table,MATCH(J$4,Curves,0))</f>
        <v>-0.061</v>
      </c>
      <c r="K195" s="143" t="n">
        <f aca="false">J195</f>
        <v>-0.061</v>
      </c>
      <c r="L195" s="144" t="n">
        <v>0</v>
      </c>
      <c r="M195" s="142" t="n">
        <f aca="false">VLOOKUP($A195,Table,MATCH(M$4,Curves,0))</f>
        <v>0.005</v>
      </c>
      <c r="N195" s="143" t="n">
        <f aca="false">M195</f>
        <v>0.005</v>
      </c>
      <c r="O195" s="144" t="n">
        <v>0</v>
      </c>
      <c r="P195" s="145"/>
      <c r="Q195" s="144" t="n">
        <f aca="false">M195+J195+G195</f>
        <v>3.931</v>
      </c>
      <c r="R195" s="144" t="n">
        <f aca="false">O195+L195+I195</f>
        <v>0</v>
      </c>
      <c r="S195" s="145"/>
      <c r="T195" s="71" t="n">
        <f aca="false">A196-A195</f>
        <v>30</v>
      </c>
      <c r="U195" s="146" t="n">
        <f aca="false">CHOOSE(F$3,A196+24,A195)</f>
        <v>42668</v>
      </c>
      <c r="V195" s="71" t="n">
        <f aca="false">U195-C$3</f>
        <v>5780</v>
      </c>
      <c r="W195" s="142" t="n">
        <f aca="false">VLOOKUP($A195,Table,MATCH(W$4,Curves,0))</f>
        <v>0.058966861357273</v>
      </c>
      <c r="X195" s="147" t="n">
        <f aca="false">1/(1+CHOOSE(F$3,(W196+($K$3/10000))/2,(W195+($K$3/10000))/2))^(2*V195/365.25)</f>
        <v>0.398660158017572</v>
      </c>
      <c r="Y195" s="71" t="n">
        <f aca="false">IF(AND(mthbeg&lt;=A195,mthend&gt;=A195),1,0)</f>
        <v>0</v>
      </c>
      <c r="Z195" s="71" t="n">
        <f aca="false">T195*Y195</f>
        <v>0</v>
      </c>
      <c r="AB195" s="132" t="n">
        <f aca="false">F195*G195</f>
        <v>0</v>
      </c>
      <c r="AC195" s="132" t="n">
        <f aca="false">$F195*H195</f>
        <v>0</v>
      </c>
      <c r="AD195" s="132" t="n">
        <f aca="false">$F195*I195</f>
        <v>0</v>
      </c>
      <c r="AE195" s="132" t="n">
        <f aca="false">$F195*J195</f>
        <v>-0</v>
      </c>
      <c r="AF195" s="132" t="n">
        <f aca="false">$F195*K195</f>
        <v>-0</v>
      </c>
      <c r="AG195" s="132" t="n">
        <f aca="false">$F195*L195</f>
        <v>0</v>
      </c>
      <c r="AH195" s="132" t="n">
        <f aca="false">$F195*M195</f>
        <v>0</v>
      </c>
      <c r="AI195" s="132" t="n">
        <f aca="false">$F195*N195</f>
        <v>0</v>
      </c>
      <c r="AJ195" s="132" t="n">
        <f aca="false">F195*O195</f>
        <v>0</v>
      </c>
      <c r="AK195" s="137"/>
      <c r="AL195" s="132" t="n">
        <f aca="false">CHOOSE($G$3,AC195-AD195,AD195-AC195)</f>
        <v>0</v>
      </c>
      <c r="AM195" s="132" t="n">
        <f aca="false">CHOOSE($G$3,AF195-AG195,AG195-AF195)</f>
        <v>0</v>
      </c>
      <c r="AN195" s="132" t="n">
        <f aca="false">CHOOSE($G$3,AI195-AJ195,AJ195-AI195)</f>
        <v>0</v>
      </c>
      <c r="AO195" s="148" t="n">
        <f aca="false">SUM(AL195:AN195)</f>
        <v>0</v>
      </c>
      <c r="AQ195" s="132" t="n">
        <f aca="false">CHOOSE($G$3,AB195-AC195,AC195-AB195)</f>
        <v>0</v>
      </c>
      <c r="AR195" s="132" t="n">
        <f aca="false">CHOOSE($G$3,AE195-AF195,AF195-AE195)</f>
        <v>0</v>
      </c>
      <c r="AS195" s="132" t="n">
        <f aca="false">CHOOSE($G$3,AH195-AI195,AI195-AH195)</f>
        <v>0</v>
      </c>
      <c r="AT195" s="148" t="n">
        <f aca="false">AQ195+AR195+AS195</f>
        <v>0</v>
      </c>
      <c r="AU195" s="148"/>
      <c r="AV195" s="133" t="n">
        <f aca="false">AT195+AO195</f>
        <v>0</v>
      </c>
      <c r="AX195" s="133" t="n">
        <f aca="false">AJ195+AG195+AD195</f>
        <v>0</v>
      </c>
      <c r="AY195" s="149"/>
      <c r="AZ195" s="76" t="n">
        <f aca="false">R195*E195</f>
        <v>0</v>
      </c>
    </row>
    <row r="196" customFormat="false" ht="12" hidden="false" customHeight="true" outlineLevel="0" collapsed="false">
      <c r="A196" s="138" t="n">
        <f aca="false">EDATE(A195,1)</f>
        <v>42644</v>
      </c>
      <c r="B196" s="139" t="n">
        <f aca="false">VLOOKUP($A196,Table2,MATCH(I$3,Curves2,0))</f>
        <v>0</v>
      </c>
      <c r="C196" s="140"/>
      <c r="D196" s="141" t="n">
        <f aca="false">B196+C196</f>
        <v>0</v>
      </c>
      <c r="E196" s="126" t="n">
        <f aca="false">IF(Y196=0,0,IF(AND(Y196=1,$H$3=1),D196*T196,IF($H$3=2,D196,"N/A")))</f>
        <v>0</v>
      </c>
      <c r="F196" s="126" t="n">
        <f aca="false">E196*X196</f>
        <v>0</v>
      </c>
      <c r="G196" s="142" t="n">
        <f aca="false">VLOOKUP($A196,Table,MATCH(G$4,Curves,0))</f>
        <v>3.987</v>
      </c>
      <c r="H196" s="143" t="n">
        <f aca="false">G196</f>
        <v>3.987</v>
      </c>
      <c r="I196" s="142" t="n">
        <f aca="false">VLOOKUP($A196,Table1,MATCH(I$3,Curves1,0))</f>
        <v>0</v>
      </c>
      <c r="J196" s="142" t="n">
        <f aca="false">VLOOKUP($A196,Table,MATCH(J$4,Curves,0))</f>
        <v>-0.061</v>
      </c>
      <c r="K196" s="143" t="n">
        <f aca="false">J196</f>
        <v>-0.061</v>
      </c>
      <c r="L196" s="144" t="n">
        <v>0</v>
      </c>
      <c r="M196" s="142" t="n">
        <f aca="false">VLOOKUP($A196,Table,MATCH(M$4,Curves,0))</f>
        <v>0.005</v>
      </c>
      <c r="N196" s="143" t="n">
        <f aca="false">M196</f>
        <v>0.005</v>
      </c>
      <c r="O196" s="144" t="n">
        <v>0</v>
      </c>
      <c r="P196" s="145"/>
      <c r="Q196" s="144" t="n">
        <f aca="false">M196+J196+G196</f>
        <v>3.931</v>
      </c>
      <c r="R196" s="144" t="n">
        <f aca="false">O196+L196+I196</f>
        <v>0</v>
      </c>
      <c r="S196" s="145"/>
      <c r="T196" s="71" t="n">
        <f aca="false">A197-A196</f>
        <v>31</v>
      </c>
      <c r="U196" s="146" t="n">
        <f aca="false">CHOOSE(F$3,A197+24,A196)</f>
        <v>42699</v>
      </c>
      <c r="V196" s="71" t="n">
        <f aca="false">U196-C$3</f>
        <v>5811</v>
      </c>
      <c r="W196" s="142" t="n">
        <f aca="false">VLOOKUP($A196,Table,MATCH(W$4,Curves,0))</f>
        <v>0.058966861357273</v>
      </c>
      <c r="X196" s="147" t="n">
        <f aca="false">1/(1+CHOOSE(F$3,(W197+($K$3/10000))/2,(W196+($K$3/10000))/2))^(2*V196/365.25)</f>
        <v>0.39669866507691</v>
      </c>
      <c r="Y196" s="71" t="n">
        <f aca="false">IF(AND(mthbeg&lt;=A196,mthend&gt;=A196),1,0)</f>
        <v>0</v>
      </c>
      <c r="Z196" s="71" t="n">
        <f aca="false">T196*Y196</f>
        <v>0</v>
      </c>
      <c r="AB196" s="132" t="n">
        <f aca="false">F196*G196</f>
        <v>0</v>
      </c>
      <c r="AC196" s="132" t="n">
        <f aca="false">$F196*H196</f>
        <v>0</v>
      </c>
      <c r="AD196" s="132" t="n">
        <f aca="false">$F196*I196</f>
        <v>0</v>
      </c>
      <c r="AE196" s="132" t="n">
        <f aca="false">$F196*J196</f>
        <v>-0</v>
      </c>
      <c r="AF196" s="132" t="n">
        <f aca="false">$F196*K196</f>
        <v>-0</v>
      </c>
      <c r="AG196" s="132" t="n">
        <f aca="false">$F196*L196</f>
        <v>0</v>
      </c>
      <c r="AH196" s="132" t="n">
        <f aca="false">$F196*M196</f>
        <v>0</v>
      </c>
      <c r="AI196" s="132" t="n">
        <f aca="false">$F196*N196</f>
        <v>0</v>
      </c>
      <c r="AJ196" s="132" t="n">
        <f aca="false">F196*O196</f>
        <v>0</v>
      </c>
      <c r="AK196" s="137"/>
      <c r="AL196" s="132" t="n">
        <f aca="false">CHOOSE($G$3,AC196-AD196,AD196-AC196)</f>
        <v>0</v>
      </c>
      <c r="AM196" s="132" t="n">
        <f aca="false">CHOOSE($G$3,AF196-AG196,AG196-AF196)</f>
        <v>0</v>
      </c>
      <c r="AN196" s="132" t="n">
        <f aca="false">CHOOSE($G$3,AI196-AJ196,AJ196-AI196)</f>
        <v>0</v>
      </c>
      <c r="AO196" s="148" t="n">
        <f aca="false">SUM(AL196:AN196)</f>
        <v>0</v>
      </c>
      <c r="AQ196" s="132" t="n">
        <f aca="false">CHOOSE($G$3,AB196-AC196,AC196-AB196)</f>
        <v>0</v>
      </c>
      <c r="AR196" s="132" t="n">
        <f aca="false">CHOOSE($G$3,AE196-AF196,AF196-AE196)</f>
        <v>0</v>
      </c>
      <c r="AS196" s="132" t="n">
        <f aca="false">CHOOSE($G$3,AH196-AI196,AI196-AH196)</f>
        <v>0</v>
      </c>
      <c r="AT196" s="148" t="n">
        <f aca="false">AQ196+AR196+AS196</f>
        <v>0</v>
      </c>
      <c r="AU196" s="148"/>
      <c r="AV196" s="133" t="n">
        <f aca="false">AT196+AO196</f>
        <v>0</v>
      </c>
      <c r="AX196" s="133" t="n">
        <f aca="false">AJ196+AG196+AD196</f>
        <v>0</v>
      </c>
      <c r="AY196" s="149"/>
      <c r="AZ196" s="76" t="n">
        <f aca="false">R196*E196</f>
        <v>0</v>
      </c>
    </row>
    <row r="197" customFormat="false" ht="12" hidden="false" customHeight="true" outlineLevel="0" collapsed="false">
      <c r="A197" s="138" t="n">
        <f aca="false">EDATE(A196,1)</f>
        <v>42675</v>
      </c>
      <c r="B197" s="139" t="n">
        <f aca="false">VLOOKUP($A197,Table2,MATCH(I$3,Curves2,0))</f>
        <v>0</v>
      </c>
      <c r="C197" s="140"/>
      <c r="D197" s="141" t="n">
        <f aca="false">B197+C197</f>
        <v>0</v>
      </c>
      <c r="E197" s="126" t="n">
        <f aca="false">IF(Y197=0,0,IF(AND(Y197=1,$H$3=1),D197*T197,IF($H$3=2,D197,"N/A")))</f>
        <v>0</v>
      </c>
      <c r="F197" s="126" t="n">
        <f aca="false">E197*X197</f>
        <v>0</v>
      </c>
      <c r="G197" s="142" t="n">
        <f aca="false">VLOOKUP($A197,Table,MATCH(G$4,Curves,0))</f>
        <v>3.987</v>
      </c>
      <c r="H197" s="143" t="n">
        <f aca="false">G197</f>
        <v>3.987</v>
      </c>
      <c r="I197" s="142" t="n">
        <f aca="false">VLOOKUP($A197,Table1,MATCH(I$3,Curves1,0))</f>
        <v>0</v>
      </c>
      <c r="J197" s="142" t="n">
        <f aca="false">VLOOKUP($A197,Table,MATCH(J$4,Curves,0))</f>
        <v>-0.061</v>
      </c>
      <c r="K197" s="143" t="n">
        <f aca="false">J197</f>
        <v>-0.061</v>
      </c>
      <c r="L197" s="144" t="n">
        <v>0</v>
      </c>
      <c r="M197" s="142" t="n">
        <f aca="false">VLOOKUP($A197,Table,MATCH(M$4,Curves,0))</f>
        <v>0.005</v>
      </c>
      <c r="N197" s="143" t="n">
        <f aca="false">M197</f>
        <v>0.005</v>
      </c>
      <c r="O197" s="144" t="n">
        <v>0</v>
      </c>
      <c r="P197" s="145"/>
      <c r="Q197" s="144" t="n">
        <f aca="false">M197+J197+G197</f>
        <v>3.931</v>
      </c>
      <c r="R197" s="144" t="n">
        <f aca="false">O197+L197+I197</f>
        <v>0</v>
      </c>
      <c r="S197" s="145"/>
      <c r="T197" s="71" t="n">
        <f aca="false">A198-A197</f>
        <v>30</v>
      </c>
      <c r="U197" s="146" t="n">
        <f aca="false">CHOOSE(F$3,A198+24,A197)</f>
        <v>42729</v>
      </c>
      <c r="V197" s="71" t="n">
        <f aca="false">U197-C$3</f>
        <v>5841</v>
      </c>
      <c r="W197" s="142" t="n">
        <f aca="false">VLOOKUP($A197,Table,MATCH(W$4,Curves,0))</f>
        <v>0.058966861357273</v>
      </c>
      <c r="X197" s="147" t="n">
        <f aca="false">1/(1+CHOOSE(F$3,(W198+($K$3/10000))/2,(W197+($K$3/10000))/2))^(2*V197/365.25)</f>
        <v>0.394809635591365</v>
      </c>
      <c r="Y197" s="71" t="n">
        <f aca="false">IF(AND(mthbeg&lt;=A197,mthend&gt;=A197),1,0)</f>
        <v>0</v>
      </c>
      <c r="Z197" s="71" t="n">
        <f aca="false">T197*Y197</f>
        <v>0</v>
      </c>
      <c r="AB197" s="132" t="n">
        <f aca="false">F197*G197</f>
        <v>0</v>
      </c>
      <c r="AC197" s="132" t="n">
        <f aca="false">$F197*H197</f>
        <v>0</v>
      </c>
      <c r="AD197" s="132" t="n">
        <f aca="false">$F197*I197</f>
        <v>0</v>
      </c>
      <c r="AE197" s="132" t="n">
        <f aca="false">$F197*J197</f>
        <v>-0</v>
      </c>
      <c r="AF197" s="132" t="n">
        <f aca="false">$F197*K197</f>
        <v>-0</v>
      </c>
      <c r="AG197" s="132" t="n">
        <f aca="false">$F197*L197</f>
        <v>0</v>
      </c>
      <c r="AH197" s="132" t="n">
        <f aca="false">$F197*M197</f>
        <v>0</v>
      </c>
      <c r="AI197" s="132" t="n">
        <f aca="false">$F197*N197</f>
        <v>0</v>
      </c>
      <c r="AJ197" s="132" t="n">
        <f aca="false">F197*O197</f>
        <v>0</v>
      </c>
      <c r="AK197" s="137"/>
      <c r="AL197" s="132" t="n">
        <f aca="false">CHOOSE($G$3,AC197-AD197,AD197-AC197)</f>
        <v>0</v>
      </c>
      <c r="AM197" s="132" t="n">
        <f aca="false">CHOOSE($G$3,AF197-AG197,AG197-AF197)</f>
        <v>0</v>
      </c>
      <c r="AN197" s="132" t="n">
        <f aca="false">CHOOSE($G$3,AI197-AJ197,AJ197-AI197)</f>
        <v>0</v>
      </c>
      <c r="AO197" s="148" t="n">
        <f aca="false">SUM(AL197:AN197)</f>
        <v>0</v>
      </c>
      <c r="AQ197" s="132" t="n">
        <f aca="false">CHOOSE($G$3,AB197-AC197,AC197-AB197)</f>
        <v>0</v>
      </c>
      <c r="AR197" s="132" t="n">
        <f aca="false">CHOOSE($G$3,AE197-AF197,AF197-AE197)</f>
        <v>0</v>
      </c>
      <c r="AS197" s="132" t="n">
        <f aca="false">CHOOSE($G$3,AH197-AI197,AI197-AH197)</f>
        <v>0</v>
      </c>
      <c r="AT197" s="148" t="n">
        <f aca="false">AQ197+AR197+AS197</f>
        <v>0</v>
      </c>
      <c r="AU197" s="148"/>
      <c r="AV197" s="133" t="n">
        <f aca="false">AT197+AO197</f>
        <v>0</v>
      </c>
      <c r="AX197" s="133" t="n">
        <f aca="false">AJ197+AG197+AD197</f>
        <v>0</v>
      </c>
      <c r="AY197" s="149"/>
      <c r="AZ197" s="76" t="n">
        <f aca="false">R197*E197</f>
        <v>0</v>
      </c>
    </row>
    <row r="198" customFormat="false" ht="12" hidden="false" customHeight="true" outlineLevel="0" collapsed="false">
      <c r="A198" s="138" t="n">
        <f aca="false">EDATE(A197,1)</f>
        <v>42705</v>
      </c>
      <c r="B198" s="139" t="n">
        <f aca="false">VLOOKUP($A198,Table2,MATCH(I$3,Curves2,0))</f>
        <v>0</v>
      </c>
      <c r="C198" s="140"/>
      <c r="D198" s="141" t="n">
        <f aca="false">B198+C198</f>
        <v>0</v>
      </c>
      <c r="E198" s="126" t="n">
        <f aca="false">IF(Y198=0,0,IF(AND(Y198=1,$H$3=1),D198*T198,IF($H$3=2,D198,"N/A")))</f>
        <v>0</v>
      </c>
      <c r="F198" s="126" t="n">
        <f aca="false">E198*X198</f>
        <v>0</v>
      </c>
      <c r="G198" s="142" t="n">
        <f aca="false">VLOOKUP($A198,Table,MATCH(G$4,Curves,0))</f>
        <v>3.987</v>
      </c>
      <c r="H198" s="143" t="n">
        <f aca="false">G198</f>
        <v>3.987</v>
      </c>
      <c r="I198" s="142" t="n">
        <f aca="false">VLOOKUP($A198,Table1,MATCH(I$3,Curves1,0))</f>
        <v>0</v>
      </c>
      <c r="J198" s="142" t="n">
        <f aca="false">VLOOKUP($A198,Table,MATCH(J$4,Curves,0))</f>
        <v>-0.061</v>
      </c>
      <c r="K198" s="143" t="n">
        <f aca="false">J198</f>
        <v>-0.061</v>
      </c>
      <c r="L198" s="144" t="n">
        <v>0</v>
      </c>
      <c r="M198" s="142" t="n">
        <f aca="false">VLOOKUP($A198,Table,MATCH(M$4,Curves,0))</f>
        <v>0.005</v>
      </c>
      <c r="N198" s="143" t="n">
        <f aca="false">M198</f>
        <v>0.005</v>
      </c>
      <c r="O198" s="144" t="n">
        <v>0</v>
      </c>
      <c r="P198" s="145"/>
      <c r="Q198" s="144" t="n">
        <f aca="false">M198+J198+G198</f>
        <v>3.931</v>
      </c>
      <c r="R198" s="144" t="n">
        <f aca="false">O198+L198+I198</f>
        <v>0</v>
      </c>
      <c r="S198" s="145"/>
      <c r="T198" s="71" t="n">
        <f aca="false">A199-A198</f>
        <v>31</v>
      </c>
      <c r="U198" s="146" t="n">
        <f aca="false">CHOOSE(F$3,A199+24,A198)</f>
        <v>42760</v>
      </c>
      <c r="V198" s="71" t="n">
        <f aca="false">U198-C$3</f>
        <v>5872</v>
      </c>
      <c r="W198" s="142" t="n">
        <f aca="false">VLOOKUP($A198,Table,MATCH(W$4,Curves,0))</f>
        <v>0.058966861357273</v>
      </c>
      <c r="X198" s="147" t="n">
        <f aca="false">1/(1+CHOOSE(F$3,(W199+($K$3/10000))/2,(W198+($K$3/10000))/2))^(2*V198/365.25)</f>
        <v>0.39286708804167</v>
      </c>
      <c r="Y198" s="71" t="n">
        <f aca="false">IF(AND(mthbeg&lt;=A198,mthend&gt;=A198),1,0)</f>
        <v>0</v>
      </c>
      <c r="Z198" s="71" t="n">
        <f aca="false">T198*Y198</f>
        <v>0</v>
      </c>
      <c r="AB198" s="132" t="n">
        <f aca="false">F198*G198</f>
        <v>0</v>
      </c>
      <c r="AC198" s="132" t="n">
        <f aca="false">$F198*H198</f>
        <v>0</v>
      </c>
      <c r="AD198" s="132" t="n">
        <f aca="false">$F198*I198</f>
        <v>0</v>
      </c>
      <c r="AE198" s="132" t="n">
        <f aca="false">$F198*J198</f>
        <v>-0</v>
      </c>
      <c r="AF198" s="132" t="n">
        <f aca="false">$F198*K198</f>
        <v>-0</v>
      </c>
      <c r="AG198" s="132" t="n">
        <f aca="false">$F198*L198</f>
        <v>0</v>
      </c>
      <c r="AH198" s="132" t="n">
        <f aca="false">$F198*M198</f>
        <v>0</v>
      </c>
      <c r="AI198" s="132" t="n">
        <f aca="false">$F198*N198</f>
        <v>0</v>
      </c>
      <c r="AJ198" s="132" t="n">
        <f aca="false">F198*O198</f>
        <v>0</v>
      </c>
      <c r="AK198" s="137"/>
      <c r="AL198" s="132" t="n">
        <f aca="false">CHOOSE($G$3,AC198-AD198,AD198-AC198)</f>
        <v>0</v>
      </c>
      <c r="AM198" s="132" t="n">
        <f aca="false">CHOOSE($G$3,AF198-AG198,AG198-AF198)</f>
        <v>0</v>
      </c>
      <c r="AN198" s="132" t="n">
        <f aca="false">CHOOSE($G$3,AI198-AJ198,AJ198-AI198)</f>
        <v>0</v>
      </c>
      <c r="AO198" s="148" t="n">
        <f aca="false">SUM(AL198:AN198)</f>
        <v>0</v>
      </c>
      <c r="AQ198" s="132" t="n">
        <f aca="false">CHOOSE($G$3,AB198-AC198,AC198-AB198)</f>
        <v>0</v>
      </c>
      <c r="AR198" s="132" t="n">
        <f aca="false">CHOOSE($G$3,AE198-AF198,AF198-AE198)</f>
        <v>0</v>
      </c>
      <c r="AS198" s="132" t="n">
        <f aca="false">CHOOSE($G$3,AH198-AI198,AI198-AH198)</f>
        <v>0</v>
      </c>
      <c r="AT198" s="148" t="n">
        <f aca="false">AQ198+AR198+AS198</f>
        <v>0</v>
      </c>
      <c r="AU198" s="148"/>
      <c r="AV198" s="133" t="n">
        <f aca="false">AT198+AO198</f>
        <v>0</v>
      </c>
      <c r="AX198" s="133" t="n">
        <f aca="false">AJ198+AG198+AD198</f>
        <v>0</v>
      </c>
      <c r="AY198" s="149"/>
      <c r="AZ198" s="76" t="n">
        <f aca="false">R198*E198</f>
        <v>0</v>
      </c>
    </row>
    <row r="199" customFormat="false" ht="12" hidden="false" customHeight="true" outlineLevel="0" collapsed="false">
      <c r="A199" s="138" t="n">
        <f aca="false">EDATE(A198,1)</f>
        <v>42736</v>
      </c>
      <c r="B199" s="139" t="n">
        <f aca="false">VLOOKUP($A199,Table2,MATCH(I$3,Curves2,0))</f>
        <v>0</v>
      </c>
      <c r="C199" s="140"/>
      <c r="D199" s="141" t="n">
        <f aca="false">B199+C199</f>
        <v>0</v>
      </c>
      <c r="E199" s="126" t="n">
        <f aca="false">IF(Y199=0,0,IF(AND(Y199=1,$H$3=1),D199*T199,IF($H$3=2,D199,"N/A")))</f>
        <v>0</v>
      </c>
      <c r="F199" s="126" t="n">
        <f aca="false">E199*X199</f>
        <v>0</v>
      </c>
      <c r="G199" s="142" t="n">
        <f aca="false">VLOOKUP($A199,Table,MATCH(G$4,Curves,0))</f>
        <v>3.987</v>
      </c>
      <c r="H199" s="143" t="n">
        <f aca="false">G199</f>
        <v>3.987</v>
      </c>
      <c r="I199" s="142" t="n">
        <f aca="false">VLOOKUP($A199,Table1,MATCH(I$3,Curves1,0))</f>
        <v>0</v>
      </c>
      <c r="J199" s="142" t="n">
        <f aca="false">VLOOKUP($A199,Table,MATCH(J$4,Curves,0))</f>
        <v>-0.061</v>
      </c>
      <c r="K199" s="143" t="n">
        <f aca="false">J199</f>
        <v>-0.061</v>
      </c>
      <c r="L199" s="144" t="n">
        <v>0</v>
      </c>
      <c r="M199" s="142" t="n">
        <f aca="false">VLOOKUP($A199,Table,MATCH(M$4,Curves,0))</f>
        <v>0.005</v>
      </c>
      <c r="N199" s="143" t="n">
        <f aca="false">M199</f>
        <v>0.005</v>
      </c>
      <c r="O199" s="144" t="n">
        <v>0</v>
      </c>
      <c r="P199" s="145"/>
      <c r="Q199" s="144" t="n">
        <f aca="false">M199+J199+G199</f>
        <v>3.931</v>
      </c>
      <c r="R199" s="144" t="n">
        <f aca="false">O199+L199+I199</f>
        <v>0</v>
      </c>
      <c r="S199" s="145"/>
      <c r="T199" s="71" t="n">
        <f aca="false">A200-A199</f>
        <v>31</v>
      </c>
      <c r="U199" s="146" t="n">
        <f aca="false">CHOOSE(F$3,A200+24,A199)</f>
        <v>42791</v>
      </c>
      <c r="V199" s="71" t="n">
        <f aca="false">U199-C$3</f>
        <v>5903</v>
      </c>
      <c r="W199" s="142" t="n">
        <f aca="false">VLOOKUP($A199,Table,MATCH(W$4,Curves,0))</f>
        <v>0.058966861357273</v>
      </c>
      <c r="X199" s="147" t="n">
        <f aca="false">1/(1+CHOOSE(F$3,(W200+($K$3/10000))/2,(W199+($K$3/10000))/2))^(2*V199/365.25)</f>
        <v>0.390934098239919</v>
      </c>
      <c r="Y199" s="71" t="n">
        <f aca="false">IF(AND(mthbeg&lt;=A199,mthend&gt;=A199),1,0)</f>
        <v>0</v>
      </c>
      <c r="Z199" s="71" t="n">
        <f aca="false">T199*Y199</f>
        <v>0</v>
      </c>
      <c r="AB199" s="132" t="n">
        <f aca="false">F199*G199</f>
        <v>0</v>
      </c>
      <c r="AC199" s="132" t="n">
        <f aca="false">$F199*H199</f>
        <v>0</v>
      </c>
      <c r="AD199" s="132" t="n">
        <f aca="false">$F199*I199</f>
        <v>0</v>
      </c>
      <c r="AE199" s="132" t="n">
        <f aca="false">$F199*J199</f>
        <v>-0</v>
      </c>
      <c r="AF199" s="132" t="n">
        <f aca="false">$F199*K199</f>
        <v>-0</v>
      </c>
      <c r="AG199" s="132" t="n">
        <f aca="false">$F199*L199</f>
        <v>0</v>
      </c>
      <c r="AH199" s="132" t="n">
        <f aca="false">$F199*M199</f>
        <v>0</v>
      </c>
      <c r="AI199" s="132" t="n">
        <f aca="false">$F199*N199</f>
        <v>0</v>
      </c>
      <c r="AJ199" s="132" t="n">
        <f aca="false">F199*O199</f>
        <v>0</v>
      </c>
      <c r="AK199" s="137"/>
      <c r="AL199" s="132" t="n">
        <f aca="false">CHOOSE($G$3,AC199-AD199,AD199-AC199)</f>
        <v>0</v>
      </c>
      <c r="AM199" s="132" t="n">
        <f aca="false">CHOOSE($G$3,AF199-AG199,AG199-AF199)</f>
        <v>0</v>
      </c>
      <c r="AN199" s="132" t="n">
        <f aca="false">CHOOSE($G$3,AI199-AJ199,AJ199-AI199)</f>
        <v>0</v>
      </c>
      <c r="AO199" s="148" t="n">
        <f aca="false">SUM(AL199:AN199)</f>
        <v>0</v>
      </c>
      <c r="AQ199" s="132" t="n">
        <f aca="false">CHOOSE($G$3,AB199-AC199,AC199-AB199)</f>
        <v>0</v>
      </c>
      <c r="AR199" s="132" t="n">
        <f aca="false">CHOOSE($G$3,AE199-AF199,AF199-AE199)</f>
        <v>0</v>
      </c>
      <c r="AS199" s="132" t="n">
        <f aca="false">CHOOSE($G$3,AH199-AI199,AI199-AH199)</f>
        <v>0</v>
      </c>
      <c r="AT199" s="148" t="n">
        <f aca="false">AQ199+AR199+AS199</f>
        <v>0</v>
      </c>
      <c r="AU199" s="148"/>
      <c r="AV199" s="133" t="n">
        <f aca="false">AT199+AO199</f>
        <v>0</v>
      </c>
      <c r="AX199" s="133" t="n">
        <f aca="false">AJ199+AG199+AD199</f>
        <v>0</v>
      </c>
      <c r="AY199" s="149"/>
      <c r="AZ199" s="76" t="n">
        <f aca="false">R199*E199</f>
        <v>0</v>
      </c>
    </row>
    <row r="200" customFormat="false" ht="12" hidden="false" customHeight="true" outlineLevel="0" collapsed="false">
      <c r="A200" s="138" t="n">
        <f aca="false">EDATE(A199,1)</f>
        <v>42767</v>
      </c>
      <c r="B200" s="139" t="n">
        <f aca="false">VLOOKUP($A200,Table2,MATCH(I$3,Curves2,0))</f>
        <v>0</v>
      </c>
      <c r="C200" s="140"/>
      <c r="D200" s="141" t="n">
        <f aca="false">B200+C200</f>
        <v>0</v>
      </c>
      <c r="E200" s="126" t="n">
        <f aca="false">IF(Y200=0,0,IF(AND(Y200=1,$H$3=1),D200*T200,IF($H$3=2,D200,"N/A")))</f>
        <v>0</v>
      </c>
      <c r="F200" s="126" t="n">
        <f aca="false">E200*X200</f>
        <v>0</v>
      </c>
      <c r="G200" s="142" t="n">
        <f aca="false">VLOOKUP($A200,Table,MATCH(G$4,Curves,0))</f>
        <v>3.987</v>
      </c>
      <c r="H200" s="143" t="n">
        <f aca="false">G200</f>
        <v>3.987</v>
      </c>
      <c r="I200" s="142" t="n">
        <f aca="false">VLOOKUP($A200,Table1,MATCH(I$3,Curves1,0))</f>
        <v>0</v>
      </c>
      <c r="J200" s="142" t="n">
        <f aca="false">VLOOKUP($A200,Table,MATCH(J$4,Curves,0))</f>
        <v>-0.061</v>
      </c>
      <c r="K200" s="143" t="n">
        <f aca="false">J200</f>
        <v>-0.061</v>
      </c>
      <c r="L200" s="144" t="n">
        <v>0</v>
      </c>
      <c r="M200" s="142" t="n">
        <f aca="false">VLOOKUP($A200,Table,MATCH(M$4,Curves,0))</f>
        <v>0.005</v>
      </c>
      <c r="N200" s="143" t="n">
        <f aca="false">M200</f>
        <v>0.005</v>
      </c>
      <c r="O200" s="144" t="n">
        <v>0</v>
      </c>
      <c r="P200" s="145"/>
      <c r="Q200" s="144" t="n">
        <f aca="false">M200+J200+G200</f>
        <v>3.931</v>
      </c>
      <c r="R200" s="144" t="n">
        <f aca="false">O200+L200+I200</f>
        <v>0</v>
      </c>
      <c r="S200" s="145"/>
      <c r="T200" s="71" t="n">
        <f aca="false">A201-A200</f>
        <v>28</v>
      </c>
      <c r="U200" s="146" t="n">
        <f aca="false">CHOOSE(F$3,A201+24,A200)</f>
        <v>42819</v>
      </c>
      <c r="V200" s="71" t="n">
        <f aca="false">U200-C$3</f>
        <v>5931</v>
      </c>
      <c r="W200" s="142" t="n">
        <f aca="false">VLOOKUP($A200,Table,MATCH(W$4,Curves,0))</f>
        <v>0.058966861357273</v>
      </c>
      <c r="X200" s="147" t="n">
        <f aca="false">1/(1+CHOOSE(F$3,(W201+($K$3/10000))/2,(W200+($K$3/10000))/2))^(2*V200/365.25)</f>
        <v>0.389196347934837</v>
      </c>
      <c r="Y200" s="71" t="n">
        <f aca="false">IF(AND(mthbeg&lt;=A200,mthend&gt;=A200),1,0)</f>
        <v>0</v>
      </c>
      <c r="Z200" s="71" t="n">
        <f aca="false">T200*Y200</f>
        <v>0</v>
      </c>
      <c r="AB200" s="132" t="n">
        <f aca="false">F200*G200</f>
        <v>0</v>
      </c>
      <c r="AC200" s="132" t="n">
        <f aca="false">$F200*H200</f>
        <v>0</v>
      </c>
      <c r="AD200" s="132" t="n">
        <f aca="false">$F200*I200</f>
        <v>0</v>
      </c>
      <c r="AE200" s="132" t="n">
        <f aca="false">$F200*J200</f>
        <v>-0</v>
      </c>
      <c r="AF200" s="132" t="n">
        <f aca="false">$F200*K200</f>
        <v>-0</v>
      </c>
      <c r="AG200" s="132" t="n">
        <f aca="false">$F200*L200</f>
        <v>0</v>
      </c>
      <c r="AH200" s="132" t="n">
        <f aca="false">$F200*M200</f>
        <v>0</v>
      </c>
      <c r="AI200" s="132" t="n">
        <f aca="false">$F200*N200</f>
        <v>0</v>
      </c>
      <c r="AJ200" s="132" t="n">
        <f aca="false">F200*O200</f>
        <v>0</v>
      </c>
      <c r="AK200" s="137"/>
      <c r="AL200" s="132" t="n">
        <f aca="false">CHOOSE($G$3,AC200-AD200,AD200-AC200)</f>
        <v>0</v>
      </c>
      <c r="AM200" s="132" t="n">
        <f aca="false">CHOOSE($G$3,AF200-AG200,AG200-AF200)</f>
        <v>0</v>
      </c>
      <c r="AN200" s="132" t="n">
        <f aca="false">CHOOSE($G$3,AI200-AJ200,AJ200-AI200)</f>
        <v>0</v>
      </c>
      <c r="AO200" s="148" t="n">
        <f aca="false">SUM(AL200:AN200)</f>
        <v>0</v>
      </c>
      <c r="AQ200" s="132" t="n">
        <f aca="false">CHOOSE($G$3,AB200-AC200,AC200-AB200)</f>
        <v>0</v>
      </c>
      <c r="AR200" s="132" t="n">
        <f aca="false">CHOOSE($G$3,AE200-AF200,AF200-AE200)</f>
        <v>0</v>
      </c>
      <c r="AS200" s="132" t="n">
        <f aca="false">CHOOSE($G$3,AH200-AI200,AI200-AH200)</f>
        <v>0</v>
      </c>
      <c r="AT200" s="148" t="n">
        <f aca="false">AQ200+AR200+AS200</f>
        <v>0</v>
      </c>
      <c r="AU200" s="148"/>
      <c r="AV200" s="133" t="n">
        <f aca="false">AT200+AO200</f>
        <v>0</v>
      </c>
      <c r="AX200" s="133" t="n">
        <f aca="false">AJ200+AG200+AD200</f>
        <v>0</v>
      </c>
      <c r="AY200" s="149"/>
      <c r="AZ200" s="76" t="n">
        <f aca="false">R200*E200</f>
        <v>0</v>
      </c>
    </row>
    <row r="201" customFormat="false" ht="12" hidden="false" customHeight="true" outlineLevel="0" collapsed="false">
      <c r="A201" s="138" t="n">
        <f aca="false">EDATE(A200,1)</f>
        <v>42795</v>
      </c>
      <c r="B201" s="139" t="n">
        <f aca="false">VLOOKUP($A201,Table2,MATCH(I$3,Curves2,0))</f>
        <v>0</v>
      </c>
      <c r="C201" s="140"/>
      <c r="D201" s="141" t="n">
        <f aca="false">B201+C201</f>
        <v>0</v>
      </c>
      <c r="E201" s="126" t="n">
        <f aca="false">IF(Y201=0,0,IF(AND(Y201=1,$H$3=1),D201*T201,IF($H$3=2,D201,"N/A")))</f>
        <v>0</v>
      </c>
      <c r="F201" s="126" t="n">
        <f aca="false">E201*X201</f>
        <v>0</v>
      </c>
      <c r="G201" s="142" t="n">
        <f aca="false">VLOOKUP($A201,Table,MATCH(G$4,Curves,0))</f>
        <v>3.987</v>
      </c>
      <c r="H201" s="143" t="n">
        <f aca="false">G201</f>
        <v>3.987</v>
      </c>
      <c r="I201" s="142" t="n">
        <f aca="false">VLOOKUP($A201,Table1,MATCH(I$3,Curves1,0))</f>
        <v>0</v>
      </c>
      <c r="J201" s="142" t="n">
        <f aca="false">VLOOKUP($A201,Table,MATCH(J$4,Curves,0))</f>
        <v>-0.061</v>
      </c>
      <c r="K201" s="143" t="n">
        <f aca="false">J201</f>
        <v>-0.061</v>
      </c>
      <c r="L201" s="144" t="n">
        <v>0</v>
      </c>
      <c r="M201" s="142" t="n">
        <f aca="false">VLOOKUP($A201,Table,MATCH(M$4,Curves,0))</f>
        <v>0.005</v>
      </c>
      <c r="N201" s="143" t="n">
        <f aca="false">M201</f>
        <v>0.005</v>
      </c>
      <c r="O201" s="144" t="n">
        <v>0</v>
      </c>
      <c r="P201" s="145"/>
      <c r="Q201" s="144" t="n">
        <f aca="false">M201+J201+G201</f>
        <v>3.931</v>
      </c>
      <c r="R201" s="144" t="n">
        <f aca="false">O201+L201+I201</f>
        <v>0</v>
      </c>
      <c r="S201" s="145"/>
      <c r="T201" s="71" t="n">
        <f aca="false">A202-A201</f>
        <v>31</v>
      </c>
      <c r="U201" s="146" t="n">
        <f aca="false">CHOOSE(F$3,A202+24,A201)</f>
        <v>42850</v>
      </c>
      <c r="V201" s="71" t="n">
        <f aca="false">U201-C$3</f>
        <v>5962</v>
      </c>
      <c r="W201" s="142" t="n">
        <f aca="false">VLOOKUP($A201,Table,MATCH(W$4,Curves,0))</f>
        <v>0.058966861357273</v>
      </c>
      <c r="X201" s="147" t="n">
        <f aca="false">1/(1+CHOOSE(F$3,(W202+($K$3/10000))/2,(W201+($K$3/10000))/2))^(2*V201/365.25)</f>
        <v>0.387281418956727</v>
      </c>
      <c r="Y201" s="71" t="n">
        <f aca="false">IF(AND(mthbeg&lt;=A201,mthend&gt;=A201),1,0)</f>
        <v>0</v>
      </c>
      <c r="Z201" s="71" t="n">
        <f aca="false">T201*Y201</f>
        <v>0</v>
      </c>
      <c r="AB201" s="132" t="n">
        <f aca="false">F201*G201</f>
        <v>0</v>
      </c>
      <c r="AC201" s="132" t="n">
        <f aca="false">$F201*H201</f>
        <v>0</v>
      </c>
      <c r="AD201" s="132" t="n">
        <f aca="false">$F201*I201</f>
        <v>0</v>
      </c>
      <c r="AE201" s="132" t="n">
        <f aca="false">$F201*J201</f>
        <v>-0</v>
      </c>
      <c r="AF201" s="132" t="n">
        <f aca="false">$F201*K201</f>
        <v>-0</v>
      </c>
      <c r="AG201" s="132" t="n">
        <f aca="false">$F201*L201</f>
        <v>0</v>
      </c>
      <c r="AH201" s="132" t="n">
        <f aca="false">$F201*M201</f>
        <v>0</v>
      </c>
      <c r="AI201" s="132" t="n">
        <f aca="false">$F201*N201</f>
        <v>0</v>
      </c>
      <c r="AJ201" s="132" t="n">
        <f aca="false">F201*O201</f>
        <v>0</v>
      </c>
      <c r="AK201" s="137"/>
      <c r="AL201" s="132" t="n">
        <f aca="false">CHOOSE($G$3,AC201-AD201,AD201-AC201)</f>
        <v>0</v>
      </c>
      <c r="AM201" s="132" t="n">
        <f aca="false">CHOOSE($G$3,AF201-AG201,AG201-AF201)</f>
        <v>0</v>
      </c>
      <c r="AN201" s="132" t="n">
        <f aca="false">CHOOSE($G$3,AI201-AJ201,AJ201-AI201)</f>
        <v>0</v>
      </c>
      <c r="AO201" s="148" t="n">
        <f aca="false">SUM(AL201:AN201)</f>
        <v>0</v>
      </c>
      <c r="AQ201" s="132" t="n">
        <f aca="false">CHOOSE($G$3,AB201-AC201,AC201-AB201)</f>
        <v>0</v>
      </c>
      <c r="AR201" s="132" t="n">
        <f aca="false">CHOOSE($G$3,AE201-AF201,AF201-AE201)</f>
        <v>0</v>
      </c>
      <c r="AS201" s="132" t="n">
        <f aca="false">CHOOSE($G$3,AH201-AI201,AI201-AH201)</f>
        <v>0</v>
      </c>
      <c r="AT201" s="148" t="n">
        <f aca="false">AQ201+AR201+AS201</f>
        <v>0</v>
      </c>
      <c r="AU201" s="148"/>
      <c r="AV201" s="133" t="n">
        <f aca="false">AT201+AO201</f>
        <v>0</v>
      </c>
      <c r="AX201" s="133" t="n">
        <f aca="false">AJ201+AG201+AD201</f>
        <v>0</v>
      </c>
      <c r="AY201" s="149"/>
      <c r="AZ201" s="76" t="n">
        <f aca="false">R201*E201</f>
        <v>0</v>
      </c>
    </row>
    <row r="202" customFormat="false" ht="12" hidden="false" customHeight="true" outlineLevel="0" collapsed="false">
      <c r="A202" s="138" t="n">
        <f aca="false">EDATE(A201,1)</f>
        <v>42826</v>
      </c>
      <c r="B202" s="139" t="n">
        <f aca="false">VLOOKUP($A202,Table2,MATCH(I$3,Curves2,0))</f>
        <v>0</v>
      </c>
      <c r="C202" s="140"/>
      <c r="D202" s="141" t="n">
        <f aca="false">B202+C202</f>
        <v>0</v>
      </c>
      <c r="E202" s="126" t="n">
        <f aca="false">IF(Y202=0,0,IF(AND(Y202=1,$H$3=1),D202*T202,IF($H$3=2,D202,"N/A")))</f>
        <v>0</v>
      </c>
      <c r="F202" s="126" t="n">
        <f aca="false">E202*X202</f>
        <v>0</v>
      </c>
      <c r="G202" s="142" t="n">
        <f aca="false">VLOOKUP($A202,Table,MATCH(G$4,Curves,0))</f>
        <v>3.987</v>
      </c>
      <c r="H202" s="143" t="n">
        <f aca="false">G202</f>
        <v>3.987</v>
      </c>
      <c r="I202" s="142" t="n">
        <f aca="false">VLOOKUP($A202,Table1,MATCH(I$3,Curves1,0))</f>
        <v>0</v>
      </c>
      <c r="J202" s="142" t="n">
        <f aca="false">VLOOKUP($A202,Table,MATCH(J$4,Curves,0))</f>
        <v>-0.061</v>
      </c>
      <c r="K202" s="143" t="n">
        <f aca="false">J202</f>
        <v>-0.061</v>
      </c>
      <c r="L202" s="144" t="n">
        <v>0</v>
      </c>
      <c r="M202" s="142" t="n">
        <f aca="false">VLOOKUP($A202,Table,MATCH(M$4,Curves,0))</f>
        <v>0.005</v>
      </c>
      <c r="N202" s="143" t="n">
        <f aca="false">M202</f>
        <v>0.005</v>
      </c>
      <c r="O202" s="144" t="n">
        <v>0</v>
      </c>
      <c r="P202" s="145"/>
      <c r="Q202" s="144" t="n">
        <f aca="false">M202+J202+G202</f>
        <v>3.931</v>
      </c>
      <c r="R202" s="144" t="n">
        <f aca="false">O202+L202+I202</f>
        <v>0</v>
      </c>
      <c r="S202" s="145"/>
      <c r="T202" s="71" t="n">
        <f aca="false">A203-A202</f>
        <v>30</v>
      </c>
      <c r="U202" s="146" t="n">
        <f aca="false">CHOOSE(F$3,A203+24,A202)</f>
        <v>42880</v>
      </c>
      <c r="V202" s="71" t="n">
        <f aca="false">U202-C$3</f>
        <v>5992</v>
      </c>
      <c r="W202" s="142" t="n">
        <f aca="false">VLOOKUP($A202,Table,MATCH(W$4,Curves,0))</f>
        <v>0.058966861357273</v>
      </c>
      <c r="X202" s="147" t="n">
        <f aca="false">1/(1+CHOOSE(F$3,(W203+($K$3/10000))/2,(W202+($K$3/10000))/2))^(2*V202/365.25)</f>
        <v>0.385437233220758</v>
      </c>
      <c r="Y202" s="71" t="n">
        <f aca="false">IF(AND(mthbeg&lt;=A202,mthend&gt;=A202),1,0)</f>
        <v>0</v>
      </c>
      <c r="Z202" s="71" t="n">
        <f aca="false">T202*Y202</f>
        <v>0</v>
      </c>
      <c r="AB202" s="132" t="n">
        <f aca="false">F202*G202</f>
        <v>0</v>
      </c>
      <c r="AC202" s="132" t="n">
        <f aca="false">$F202*H202</f>
        <v>0</v>
      </c>
      <c r="AD202" s="132" t="n">
        <f aca="false">$F202*I202</f>
        <v>0</v>
      </c>
      <c r="AE202" s="132" t="n">
        <f aca="false">$F202*J202</f>
        <v>-0</v>
      </c>
      <c r="AF202" s="132" t="n">
        <f aca="false">$F202*K202</f>
        <v>-0</v>
      </c>
      <c r="AG202" s="132" t="n">
        <f aca="false">$F202*L202</f>
        <v>0</v>
      </c>
      <c r="AH202" s="132" t="n">
        <f aca="false">$F202*M202</f>
        <v>0</v>
      </c>
      <c r="AI202" s="132" t="n">
        <f aca="false">$F202*N202</f>
        <v>0</v>
      </c>
      <c r="AJ202" s="132" t="n">
        <f aca="false">F202*O202</f>
        <v>0</v>
      </c>
      <c r="AK202" s="137"/>
      <c r="AL202" s="132" t="n">
        <f aca="false">CHOOSE($G$3,AC202-AD202,AD202-AC202)</f>
        <v>0</v>
      </c>
      <c r="AM202" s="132" t="n">
        <f aca="false">CHOOSE($G$3,AF202-AG202,AG202-AF202)</f>
        <v>0</v>
      </c>
      <c r="AN202" s="132" t="n">
        <f aca="false">CHOOSE($G$3,AI202-AJ202,AJ202-AI202)</f>
        <v>0</v>
      </c>
      <c r="AO202" s="148" t="n">
        <f aca="false">SUM(AL202:AN202)</f>
        <v>0</v>
      </c>
      <c r="AQ202" s="132" t="n">
        <f aca="false">CHOOSE($G$3,AB202-AC202,AC202-AB202)</f>
        <v>0</v>
      </c>
      <c r="AR202" s="132" t="n">
        <f aca="false">CHOOSE($G$3,AE202-AF202,AF202-AE202)</f>
        <v>0</v>
      </c>
      <c r="AS202" s="132" t="n">
        <f aca="false">CHOOSE($G$3,AH202-AI202,AI202-AH202)</f>
        <v>0</v>
      </c>
      <c r="AT202" s="148" t="n">
        <f aca="false">AQ202+AR202+AS202</f>
        <v>0</v>
      </c>
      <c r="AU202" s="148"/>
      <c r="AV202" s="133" t="n">
        <f aca="false">AT202+AO202</f>
        <v>0</v>
      </c>
      <c r="AX202" s="133" t="n">
        <f aca="false">AJ202+AG202+AD202</f>
        <v>0</v>
      </c>
      <c r="AY202" s="149"/>
      <c r="AZ202" s="76" t="n">
        <f aca="false">R202*E202</f>
        <v>0</v>
      </c>
    </row>
    <row r="203" customFormat="false" ht="12" hidden="false" customHeight="true" outlineLevel="0" collapsed="false">
      <c r="A203" s="138" t="n">
        <f aca="false">EDATE(A202,1)</f>
        <v>42856</v>
      </c>
      <c r="B203" s="139" t="n">
        <f aca="false">VLOOKUP($A203,Table2,MATCH(I$3,Curves2,0))</f>
        <v>0</v>
      </c>
      <c r="C203" s="140"/>
      <c r="D203" s="141" t="n">
        <f aca="false">B203+C203</f>
        <v>0</v>
      </c>
      <c r="E203" s="126" t="n">
        <f aca="false">IF(Y203=0,0,IF(AND(Y203=1,$H$3=1),D203*T203,IF($H$3=2,D203,"N/A")))</f>
        <v>0</v>
      </c>
      <c r="F203" s="126" t="n">
        <f aca="false">E203*X203</f>
        <v>0</v>
      </c>
      <c r="G203" s="142" t="n">
        <f aca="false">VLOOKUP($A203,Table,MATCH(G$4,Curves,0))</f>
        <v>3.987</v>
      </c>
      <c r="H203" s="143" t="n">
        <f aca="false">G203</f>
        <v>3.987</v>
      </c>
      <c r="I203" s="142" t="n">
        <f aca="false">VLOOKUP($A203,Table1,MATCH(I$3,Curves1,0))</f>
        <v>0</v>
      </c>
      <c r="J203" s="142" t="n">
        <f aca="false">VLOOKUP($A203,Table,MATCH(J$4,Curves,0))</f>
        <v>-0.061</v>
      </c>
      <c r="K203" s="143" t="n">
        <f aca="false">J203</f>
        <v>-0.061</v>
      </c>
      <c r="L203" s="144" t="n">
        <v>0</v>
      </c>
      <c r="M203" s="142" t="n">
        <f aca="false">VLOOKUP($A203,Table,MATCH(M$4,Curves,0))</f>
        <v>0.005</v>
      </c>
      <c r="N203" s="143" t="n">
        <f aca="false">M203</f>
        <v>0.005</v>
      </c>
      <c r="O203" s="144" t="n">
        <v>0</v>
      </c>
      <c r="P203" s="145"/>
      <c r="Q203" s="144" t="n">
        <f aca="false">M203+J203+G203</f>
        <v>3.931</v>
      </c>
      <c r="R203" s="144" t="n">
        <f aca="false">O203+L203+I203</f>
        <v>0</v>
      </c>
      <c r="S203" s="145"/>
      <c r="T203" s="71" t="n">
        <f aca="false">A204-A203</f>
        <v>31</v>
      </c>
      <c r="U203" s="146" t="n">
        <f aca="false">CHOOSE(F$3,A204+24,A203)</f>
        <v>42911</v>
      </c>
      <c r="V203" s="71" t="n">
        <f aca="false">U203-C$3</f>
        <v>6023</v>
      </c>
      <c r="W203" s="142" t="n">
        <f aca="false">VLOOKUP($A203,Table,MATCH(W$4,Curves,0))</f>
        <v>0.058966861357273</v>
      </c>
      <c r="X203" s="147" t="n">
        <f aca="false">1/(1+CHOOSE(F$3,(W204+($K$3/10000))/2,(W203+($K$3/10000))/2))^(2*V203/365.25)</f>
        <v>0.383540799888191</v>
      </c>
      <c r="Y203" s="71" t="n">
        <f aca="false">IF(AND(mthbeg&lt;=A203,mthend&gt;=A203),1,0)</f>
        <v>0</v>
      </c>
      <c r="Z203" s="71" t="n">
        <f aca="false">T203*Y203</f>
        <v>0</v>
      </c>
      <c r="AB203" s="132" t="n">
        <f aca="false">F203*G203</f>
        <v>0</v>
      </c>
      <c r="AC203" s="132" t="n">
        <f aca="false">$F203*H203</f>
        <v>0</v>
      </c>
      <c r="AD203" s="132" t="n">
        <f aca="false">$F203*I203</f>
        <v>0</v>
      </c>
      <c r="AE203" s="132" t="n">
        <f aca="false">$F203*J203</f>
        <v>-0</v>
      </c>
      <c r="AF203" s="132" t="n">
        <f aca="false">$F203*K203</f>
        <v>-0</v>
      </c>
      <c r="AG203" s="132" t="n">
        <f aca="false">$F203*L203</f>
        <v>0</v>
      </c>
      <c r="AH203" s="132" t="n">
        <f aca="false">$F203*M203</f>
        <v>0</v>
      </c>
      <c r="AI203" s="132" t="n">
        <f aca="false">$F203*N203</f>
        <v>0</v>
      </c>
      <c r="AJ203" s="132" t="n">
        <f aca="false">F203*O203</f>
        <v>0</v>
      </c>
      <c r="AK203" s="137"/>
      <c r="AL203" s="132" t="n">
        <f aca="false">CHOOSE($G$3,AC203-AD203,AD203-AC203)</f>
        <v>0</v>
      </c>
      <c r="AM203" s="132" t="n">
        <f aca="false">CHOOSE($G$3,AF203-AG203,AG203-AF203)</f>
        <v>0</v>
      </c>
      <c r="AN203" s="132" t="n">
        <f aca="false">CHOOSE($G$3,AI203-AJ203,AJ203-AI203)</f>
        <v>0</v>
      </c>
      <c r="AO203" s="148" t="n">
        <f aca="false">SUM(AL203:AN203)</f>
        <v>0</v>
      </c>
      <c r="AQ203" s="132" t="n">
        <f aca="false">CHOOSE($G$3,AB203-AC203,AC203-AB203)</f>
        <v>0</v>
      </c>
      <c r="AR203" s="132" t="n">
        <f aca="false">CHOOSE($G$3,AE203-AF203,AF203-AE203)</f>
        <v>0</v>
      </c>
      <c r="AS203" s="132" t="n">
        <f aca="false">CHOOSE($G$3,AH203-AI203,AI203-AH203)</f>
        <v>0</v>
      </c>
      <c r="AT203" s="148" t="n">
        <f aca="false">AQ203+AR203+AS203</f>
        <v>0</v>
      </c>
      <c r="AU203" s="148"/>
      <c r="AV203" s="133" t="n">
        <f aca="false">AT203+AO203</f>
        <v>0</v>
      </c>
      <c r="AX203" s="133" t="n">
        <f aca="false">AJ203+AG203+AD203</f>
        <v>0</v>
      </c>
      <c r="AY203" s="149"/>
      <c r="AZ203" s="76" t="n">
        <f aca="false">R203*E203</f>
        <v>0</v>
      </c>
    </row>
    <row r="204" customFormat="false" ht="12" hidden="false" customHeight="true" outlineLevel="0" collapsed="false">
      <c r="A204" s="138" t="n">
        <f aca="false">EDATE(A203,1)</f>
        <v>42887</v>
      </c>
      <c r="B204" s="139" t="n">
        <f aca="false">VLOOKUP($A204,Table2,MATCH(I$3,Curves2,0))</f>
        <v>0</v>
      </c>
      <c r="C204" s="140"/>
      <c r="D204" s="141" t="n">
        <f aca="false">B204+C204</f>
        <v>0</v>
      </c>
      <c r="E204" s="126" t="n">
        <f aca="false">IF(Y204=0,0,IF(AND(Y204=1,$H$3=1),D204*T204,IF($H$3=2,D204,"N/A")))</f>
        <v>0</v>
      </c>
      <c r="F204" s="126" t="n">
        <f aca="false">E204*X204</f>
        <v>0</v>
      </c>
      <c r="G204" s="142" t="n">
        <f aca="false">VLOOKUP($A204,Table,MATCH(G$4,Curves,0))</f>
        <v>3.987</v>
      </c>
      <c r="H204" s="143" t="n">
        <f aca="false">G204</f>
        <v>3.987</v>
      </c>
      <c r="I204" s="142" t="n">
        <f aca="false">VLOOKUP($A204,Table1,MATCH(I$3,Curves1,0))</f>
        <v>0</v>
      </c>
      <c r="J204" s="142" t="n">
        <f aca="false">VLOOKUP($A204,Table,MATCH(J$4,Curves,0))</f>
        <v>-0.061</v>
      </c>
      <c r="K204" s="143" t="n">
        <f aca="false">J204</f>
        <v>-0.061</v>
      </c>
      <c r="L204" s="144" t="n">
        <v>0</v>
      </c>
      <c r="M204" s="142" t="n">
        <f aca="false">VLOOKUP($A204,Table,MATCH(M$4,Curves,0))</f>
        <v>0.005</v>
      </c>
      <c r="N204" s="143" t="n">
        <f aca="false">M204</f>
        <v>0.005</v>
      </c>
      <c r="O204" s="144" t="n">
        <v>0</v>
      </c>
      <c r="P204" s="145"/>
      <c r="Q204" s="144" t="n">
        <f aca="false">M204+J204+G204</f>
        <v>3.931</v>
      </c>
      <c r="R204" s="144" t="n">
        <f aca="false">O204+L204+I204</f>
        <v>0</v>
      </c>
      <c r="S204" s="145"/>
      <c r="T204" s="71" t="n">
        <f aca="false">A205-A204</f>
        <v>30</v>
      </c>
      <c r="U204" s="146" t="n">
        <f aca="false">CHOOSE(F$3,A205+24,A204)</f>
        <v>42941</v>
      </c>
      <c r="V204" s="71" t="n">
        <f aca="false">U204-C$3</f>
        <v>6053</v>
      </c>
      <c r="W204" s="142" t="n">
        <f aca="false">VLOOKUP($A204,Table,MATCH(W$4,Curves,0))</f>
        <v>0.058966861357273</v>
      </c>
      <c r="X204" s="147" t="n">
        <f aca="false">1/(1+CHOOSE(F$3,(W205+($K$3/10000))/2,(W204+($K$3/10000))/2))^(2*V204/365.25)</f>
        <v>0.38171442651293</v>
      </c>
      <c r="Y204" s="71" t="n">
        <f aca="false">IF(AND(mthbeg&lt;=A204,mthend&gt;=A204),1,0)</f>
        <v>0</v>
      </c>
      <c r="Z204" s="71" t="n">
        <f aca="false">T204*Y204</f>
        <v>0</v>
      </c>
      <c r="AB204" s="132" t="n">
        <f aca="false">F204*G204</f>
        <v>0</v>
      </c>
      <c r="AC204" s="132" t="n">
        <f aca="false">$F204*H204</f>
        <v>0</v>
      </c>
      <c r="AD204" s="132" t="n">
        <f aca="false">$F204*I204</f>
        <v>0</v>
      </c>
      <c r="AE204" s="132" t="n">
        <f aca="false">$F204*J204</f>
        <v>-0</v>
      </c>
      <c r="AF204" s="132" t="n">
        <f aca="false">$F204*K204</f>
        <v>-0</v>
      </c>
      <c r="AG204" s="132" t="n">
        <f aca="false">$F204*L204</f>
        <v>0</v>
      </c>
      <c r="AH204" s="132" t="n">
        <f aca="false">$F204*M204</f>
        <v>0</v>
      </c>
      <c r="AI204" s="132" t="n">
        <f aca="false">$F204*N204</f>
        <v>0</v>
      </c>
      <c r="AJ204" s="132" t="n">
        <f aca="false">F204*O204</f>
        <v>0</v>
      </c>
      <c r="AK204" s="137"/>
      <c r="AL204" s="132" t="n">
        <f aca="false">CHOOSE($G$3,AC204-AD204,AD204-AC204)</f>
        <v>0</v>
      </c>
      <c r="AM204" s="132" t="n">
        <f aca="false">CHOOSE($G$3,AF204-AG204,AG204-AF204)</f>
        <v>0</v>
      </c>
      <c r="AN204" s="132" t="n">
        <f aca="false">CHOOSE($G$3,AI204-AJ204,AJ204-AI204)</f>
        <v>0</v>
      </c>
      <c r="AO204" s="148" t="n">
        <f aca="false">SUM(AL204:AN204)</f>
        <v>0</v>
      </c>
      <c r="AQ204" s="132" t="n">
        <f aca="false">CHOOSE($G$3,AB204-AC204,AC204-AB204)</f>
        <v>0</v>
      </c>
      <c r="AR204" s="132" t="n">
        <f aca="false">CHOOSE($G$3,AE204-AF204,AF204-AE204)</f>
        <v>0</v>
      </c>
      <c r="AS204" s="132" t="n">
        <f aca="false">CHOOSE($G$3,AH204-AI204,AI204-AH204)</f>
        <v>0</v>
      </c>
      <c r="AT204" s="148" t="n">
        <f aca="false">AQ204+AR204+AS204</f>
        <v>0</v>
      </c>
      <c r="AU204" s="148"/>
      <c r="AV204" s="133" t="n">
        <f aca="false">AT204+AO204</f>
        <v>0</v>
      </c>
      <c r="AX204" s="133" t="n">
        <f aca="false">AJ204+AG204+AD204</f>
        <v>0</v>
      </c>
      <c r="AY204" s="149"/>
      <c r="AZ204" s="76" t="n">
        <f aca="false">R204*E204</f>
        <v>0</v>
      </c>
    </row>
    <row r="205" customFormat="false" ht="12" hidden="false" customHeight="true" outlineLevel="0" collapsed="false">
      <c r="A205" s="138" t="n">
        <f aca="false">EDATE(A204,1)</f>
        <v>42917</v>
      </c>
      <c r="B205" s="139" t="n">
        <f aca="false">VLOOKUP($A205,Table2,MATCH(I$3,Curves2,0))</f>
        <v>0</v>
      </c>
      <c r="C205" s="140"/>
      <c r="D205" s="141" t="n">
        <f aca="false">B205+C205</f>
        <v>0</v>
      </c>
      <c r="E205" s="126" t="n">
        <f aca="false">IF(Y205=0,0,IF(AND(Y205=1,$H$3=1),D205*T205,IF($H$3=2,D205,"N/A")))</f>
        <v>0</v>
      </c>
      <c r="F205" s="126" t="n">
        <f aca="false">E205*X205</f>
        <v>0</v>
      </c>
      <c r="G205" s="142" t="n">
        <f aca="false">VLOOKUP($A205,Table,MATCH(G$4,Curves,0))</f>
        <v>3.987</v>
      </c>
      <c r="H205" s="143" t="n">
        <f aca="false">G205</f>
        <v>3.987</v>
      </c>
      <c r="I205" s="142" t="n">
        <f aca="false">VLOOKUP($A205,Table1,MATCH(I$3,Curves1,0))</f>
        <v>0</v>
      </c>
      <c r="J205" s="142" t="n">
        <f aca="false">VLOOKUP($A205,Table,MATCH(J$4,Curves,0))</f>
        <v>-0.061</v>
      </c>
      <c r="K205" s="143" t="n">
        <f aca="false">J205</f>
        <v>-0.061</v>
      </c>
      <c r="L205" s="144" t="n">
        <v>0</v>
      </c>
      <c r="M205" s="142" t="n">
        <f aca="false">VLOOKUP($A205,Table,MATCH(M$4,Curves,0))</f>
        <v>0.005</v>
      </c>
      <c r="N205" s="143" t="n">
        <f aca="false">M205</f>
        <v>0.005</v>
      </c>
      <c r="O205" s="144" t="n">
        <v>0</v>
      </c>
      <c r="P205" s="145"/>
      <c r="Q205" s="144" t="n">
        <f aca="false">M205+J205+G205</f>
        <v>3.931</v>
      </c>
      <c r="R205" s="144" t="n">
        <f aca="false">O205+L205+I205</f>
        <v>0</v>
      </c>
      <c r="S205" s="145"/>
      <c r="T205" s="71" t="n">
        <f aca="false">A206-A205</f>
        <v>31</v>
      </c>
      <c r="U205" s="146" t="n">
        <f aca="false">CHOOSE(F$3,A206+24,A205)</f>
        <v>42972</v>
      </c>
      <c r="V205" s="71" t="n">
        <f aca="false">U205-C$3</f>
        <v>6084</v>
      </c>
      <c r="W205" s="142" t="n">
        <f aca="false">VLOOKUP($A205,Table,MATCH(W$4,Curves,0))</f>
        <v>0.058966861357273</v>
      </c>
      <c r="X205" s="147" t="n">
        <f aca="false">1/(1+CHOOSE(F$3,(W206+($K$3/10000))/2,(W205+($K$3/10000))/2))^(2*V205/365.25)</f>
        <v>0.379836310182777</v>
      </c>
      <c r="Y205" s="71" t="n">
        <f aca="false">IF(AND(mthbeg&lt;=A205,mthend&gt;=A205),1,0)</f>
        <v>0</v>
      </c>
      <c r="Z205" s="71" t="n">
        <f aca="false">T205*Y205</f>
        <v>0</v>
      </c>
      <c r="AB205" s="132" t="n">
        <f aca="false">F205*G205</f>
        <v>0</v>
      </c>
      <c r="AC205" s="132" t="n">
        <f aca="false">$F205*H205</f>
        <v>0</v>
      </c>
      <c r="AD205" s="132" t="n">
        <f aca="false">$F205*I205</f>
        <v>0</v>
      </c>
      <c r="AE205" s="132" t="n">
        <f aca="false">$F205*J205</f>
        <v>-0</v>
      </c>
      <c r="AF205" s="132" t="n">
        <f aca="false">$F205*K205</f>
        <v>-0</v>
      </c>
      <c r="AG205" s="132" t="n">
        <f aca="false">$F205*L205</f>
        <v>0</v>
      </c>
      <c r="AH205" s="132" t="n">
        <f aca="false">$F205*M205</f>
        <v>0</v>
      </c>
      <c r="AI205" s="132" t="n">
        <f aca="false">$F205*N205</f>
        <v>0</v>
      </c>
      <c r="AJ205" s="132" t="n">
        <f aca="false">F205*O205</f>
        <v>0</v>
      </c>
      <c r="AK205" s="137"/>
      <c r="AL205" s="132" t="n">
        <f aca="false">CHOOSE($G$3,AC205-AD205,AD205-AC205)</f>
        <v>0</v>
      </c>
      <c r="AM205" s="132" t="n">
        <f aca="false">CHOOSE($G$3,AF205-AG205,AG205-AF205)</f>
        <v>0</v>
      </c>
      <c r="AN205" s="132" t="n">
        <f aca="false">CHOOSE($G$3,AI205-AJ205,AJ205-AI205)</f>
        <v>0</v>
      </c>
      <c r="AO205" s="148" t="n">
        <f aca="false">SUM(AL205:AN205)</f>
        <v>0</v>
      </c>
      <c r="AQ205" s="132" t="n">
        <f aca="false">CHOOSE($G$3,AB205-AC205,AC205-AB205)</f>
        <v>0</v>
      </c>
      <c r="AR205" s="132" t="n">
        <f aca="false">CHOOSE($G$3,AE205-AF205,AF205-AE205)</f>
        <v>0</v>
      </c>
      <c r="AS205" s="132" t="n">
        <f aca="false">CHOOSE($G$3,AH205-AI205,AI205-AH205)</f>
        <v>0</v>
      </c>
      <c r="AT205" s="148" t="n">
        <f aca="false">AQ205+AR205+AS205</f>
        <v>0</v>
      </c>
      <c r="AU205" s="148"/>
      <c r="AV205" s="133" t="n">
        <f aca="false">AT205+AO205</f>
        <v>0</v>
      </c>
      <c r="AX205" s="133" t="n">
        <f aca="false">AJ205+AG205+AD205</f>
        <v>0</v>
      </c>
      <c r="AY205" s="149"/>
      <c r="AZ205" s="76" t="n">
        <f aca="false">R205*E205</f>
        <v>0</v>
      </c>
    </row>
    <row r="206" customFormat="false" ht="12" hidden="false" customHeight="true" outlineLevel="0" collapsed="false">
      <c r="A206" s="138" t="n">
        <f aca="false">EDATE(A205,1)</f>
        <v>42948</v>
      </c>
      <c r="B206" s="139" t="n">
        <f aca="false">VLOOKUP($A206,Table2,MATCH(I$3,Curves2,0))</f>
        <v>0</v>
      </c>
      <c r="C206" s="140"/>
      <c r="D206" s="141" t="n">
        <f aca="false">B206+C206</f>
        <v>0</v>
      </c>
      <c r="E206" s="126" t="n">
        <f aca="false">IF(Y206=0,0,IF(AND(Y206=1,$H$3=1),D206*T206,IF($H$3=2,D206,"N/A")))</f>
        <v>0</v>
      </c>
      <c r="F206" s="126" t="n">
        <f aca="false">E206*X206</f>
        <v>0</v>
      </c>
      <c r="G206" s="142" t="n">
        <f aca="false">VLOOKUP($A206,Table,MATCH(G$4,Curves,0))</f>
        <v>3.987</v>
      </c>
      <c r="H206" s="143" t="n">
        <f aca="false">G206</f>
        <v>3.987</v>
      </c>
      <c r="I206" s="142" t="n">
        <f aca="false">VLOOKUP($A206,Table1,MATCH(I$3,Curves1,0))</f>
        <v>0</v>
      </c>
      <c r="J206" s="142" t="n">
        <f aca="false">VLOOKUP($A206,Table,MATCH(J$4,Curves,0))</f>
        <v>-0.061</v>
      </c>
      <c r="K206" s="143" t="n">
        <f aca="false">J206</f>
        <v>-0.061</v>
      </c>
      <c r="L206" s="144" t="n">
        <v>0</v>
      </c>
      <c r="M206" s="142" t="n">
        <f aca="false">VLOOKUP($A206,Table,MATCH(M$4,Curves,0))</f>
        <v>0.005</v>
      </c>
      <c r="N206" s="143" t="n">
        <f aca="false">M206</f>
        <v>0.005</v>
      </c>
      <c r="O206" s="144" t="n">
        <v>0</v>
      </c>
      <c r="P206" s="145"/>
      <c r="Q206" s="144" t="n">
        <f aca="false">M206+J206+G206</f>
        <v>3.931</v>
      </c>
      <c r="R206" s="144" t="n">
        <f aca="false">O206+L206+I206</f>
        <v>0</v>
      </c>
      <c r="S206" s="145"/>
      <c r="T206" s="71" t="n">
        <f aca="false">A207-A206</f>
        <v>31</v>
      </c>
      <c r="U206" s="146" t="n">
        <f aca="false">CHOOSE(F$3,A207+24,A206)</f>
        <v>43003</v>
      </c>
      <c r="V206" s="71" t="n">
        <f aca="false">U206-C$3</f>
        <v>6115</v>
      </c>
      <c r="W206" s="142" t="n">
        <f aca="false">VLOOKUP($A206,Table,MATCH(W$4,Curves,0))</f>
        <v>0.058966861357273</v>
      </c>
      <c r="X206" s="147" t="n">
        <f aca="false">1/(1+CHOOSE(F$3,(W207+($K$3/10000))/2,(W206+($K$3/10000))/2))^(2*V206/365.25)</f>
        <v>0.377967434585236</v>
      </c>
      <c r="Y206" s="71" t="n">
        <f aca="false">IF(AND(mthbeg&lt;=A206,mthend&gt;=A206),1,0)</f>
        <v>0</v>
      </c>
      <c r="Z206" s="71" t="n">
        <f aca="false">T206*Y206</f>
        <v>0</v>
      </c>
      <c r="AB206" s="132" t="n">
        <f aca="false">F206*G206</f>
        <v>0</v>
      </c>
      <c r="AC206" s="132" t="n">
        <f aca="false">$F206*H206</f>
        <v>0</v>
      </c>
      <c r="AD206" s="132" t="n">
        <f aca="false">$F206*I206</f>
        <v>0</v>
      </c>
      <c r="AE206" s="132" t="n">
        <f aca="false">$F206*J206</f>
        <v>-0</v>
      </c>
      <c r="AF206" s="132" t="n">
        <f aca="false">$F206*K206</f>
        <v>-0</v>
      </c>
      <c r="AG206" s="132" t="n">
        <f aca="false">$F206*L206</f>
        <v>0</v>
      </c>
      <c r="AH206" s="132" t="n">
        <f aca="false">$F206*M206</f>
        <v>0</v>
      </c>
      <c r="AI206" s="132" t="n">
        <f aca="false">$F206*N206</f>
        <v>0</v>
      </c>
      <c r="AJ206" s="132" t="n">
        <f aca="false">F206*O206</f>
        <v>0</v>
      </c>
      <c r="AK206" s="137"/>
      <c r="AL206" s="132" t="n">
        <f aca="false">CHOOSE($G$3,AC206-AD206,AD206-AC206)</f>
        <v>0</v>
      </c>
      <c r="AM206" s="132" t="n">
        <f aca="false">CHOOSE($G$3,AF206-AG206,AG206-AF206)</f>
        <v>0</v>
      </c>
      <c r="AN206" s="132" t="n">
        <f aca="false">CHOOSE($G$3,AI206-AJ206,AJ206-AI206)</f>
        <v>0</v>
      </c>
      <c r="AO206" s="148" t="n">
        <f aca="false">SUM(AL206:AN206)</f>
        <v>0</v>
      </c>
      <c r="AQ206" s="132" t="n">
        <f aca="false">CHOOSE($G$3,AB206-AC206,AC206-AB206)</f>
        <v>0</v>
      </c>
      <c r="AR206" s="132" t="n">
        <f aca="false">CHOOSE($G$3,AE206-AF206,AF206-AE206)</f>
        <v>0</v>
      </c>
      <c r="AS206" s="132" t="n">
        <f aca="false">CHOOSE($G$3,AH206-AI206,AI206-AH206)</f>
        <v>0</v>
      </c>
      <c r="AT206" s="148" t="n">
        <f aca="false">AQ206+AR206+AS206</f>
        <v>0</v>
      </c>
      <c r="AU206" s="148"/>
      <c r="AV206" s="133" t="n">
        <f aca="false">AT206+AO206</f>
        <v>0</v>
      </c>
      <c r="AX206" s="133" t="n">
        <f aca="false">AJ206+AG206+AD206</f>
        <v>0</v>
      </c>
      <c r="AY206" s="149"/>
      <c r="AZ206" s="76" t="n">
        <f aca="false">R206*E206</f>
        <v>0</v>
      </c>
    </row>
    <row r="207" customFormat="false" ht="12" hidden="false" customHeight="true" outlineLevel="0" collapsed="false">
      <c r="A207" s="138" t="n">
        <f aca="false">EDATE(A206,1)</f>
        <v>42979</v>
      </c>
      <c r="B207" s="139" t="n">
        <f aca="false">VLOOKUP($A207,Table2,MATCH(I$3,Curves2,0))</f>
        <v>0</v>
      </c>
      <c r="C207" s="140"/>
      <c r="D207" s="141" t="n">
        <f aca="false">B207+C207</f>
        <v>0</v>
      </c>
      <c r="E207" s="126" t="n">
        <f aca="false">IF(Y207=0,0,IF(AND(Y207=1,$H$3=1),D207*T207,IF($H$3=2,D207,"N/A")))</f>
        <v>0</v>
      </c>
      <c r="F207" s="126" t="n">
        <f aca="false">E207*X207</f>
        <v>0</v>
      </c>
      <c r="G207" s="142" t="n">
        <f aca="false">VLOOKUP($A207,Table,MATCH(G$4,Curves,0))</f>
        <v>3.987</v>
      </c>
      <c r="H207" s="143" t="n">
        <f aca="false">G207</f>
        <v>3.987</v>
      </c>
      <c r="I207" s="142" t="n">
        <f aca="false">VLOOKUP($A207,Table1,MATCH(I$3,Curves1,0))</f>
        <v>0</v>
      </c>
      <c r="J207" s="142" t="n">
        <f aca="false">VLOOKUP($A207,Table,MATCH(J$4,Curves,0))</f>
        <v>-0.061</v>
      </c>
      <c r="K207" s="143" t="n">
        <f aca="false">J207</f>
        <v>-0.061</v>
      </c>
      <c r="L207" s="144" t="n">
        <v>0</v>
      </c>
      <c r="M207" s="142" t="n">
        <f aca="false">VLOOKUP($A207,Table,MATCH(M$4,Curves,0))</f>
        <v>0.005</v>
      </c>
      <c r="N207" s="143" t="n">
        <f aca="false">M207</f>
        <v>0.005</v>
      </c>
      <c r="O207" s="144" t="n">
        <v>0</v>
      </c>
      <c r="P207" s="145"/>
      <c r="Q207" s="144" t="n">
        <f aca="false">M207+J207+G207</f>
        <v>3.931</v>
      </c>
      <c r="R207" s="144" t="n">
        <f aca="false">O207+L207+I207</f>
        <v>0</v>
      </c>
      <c r="S207" s="145"/>
      <c r="T207" s="71" t="n">
        <f aca="false">A208-A207</f>
        <v>30</v>
      </c>
      <c r="U207" s="146" t="n">
        <f aca="false">CHOOSE(F$3,A208+24,A207)</f>
        <v>43033</v>
      </c>
      <c r="V207" s="71" t="n">
        <f aca="false">U207-C$3</f>
        <v>6145</v>
      </c>
      <c r="W207" s="142" t="n">
        <f aca="false">VLOOKUP($A207,Table,MATCH(W$4,Curves,0))</f>
        <v>0.058966861357273</v>
      </c>
      <c r="X207" s="147" t="n">
        <f aca="false">1/(1+CHOOSE(F$3,(W208+($K$3/10000))/2,(W207+($K$3/10000))/2))^(2*V207/365.25)</f>
        <v>0.376167600879295</v>
      </c>
      <c r="Y207" s="71" t="n">
        <f aca="false">IF(AND(mthbeg&lt;=A207,mthend&gt;=A207),1,0)</f>
        <v>0</v>
      </c>
      <c r="Z207" s="71" t="n">
        <f aca="false">T207*Y207</f>
        <v>0</v>
      </c>
      <c r="AB207" s="132" t="n">
        <f aca="false">F207*G207</f>
        <v>0</v>
      </c>
      <c r="AC207" s="132" t="n">
        <f aca="false">$F207*H207</f>
        <v>0</v>
      </c>
      <c r="AD207" s="132" t="n">
        <f aca="false">$F207*I207</f>
        <v>0</v>
      </c>
      <c r="AE207" s="132" t="n">
        <f aca="false">$F207*J207</f>
        <v>-0</v>
      </c>
      <c r="AF207" s="132" t="n">
        <f aca="false">$F207*K207</f>
        <v>-0</v>
      </c>
      <c r="AG207" s="132" t="n">
        <f aca="false">$F207*L207</f>
        <v>0</v>
      </c>
      <c r="AH207" s="132" t="n">
        <f aca="false">$F207*M207</f>
        <v>0</v>
      </c>
      <c r="AI207" s="132" t="n">
        <f aca="false">$F207*N207</f>
        <v>0</v>
      </c>
      <c r="AJ207" s="132" t="n">
        <f aca="false">F207*O207</f>
        <v>0</v>
      </c>
      <c r="AK207" s="137"/>
      <c r="AL207" s="132" t="n">
        <f aca="false">CHOOSE($G$3,AC207-AD207,AD207-AC207)</f>
        <v>0</v>
      </c>
      <c r="AM207" s="132" t="n">
        <f aca="false">CHOOSE($G$3,AF207-AG207,AG207-AF207)</f>
        <v>0</v>
      </c>
      <c r="AN207" s="132" t="n">
        <f aca="false">CHOOSE($G$3,AI207-AJ207,AJ207-AI207)</f>
        <v>0</v>
      </c>
      <c r="AO207" s="148" t="n">
        <f aca="false">SUM(AL207:AN207)</f>
        <v>0</v>
      </c>
      <c r="AQ207" s="132" t="n">
        <f aca="false">CHOOSE($G$3,AB207-AC207,AC207-AB207)</f>
        <v>0</v>
      </c>
      <c r="AR207" s="132" t="n">
        <f aca="false">CHOOSE($G$3,AE207-AF207,AF207-AE207)</f>
        <v>0</v>
      </c>
      <c r="AS207" s="132" t="n">
        <f aca="false">CHOOSE($G$3,AH207-AI207,AI207-AH207)</f>
        <v>0</v>
      </c>
      <c r="AT207" s="148" t="n">
        <f aca="false">AQ207+AR207+AS207</f>
        <v>0</v>
      </c>
      <c r="AU207" s="148"/>
      <c r="AV207" s="133" t="n">
        <f aca="false">AT207+AO207</f>
        <v>0</v>
      </c>
      <c r="AX207" s="133" t="n">
        <f aca="false">AJ207+AG207+AD207</f>
        <v>0</v>
      </c>
      <c r="AY207" s="149"/>
      <c r="AZ207" s="76" t="n">
        <f aca="false">R207*E207</f>
        <v>0</v>
      </c>
    </row>
    <row r="208" customFormat="false" ht="12" hidden="false" customHeight="true" outlineLevel="0" collapsed="false">
      <c r="A208" s="138" t="n">
        <f aca="false">EDATE(A207,1)</f>
        <v>43009</v>
      </c>
      <c r="B208" s="139" t="n">
        <f aca="false">VLOOKUP($A208,Table2,MATCH(I$3,Curves2,0))</f>
        <v>0</v>
      </c>
      <c r="C208" s="140"/>
      <c r="D208" s="141" t="n">
        <f aca="false">B208+C208</f>
        <v>0</v>
      </c>
      <c r="E208" s="126" t="n">
        <f aca="false">IF(Y208=0,0,IF(AND(Y208=1,$H$3=1),D208*T208,IF($H$3=2,D208,"N/A")))</f>
        <v>0</v>
      </c>
      <c r="F208" s="126" t="n">
        <f aca="false">E208*X208</f>
        <v>0</v>
      </c>
      <c r="G208" s="142" t="n">
        <f aca="false">VLOOKUP($A208,Table,MATCH(G$4,Curves,0))</f>
        <v>3.987</v>
      </c>
      <c r="H208" s="143" t="n">
        <f aca="false">G208</f>
        <v>3.987</v>
      </c>
      <c r="I208" s="142" t="n">
        <f aca="false">VLOOKUP($A208,Table1,MATCH(I$3,Curves1,0))</f>
        <v>0</v>
      </c>
      <c r="J208" s="142" t="n">
        <f aca="false">VLOOKUP($A208,Table,MATCH(J$4,Curves,0))</f>
        <v>-0.061</v>
      </c>
      <c r="K208" s="143" t="n">
        <f aca="false">J208</f>
        <v>-0.061</v>
      </c>
      <c r="L208" s="144" t="n">
        <v>0</v>
      </c>
      <c r="M208" s="142" t="n">
        <f aca="false">VLOOKUP($A208,Table,MATCH(M$4,Curves,0))</f>
        <v>0.005</v>
      </c>
      <c r="N208" s="143" t="n">
        <f aca="false">M208</f>
        <v>0.005</v>
      </c>
      <c r="O208" s="144" t="n">
        <v>0</v>
      </c>
      <c r="P208" s="145"/>
      <c r="Q208" s="144" t="n">
        <f aca="false">M208+J208+G208</f>
        <v>3.931</v>
      </c>
      <c r="R208" s="144" t="n">
        <f aca="false">O208+L208+I208</f>
        <v>0</v>
      </c>
      <c r="S208" s="145"/>
      <c r="T208" s="71" t="n">
        <f aca="false">A209-A208</f>
        <v>31</v>
      </c>
      <c r="U208" s="146" t="n">
        <f aca="false">CHOOSE(F$3,A209+24,A208)</f>
        <v>43064</v>
      </c>
      <c r="V208" s="71" t="n">
        <f aca="false">U208-C$3</f>
        <v>6176</v>
      </c>
      <c r="W208" s="142" t="n">
        <f aca="false">VLOOKUP($A208,Table,MATCH(W$4,Curves,0))</f>
        <v>0.058966861357273</v>
      </c>
      <c r="X208" s="147" t="n">
        <f aca="false">1/(1+CHOOSE(F$3,(W209+($K$3/10000))/2,(W208+($K$3/10000))/2))^(2*V208/365.25)</f>
        <v>0.374316776113409</v>
      </c>
      <c r="Y208" s="71" t="n">
        <f aca="false">IF(AND(mthbeg&lt;=A208,mthend&gt;=A208),1,0)</f>
        <v>0</v>
      </c>
      <c r="Z208" s="71" t="n">
        <f aca="false">T208*Y208</f>
        <v>0</v>
      </c>
      <c r="AB208" s="132" t="n">
        <f aca="false">F208*G208</f>
        <v>0</v>
      </c>
      <c r="AC208" s="132" t="n">
        <f aca="false">$F208*H208</f>
        <v>0</v>
      </c>
      <c r="AD208" s="132" t="n">
        <f aca="false">$F208*I208</f>
        <v>0</v>
      </c>
      <c r="AE208" s="132" t="n">
        <f aca="false">$F208*J208</f>
        <v>-0</v>
      </c>
      <c r="AF208" s="132" t="n">
        <f aca="false">$F208*K208</f>
        <v>-0</v>
      </c>
      <c r="AG208" s="132" t="n">
        <f aca="false">$F208*L208</f>
        <v>0</v>
      </c>
      <c r="AH208" s="132" t="n">
        <f aca="false">$F208*M208</f>
        <v>0</v>
      </c>
      <c r="AI208" s="132" t="n">
        <f aca="false">$F208*N208</f>
        <v>0</v>
      </c>
      <c r="AJ208" s="132" t="n">
        <f aca="false">F208*O208</f>
        <v>0</v>
      </c>
      <c r="AK208" s="137"/>
      <c r="AL208" s="132" t="n">
        <f aca="false">CHOOSE($G$3,AC208-AD208,AD208-AC208)</f>
        <v>0</v>
      </c>
      <c r="AM208" s="132" t="n">
        <f aca="false">CHOOSE($G$3,AF208-AG208,AG208-AF208)</f>
        <v>0</v>
      </c>
      <c r="AN208" s="132" t="n">
        <f aca="false">CHOOSE($G$3,AI208-AJ208,AJ208-AI208)</f>
        <v>0</v>
      </c>
      <c r="AO208" s="148" t="n">
        <f aca="false">SUM(AL208:AN208)</f>
        <v>0</v>
      </c>
      <c r="AQ208" s="132" t="n">
        <f aca="false">CHOOSE($G$3,AB208-AC208,AC208-AB208)</f>
        <v>0</v>
      </c>
      <c r="AR208" s="132" t="n">
        <f aca="false">CHOOSE($G$3,AE208-AF208,AF208-AE208)</f>
        <v>0</v>
      </c>
      <c r="AS208" s="132" t="n">
        <f aca="false">CHOOSE($G$3,AH208-AI208,AI208-AH208)</f>
        <v>0</v>
      </c>
      <c r="AT208" s="148" t="n">
        <f aca="false">AQ208+AR208+AS208</f>
        <v>0</v>
      </c>
      <c r="AU208" s="148"/>
      <c r="AV208" s="133" t="n">
        <f aca="false">AT208+AO208</f>
        <v>0</v>
      </c>
      <c r="AX208" s="133" t="n">
        <f aca="false">AJ208+AG208+AD208</f>
        <v>0</v>
      </c>
      <c r="AY208" s="149"/>
      <c r="AZ208" s="76" t="n">
        <f aca="false">R208*E208</f>
        <v>0</v>
      </c>
    </row>
    <row r="209" customFormat="false" ht="12" hidden="false" customHeight="true" outlineLevel="0" collapsed="false">
      <c r="A209" s="138" t="n">
        <f aca="false">EDATE(A208,1)</f>
        <v>43040</v>
      </c>
      <c r="B209" s="139" t="n">
        <f aca="false">VLOOKUP($A209,Table2,MATCH(I$3,Curves2,0))</f>
        <v>0</v>
      </c>
      <c r="C209" s="140"/>
      <c r="D209" s="141" t="n">
        <f aca="false">B209+C209</f>
        <v>0</v>
      </c>
      <c r="E209" s="126" t="n">
        <f aca="false">IF(Y209=0,0,IF(AND(Y209=1,$H$3=1),D209*T209,IF($H$3=2,D209,"N/A")))</f>
        <v>0</v>
      </c>
      <c r="F209" s="126" t="n">
        <f aca="false">E209*X209</f>
        <v>0</v>
      </c>
      <c r="G209" s="142" t="n">
        <f aca="false">VLOOKUP($A209,Table,MATCH(G$4,Curves,0))</f>
        <v>3.987</v>
      </c>
      <c r="H209" s="143" t="n">
        <f aca="false">G209</f>
        <v>3.987</v>
      </c>
      <c r="I209" s="142" t="n">
        <f aca="false">VLOOKUP($A209,Table1,MATCH(I$3,Curves1,0))</f>
        <v>0</v>
      </c>
      <c r="J209" s="142" t="n">
        <f aca="false">VLOOKUP($A209,Table,MATCH(J$4,Curves,0))</f>
        <v>-0.061</v>
      </c>
      <c r="K209" s="143" t="n">
        <f aca="false">J209</f>
        <v>-0.061</v>
      </c>
      <c r="L209" s="144" t="n">
        <v>0</v>
      </c>
      <c r="M209" s="142" t="n">
        <f aca="false">VLOOKUP($A209,Table,MATCH(M$4,Curves,0))</f>
        <v>0.005</v>
      </c>
      <c r="N209" s="143" t="n">
        <f aca="false">M209</f>
        <v>0.005</v>
      </c>
      <c r="O209" s="144" t="n">
        <v>0</v>
      </c>
      <c r="P209" s="145"/>
      <c r="Q209" s="144" t="n">
        <f aca="false">M209+J209+G209</f>
        <v>3.931</v>
      </c>
      <c r="R209" s="144" t="n">
        <f aca="false">O209+L209+I209</f>
        <v>0</v>
      </c>
      <c r="S209" s="145"/>
      <c r="T209" s="71" t="n">
        <f aca="false">A210-A209</f>
        <v>30</v>
      </c>
      <c r="U209" s="146" t="n">
        <f aca="false">CHOOSE(F$3,A210+24,A209)</f>
        <v>43094</v>
      </c>
      <c r="V209" s="71" t="n">
        <f aca="false">U209-C$3</f>
        <v>6206</v>
      </c>
      <c r="W209" s="142" t="n">
        <f aca="false">VLOOKUP($A209,Table,MATCH(W$4,Curves,0))</f>
        <v>0.058966861357273</v>
      </c>
      <c r="X209" s="147" t="n">
        <f aca="false">1/(1+CHOOSE(F$3,(W210+($K$3/10000))/2,(W209+($K$3/10000))/2))^(2*V209/365.25)</f>
        <v>0.372534326387053</v>
      </c>
      <c r="Y209" s="71" t="n">
        <f aca="false">IF(AND(mthbeg&lt;=A209,mthend&gt;=A209),1,0)</f>
        <v>0</v>
      </c>
      <c r="Z209" s="71" t="n">
        <f aca="false">T209*Y209</f>
        <v>0</v>
      </c>
      <c r="AB209" s="132" t="n">
        <f aca="false">F209*G209</f>
        <v>0</v>
      </c>
      <c r="AC209" s="132" t="n">
        <f aca="false">$F209*H209</f>
        <v>0</v>
      </c>
      <c r="AD209" s="132" t="n">
        <f aca="false">$F209*I209</f>
        <v>0</v>
      </c>
      <c r="AE209" s="132" t="n">
        <f aca="false">$F209*J209</f>
        <v>-0</v>
      </c>
      <c r="AF209" s="132" t="n">
        <f aca="false">$F209*K209</f>
        <v>-0</v>
      </c>
      <c r="AG209" s="132" t="n">
        <f aca="false">$F209*L209</f>
        <v>0</v>
      </c>
      <c r="AH209" s="132" t="n">
        <f aca="false">$F209*M209</f>
        <v>0</v>
      </c>
      <c r="AI209" s="132" t="n">
        <f aca="false">$F209*N209</f>
        <v>0</v>
      </c>
      <c r="AJ209" s="132" t="n">
        <f aca="false">F209*O209</f>
        <v>0</v>
      </c>
      <c r="AK209" s="137"/>
      <c r="AL209" s="132" t="n">
        <f aca="false">CHOOSE($G$3,AC209-AD209,AD209-AC209)</f>
        <v>0</v>
      </c>
      <c r="AM209" s="132" t="n">
        <f aca="false">CHOOSE($G$3,AF209-AG209,AG209-AF209)</f>
        <v>0</v>
      </c>
      <c r="AN209" s="132" t="n">
        <f aca="false">CHOOSE($G$3,AI209-AJ209,AJ209-AI209)</f>
        <v>0</v>
      </c>
      <c r="AO209" s="148" t="n">
        <f aca="false">SUM(AL209:AN209)</f>
        <v>0</v>
      </c>
      <c r="AQ209" s="132" t="n">
        <f aca="false">CHOOSE($G$3,AB209-AC209,AC209-AB209)</f>
        <v>0</v>
      </c>
      <c r="AR209" s="132" t="n">
        <f aca="false">CHOOSE($G$3,AE209-AF209,AF209-AE209)</f>
        <v>0</v>
      </c>
      <c r="AS209" s="132" t="n">
        <f aca="false">CHOOSE($G$3,AH209-AI209,AI209-AH209)</f>
        <v>0</v>
      </c>
      <c r="AT209" s="148" t="n">
        <f aca="false">AQ209+AR209+AS209</f>
        <v>0</v>
      </c>
      <c r="AU209" s="148"/>
      <c r="AV209" s="133" t="n">
        <f aca="false">AT209+AO209</f>
        <v>0</v>
      </c>
      <c r="AX209" s="133" t="n">
        <f aca="false">AJ209+AG209+AD209</f>
        <v>0</v>
      </c>
      <c r="AY209" s="149"/>
      <c r="AZ209" s="76" t="n">
        <f aca="false">R209*E209</f>
        <v>0</v>
      </c>
    </row>
    <row r="210" customFormat="false" ht="12" hidden="false" customHeight="true" outlineLevel="0" collapsed="false">
      <c r="A210" s="138" t="n">
        <f aca="false">EDATE(A209,1)</f>
        <v>43070</v>
      </c>
      <c r="B210" s="139" t="n">
        <f aca="false">VLOOKUP($A210,Table2,MATCH(I$3,Curves2,0))</f>
        <v>0</v>
      </c>
      <c r="C210" s="140"/>
      <c r="D210" s="141" t="n">
        <f aca="false">B210+C210</f>
        <v>0</v>
      </c>
      <c r="E210" s="126" t="n">
        <f aca="false">IF(Y210=0,0,IF(AND(Y210=1,$H$3=1),D210*T210,IF($H$3=2,D210,"N/A")))</f>
        <v>0</v>
      </c>
      <c r="F210" s="126" t="n">
        <f aca="false">E210*X210</f>
        <v>0</v>
      </c>
      <c r="G210" s="142" t="n">
        <f aca="false">VLOOKUP($A210,Table,MATCH(G$4,Curves,0))</f>
        <v>3.987</v>
      </c>
      <c r="H210" s="143" t="n">
        <f aca="false">G210</f>
        <v>3.987</v>
      </c>
      <c r="I210" s="142" t="n">
        <f aca="false">VLOOKUP($A210,Table1,MATCH(I$3,Curves1,0))</f>
        <v>0</v>
      </c>
      <c r="J210" s="142" t="n">
        <f aca="false">VLOOKUP($A210,Table,MATCH(J$4,Curves,0))</f>
        <v>-0.061</v>
      </c>
      <c r="K210" s="143" t="n">
        <f aca="false">J210</f>
        <v>-0.061</v>
      </c>
      <c r="L210" s="144" t="n">
        <v>0</v>
      </c>
      <c r="M210" s="142" t="n">
        <f aca="false">VLOOKUP($A210,Table,MATCH(M$4,Curves,0))</f>
        <v>0.005</v>
      </c>
      <c r="N210" s="143" t="n">
        <f aca="false">M210</f>
        <v>0.005</v>
      </c>
      <c r="O210" s="144" t="n">
        <v>0</v>
      </c>
      <c r="P210" s="145"/>
      <c r="Q210" s="144" t="n">
        <f aca="false">M210+J210+G210</f>
        <v>3.931</v>
      </c>
      <c r="R210" s="144" t="n">
        <f aca="false">O210+L210+I210</f>
        <v>0</v>
      </c>
      <c r="S210" s="145"/>
      <c r="T210" s="71" t="n">
        <f aca="false">A211-A210</f>
        <v>31</v>
      </c>
      <c r="U210" s="146" t="n">
        <f aca="false">CHOOSE(F$3,A211+24,A210)</f>
        <v>43125</v>
      </c>
      <c r="V210" s="71" t="n">
        <f aca="false">U210-C$3</f>
        <v>6237</v>
      </c>
      <c r="W210" s="142" t="n">
        <f aca="false">VLOOKUP($A210,Table,MATCH(W$4,Curves,0))</f>
        <v>0.058966861357273</v>
      </c>
      <c r="X210" s="147" t="n">
        <f aca="false">1/(1+CHOOSE(F$3,(W211+($K$3/10000))/2,(W210+($K$3/10000))/2))^(2*V210/365.25)</f>
        <v>0.370701378106</v>
      </c>
      <c r="Y210" s="71" t="n">
        <f aca="false">IF(AND(mthbeg&lt;=A210,mthend&gt;=A210),1,0)</f>
        <v>0</v>
      </c>
      <c r="Z210" s="71" t="n">
        <f aca="false">T210*Y210</f>
        <v>0</v>
      </c>
      <c r="AB210" s="132" t="n">
        <f aca="false">F210*G210</f>
        <v>0</v>
      </c>
      <c r="AC210" s="132" t="n">
        <f aca="false">$F210*H210</f>
        <v>0</v>
      </c>
      <c r="AD210" s="132" t="n">
        <f aca="false">$F210*I210</f>
        <v>0</v>
      </c>
      <c r="AE210" s="132" t="n">
        <f aca="false">$F210*J210</f>
        <v>-0</v>
      </c>
      <c r="AF210" s="132" t="n">
        <f aca="false">$F210*K210</f>
        <v>-0</v>
      </c>
      <c r="AG210" s="132" t="n">
        <f aca="false">$F210*L210</f>
        <v>0</v>
      </c>
      <c r="AH210" s="132" t="n">
        <f aca="false">$F210*M210</f>
        <v>0</v>
      </c>
      <c r="AI210" s="132" t="n">
        <f aca="false">$F210*N210</f>
        <v>0</v>
      </c>
      <c r="AJ210" s="132" t="n">
        <f aca="false">F210*O210</f>
        <v>0</v>
      </c>
      <c r="AK210" s="137"/>
      <c r="AL210" s="132" t="n">
        <f aca="false">CHOOSE($G$3,AC210-AD210,AD210-AC210)</f>
        <v>0</v>
      </c>
      <c r="AM210" s="132" t="n">
        <f aca="false">CHOOSE($G$3,AF210-AG210,AG210-AF210)</f>
        <v>0</v>
      </c>
      <c r="AN210" s="132" t="n">
        <f aca="false">CHOOSE($G$3,AI210-AJ210,AJ210-AI210)</f>
        <v>0</v>
      </c>
      <c r="AO210" s="148" t="n">
        <f aca="false">SUM(AL210:AN210)</f>
        <v>0</v>
      </c>
      <c r="AQ210" s="132" t="n">
        <f aca="false">CHOOSE($G$3,AB210-AC210,AC210-AB210)</f>
        <v>0</v>
      </c>
      <c r="AR210" s="132" t="n">
        <f aca="false">CHOOSE($G$3,AE210-AF210,AF210-AE210)</f>
        <v>0</v>
      </c>
      <c r="AS210" s="132" t="n">
        <f aca="false">CHOOSE($G$3,AH210-AI210,AI210-AH210)</f>
        <v>0</v>
      </c>
      <c r="AT210" s="148" t="n">
        <f aca="false">AQ210+AR210+AS210</f>
        <v>0</v>
      </c>
      <c r="AU210" s="148"/>
      <c r="AV210" s="133" t="n">
        <f aca="false">AT210+AO210</f>
        <v>0</v>
      </c>
      <c r="AX210" s="133" t="n">
        <f aca="false">AJ210+AG210+AD210</f>
        <v>0</v>
      </c>
      <c r="AY210" s="149"/>
      <c r="AZ210" s="76" t="n">
        <f aca="false">R210*E210</f>
        <v>0</v>
      </c>
    </row>
    <row r="211" customFormat="false" ht="12" hidden="false" customHeight="true" outlineLevel="0" collapsed="false">
      <c r="A211" s="138" t="n">
        <f aca="false">EDATE(A210,1)</f>
        <v>43101</v>
      </c>
      <c r="B211" s="139" t="n">
        <f aca="false">VLOOKUP($A211,Table2,MATCH(I$3,Curves2,0))</f>
        <v>0</v>
      </c>
      <c r="C211" s="140"/>
      <c r="D211" s="141" t="n">
        <f aca="false">B211+C211</f>
        <v>0</v>
      </c>
      <c r="E211" s="126" t="n">
        <f aca="false">IF(Y211=0,0,IF(AND(Y211=1,$H$3=1),D211*T211,IF($H$3=2,D211,"N/A")))</f>
        <v>0</v>
      </c>
      <c r="F211" s="126" t="n">
        <f aca="false">E211*X211</f>
        <v>0</v>
      </c>
      <c r="G211" s="142" t="n">
        <f aca="false">VLOOKUP($A211,Table,MATCH(G$4,Curves,0))</f>
        <v>3.987</v>
      </c>
      <c r="H211" s="143" t="n">
        <f aca="false">G211</f>
        <v>3.987</v>
      </c>
      <c r="I211" s="142" t="n">
        <f aca="false">VLOOKUP($A211,Table1,MATCH(I$3,Curves1,0))</f>
        <v>0</v>
      </c>
      <c r="J211" s="142" t="n">
        <f aca="false">VLOOKUP($A211,Table,MATCH(J$4,Curves,0))</f>
        <v>-0.061</v>
      </c>
      <c r="K211" s="143" t="n">
        <f aca="false">J211</f>
        <v>-0.061</v>
      </c>
      <c r="L211" s="144" t="n">
        <v>0</v>
      </c>
      <c r="M211" s="142" t="n">
        <f aca="false">VLOOKUP($A211,Table,MATCH(M$4,Curves,0))</f>
        <v>0.005</v>
      </c>
      <c r="N211" s="143" t="n">
        <f aca="false">M211</f>
        <v>0.005</v>
      </c>
      <c r="O211" s="144" t="n">
        <v>0</v>
      </c>
      <c r="P211" s="145"/>
      <c r="Q211" s="144" t="n">
        <f aca="false">M211+J211+G211</f>
        <v>3.931</v>
      </c>
      <c r="R211" s="144" t="n">
        <f aca="false">O211+L211+I211</f>
        <v>0</v>
      </c>
      <c r="S211" s="145"/>
      <c r="T211" s="71" t="n">
        <f aca="false">A212-A211</f>
        <v>31</v>
      </c>
      <c r="U211" s="146" t="n">
        <f aca="false">CHOOSE(F$3,A212+24,A211)</f>
        <v>43156</v>
      </c>
      <c r="V211" s="71" t="n">
        <f aca="false">U211-C$3</f>
        <v>6268</v>
      </c>
      <c r="W211" s="142" t="n">
        <f aca="false">VLOOKUP($A211,Table,MATCH(W$4,Curves,0))</f>
        <v>0.058966861357273</v>
      </c>
      <c r="X211" s="147" t="n">
        <f aca="false">1/(1+CHOOSE(F$3,(W212+($K$3/10000))/2,(W211+($K$3/10000))/2))^(2*V211/365.25)</f>
        <v>0.368877448321131</v>
      </c>
      <c r="Y211" s="71" t="n">
        <f aca="false">IF(AND(mthbeg&lt;=A211,mthend&gt;=A211),1,0)</f>
        <v>0</v>
      </c>
      <c r="Z211" s="71" t="n">
        <f aca="false">T211*Y211</f>
        <v>0</v>
      </c>
      <c r="AB211" s="132" t="n">
        <f aca="false">F211*G211</f>
        <v>0</v>
      </c>
      <c r="AC211" s="132" t="n">
        <f aca="false">$F211*H211</f>
        <v>0</v>
      </c>
      <c r="AD211" s="132" t="n">
        <f aca="false">$F211*I211</f>
        <v>0</v>
      </c>
      <c r="AE211" s="132" t="n">
        <f aca="false">$F211*J211</f>
        <v>-0</v>
      </c>
      <c r="AF211" s="132" t="n">
        <f aca="false">$F211*K211</f>
        <v>-0</v>
      </c>
      <c r="AG211" s="132" t="n">
        <f aca="false">$F211*L211</f>
        <v>0</v>
      </c>
      <c r="AH211" s="132" t="n">
        <f aca="false">$F211*M211</f>
        <v>0</v>
      </c>
      <c r="AI211" s="132" t="n">
        <f aca="false">$F211*N211</f>
        <v>0</v>
      </c>
      <c r="AJ211" s="132" t="n">
        <f aca="false">F211*O211</f>
        <v>0</v>
      </c>
      <c r="AK211" s="137"/>
      <c r="AL211" s="132" t="n">
        <f aca="false">CHOOSE($G$3,AC211-AD211,AD211-AC211)</f>
        <v>0</v>
      </c>
      <c r="AM211" s="132" t="n">
        <f aca="false">CHOOSE($G$3,AF211-AG211,AG211-AF211)</f>
        <v>0</v>
      </c>
      <c r="AN211" s="132" t="n">
        <f aca="false">CHOOSE($G$3,AI211-AJ211,AJ211-AI211)</f>
        <v>0</v>
      </c>
      <c r="AO211" s="148" t="n">
        <f aca="false">SUM(AL211:AN211)</f>
        <v>0</v>
      </c>
      <c r="AQ211" s="132" t="n">
        <f aca="false">CHOOSE($G$3,AB211-AC211,AC211-AB211)</f>
        <v>0</v>
      </c>
      <c r="AR211" s="132" t="n">
        <f aca="false">CHOOSE($G$3,AE211-AF211,AF211-AE211)</f>
        <v>0</v>
      </c>
      <c r="AS211" s="132" t="n">
        <f aca="false">CHOOSE($G$3,AH211-AI211,AI211-AH211)</f>
        <v>0</v>
      </c>
      <c r="AT211" s="148" t="n">
        <f aca="false">AQ211+AR211+AS211</f>
        <v>0</v>
      </c>
      <c r="AU211" s="148"/>
      <c r="AV211" s="133" t="n">
        <f aca="false">AT211+AO211</f>
        <v>0</v>
      </c>
      <c r="AX211" s="133" t="n">
        <f aca="false">AJ211+AG211+AD211</f>
        <v>0</v>
      </c>
      <c r="AY211" s="149"/>
      <c r="AZ211" s="76" t="n">
        <f aca="false">R211*E211</f>
        <v>0</v>
      </c>
    </row>
    <row r="212" customFormat="false" ht="12" hidden="false" customHeight="true" outlineLevel="0" collapsed="false">
      <c r="A212" s="138" t="n">
        <f aca="false">EDATE(A211,1)</f>
        <v>43132</v>
      </c>
      <c r="B212" s="139" t="n">
        <f aca="false">VLOOKUP($A212,Table2,MATCH(I$3,Curves2,0))</f>
        <v>0</v>
      </c>
      <c r="C212" s="140"/>
      <c r="D212" s="141" t="n">
        <f aca="false">B212+C212</f>
        <v>0</v>
      </c>
      <c r="E212" s="126" t="n">
        <f aca="false">IF(Y212=0,0,IF(AND(Y212=1,$H$3=1),D212*T212,IF($H$3=2,D212,"N/A")))</f>
        <v>0</v>
      </c>
      <c r="F212" s="126" t="n">
        <f aca="false">E212*X212</f>
        <v>0</v>
      </c>
      <c r="G212" s="142" t="n">
        <f aca="false">VLOOKUP($A212,Table,MATCH(G$4,Curves,0))</f>
        <v>3.987</v>
      </c>
      <c r="H212" s="143" t="n">
        <f aca="false">G212</f>
        <v>3.987</v>
      </c>
      <c r="I212" s="142" t="n">
        <f aca="false">VLOOKUP($A212,Table1,MATCH(I$3,Curves1,0))</f>
        <v>0</v>
      </c>
      <c r="J212" s="142" t="n">
        <f aca="false">VLOOKUP($A212,Table,MATCH(J$4,Curves,0))</f>
        <v>-0.061</v>
      </c>
      <c r="K212" s="143" t="n">
        <f aca="false">J212</f>
        <v>-0.061</v>
      </c>
      <c r="L212" s="144" t="n">
        <v>0</v>
      </c>
      <c r="M212" s="142" t="n">
        <f aca="false">VLOOKUP($A212,Table,MATCH(M$4,Curves,0))</f>
        <v>0.005</v>
      </c>
      <c r="N212" s="143" t="n">
        <f aca="false">M212</f>
        <v>0.005</v>
      </c>
      <c r="O212" s="144" t="n">
        <v>0</v>
      </c>
      <c r="P212" s="145"/>
      <c r="Q212" s="144" t="n">
        <f aca="false">M212+J212+G212</f>
        <v>3.931</v>
      </c>
      <c r="R212" s="144" t="n">
        <f aca="false">O212+L212+I212</f>
        <v>0</v>
      </c>
      <c r="S212" s="145"/>
      <c r="T212" s="71" t="n">
        <f aca="false">A213-A212</f>
        <v>28</v>
      </c>
      <c r="U212" s="146" t="n">
        <f aca="false">CHOOSE(F$3,A213+24,A212)</f>
        <v>43184</v>
      </c>
      <c r="V212" s="71" t="n">
        <f aca="false">U212-C$3</f>
        <v>6296</v>
      </c>
      <c r="W212" s="142" t="n">
        <f aca="false">VLOOKUP($A212,Table,MATCH(W$4,Curves,0))</f>
        <v>0.058966861357273</v>
      </c>
      <c r="X212" s="147" t="n">
        <f aca="false">1/(1+CHOOSE(F$3,(W213+($K$3/10000))/2,(W212+($K$3/10000))/2))^(2*V212/365.25)</f>
        <v>0.367237742546567</v>
      </c>
      <c r="Y212" s="71" t="n">
        <f aca="false">IF(AND(mthbeg&lt;=A212,mthend&gt;=A212),1,0)</f>
        <v>0</v>
      </c>
      <c r="Z212" s="71" t="n">
        <f aca="false">T212*Y212</f>
        <v>0</v>
      </c>
      <c r="AB212" s="132" t="n">
        <f aca="false">F212*G212</f>
        <v>0</v>
      </c>
      <c r="AC212" s="132" t="n">
        <f aca="false">$F212*H212</f>
        <v>0</v>
      </c>
      <c r="AD212" s="132" t="n">
        <f aca="false">$F212*I212</f>
        <v>0</v>
      </c>
      <c r="AE212" s="132" t="n">
        <f aca="false">$F212*J212</f>
        <v>-0</v>
      </c>
      <c r="AF212" s="132" t="n">
        <f aca="false">$F212*K212</f>
        <v>-0</v>
      </c>
      <c r="AG212" s="132" t="n">
        <f aca="false">$F212*L212</f>
        <v>0</v>
      </c>
      <c r="AH212" s="132" t="n">
        <f aca="false">$F212*M212</f>
        <v>0</v>
      </c>
      <c r="AI212" s="132" t="n">
        <f aca="false">$F212*N212</f>
        <v>0</v>
      </c>
      <c r="AJ212" s="132" t="n">
        <f aca="false">F212*O212</f>
        <v>0</v>
      </c>
      <c r="AK212" s="137"/>
      <c r="AL212" s="132" t="n">
        <f aca="false">CHOOSE($G$3,AC212-AD212,AD212-AC212)</f>
        <v>0</v>
      </c>
      <c r="AM212" s="132" t="n">
        <f aca="false">CHOOSE($G$3,AF212-AG212,AG212-AF212)</f>
        <v>0</v>
      </c>
      <c r="AN212" s="132" t="n">
        <f aca="false">CHOOSE($G$3,AI212-AJ212,AJ212-AI212)</f>
        <v>0</v>
      </c>
      <c r="AO212" s="148" t="n">
        <f aca="false">SUM(AL212:AN212)</f>
        <v>0</v>
      </c>
      <c r="AQ212" s="132" t="n">
        <f aca="false">CHOOSE($G$3,AB212-AC212,AC212-AB212)</f>
        <v>0</v>
      </c>
      <c r="AR212" s="132" t="n">
        <f aca="false">CHOOSE($G$3,AE212-AF212,AF212-AE212)</f>
        <v>0</v>
      </c>
      <c r="AS212" s="132" t="n">
        <f aca="false">CHOOSE($G$3,AH212-AI212,AI212-AH212)</f>
        <v>0</v>
      </c>
      <c r="AT212" s="148" t="n">
        <f aca="false">AQ212+AR212+AS212</f>
        <v>0</v>
      </c>
      <c r="AU212" s="148"/>
      <c r="AV212" s="133" t="n">
        <f aca="false">AT212+AO212</f>
        <v>0</v>
      </c>
      <c r="AX212" s="133" t="n">
        <f aca="false">AJ212+AG212+AD212</f>
        <v>0</v>
      </c>
      <c r="AY212" s="149"/>
      <c r="AZ212" s="76" t="n">
        <f aca="false">R212*E212</f>
        <v>0</v>
      </c>
    </row>
    <row r="213" customFormat="false" ht="12" hidden="false" customHeight="true" outlineLevel="0" collapsed="false">
      <c r="A213" s="138" t="n">
        <f aca="false">EDATE(A212,1)</f>
        <v>43160</v>
      </c>
      <c r="B213" s="139" t="n">
        <f aca="false">VLOOKUP($A213,Table2,MATCH(I$3,Curves2,0))</f>
        <v>0</v>
      </c>
      <c r="C213" s="140"/>
      <c r="D213" s="141" t="n">
        <f aca="false">B213+C213</f>
        <v>0</v>
      </c>
      <c r="E213" s="126" t="n">
        <f aca="false">IF(Y213=0,0,IF(AND(Y213=1,$H$3=1),D213*T213,IF($H$3=2,D213,"N/A")))</f>
        <v>0</v>
      </c>
      <c r="F213" s="126" t="n">
        <f aca="false">E213*X213</f>
        <v>0</v>
      </c>
      <c r="G213" s="142" t="n">
        <f aca="false">VLOOKUP($A213,Table,MATCH(G$4,Curves,0))</f>
        <v>3.987</v>
      </c>
      <c r="H213" s="143" t="n">
        <f aca="false">G213</f>
        <v>3.987</v>
      </c>
      <c r="I213" s="142" t="n">
        <f aca="false">VLOOKUP($A213,Table1,MATCH(I$3,Curves1,0))</f>
        <v>0</v>
      </c>
      <c r="J213" s="142" t="n">
        <f aca="false">VLOOKUP($A213,Table,MATCH(J$4,Curves,0))</f>
        <v>-0.061</v>
      </c>
      <c r="K213" s="143" t="n">
        <f aca="false">J213</f>
        <v>-0.061</v>
      </c>
      <c r="L213" s="144" t="n">
        <v>0</v>
      </c>
      <c r="M213" s="142" t="n">
        <f aca="false">VLOOKUP($A213,Table,MATCH(M$4,Curves,0))</f>
        <v>0.005</v>
      </c>
      <c r="N213" s="143" t="n">
        <f aca="false">M213</f>
        <v>0.005</v>
      </c>
      <c r="O213" s="144" t="n">
        <v>0</v>
      </c>
      <c r="P213" s="145"/>
      <c r="Q213" s="144" t="n">
        <f aca="false">M213+J213+G213</f>
        <v>3.931</v>
      </c>
      <c r="R213" s="144" t="n">
        <f aca="false">O213+L213+I213</f>
        <v>0</v>
      </c>
      <c r="S213" s="145"/>
      <c r="T213" s="71" t="n">
        <f aca="false">A214-A213</f>
        <v>31</v>
      </c>
      <c r="U213" s="146" t="n">
        <f aca="false">CHOOSE(F$3,A214+24,A213)</f>
        <v>43215</v>
      </c>
      <c r="V213" s="71" t="n">
        <f aca="false">U213-C$3</f>
        <v>6327</v>
      </c>
      <c r="W213" s="142" t="n">
        <f aca="false">VLOOKUP($A213,Table,MATCH(W$4,Curves,0))</f>
        <v>0.058966861357273</v>
      </c>
      <c r="X213" s="147" t="n">
        <f aca="false">1/(1+CHOOSE(F$3,(W214+($K$3/10000))/2,(W213+($K$3/10000))/2))^(2*V213/365.25)</f>
        <v>0.365430854586828</v>
      </c>
      <c r="Y213" s="71" t="n">
        <f aca="false">IF(AND(mthbeg&lt;=A213,mthend&gt;=A213),1,0)</f>
        <v>0</v>
      </c>
      <c r="Z213" s="71" t="n">
        <f aca="false">T213*Y213</f>
        <v>0</v>
      </c>
      <c r="AB213" s="132" t="n">
        <f aca="false">F213*G213</f>
        <v>0</v>
      </c>
      <c r="AC213" s="132" t="n">
        <f aca="false">$F213*H213</f>
        <v>0</v>
      </c>
      <c r="AD213" s="132" t="n">
        <f aca="false">$F213*I213</f>
        <v>0</v>
      </c>
      <c r="AE213" s="132" t="n">
        <f aca="false">$F213*J213</f>
        <v>-0</v>
      </c>
      <c r="AF213" s="132" t="n">
        <f aca="false">$F213*K213</f>
        <v>-0</v>
      </c>
      <c r="AG213" s="132" t="n">
        <f aca="false">$F213*L213</f>
        <v>0</v>
      </c>
      <c r="AH213" s="132" t="n">
        <f aca="false">$F213*M213</f>
        <v>0</v>
      </c>
      <c r="AI213" s="132" t="n">
        <f aca="false">$F213*N213</f>
        <v>0</v>
      </c>
      <c r="AJ213" s="132" t="n">
        <f aca="false">F213*O213</f>
        <v>0</v>
      </c>
      <c r="AK213" s="137"/>
      <c r="AL213" s="132" t="n">
        <f aca="false">CHOOSE($G$3,AC213-AD213,AD213-AC213)</f>
        <v>0</v>
      </c>
      <c r="AM213" s="132" t="n">
        <f aca="false">CHOOSE($G$3,AF213-AG213,AG213-AF213)</f>
        <v>0</v>
      </c>
      <c r="AN213" s="132" t="n">
        <f aca="false">CHOOSE($G$3,AI213-AJ213,AJ213-AI213)</f>
        <v>0</v>
      </c>
      <c r="AO213" s="148" t="n">
        <f aca="false">SUM(AL213:AN213)</f>
        <v>0</v>
      </c>
      <c r="AQ213" s="132" t="n">
        <f aca="false">CHOOSE($G$3,AB213-AC213,AC213-AB213)</f>
        <v>0</v>
      </c>
      <c r="AR213" s="132" t="n">
        <f aca="false">CHOOSE($G$3,AE213-AF213,AF213-AE213)</f>
        <v>0</v>
      </c>
      <c r="AS213" s="132" t="n">
        <f aca="false">CHOOSE($G$3,AH213-AI213,AI213-AH213)</f>
        <v>0</v>
      </c>
      <c r="AT213" s="148" t="n">
        <f aca="false">AQ213+AR213+AS213</f>
        <v>0</v>
      </c>
      <c r="AU213" s="148"/>
      <c r="AV213" s="133" t="n">
        <f aca="false">AT213+AO213</f>
        <v>0</v>
      </c>
      <c r="AX213" s="133" t="n">
        <f aca="false">AJ213+AG213+AD213</f>
        <v>0</v>
      </c>
      <c r="AY213" s="149"/>
      <c r="AZ213" s="76" t="n">
        <f aca="false">R213*E213</f>
        <v>0</v>
      </c>
    </row>
    <row r="214" customFormat="false" ht="12" hidden="false" customHeight="true" outlineLevel="0" collapsed="false">
      <c r="A214" s="138" t="n">
        <f aca="false">EDATE(A213,1)</f>
        <v>43191</v>
      </c>
      <c r="B214" s="139" t="n">
        <f aca="false">VLOOKUP($A214,Table2,MATCH(I$3,Curves2,0))</f>
        <v>0</v>
      </c>
      <c r="C214" s="140"/>
      <c r="D214" s="141" t="n">
        <f aca="false">B214+C214</f>
        <v>0</v>
      </c>
      <c r="E214" s="126" t="n">
        <f aca="false">IF(Y214=0,0,IF(AND(Y214=1,$H$3=1),D214*T214,IF($H$3=2,D214,"N/A")))</f>
        <v>0</v>
      </c>
      <c r="F214" s="126" t="n">
        <f aca="false">E214*X214</f>
        <v>0</v>
      </c>
      <c r="G214" s="142" t="n">
        <f aca="false">VLOOKUP($A214,Table,MATCH(G$4,Curves,0))</f>
        <v>3.987</v>
      </c>
      <c r="H214" s="143" t="n">
        <f aca="false">G214</f>
        <v>3.987</v>
      </c>
      <c r="I214" s="142" t="n">
        <f aca="false">VLOOKUP($A214,Table1,MATCH(I$3,Curves1,0))</f>
        <v>0</v>
      </c>
      <c r="J214" s="142" t="n">
        <f aca="false">VLOOKUP($A214,Table,MATCH(J$4,Curves,0))</f>
        <v>-0.061</v>
      </c>
      <c r="K214" s="143" t="n">
        <f aca="false">J214</f>
        <v>-0.061</v>
      </c>
      <c r="L214" s="144" t="n">
        <v>0</v>
      </c>
      <c r="M214" s="142" t="n">
        <f aca="false">VLOOKUP($A214,Table,MATCH(M$4,Curves,0))</f>
        <v>0.005</v>
      </c>
      <c r="N214" s="143" t="n">
        <f aca="false">M214</f>
        <v>0.005</v>
      </c>
      <c r="O214" s="144" t="n">
        <v>0</v>
      </c>
      <c r="P214" s="145"/>
      <c r="Q214" s="144" t="n">
        <f aca="false">M214+J214+G214</f>
        <v>3.931</v>
      </c>
      <c r="R214" s="144" t="n">
        <f aca="false">O214+L214+I214</f>
        <v>0</v>
      </c>
      <c r="S214" s="145"/>
      <c r="T214" s="71" t="n">
        <f aca="false">A215-A214</f>
        <v>30</v>
      </c>
      <c r="U214" s="146" t="n">
        <f aca="false">CHOOSE(F$3,A215+24,A214)</f>
        <v>43245</v>
      </c>
      <c r="V214" s="71" t="n">
        <f aca="false">U214-C$3</f>
        <v>6357</v>
      </c>
      <c r="W214" s="142" t="n">
        <f aca="false">VLOOKUP($A214,Table,MATCH(W$4,Curves,0))</f>
        <v>0.058966861357273</v>
      </c>
      <c r="X214" s="147" t="n">
        <f aca="false">1/(1+CHOOSE(F$3,(W215+($K$3/10000))/2,(W214+($K$3/10000))/2))^(2*V214/365.25)</f>
        <v>0.363690718508708</v>
      </c>
      <c r="Y214" s="71" t="n">
        <f aca="false">IF(AND(mthbeg&lt;=A214,mthend&gt;=A214),1,0)</f>
        <v>0</v>
      </c>
      <c r="Z214" s="71" t="n">
        <f aca="false">T214*Y214</f>
        <v>0</v>
      </c>
      <c r="AB214" s="132" t="n">
        <f aca="false">F214*G214</f>
        <v>0</v>
      </c>
      <c r="AC214" s="132" t="n">
        <f aca="false">$F214*H214</f>
        <v>0</v>
      </c>
      <c r="AD214" s="132" t="n">
        <f aca="false">$F214*I214</f>
        <v>0</v>
      </c>
      <c r="AE214" s="132" t="n">
        <f aca="false">$F214*J214</f>
        <v>-0</v>
      </c>
      <c r="AF214" s="132" t="n">
        <f aca="false">$F214*K214</f>
        <v>-0</v>
      </c>
      <c r="AG214" s="132" t="n">
        <f aca="false">$F214*L214</f>
        <v>0</v>
      </c>
      <c r="AH214" s="132" t="n">
        <f aca="false">$F214*M214</f>
        <v>0</v>
      </c>
      <c r="AI214" s="132" t="n">
        <f aca="false">$F214*N214</f>
        <v>0</v>
      </c>
      <c r="AJ214" s="132" t="n">
        <f aca="false">F214*O214</f>
        <v>0</v>
      </c>
      <c r="AK214" s="137"/>
      <c r="AL214" s="132" t="n">
        <f aca="false">CHOOSE($G$3,AC214-AD214,AD214-AC214)</f>
        <v>0</v>
      </c>
      <c r="AM214" s="132" t="n">
        <f aca="false">CHOOSE($G$3,AF214-AG214,AG214-AF214)</f>
        <v>0</v>
      </c>
      <c r="AN214" s="132" t="n">
        <f aca="false">CHOOSE($G$3,AI214-AJ214,AJ214-AI214)</f>
        <v>0</v>
      </c>
      <c r="AO214" s="148" t="n">
        <f aca="false">SUM(AL214:AN214)</f>
        <v>0</v>
      </c>
      <c r="AQ214" s="132" t="n">
        <f aca="false">CHOOSE($G$3,AB214-AC214,AC214-AB214)</f>
        <v>0</v>
      </c>
      <c r="AR214" s="132" t="n">
        <f aca="false">CHOOSE($G$3,AE214-AF214,AF214-AE214)</f>
        <v>0</v>
      </c>
      <c r="AS214" s="132" t="n">
        <f aca="false">CHOOSE($G$3,AH214-AI214,AI214-AH214)</f>
        <v>0</v>
      </c>
      <c r="AT214" s="148" t="n">
        <f aca="false">AQ214+AR214+AS214</f>
        <v>0</v>
      </c>
      <c r="AU214" s="148"/>
      <c r="AV214" s="133" t="n">
        <f aca="false">AT214+AO214</f>
        <v>0</v>
      </c>
      <c r="AX214" s="133" t="n">
        <f aca="false">AJ214+AG214+AD214</f>
        <v>0</v>
      </c>
      <c r="AY214" s="149"/>
      <c r="AZ214" s="76" t="n">
        <f aca="false">R214*E214</f>
        <v>0</v>
      </c>
    </row>
    <row r="215" customFormat="false" ht="12" hidden="false" customHeight="true" outlineLevel="0" collapsed="false">
      <c r="A215" s="138" t="n">
        <f aca="false">EDATE(A214,1)</f>
        <v>43221</v>
      </c>
      <c r="B215" s="139" t="n">
        <f aca="false">VLOOKUP($A215,Table2,MATCH(I$3,Curves2,0))</f>
        <v>0</v>
      </c>
      <c r="C215" s="140"/>
      <c r="D215" s="141" t="n">
        <f aca="false">B215+C215</f>
        <v>0</v>
      </c>
      <c r="E215" s="126" t="n">
        <f aca="false">IF(Y215=0,0,IF(AND(Y215=1,$H$3=1),D215*T215,IF($H$3=2,D215,"N/A")))</f>
        <v>0</v>
      </c>
      <c r="F215" s="126" t="n">
        <f aca="false">E215*X215</f>
        <v>0</v>
      </c>
      <c r="G215" s="142" t="n">
        <f aca="false">VLOOKUP($A215,Table,MATCH(G$4,Curves,0))</f>
        <v>3.987</v>
      </c>
      <c r="H215" s="143" t="n">
        <f aca="false">G215</f>
        <v>3.987</v>
      </c>
      <c r="I215" s="142" t="n">
        <f aca="false">VLOOKUP($A215,Table1,MATCH(I$3,Curves1,0))</f>
        <v>0</v>
      </c>
      <c r="J215" s="142" t="n">
        <f aca="false">VLOOKUP($A215,Table,MATCH(J$4,Curves,0))</f>
        <v>-0.061</v>
      </c>
      <c r="K215" s="143" t="n">
        <f aca="false">J215</f>
        <v>-0.061</v>
      </c>
      <c r="L215" s="144" t="n">
        <v>0</v>
      </c>
      <c r="M215" s="142" t="n">
        <f aca="false">VLOOKUP($A215,Table,MATCH(M$4,Curves,0))</f>
        <v>0.005</v>
      </c>
      <c r="N215" s="143" t="n">
        <f aca="false">M215</f>
        <v>0.005</v>
      </c>
      <c r="O215" s="144" t="n">
        <v>0</v>
      </c>
      <c r="P215" s="145"/>
      <c r="Q215" s="144" t="n">
        <f aca="false">M215+J215+G215</f>
        <v>3.931</v>
      </c>
      <c r="R215" s="144" t="n">
        <f aca="false">O215+L215+I215</f>
        <v>0</v>
      </c>
      <c r="S215" s="145"/>
      <c r="T215" s="71" t="n">
        <f aca="false">A216-A215</f>
        <v>31</v>
      </c>
      <c r="U215" s="146" t="n">
        <f aca="false">CHOOSE(F$3,A216+24,A215)</f>
        <v>43276</v>
      </c>
      <c r="V215" s="71" t="n">
        <f aca="false">U215-C$3</f>
        <v>6388</v>
      </c>
      <c r="W215" s="142" t="n">
        <f aca="false">VLOOKUP($A215,Table,MATCH(W$4,Curves,0))</f>
        <v>0.058966861357273</v>
      </c>
      <c r="X215" s="147" t="n">
        <f aca="false">1/(1+CHOOSE(F$3,(W216+($K$3/10000))/2,(W215+($K$3/10000))/2))^(2*V215/365.25)</f>
        <v>0.361901282663183</v>
      </c>
      <c r="Y215" s="71" t="n">
        <f aca="false">IF(AND(mthbeg&lt;=A215,mthend&gt;=A215),1,0)</f>
        <v>0</v>
      </c>
      <c r="Z215" s="71" t="n">
        <f aca="false">T215*Y215</f>
        <v>0</v>
      </c>
      <c r="AB215" s="132" t="n">
        <f aca="false">F215*G215</f>
        <v>0</v>
      </c>
      <c r="AC215" s="132" t="n">
        <f aca="false">$F215*H215</f>
        <v>0</v>
      </c>
      <c r="AD215" s="132" t="n">
        <f aca="false">$F215*I215</f>
        <v>0</v>
      </c>
      <c r="AE215" s="132" t="n">
        <f aca="false">$F215*J215</f>
        <v>-0</v>
      </c>
      <c r="AF215" s="132" t="n">
        <f aca="false">$F215*K215</f>
        <v>-0</v>
      </c>
      <c r="AG215" s="132" t="n">
        <f aca="false">$F215*L215</f>
        <v>0</v>
      </c>
      <c r="AH215" s="132" t="n">
        <f aca="false">$F215*M215</f>
        <v>0</v>
      </c>
      <c r="AI215" s="132" t="n">
        <f aca="false">$F215*N215</f>
        <v>0</v>
      </c>
      <c r="AJ215" s="132" t="n">
        <f aca="false">F215*O215</f>
        <v>0</v>
      </c>
      <c r="AK215" s="137"/>
      <c r="AL215" s="132" t="n">
        <f aca="false">CHOOSE($G$3,AC215-AD215,AD215-AC215)</f>
        <v>0</v>
      </c>
      <c r="AM215" s="132" t="n">
        <f aca="false">CHOOSE($G$3,AF215-AG215,AG215-AF215)</f>
        <v>0</v>
      </c>
      <c r="AN215" s="132" t="n">
        <f aca="false">CHOOSE($G$3,AI215-AJ215,AJ215-AI215)</f>
        <v>0</v>
      </c>
      <c r="AO215" s="148" t="n">
        <f aca="false">SUM(AL215:AN215)</f>
        <v>0</v>
      </c>
      <c r="AQ215" s="132" t="n">
        <f aca="false">CHOOSE($G$3,AB215-AC215,AC215-AB215)</f>
        <v>0</v>
      </c>
      <c r="AR215" s="132" t="n">
        <f aca="false">CHOOSE($G$3,AE215-AF215,AF215-AE215)</f>
        <v>0</v>
      </c>
      <c r="AS215" s="132" t="n">
        <f aca="false">CHOOSE($G$3,AH215-AI215,AI215-AH215)</f>
        <v>0</v>
      </c>
      <c r="AT215" s="148" t="n">
        <f aca="false">AQ215+AR215+AS215</f>
        <v>0</v>
      </c>
      <c r="AU215" s="148"/>
      <c r="AV215" s="133" t="n">
        <f aca="false">AT215+AO215</f>
        <v>0</v>
      </c>
      <c r="AX215" s="133" t="n">
        <f aca="false">AJ215+AG215+AD215</f>
        <v>0</v>
      </c>
      <c r="AY215" s="149"/>
      <c r="AZ215" s="76" t="n">
        <f aca="false">R215*E215</f>
        <v>0</v>
      </c>
    </row>
    <row r="216" customFormat="false" ht="12" hidden="false" customHeight="true" outlineLevel="0" collapsed="false">
      <c r="A216" s="138" t="n">
        <f aca="false">EDATE(A215,1)</f>
        <v>43252</v>
      </c>
      <c r="B216" s="139" t="n">
        <f aca="false">VLOOKUP($A216,Table2,MATCH(I$3,Curves2,0))</f>
        <v>0</v>
      </c>
      <c r="C216" s="140"/>
      <c r="D216" s="141" t="n">
        <f aca="false">B216+C216</f>
        <v>0</v>
      </c>
      <c r="E216" s="126" t="n">
        <f aca="false">IF(Y216=0,0,IF(AND(Y216=1,$H$3=1),D216*T216,IF($H$3=2,D216,"N/A")))</f>
        <v>0</v>
      </c>
      <c r="F216" s="126" t="n">
        <f aca="false">E216*X216</f>
        <v>0</v>
      </c>
      <c r="G216" s="142" t="n">
        <f aca="false">VLOOKUP($A216,Table,MATCH(G$4,Curves,0))</f>
        <v>3.987</v>
      </c>
      <c r="H216" s="143" t="n">
        <f aca="false">G216</f>
        <v>3.987</v>
      </c>
      <c r="I216" s="142" t="n">
        <f aca="false">VLOOKUP($A216,Table1,MATCH(I$3,Curves1,0))</f>
        <v>0</v>
      </c>
      <c r="J216" s="142" t="n">
        <f aca="false">VLOOKUP($A216,Table,MATCH(J$4,Curves,0))</f>
        <v>-0.061</v>
      </c>
      <c r="K216" s="143" t="n">
        <f aca="false">J216</f>
        <v>-0.061</v>
      </c>
      <c r="L216" s="144" t="n">
        <v>0</v>
      </c>
      <c r="M216" s="142" t="n">
        <f aca="false">VLOOKUP($A216,Table,MATCH(M$4,Curves,0))</f>
        <v>0.005</v>
      </c>
      <c r="N216" s="143" t="n">
        <f aca="false">M216</f>
        <v>0.005</v>
      </c>
      <c r="O216" s="144" t="n">
        <v>0</v>
      </c>
      <c r="P216" s="145"/>
      <c r="Q216" s="144" t="n">
        <f aca="false">M216+J216+G216</f>
        <v>3.931</v>
      </c>
      <c r="R216" s="144" t="n">
        <f aca="false">O216+L216+I216</f>
        <v>0</v>
      </c>
      <c r="S216" s="145"/>
      <c r="T216" s="71" t="n">
        <f aca="false">A217-A216</f>
        <v>30</v>
      </c>
      <c r="U216" s="146" t="n">
        <f aca="false">CHOOSE(F$3,A217+24,A216)</f>
        <v>43306</v>
      </c>
      <c r="V216" s="71" t="n">
        <f aca="false">U216-C$3</f>
        <v>6418</v>
      </c>
      <c r="W216" s="142" t="n">
        <f aca="false">VLOOKUP($A216,Table,MATCH(W$4,Curves,0))</f>
        <v>0.058966861357273</v>
      </c>
      <c r="X216" s="147" t="n">
        <f aca="false">1/(1+CHOOSE(F$3,(W217+($K$3/10000))/2,(W216+($K$3/10000))/2))^(2*V216/365.25)</f>
        <v>0.360177953965632</v>
      </c>
      <c r="Y216" s="71" t="n">
        <f aca="false">IF(AND(mthbeg&lt;=A216,mthend&gt;=A216),1,0)</f>
        <v>0</v>
      </c>
      <c r="Z216" s="71" t="n">
        <f aca="false">T216*Y216</f>
        <v>0</v>
      </c>
      <c r="AB216" s="132" t="n">
        <f aca="false">F216*G216</f>
        <v>0</v>
      </c>
      <c r="AC216" s="132" t="n">
        <f aca="false">$F216*H216</f>
        <v>0</v>
      </c>
      <c r="AD216" s="132" t="n">
        <f aca="false">$F216*I216</f>
        <v>0</v>
      </c>
      <c r="AE216" s="132" t="n">
        <f aca="false">$F216*J216</f>
        <v>-0</v>
      </c>
      <c r="AF216" s="132" t="n">
        <f aca="false">$F216*K216</f>
        <v>-0</v>
      </c>
      <c r="AG216" s="132" t="n">
        <f aca="false">$F216*L216</f>
        <v>0</v>
      </c>
      <c r="AH216" s="132" t="n">
        <f aca="false">$F216*M216</f>
        <v>0</v>
      </c>
      <c r="AI216" s="132" t="n">
        <f aca="false">$F216*N216</f>
        <v>0</v>
      </c>
      <c r="AJ216" s="132" t="n">
        <f aca="false">F216*O216</f>
        <v>0</v>
      </c>
      <c r="AK216" s="137"/>
      <c r="AL216" s="132" t="n">
        <f aca="false">CHOOSE($G$3,AC216-AD216,AD216-AC216)</f>
        <v>0</v>
      </c>
      <c r="AM216" s="132" t="n">
        <f aca="false">CHOOSE($G$3,AF216-AG216,AG216-AF216)</f>
        <v>0</v>
      </c>
      <c r="AN216" s="132" t="n">
        <f aca="false">CHOOSE($G$3,AI216-AJ216,AJ216-AI216)</f>
        <v>0</v>
      </c>
      <c r="AO216" s="148" t="n">
        <f aca="false">SUM(AL216:AN216)</f>
        <v>0</v>
      </c>
      <c r="AQ216" s="132" t="n">
        <f aca="false">CHOOSE($G$3,AB216-AC216,AC216-AB216)</f>
        <v>0</v>
      </c>
      <c r="AR216" s="132" t="n">
        <f aca="false">CHOOSE($G$3,AE216-AF216,AF216-AE216)</f>
        <v>0</v>
      </c>
      <c r="AS216" s="132" t="n">
        <f aca="false">CHOOSE($G$3,AH216-AI216,AI216-AH216)</f>
        <v>0</v>
      </c>
      <c r="AT216" s="148" t="n">
        <f aca="false">AQ216+AR216+AS216</f>
        <v>0</v>
      </c>
      <c r="AU216" s="148"/>
      <c r="AV216" s="133" t="n">
        <f aca="false">AT216+AO216</f>
        <v>0</v>
      </c>
      <c r="AX216" s="133" t="n">
        <f aca="false">AJ216+AG216+AD216</f>
        <v>0</v>
      </c>
      <c r="AY216" s="149"/>
      <c r="AZ216" s="76" t="n">
        <f aca="false">R216*E216</f>
        <v>0</v>
      </c>
    </row>
    <row r="217" customFormat="false" ht="12" hidden="false" customHeight="true" outlineLevel="0" collapsed="false">
      <c r="A217" s="138" t="n">
        <f aca="false">EDATE(A216,1)</f>
        <v>43282</v>
      </c>
      <c r="B217" s="139" t="n">
        <f aca="false">VLOOKUP($A217,Table2,MATCH(I$3,Curves2,0))</f>
        <v>0</v>
      </c>
      <c r="C217" s="140"/>
      <c r="D217" s="141" t="n">
        <f aca="false">B217+C217</f>
        <v>0</v>
      </c>
      <c r="E217" s="126" t="n">
        <f aca="false">IF(Y217=0,0,IF(AND(Y217=1,$H$3=1),D217*T217,IF($H$3=2,D217,"N/A")))</f>
        <v>0</v>
      </c>
      <c r="F217" s="126" t="n">
        <f aca="false">E217*X217</f>
        <v>0</v>
      </c>
      <c r="G217" s="142" t="n">
        <f aca="false">VLOOKUP($A217,Table,MATCH(G$4,Curves,0))</f>
        <v>3.987</v>
      </c>
      <c r="H217" s="143" t="n">
        <f aca="false">G217</f>
        <v>3.987</v>
      </c>
      <c r="I217" s="142" t="n">
        <f aca="false">VLOOKUP($A217,Table1,MATCH(I$3,Curves1,0))</f>
        <v>0</v>
      </c>
      <c r="J217" s="142" t="n">
        <f aca="false">VLOOKUP($A217,Table,MATCH(J$4,Curves,0))</f>
        <v>-0.061</v>
      </c>
      <c r="K217" s="143" t="n">
        <f aca="false">J217</f>
        <v>-0.061</v>
      </c>
      <c r="L217" s="144" t="n">
        <v>0</v>
      </c>
      <c r="M217" s="142" t="n">
        <f aca="false">VLOOKUP($A217,Table,MATCH(M$4,Curves,0))</f>
        <v>0.005</v>
      </c>
      <c r="N217" s="143" t="n">
        <f aca="false">M217</f>
        <v>0.005</v>
      </c>
      <c r="O217" s="144" t="n">
        <v>0</v>
      </c>
      <c r="P217" s="145"/>
      <c r="Q217" s="144" t="n">
        <f aca="false">M217+J217+G217</f>
        <v>3.931</v>
      </c>
      <c r="R217" s="144" t="n">
        <f aca="false">O217+L217+I217</f>
        <v>0</v>
      </c>
      <c r="S217" s="145"/>
      <c r="T217" s="71" t="n">
        <f aca="false">A218-A217</f>
        <v>31</v>
      </c>
      <c r="U217" s="146" t="n">
        <f aca="false">CHOOSE(F$3,A218+24,A217)</f>
        <v>43337</v>
      </c>
      <c r="V217" s="71" t="n">
        <f aca="false">U217-C$3</f>
        <v>6449</v>
      </c>
      <c r="W217" s="142" t="n">
        <f aca="false">VLOOKUP($A217,Table,MATCH(W$4,Curves,0))</f>
        <v>0.058966861357273</v>
      </c>
      <c r="X217" s="147" t="n">
        <f aca="false">1/(1+CHOOSE(F$3,(W218+($K$3/10000))/2,(W217+($K$3/10000))/2))^(2*V217/365.25)</f>
        <v>0.358405801670306</v>
      </c>
      <c r="Y217" s="71" t="n">
        <f aca="false">IF(AND(mthbeg&lt;=A217,mthend&gt;=A217),1,0)</f>
        <v>0</v>
      </c>
      <c r="Z217" s="71" t="n">
        <f aca="false">T217*Y217</f>
        <v>0</v>
      </c>
      <c r="AB217" s="132" t="n">
        <f aca="false">F217*G217</f>
        <v>0</v>
      </c>
      <c r="AC217" s="132" t="n">
        <f aca="false">$F217*H217</f>
        <v>0</v>
      </c>
      <c r="AD217" s="132" t="n">
        <f aca="false">$F217*I217</f>
        <v>0</v>
      </c>
      <c r="AE217" s="132" t="n">
        <f aca="false">$F217*J217</f>
        <v>-0</v>
      </c>
      <c r="AF217" s="132" t="n">
        <f aca="false">$F217*K217</f>
        <v>-0</v>
      </c>
      <c r="AG217" s="132" t="n">
        <f aca="false">$F217*L217</f>
        <v>0</v>
      </c>
      <c r="AH217" s="132" t="n">
        <f aca="false">$F217*M217</f>
        <v>0</v>
      </c>
      <c r="AI217" s="132" t="n">
        <f aca="false">$F217*N217</f>
        <v>0</v>
      </c>
      <c r="AJ217" s="132" t="n">
        <f aca="false">F217*O217</f>
        <v>0</v>
      </c>
      <c r="AK217" s="137"/>
      <c r="AL217" s="132" t="n">
        <f aca="false">CHOOSE($G$3,AC217-AD217,AD217-AC217)</f>
        <v>0</v>
      </c>
      <c r="AM217" s="132" t="n">
        <f aca="false">CHOOSE($G$3,AF217-AG217,AG217-AF217)</f>
        <v>0</v>
      </c>
      <c r="AN217" s="132" t="n">
        <f aca="false">CHOOSE($G$3,AI217-AJ217,AJ217-AI217)</f>
        <v>0</v>
      </c>
      <c r="AO217" s="148" t="n">
        <f aca="false">SUM(AL217:AN217)</f>
        <v>0</v>
      </c>
      <c r="AQ217" s="132" t="n">
        <f aca="false">CHOOSE($G$3,AB217-AC217,AC217-AB217)</f>
        <v>0</v>
      </c>
      <c r="AR217" s="132" t="n">
        <f aca="false">CHOOSE($G$3,AE217-AF217,AF217-AE217)</f>
        <v>0</v>
      </c>
      <c r="AS217" s="132" t="n">
        <f aca="false">CHOOSE($G$3,AH217-AI217,AI217-AH217)</f>
        <v>0</v>
      </c>
      <c r="AT217" s="148" t="n">
        <f aca="false">AQ217+AR217+AS217</f>
        <v>0</v>
      </c>
      <c r="AU217" s="148"/>
      <c r="AV217" s="133" t="n">
        <f aca="false">AT217+AO217</f>
        <v>0</v>
      </c>
      <c r="AX217" s="133" t="n">
        <f aca="false">AJ217+AG217+AD217</f>
        <v>0</v>
      </c>
      <c r="AY217" s="149"/>
      <c r="AZ217" s="76" t="n">
        <f aca="false">R217*E217</f>
        <v>0</v>
      </c>
    </row>
    <row r="218" customFormat="false" ht="12" hidden="false" customHeight="true" outlineLevel="0" collapsed="false">
      <c r="A218" s="138" t="n">
        <f aca="false">EDATE(A217,1)</f>
        <v>43313</v>
      </c>
      <c r="B218" s="139" t="n">
        <f aca="false">VLOOKUP($A218,Table2,MATCH(I$3,Curves2,0))</f>
        <v>0</v>
      </c>
      <c r="C218" s="140"/>
      <c r="D218" s="141" t="n">
        <f aca="false">B218+C218</f>
        <v>0</v>
      </c>
      <c r="E218" s="126" t="n">
        <f aca="false">IF(Y218=0,0,IF(AND(Y218=1,$H$3=1),D218*T218,IF($H$3=2,D218,"N/A")))</f>
        <v>0</v>
      </c>
      <c r="F218" s="126" t="n">
        <f aca="false">E218*X218</f>
        <v>0</v>
      </c>
      <c r="G218" s="142" t="n">
        <f aca="false">VLOOKUP($A218,Table,MATCH(G$4,Curves,0))</f>
        <v>3.987</v>
      </c>
      <c r="H218" s="143" t="n">
        <f aca="false">G218</f>
        <v>3.987</v>
      </c>
      <c r="I218" s="142" t="n">
        <f aca="false">VLOOKUP($A218,Table1,MATCH(I$3,Curves1,0))</f>
        <v>0</v>
      </c>
      <c r="J218" s="142" t="n">
        <f aca="false">VLOOKUP($A218,Table,MATCH(J$4,Curves,0))</f>
        <v>-0.061</v>
      </c>
      <c r="K218" s="143" t="n">
        <f aca="false">J218</f>
        <v>-0.061</v>
      </c>
      <c r="L218" s="144" t="n">
        <v>0</v>
      </c>
      <c r="M218" s="142" t="n">
        <f aca="false">VLOOKUP($A218,Table,MATCH(M$4,Curves,0))</f>
        <v>0.005</v>
      </c>
      <c r="N218" s="143" t="n">
        <f aca="false">M218</f>
        <v>0.005</v>
      </c>
      <c r="O218" s="144" t="n">
        <v>0</v>
      </c>
      <c r="P218" s="145"/>
      <c r="Q218" s="144" t="n">
        <f aca="false">M218+J218+G218</f>
        <v>3.931</v>
      </c>
      <c r="R218" s="144" t="n">
        <f aca="false">O218+L218+I218</f>
        <v>0</v>
      </c>
      <c r="S218" s="145"/>
      <c r="T218" s="71" t="n">
        <f aca="false">A219-A218</f>
        <v>31</v>
      </c>
      <c r="U218" s="146" t="n">
        <f aca="false">CHOOSE(F$3,A219+24,A218)</f>
        <v>43368</v>
      </c>
      <c r="V218" s="71" t="n">
        <f aca="false">U218-C$3</f>
        <v>6480</v>
      </c>
      <c r="W218" s="142" t="n">
        <f aca="false">VLOOKUP($A218,Table,MATCH(W$4,Curves,0))</f>
        <v>0.058966861357273</v>
      </c>
      <c r="X218" s="147" t="n">
        <f aca="false">1/(1+CHOOSE(F$3,(W219+($K$3/10000))/2,(W218+($K$3/10000))/2))^(2*V218/365.25)</f>
        <v>0.356642368741957</v>
      </c>
      <c r="Y218" s="71" t="n">
        <f aca="false">IF(AND(mthbeg&lt;=A218,mthend&gt;=A218),1,0)</f>
        <v>0</v>
      </c>
      <c r="Z218" s="71" t="n">
        <f aca="false">T218*Y218</f>
        <v>0</v>
      </c>
      <c r="AB218" s="132" t="n">
        <f aca="false">F218*G218</f>
        <v>0</v>
      </c>
      <c r="AC218" s="132" t="n">
        <f aca="false">$F218*H218</f>
        <v>0</v>
      </c>
      <c r="AD218" s="132" t="n">
        <f aca="false">$F218*I218</f>
        <v>0</v>
      </c>
      <c r="AE218" s="132" t="n">
        <f aca="false">$F218*J218</f>
        <v>-0</v>
      </c>
      <c r="AF218" s="132" t="n">
        <f aca="false">$F218*K218</f>
        <v>-0</v>
      </c>
      <c r="AG218" s="132" t="n">
        <f aca="false">$F218*L218</f>
        <v>0</v>
      </c>
      <c r="AH218" s="132" t="n">
        <f aca="false">$F218*M218</f>
        <v>0</v>
      </c>
      <c r="AI218" s="132" t="n">
        <f aca="false">$F218*N218</f>
        <v>0</v>
      </c>
      <c r="AJ218" s="132" t="n">
        <f aca="false">F218*O218</f>
        <v>0</v>
      </c>
      <c r="AK218" s="137"/>
      <c r="AL218" s="132" t="n">
        <f aca="false">CHOOSE($G$3,AC218-AD218,AD218-AC218)</f>
        <v>0</v>
      </c>
      <c r="AM218" s="132" t="n">
        <f aca="false">CHOOSE($G$3,AF218-AG218,AG218-AF218)</f>
        <v>0</v>
      </c>
      <c r="AN218" s="132" t="n">
        <f aca="false">CHOOSE($G$3,AI218-AJ218,AJ218-AI218)</f>
        <v>0</v>
      </c>
      <c r="AO218" s="148" t="n">
        <f aca="false">SUM(AL218:AN218)</f>
        <v>0</v>
      </c>
      <c r="AQ218" s="132" t="n">
        <f aca="false">CHOOSE($G$3,AB218-AC218,AC218-AB218)</f>
        <v>0</v>
      </c>
      <c r="AR218" s="132" t="n">
        <f aca="false">CHOOSE($G$3,AE218-AF218,AF218-AE218)</f>
        <v>0</v>
      </c>
      <c r="AS218" s="132" t="n">
        <f aca="false">CHOOSE($G$3,AH218-AI218,AI218-AH218)</f>
        <v>0</v>
      </c>
      <c r="AT218" s="148" t="n">
        <f aca="false">AQ218+AR218+AS218</f>
        <v>0</v>
      </c>
      <c r="AU218" s="148"/>
      <c r="AV218" s="133" t="n">
        <f aca="false">AT218+AO218</f>
        <v>0</v>
      </c>
      <c r="AX218" s="133" t="n">
        <f aca="false">AJ218+AG218+AD218</f>
        <v>0</v>
      </c>
      <c r="AY218" s="149"/>
      <c r="AZ218" s="76" t="n">
        <f aca="false">R218*E218</f>
        <v>0</v>
      </c>
    </row>
    <row r="219" customFormat="false" ht="12" hidden="false" customHeight="true" outlineLevel="0" collapsed="false">
      <c r="A219" s="138" t="n">
        <f aca="false">EDATE(A218,1)</f>
        <v>43344</v>
      </c>
      <c r="B219" s="139" t="n">
        <f aca="false">VLOOKUP($A219,Table2,MATCH(I$3,Curves2,0))</f>
        <v>0</v>
      </c>
      <c r="C219" s="140"/>
      <c r="D219" s="141" t="n">
        <f aca="false">B219+C219</f>
        <v>0</v>
      </c>
      <c r="E219" s="126" t="n">
        <f aca="false">IF(Y219=0,0,IF(AND(Y219=1,$H$3=1),D219*T219,IF($H$3=2,D219,"N/A")))</f>
        <v>0</v>
      </c>
      <c r="F219" s="126" t="n">
        <f aca="false">E219*X219</f>
        <v>0</v>
      </c>
      <c r="G219" s="142" t="n">
        <f aca="false">VLOOKUP($A219,Table,MATCH(G$4,Curves,0))</f>
        <v>3.987</v>
      </c>
      <c r="H219" s="143" t="n">
        <f aca="false">G219</f>
        <v>3.987</v>
      </c>
      <c r="I219" s="142" t="n">
        <f aca="false">VLOOKUP($A219,Table1,MATCH(I$3,Curves1,0))</f>
        <v>0</v>
      </c>
      <c r="J219" s="142" t="n">
        <f aca="false">VLOOKUP($A219,Table,MATCH(J$4,Curves,0))</f>
        <v>-0.061</v>
      </c>
      <c r="K219" s="143" t="n">
        <f aca="false">J219</f>
        <v>-0.061</v>
      </c>
      <c r="L219" s="144" t="n">
        <v>0</v>
      </c>
      <c r="M219" s="142" t="n">
        <f aca="false">VLOOKUP($A219,Table,MATCH(M$4,Curves,0))</f>
        <v>0.005</v>
      </c>
      <c r="N219" s="143" t="n">
        <f aca="false">M219</f>
        <v>0.005</v>
      </c>
      <c r="O219" s="144" t="n">
        <v>0</v>
      </c>
      <c r="P219" s="145"/>
      <c r="Q219" s="144" t="n">
        <f aca="false">M219+J219+G219</f>
        <v>3.931</v>
      </c>
      <c r="R219" s="144" t="n">
        <f aca="false">O219+L219+I219</f>
        <v>0</v>
      </c>
      <c r="S219" s="145"/>
      <c r="T219" s="71" t="n">
        <f aca="false">A220-A219</f>
        <v>30</v>
      </c>
      <c r="U219" s="146" t="n">
        <f aca="false">CHOOSE(F$3,A220+24,A219)</f>
        <v>43398</v>
      </c>
      <c r="V219" s="71" t="n">
        <f aca="false">U219-C$3</f>
        <v>6510</v>
      </c>
      <c r="W219" s="142" t="n">
        <f aca="false">VLOOKUP($A219,Table,MATCH(W$4,Curves,0))</f>
        <v>0.058966861357273</v>
      </c>
      <c r="X219" s="147" t="n">
        <f aca="false">1/(1+CHOOSE(F$3,(W220+($K$3/10000))/2,(W219+($K$3/10000))/2))^(2*V219/365.25)</f>
        <v>0.35494408233553</v>
      </c>
      <c r="Y219" s="71" t="n">
        <f aca="false">IF(AND(mthbeg&lt;=A219,mthend&gt;=A219),1,0)</f>
        <v>0</v>
      </c>
      <c r="Z219" s="71" t="n">
        <f aca="false">T219*Y219</f>
        <v>0</v>
      </c>
      <c r="AB219" s="132" t="n">
        <f aca="false">F219*G219</f>
        <v>0</v>
      </c>
      <c r="AC219" s="132" t="n">
        <f aca="false">$F219*H219</f>
        <v>0</v>
      </c>
      <c r="AD219" s="132" t="n">
        <f aca="false">$F219*I219</f>
        <v>0</v>
      </c>
      <c r="AE219" s="132" t="n">
        <f aca="false">$F219*J219</f>
        <v>-0</v>
      </c>
      <c r="AF219" s="132" t="n">
        <f aca="false">$F219*K219</f>
        <v>-0</v>
      </c>
      <c r="AG219" s="132" t="n">
        <f aca="false">$F219*L219</f>
        <v>0</v>
      </c>
      <c r="AH219" s="132" t="n">
        <f aca="false">$F219*M219</f>
        <v>0</v>
      </c>
      <c r="AI219" s="132" t="n">
        <f aca="false">$F219*N219</f>
        <v>0</v>
      </c>
      <c r="AJ219" s="132" t="n">
        <f aca="false">F219*O219</f>
        <v>0</v>
      </c>
      <c r="AK219" s="137"/>
      <c r="AL219" s="132" t="n">
        <f aca="false">CHOOSE($G$3,AC219-AD219,AD219-AC219)</f>
        <v>0</v>
      </c>
      <c r="AM219" s="132" t="n">
        <f aca="false">CHOOSE($G$3,AF219-AG219,AG219-AF219)</f>
        <v>0</v>
      </c>
      <c r="AN219" s="132" t="n">
        <f aca="false">CHOOSE($G$3,AI219-AJ219,AJ219-AI219)</f>
        <v>0</v>
      </c>
      <c r="AO219" s="148" t="n">
        <f aca="false">SUM(AL219:AN219)</f>
        <v>0</v>
      </c>
      <c r="AQ219" s="132" t="n">
        <f aca="false">CHOOSE($G$3,AB219-AC219,AC219-AB219)</f>
        <v>0</v>
      </c>
      <c r="AR219" s="132" t="n">
        <f aca="false">CHOOSE($G$3,AE219-AF219,AF219-AE219)</f>
        <v>0</v>
      </c>
      <c r="AS219" s="132" t="n">
        <f aca="false">CHOOSE($G$3,AH219-AI219,AI219-AH219)</f>
        <v>0</v>
      </c>
      <c r="AT219" s="148" t="n">
        <f aca="false">AQ219+AR219+AS219</f>
        <v>0</v>
      </c>
      <c r="AU219" s="148"/>
      <c r="AV219" s="133" t="n">
        <f aca="false">AT219+AO219</f>
        <v>0</v>
      </c>
      <c r="AX219" s="133" t="n">
        <f aca="false">AJ219+AG219+AD219</f>
        <v>0</v>
      </c>
      <c r="AY219" s="149"/>
      <c r="AZ219" s="76" t="n">
        <f aca="false">R219*E219</f>
        <v>0</v>
      </c>
    </row>
    <row r="220" customFormat="false" ht="12" hidden="false" customHeight="true" outlineLevel="0" collapsed="false">
      <c r="A220" s="138" t="n">
        <f aca="false">EDATE(A219,1)</f>
        <v>43374</v>
      </c>
      <c r="B220" s="139" t="n">
        <f aca="false">VLOOKUP($A220,Table2,MATCH(I$3,Curves2,0))</f>
        <v>0</v>
      </c>
      <c r="C220" s="140"/>
      <c r="D220" s="141" t="n">
        <f aca="false">B220+C220</f>
        <v>0</v>
      </c>
      <c r="E220" s="126" t="n">
        <f aca="false">IF(Y220=0,0,IF(AND(Y220=1,$H$3=1),D220*T220,IF($H$3=2,D220,"N/A")))</f>
        <v>0</v>
      </c>
      <c r="F220" s="126" t="n">
        <f aca="false">E220*X220</f>
        <v>0</v>
      </c>
      <c r="G220" s="142" t="n">
        <f aca="false">VLOOKUP($A220,Table,MATCH(G$4,Curves,0))</f>
        <v>3.987</v>
      </c>
      <c r="H220" s="143" t="n">
        <f aca="false">G220</f>
        <v>3.987</v>
      </c>
      <c r="I220" s="142" t="n">
        <f aca="false">VLOOKUP($A220,Table1,MATCH(I$3,Curves1,0))</f>
        <v>0</v>
      </c>
      <c r="J220" s="142" t="n">
        <f aca="false">VLOOKUP($A220,Table,MATCH(J$4,Curves,0))</f>
        <v>-0.061</v>
      </c>
      <c r="K220" s="143" t="n">
        <f aca="false">J220</f>
        <v>-0.061</v>
      </c>
      <c r="L220" s="144" t="n">
        <v>0</v>
      </c>
      <c r="M220" s="142" t="n">
        <f aca="false">VLOOKUP($A220,Table,MATCH(M$4,Curves,0))</f>
        <v>0.005</v>
      </c>
      <c r="N220" s="143" t="n">
        <f aca="false">M220</f>
        <v>0.005</v>
      </c>
      <c r="O220" s="144" t="n">
        <v>0</v>
      </c>
      <c r="P220" s="145"/>
      <c r="Q220" s="144" t="n">
        <f aca="false">M220+J220+G220</f>
        <v>3.931</v>
      </c>
      <c r="R220" s="144" t="n">
        <f aca="false">O220+L220+I220</f>
        <v>0</v>
      </c>
      <c r="S220" s="145"/>
      <c r="T220" s="71" t="n">
        <f aca="false">A221-A220</f>
        <v>31</v>
      </c>
      <c r="U220" s="146" t="n">
        <f aca="false">CHOOSE(F$3,A221+24,A220)</f>
        <v>43429</v>
      </c>
      <c r="V220" s="71" t="n">
        <f aca="false">U220-C$3</f>
        <v>6541</v>
      </c>
      <c r="W220" s="142" t="n">
        <f aca="false">VLOOKUP($A220,Table,MATCH(W$4,Curves,0))</f>
        <v>0.058966861357273</v>
      </c>
      <c r="X220" s="147" t="n">
        <f aca="false">1/(1+CHOOSE(F$3,(W221+($K$3/10000))/2,(W220+($K$3/10000))/2))^(2*V220/365.25)</f>
        <v>0.353197681804077</v>
      </c>
      <c r="Y220" s="71" t="n">
        <f aca="false">IF(AND(mthbeg&lt;=A220,mthend&gt;=A220),1,0)</f>
        <v>0</v>
      </c>
      <c r="Z220" s="71" t="n">
        <f aca="false">T220*Y220</f>
        <v>0</v>
      </c>
      <c r="AB220" s="132" t="n">
        <f aca="false">F220*G220</f>
        <v>0</v>
      </c>
      <c r="AC220" s="132" t="n">
        <f aca="false">$F220*H220</f>
        <v>0</v>
      </c>
      <c r="AD220" s="132" t="n">
        <f aca="false">$F220*I220</f>
        <v>0</v>
      </c>
      <c r="AE220" s="132" t="n">
        <f aca="false">$F220*J220</f>
        <v>-0</v>
      </c>
      <c r="AF220" s="132" t="n">
        <f aca="false">$F220*K220</f>
        <v>-0</v>
      </c>
      <c r="AG220" s="132" t="n">
        <f aca="false">$F220*L220</f>
        <v>0</v>
      </c>
      <c r="AH220" s="132" t="n">
        <f aca="false">$F220*M220</f>
        <v>0</v>
      </c>
      <c r="AI220" s="132" t="n">
        <f aca="false">$F220*N220</f>
        <v>0</v>
      </c>
      <c r="AJ220" s="132" t="n">
        <f aca="false">F220*O220</f>
        <v>0</v>
      </c>
      <c r="AK220" s="137"/>
      <c r="AL220" s="132" t="n">
        <f aca="false">CHOOSE($G$3,AC220-AD220,AD220-AC220)</f>
        <v>0</v>
      </c>
      <c r="AM220" s="132" t="n">
        <f aca="false">CHOOSE($G$3,AF220-AG220,AG220-AF220)</f>
        <v>0</v>
      </c>
      <c r="AN220" s="132" t="n">
        <f aca="false">CHOOSE($G$3,AI220-AJ220,AJ220-AI220)</f>
        <v>0</v>
      </c>
      <c r="AO220" s="148" t="n">
        <f aca="false">SUM(AL220:AN220)</f>
        <v>0</v>
      </c>
      <c r="AQ220" s="132" t="n">
        <f aca="false">CHOOSE($G$3,AB220-AC220,AC220-AB220)</f>
        <v>0</v>
      </c>
      <c r="AR220" s="132" t="n">
        <f aca="false">CHOOSE($G$3,AE220-AF220,AF220-AE220)</f>
        <v>0</v>
      </c>
      <c r="AS220" s="132" t="n">
        <f aca="false">CHOOSE($G$3,AH220-AI220,AI220-AH220)</f>
        <v>0</v>
      </c>
      <c r="AT220" s="148" t="n">
        <f aca="false">AQ220+AR220+AS220</f>
        <v>0</v>
      </c>
      <c r="AU220" s="148"/>
      <c r="AV220" s="133" t="n">
        <f aca="false">AT220+AO220</f>
        <v>0</v>
      </c>
      <c r="AX220" s="133" t="n">
        <f aca="false">AJ220+AG220+AD220</f>
        <v>0</v>
      </c>
      <c r="AY220" s="149"/>
      <c r="AZ220" s="76" t="n">
        <f aca="false">R220*E220</f>
        <v>0</v>
      </c>
    </row>
    <row r="221" customFormat="false" ht="12" hidden="false" customHeight="true" outlineLevel="0" collapsed="false">
      <c r="A221" s="138" t="n">
        <f aca="false">EDATE(A220,1)</f>
        <v>43405</v>
      </c>
      <c r="B221" s="139" t="n">
        <f aca="false">VLOOKUP($A221,Table2,MATCH(I$3,Curves2,0))</f>
        <v>0</v>
      </c>
      <c r="C221" s="140"/>
      <c r="D221" s="141" t="n">
        <f aca="false">B221+C221</f>
        <v>0</v>
      </c>
      <c r="E221" s="126" t="n">
        <f aca="false">IF(Y221=0,0,IF(AND(Y221=1,$H$3=1),D221*T221,IF($H$3=2,D221,"N/A")))</f>
        <v>0</v>
      </c>
      <c r="F221" s="126" t="n">
        <f aca="false">E221*X221</f>
        <v>0</v>
      </c>
      <c r="G221" s="142" t="n">
        <f aca="false">VLOOKUP($A221,Table,MATCH(G$4,Curves,0))</f>
        <v>3.987</v>
      </c>
      <c r="H221" s="143" t="n">
        <f aca="false">G221</f>
        <v>3.987</v>
      </c>
      <c r="I221" s="142" t="n">
        <f aca="false">VLOOKUP($A221,Table1,MATCH(I$3,Curves1,0))</f>
        <v>0</v>
      </c>
      <c r="J221" s="142" t="n">
        <f aca="false">VLOOKUP($A221,Table,MATCH(J$4,Curves,0))</f>
        <v>-0.061</v>
      </c>
      <c r="K221" s="143" t="n">
        <f aca="false">J221</f>
        <v>-0.061</v>
      </c>
      <c r="L221" s="144" t="n">
        <v>0</v>
      </c>
      <c r="M221" s="142" t="n">
        <f aca="false">VLOOKUP($A221,Table,MATCH(M$4,Curves,0))</f>
        <v>0.005</v>
      </c>
      <c r="N221" s="143" t="n">
        <f aca="false">M221</f>
        <v>0.005</v>
      </c>
      <c r="O221" s="144" t="n">
        <v>0</v>
      </c>
      <c r="P221" s="145"/>
      <c r="Q221" s="144" t="n">
        <f aca="false">M221+J221+G221</f>
        <v>3.931</v>
      </c>
      <c r="R221" s="144" t="n">
        <f aca="false">O221+L221+I221</f>
        <v>0</v>
      </c>
      <c r="S221" s="145"/>
      <c r="T221" s="71" t="n">
        <f aca="false">A222-A221</f>
        <v>30</v>
      </c>
      <c r="U221" s="146" t="n">
        <f aca="false">CHOOSE(F$3,A222+24,A221)</f>
        <v>43459</v>
      </c>
      <c r="V221" s="71" t="n">
        <f aca="false">U221-C$3</f>
        <v>6571</v>
      </c>
      <c r="W221" s="142" t="n">
        <f aca="false">VLOOKUP($A221,Table,MATCH(W$4,Curves,0))</f>
        <v>0.058966861357273</v>
      </c>
      <c r="X221" s="147" t="n">
        <f aca="false">1/(1+CHOOSE(F$3,(W222+($K$3/10000))/2,(W221+($K$3/10000))/2))^(2*V221/365.25)</f>
        <v>0.35151579856652</v>
      </c>
      <c r="Y221" s="71" t="n">
        <f aca="false">IF(AND(mthbeg&lt;=A221,mthend&gt;=A221),1,0)</f>
        <v>0</v>
      </c>
      <c r="Z221" s="71" t="n">
        <f aca="false">T221*Y221</f>
        <v>0</v>
      </c>
      <c r="AB221" s="132" t="n">
        <f aca="false">F221*G221</f>
        <v>0</v>
      </c>
      <c r="AC221" s="132" t="n">
        <f aca="false">$F221*H221</f>
        <v>0</v>
      </c>
      <c r="AD221" s="132" t="n">
        <f aca="false">$F221*I221</f>
        <v>0</v>
      </c>
      <c r="AE221" s="132" t="n">
        <f aca="false">$F221*J221</f>
        <v>-0</v>
      </c>
      <c r="AF221" s="132" t="n">
        <f aca="false">$F221*K221</f>
        <v>-0</v>
      </c>
      <c r="AG221" s="132" t="n">
        <f aca="false">$F221*L221</f>
        <v>0</v>
      </c>
      <c r="AH221" s="132" t="n">
        <f aca="false">$F221*M221</f>
        <v>0</v>
      </c>
      <c r="AI221" s="132" t="n">
        <f aca="false">$F221*N221</f>
        <v>0</v>
      </c>
      <c r="AJ221" s="132" t="n">
        <f aca="false">F221*O221</f>
        <v>0</v>
      </c>
      <c r="AK221" s="137"/>
      <c r="AL221" s="132" t="n">
        <f aca="false">CHOOSE($G$3,AC221-AD221,AD221-AC221)</f>
        <v>0</v>
      </c>
      <c r="AM221" s="132" t="n">
        <f aca="false">CHOOSE($G$3,AF221-AG221,AG221-AF221)</f>
        <v>0</v>
      </c>
      <c r="AN221" s="132" t="n">
        <f aca="false">CHOOSE($G$3,AI221-AJ221,AJ221-AI221)</f>
        <v>0</v>
      </c>
      <c r="AO221" s="148" t="n">
        <f aca="false">SUM(AL221:AN221)</f>
        <v>0</v>
      </c>
      <c r="AQ221" s="132" t="n">
        <f aca="false">CHOOSE($G$3,AB221-AC221,AC221-AB221)</f>
        <v>0</v>
      </c>
      <c r="AR221" s="132" t="n">
        <f aca="false">CHOOSE($G$3,AE221-AF221,AF221-AE221)</f>
        <v>0</v>
      </c>
      <c r="AS221" s="132" t="n">
        <f aca="false">CHOOSE($G$3,AH221-AI221,AI221-AH221)</f>
        <v>0</v>
      </c>
      <c r="AT221" s="148" t="n">
        <f aca="false">AQ221+AR221+AS221</f>
        <v>0</v>
      </c>
      <c r="AU221" s="148"/>
      <c r="AV221" s="133" t="n">
        <f aca="false">AT221+AO221</f>
        <v>0</v>
      </c>
      <c r="AX221" s="133" t="n">
        <f aca="false">AJ221+AG221+AD221</f>
        <v>0</v>
      </c>
      <c r="AY221" s="149"/>
      <c r="AZ221" s="76" t="n">
        <f aca="false">R221*E221</f>
        <v>0</v>
      </c>
    </row>
    <row r="222" customFormat="false" ht="12" hidden="false" customHeight="true" outlineLevel="0" collapsed="false">
      <c r="A222" s="138" t="n">
        <f aca="false">EDATE(A221,1)</f>
        <v>43435</v>
      </c>
      <c r="B222" s="139" t="n">
        <f aca="false">VLOOKUP($A222,Table2,MATCH(I$3,Curves2,0))</f>
        <v>0</v>
      </c>
      <c r="C222" s="140"/>
      <c r="D222" s="141" t="n">
        <f aca="false">B222+C222</f>
        <v>0</v>
      </c>
      <c r="E222" s="126" t="n">
        <f aca="false">IF(Y222=0,0,IF(AND(Y222=1,$H$3=1),D222*T222,IF($H$3=2,D222,"N/A")))</f>
        <v>0</v>
      </c>
      <c r="F222" s="126" t="n">
        <f aca="false">E222*X222</f>
        <v>0</v>
      </c>
      <c r="G222" s="142" t="n">
        <f aca="false">VLOOKUP($A222,Table,MATCH(G$4,Curves,0))</f>
        <v>3.987</v>
      </c>
      <c r="H222" s="143" t="n">
        <f aca="false">G222</f>
        <v>3.987</v>
      </c>
      <c r="I222" s="142" t="n">
        <f aca="false">VLOOKUP($A222,Table1,MATCH(I$3,Curves1,0))</f>
        <v>0</v>
      </c>
      <c r="J222" s="142" t="n">
        <f aca="false">VLOOKUP($A222,Table,MATCH(J$4,Curves,0))</f>
        <v>-0.061</v>
      </c>
      <c r="K222" s="143" t="n">
        <f aca="false">J222</f>
        <v>-0.061</v>
      </c>
      <c r="L222" s="144" t="n">
        <v>0</v>
      </c>
      <c r="M222" s="142" t="n">
        <f aca="false">VLOOKUP($A222,Table,MATCH(M$4,Curves,0))</f>
        <v>0.005</v>
      </c>
      <c r="N222" s="143" t="n">
        <f aca="false">M222</f>
        <v>0.005</v>
      </c>
      <c r="O222" s="144" t="n">
        <v>0</v>
      </c>
      <c r="P222" s="145"/>
      <c r="Q222" s="144" t="n">
        <f aca="false">M222+J222+G222</f>
        <v>3.931</v>
      </c>
      <c r="R222" s="144" t="n">
        <f aca="false">O222+L222+I222</f>
        <v>0</v>
      </c>
      <c r="S222" s="145"/>
      <c r="T222" s="71" t="n">
        <f aca="false">A223-A222</f>
        <v>31</v>
      </c>
      <c r="U222" s="146" t="n">
        <f aca="false">CHOOSE(F$3,A223+24,A222)</f>
        <v>43490</v>
      </c>
      <c r="V222" s="71" t="n">
        <f aca="false">U222-C$3</f>
        <v>6602</v>
      </c>
      <c r="W222" s="142" t="n">
        <f aca="false">VLOOKUP($A222,Table,MATCH(W$4,Curves,0))</f>
        <v>0.058966861357273</v>
      </c>
      <c r="X222" s="147" t="n">
        <f aca="false">1/(1+CHOOSE(F$3,(W223+($K$3/10000))/2,(W222+($K$3/10000))/2))^(2*V222/365.25)</f>
        <v>0.349786265921853</v>
      </c>
      <c r="Y222" s="71" t="n">
        <f aca="false">IF(AND(mthbeg&lt;=A222,mthend&gt;=A222),1,0)</f>
        <v>0</v>
      </c>
      <c r="Z222" s="71" t="n">
        <f aca="false">T222*Y222</f>
        <v>0</v>
      </c>
      <c r="AB222" s="132" t="n">
        <f aca="false">F222*G222</f>
        <v>0</v>
      </c>
      <c r="AC222" s="132" t="n">
        <f aca="false">$F222*H222</f>
        <v>0</v>
      </c>
      <c r="AD222" s="132" t="n">
        <f aca="false">$F222*I222</f>
        <v>0</v>
      </c>
      <c r="AE222" s="132" t="n">
        <f aca="false">$F222*J222</f>
        <v>-0</v>
      </c>
      <c r="AF222" s="132" t="n">
        <f aca="false">$F222*K222</f>
        <v>-0</v>
      </c>
      <c r="AG222" s="132" t="n">
        <f aca="false">$F222*L222</f>
        <v>0</v>
      </c>
      <c r="AH222" s="132" t="n">
        <f aca="false">$F222*M222</f>
        <v>0</v>
      </c>
      <c r="AI222" s="132" t="n">
        <f aca="false">$F222*N222</f>
        <v>0</v>
      </c>
      <c r="AJ222" s="132" t="n">
        <f aca="false">F222*O222</f>
        <v>0</v>
      </c>
      <c r="AK222" s="137"/>
      <c r="AL222" s="132" t="n">
        <f aca="false">CHOOSE($G$3,AC222-AD222,AD222-AC222)</f>
        <v>0</v>
      </c>
      <c r="AM222" s="132" t="n">
        <f aca="false">CHOOSE($G$3,AF222-AG222,AG222-AF222)</f>
        <v>0</v>
      </c>
      <c r="AN222" s="132" t="n">
        <f aca="false">CHOOSE($G$3,AI222-AJ222,AJ222-AI222)</f>
        <v>0</v>
      </c>
      <c r="AO222" s="148" t="n">
        <f aca="false">SUM(AL222:AN222)</f>
        <v>0</v>
      </c>
      <c r="AQ222" s="132" t="n">
        <f aca="false">CHOOSE($G$3,AB222-AC222,AC222-AB222)</f>
        <v>0</v>
      </c>
      <c r="AR222" s="132" t="n">
        <f aca="false">CHOOSE($G$3,AE222-AF222,AF222-AE222)</f>
        <v>0</v>
      </c>
      <c r="AS222" s="132" t="n">
        <f aca="false">CHOOSE($G$3,AH222-AI222,AI222-AH222)</f>
        <v>0</v>
      </c>
      <c r="AT222" s="148" t="n">
        <f aca="false">AQ222+AR222+AS222</f>
        <v>0</v>
      </c>
      <c r="AU222" s="148"/>
      <c r="AV222" s="133" t="n">
        <f aca="false">AT222+AO222</f>
        <v>0</v>
      </c>
      <c r="AX222" s="133" t="n">
        <f aca="false">AJ222+AG222+AD222</f>
        <v>0</v>
      </c>
      <c r="AY222" s="149"/>
      <c r="AZ222" s="76" t="n">
        <f aca="false">R222*E222</f>
        <v>0</v>
      </c>
    </row>
    <row r="223" customFormat="false" ht="12" hidden="false" customHeight="true" outlineLevel="0" collapsed="false">
      <c r="A223" s="138" t="n">
        <f aca="false">EDATE(A222,1)</f>
        <v>43466</v>
      </c>
      <c r="B223" s="139" t="n">
        <f aca="false">VLOOKUP($A223,Table2,MATCH(I$3,Curves2,0))</f>
        <v>0</v>
      </c>
      <c r="C223" s="140"/>
      <c r="D223" s="141" t="n">
        <f aca="false">B223+C223</f>
        <v>0</v>
      </c>
      <c r="E223" s="126" t="n">
        <f aca="false">IF(Y223=0,0,IF(AND(Y223=1,$H$3=1),D223*T223,IF($H$3=2,D223,"N/A")))</f>
        <v>0</v>
      </c>
      <c r="F223" s="126" t="n">
        <f aca="false">E223*X223</f>
        <v>0</v>
      </c>
      <c r="G223" s="142" t="n">
        <f aca="false">VLOOKUP($A223,Table,MATCH(G$4,Curves,0))</f>
        <v>3.987</v>
      </c>
      <c r="H223" s="143" t="n">
        <f aca="false">G223</f>
        <v>3.987</v>
      </c>
      <c r="I223" s="142" t="n">
        <f aca="false">VLOOKUP($A223,Table1,MATCH(I$3,Curves1,0))</f>
        <v>0</v>
      </c>
      <c r="J223" s="142" t="n">
        <f aca="false">VLOOKUP($A223,Table,MATCH(J$4,Curves,0))</f>
        <v>-0.061</v>
      </c>
      <c r="K223" s="143" t="n">
        <f aca="false">J223</f>
        <v>-0.061</v>
      </c>
      <c r="L223" s="144" t="n">
        <v>0</v>
      </c>
      <c r="M223" s="142" t="n">
        <f aca="false">VLOOKUP($A223,Table,MATCH(M$4,Curves,0))</f>
        <v>0.005</v>
      </c>
      <c r="N223" s="143" t="n">
        <f aca="false">M223</f>
        <v>0.005</v>
      </c>
      <c r="O223" s="144" t="n">
        <v>0</v>
      </c>
      <c r="P223" s="145"/>
      <c r="Q223" s="144" t="n">
        <f aca="false">M223+J223+G223</f>
        <v>3.931</v>
      </c>
      <c r="R223" s="144" t="n">
        <f aca="false">O223+L223+I223</f>
        <v>0</v>
      </c>
      <c r="S223" s="145"/>
      <c r="T223" s="71" t="n">
        <f aca="false">A224-A223</f>
        <v>31</v>
      </c>
      <c r="U223" s="146" t="n">
        <f aca="false">CHOOSE(F$3,A224+24,A223)</f>
        <v>43521</v>
      </c>
      <c r="V223" s="71" t="n">
        <f aca="false">U223-C$3</f>
        <v>6633</v>
      </c>
      <c r="W223" s="142" t="n">
        <f aca="false">VLOOKUP($A223,Table,MATCH(W$4,Curves,0))</f>
        <v>0.058966861357273</v>
      </c>
      <c r="X223" s="147" t="n">
        <f aca="false">1/(1+CHOOSE(F$3,(W224+($K$3/10000))/2,(W223+($K$3/10000))/2))^(2*V223/365.25)</f>
        <v>0.348065242946399</v>
      </c>
      <c r="Y223" s="71" t="n">
        <f aca="false">IF(AND(mthbeg&lt;=A223,mthend&gt;=A223),1,0)</f>
        <v>0</v>
      </c>
      <c r="Z223" s="71" t="n">
        <f aca="false">T223*Y223</f>
        <v>0</v>
      </c>
      <c r="AB223" s="132" t="n">
        <f aca="false">F223*G223</f>
        <v>0</v>
      </c>
      <c r="AC223" s="132" t="n">
        <f aca="false">$F223*H223</f>
        <v>0</v>
      </c>
      <c r="AD223" s="132" t="n">
        <f aca="false">$F223*I223</f>
        <v>0</v>
      </c>
      <c r="AE223" s="132" t="n">
        <f aca="false">$F223*J223</f>
        <v>-0</v>
      </c>
      <c r="AF223" s="132" t="n">
        <f aca="false">$F223*K223</f>
        <v>-0</v>
      </c>
      <c r="AG223" s="132" t="n">
        <f aca="false">$F223*L223</f>
        <v>0</v>
      </c>
      <c r="AH223" s="132" t="n">
        <f aca="false">$F223*M223</f>
        <v>0</v>
      </c>
      <c r="AI223" s="132" t="n">
        <f aca="false">$F223*N223</f>
        <v>0</v>
      </c>
      <c r="AJ223" s="132" t="n">
        <f aca="false">F223*O223</f>
        <v>0</v>
      </c>
      <c r="AK223" s="137"/>
      <c r="AL223" s="132" t="n">
        <f aca="false">CHOOSE($G$3,AC223-AD223,AD223-AC223)</f>
        <v>0</v>
      </c>
      <c r="AM223" s="132" t="n">
        <f aca="false">CHOOSE($G$3,AF223-AG223,AG223-AF223)</f>
        <v>0</v>
      </c>
      <c r="AN223" s="132" t="n">
        <f aca="false">CHOOSE($G$3,AI223-AJ223,AJ223-AI223)</f>
        <v>0</v>
      </c>
      <c r="AO223" s="148" t="n">
        <f aca="false">SUM(AL223:AN223)</f>
        <v>0</v>
      </c>
      <c r="AQ223" s="132" t="n">
        <f aca="false">CHOOSE($G$3,AB223-AC223,AC223-AB223)</f>
        <v>0</v>
      </c>
      <c r="AR223" s="132" t="n">
        <f aca="false">CHOOSE($G$3,AE223-AF223,AF223-AE223)</f>
        <v>0</v>
      </c>
      <c r="AS223" s="132" t="n">
        <f aca="false">CHOOSE($G$3,AH223-AI223,AI223-AH223)</f>
        <v>0</v>
      </c>
      <c r="AT223" s="148" t="n">
        <f aca="false">AQ223+AR223+AS223</f>
        <v>0</v>
      </c>
      <c r="AU223" s="148"/>
      <c r="AV223" s="133" t="n">
        <f aca="false">AT223+AO223</f>
        <v>0</v>
      </c>
      <c r="AX223" s="133" t="n">
        <f aca="false">AJ223+AG223+AD223</f>
        <v>0</v>
      </c>
      <c r="AY223" s="149"/>
      <c r="AZ223" s="76" t="n">
        <f aca="false">R223*E223</f>
        <v>0</v>
      </c>
    </row>
    <row r="224" customFormat="false" ht="12" hidden="false" customHeight="true" outlineLevel="0" collapsed="false">
      <c r="A224" s="138" t="n">
        <f aca="false">EDATE(A223,1)</f>
        <v>43497</v>
      </c>
      <c r="B224" s="139" t="n">
        <f aca="false">VLOOKUP($A224,Table2,MATCH(I$3,Curves2,0))</f>
        <v>0</v>
      </c>
      <c r="C224" s="140"/>
      <c r="D224" s="141" t="n">
        <f aca="false">B224+C224</f>
        <v>0</v>
      </c>
      <c r="E224" s="126" t="n">
        <f aca="false">IF(Y224=0,0,IF(AND(Y224=1,$H$3=1),D224*T224,IF($H$3=2,D224,"N/A")))</f>
        <v>0</v>
      </c>
      <c r="F224" s="126" t="n">
        <f aca="false">E224*X224</f>
        <v>0</v>
      </c>
      <c r="G224" s="142" t="n">
        <f aca="false">VLOOKUP($A224,Table,MATCH(G$4,Curves,0))</f>
        <v>3.987</v>
      </c>
      <c r="H224" s="143" t="n">
        <f aca="false">G224</f>
        <v>3.987</v>
      </c>
      <c r="I224" s="142" t="n">
        <f aca="false">VLOOKUP($A224,Table1,MATCH(I$3,Curves1,0))</f>
        <v>0</v>
      </c>
      <c r="J224" s="142" t="n">
        <f aca="false">VLOOKUP($A224,Table,MATCH(J$4,Curves,0))</f>
        <v>-0.061</v>
      </c>
      <c r="K224" s="143" t="n">
        <f aca="false">J224</f>
        <v>-0.061</v>
      </c>
      <c r="L224" s="144" t="n">
        <v>0</v>
      </c>
      <c r="M224" s="142" t="n">
        <f aca="false">VLOOKUP($A224,Table,MATCH(M$4,Curves,0))</f>
        <v>0.005</v>
      </c>
      <c r="N224" s="143" t="n">
        <f aca="false">M224</f>
        <v>0.005</v>
      </c>
      <c r="O224" s="144" t="n">
        <v>0</v>
      </c>
      <c r="P224" s="145"/>
      <c r="Q224" s="144" t="n">
        <f aca="false">M224+J224+G224</f>
        <v>3.931</v>
      </c>
      <c r="R224" s="144" t="n">
        <f aca="false">O224+L224+I224</f>
        <v>0</v>
      </c>
      <c r="S224" s="145"/>
      <c r="T224" s="71" t="n">
        <f aca="false">A225-A224</f>
        <v>28</v>
      </c>
      <c r="U224" s="146" t="n">
        <f aca="false">CHOOSE(F$3,A225+24,A224)</f>
        <v>43549</v>
      </c>
      <c r="V224" s="71" t="n">
        <f aca="false">U224-C$3</f>
        <v>6661</v>
      </c>
      <c r="W224" s="142" t="n">
        <f aca="false">VLOOKUP($A224,Table,MATCH(W$4,Curves,0))</f>
        <v>0.058966861357273</v>
      </c>
      <c r="X224" s="147" t="n">
        <f aca="false">1/(1+CHOOSE(F$3,(W225+($K$3/10000))/2,(W224+($K$3/10000))/2))^(2*V224/365.25)</f>
        <v>0.346518049992799</v>
      </c>
      <c r="Y224" s="71" t="n">
        <f aca="false">IF(AND(mthbeg&lt;=A224,mthend&gt;=A224),1,0)</f>
        <v>0</v>
      </c>
      <c r="Z224" s="71" t="n">
        <f aca="false">T224*Y224</f>
        <v>0</v>
      </c>
      <c r="AB224" s="132" t="n">
        <f aca="false">F224*G224</f>
        <v>0</v>
      </c>
      <c r="AC224" s="132" t="n">
        <f aca="false">$F224*H224</f>
        <v>0</v>
      </c>
      <c r="AD224" s="132" t="n">
        <f aca="false">$F224*I224</f>
        <v>0</v>
      </c>
      <c r="AE224" s="132" t="n">
        <f aca="false">$F224*J224</f>
        <v>-0</v>
      </c>
      <c r="AF224" s="132" t="n">
        <f aca="false">$F224*K224</f>
        <v>-0</v>
      </c>
      <c r="AG224" s="132" t="n">
        <f aca="false">$F224*L224</f>
        <v>0</v>
      </c>
      <c r="AH224" s="132" t="n">
        <f aca="false">$F224*M224</f>
        <v>0</v>
      </c>
      <c r="AI224" s="132" t="n">
        <f aca="false">$F224*N224</f>
        <v>0</v>
      </c>
      <c r="AJ224" s="132" t="n">
        <f aca="false">F224*O224</f>
        <v>0</v>
      </c>
      <c r="AK224" s="137"/>
      <c r="AL224" s="132" t="n">
        <f aca="false">CHOOSE($G$3,AC224-AD224,AD224-AC224)</f>
        <v>0</v>
      </c>
      <c r="AM224" s="132" t="n">
        <f aca="false">CHOOSE($G$3,AF224-AG224,AG224-AF224)</f>
        <v>0</v>
      </c>
      <c r="AN224" s="132" t="n">
        <f aca="false">CHOOSE($G$3,AI224-AJ224,AJ224-AI224)</f>
        <v>0</v>
      </c>
      <c r="AO224" s="148" t="n">
        <f aca="false">SUM(AL224:AN224)</f>
        <v>0</v>
      </c>
      <c r="AQ224" s="132" t="n">
        <f aca="false">CHOOSE($G$3,AB224-AC224,AC224-AB224)</f>
        <v>0</v>
      </c>
      <c r="AR224" s="132" t="n">
        <f aca="false">CHOOSE($G$3,AE224-AF224,AF224-AE224)</f>
        <v>0</v>
      </c>
      <c r="AS224" s="132" t="n">
        <f aca="false">CHOOSE($G$3,AH224-AI224,AI224-AH224)</f>
        <v>0</v>
      </c>
      <c r="AT224" s="148" t="n">
        <f aca="false">AQ224+AR224+AS224</f>
        <v>0</v>
      </c>
      <c r="AU224" s="148"/>
      <c r="AV224" s="133" t="n">
        <f aca="false">AT224+AO224</f>
        <v>0</v>
      </c>
      <c r="AX224" s="133" t="n">
        <f aca="false">AJ224+AG224+AD224</f>
        <v>0</v>
      </c>
      <c r="AY224" s="149"/>
      <c r="AZ224" s="76" t="n">
        <f aca="false">R224*E224</f>
        <v>0</v>
      </c>
    </row>
    <row r="225" customFormat="false" ht="12" hidden="false" customHeight="true" outlineLevel="0" collapsed="false">
      <c r="A225" s="138" t="n">
        <f aca="false">EDATE(A224,1)</f>
        <v>43525</v>
      </c>
      <c r="B225" s="139" t="n">
        <f aca="false">VLOOKUP($A225,Table2,MATCH(I$3,Curves2,0))</f>
        <v>0</v>
      </c>
      <c r="C225" s="140"/>
      <c r="D225" s="141" t="n">
        <f aca="false">B225+C225</f>
        <v>0</v>
      </c>
      <c r="E225" s="126" t="n">
        <f aca="false">IF(Y225=0,0,IF(AND(Y225=1,$H$3=1),D225*T225,IF($H$3=2,D225,"N/A")))</f>
        <v>0</v>
      </c>
      <c r="F225" s="126" t="n">
        <f aca="false">E225*X225</f>
        <v>0</v>
      </c>
      <c r="G225" s="142" t="n">
        <f aca="false">VLOOKUP($A225,Table,MATCH(G$4,Curves,0))</f>
        <v>3.987</v>
      </c>
      <c r="H225" s="143" t="n">
        <f aca="false">G225</f>
        <v>3.987</v>
      </c>
      <c r="I225" s="142" t="n">
        <f aca="false">VLOOKUP($A225,Table1,MATCH(I$3,Curves1,0))</f>
        <v>0</v>
      </c>
      <c r="J225" s="142" t="n">
        <f aca="false">VLOOKUP($A225,Table,MATCH(J$4,Curves,0))</f>
        <v>-0.061</v>
      </c>
      <c r="K225" s="143" t="n">
        <f aca="false">J225</f>
        <v>-0.061</v>
      </c>
      <c r="L225" s="144" t="n">
        <v>0</v>
      </c>
      <c r="M225" s="142" t="n">
        <f aca="false">VLOOKUP($A225,Table,MATCH(M$4,Curves,0))</f>
        <v>0.005</v>
      </c>
      <c r="N225" s="143" t="n">
        <f aca="false">M225</f>
        <v>0.005</v>
      </c>
      <c r="O225" s="144" t="n">
        <v>0</v>
      </c>
      <c r="P225" s="145"/>
      <c r="Q225" s="144" t="n">
        <f aca="false">M225+J225+G225</f>
        <v>3.931</v>
      </c>
      <c r="R225" s="144" t="n">
        <f aca="false">O225+L225+I225</f>
        <v>0</v>
      </c>
      <c r="S225" s="145"/>
      <c r="T225" s="71" t="n">
        <f aca="false">A226-A225</f>
        <v>31</v>
      </c>
      <c r="U225" s="146" t="n">
        <f aca="false">CHOOSE(F$3,A226+24,A225)</f>
        <v>43580</v>
      </c>
      <c r="V225" s="71" t="n">
        <f aca="false">U225-C$3</f>
        <v>6692</v>
      </c>
      <c r="W225" s="142" t="n">
        <f aca="false">VLOOKUP($A225,Table,MATCH(W$4,Curves,0))</f>
        <v>0.058966861357273</v>
      </c>
      <c r="X225" s="147" t="n">
        <f aca="false">1/(1+CHOOSE(F$3,(W226+($K$3/10000))/2,(W225+($K$3/10000))/2))^(2*V225/365.25)</f>
        <v>0.344813107336245</v>
      </c>
      <c r="Y225" s="71" t="n">
        <f aca="false">IF(AND(mthbeg&lt;=A225,mthend&gt;=A225),1,0)</f>
        <v>0</v>
      </c>
      <c r="Z225" s="71" t="n">
        <f aca="false">T225*Y225</f>
        <v>0</v>
      </c>
      <c r="AB225" s="132" t="n">
        <f aca="false">F225*G225</f>
        <v>0</v>
      </c>
      <c r="AC225" s="132" t="n">
        <f aca="false">$F225*H225</f>
        <v>0</v>
      </c>
      <c r="AD225" s="132" t="n">
        <f aca="false">$F225*I225</f>
        <v>0</v>
      </c>
      <c r="AE225" s="132" t="n">
        <f aca="false">$F225*J225</f>
        <v>-0</v>
      </c>
      <c r="AF225" s="132" t="n">
        <f aca="false">$F225*K225</f>
        <v>-0</v>
      </c>
      <c r="AG225" s="132" t="n">
        <f aca="false">$F225*L225</f>
        <v>0</v>
      </c>
      <c r="AH225" s="132" t="n">
        <f aca="false">$F225*M225</f>
        <v>0</v>
      </c>
      <c r="AI225" s="132" t="n">
        <f aca="false">$F225*N225</f>
        <v>0</v>
      </c>
      <c r="AJ225" s="132" t="n">
        <f aca="false">F225*O225</f>
        <v>0</v>
      </c>
      <c r="AK225" s="137"/>
      <c r="AL225" s="132" t="n">
        <f aca="false">CHOOSE($G$3,AC225-AD225,AD225-AC225)</f>
        <v>0</v>
      </c>
      <c r="AM225" s="132" t="n">
        <f aca="false">CHOOSE($G$3,AF225-AG225,AG225-AF225)</f>
        <v>0</v>
      </c>
      <c r="AN225" s="132" t="n">
        <f aca="false">CHOOSE($G$3,AI225-AJ225,AJ225-AI225)</f>
        <v>0</v>
      </c>
      <c r="AO225" s="148" t="n">
        <f aca="false">SUM(AL225:AN225)</f>
        <v>0</v>
      </c>
      <c r="AQ225" s="132" t="n">
        <f aca="false">CHOOSE($G$3,AB225-AC225,AC225-AB225)</f>
        <v>0</v>
      </c>
      <c r="AR225" s="132" t="n">
        <f aca="false">CHOOSE($G$3,AE225-AF225,AF225-AE225)</f>
        <v>0</v>
      </c>
      <c r="AS225" s="132" t="n">
        <f aca="false">CHOOSE($G$3,AH225-AI225,AI225-AH225)</f>
        <v>0</v>
      </c>
      <c r="AT225" s="148" t="n">
        <f aca="false">AQ225+AR225+AS225</f>
        <v>0</v>
      </c>
      <c r="AU225" s="148"/>
      <c r="AV225" s="133" t="n">
        <f aca="false">AT225+AO225</f>
        <v>0</v>
      </c>
      <c r="AX225" s="133" t="n">
        <f aca="false">AJ225+AG225+AD225</f>
        <v>0</v>
      </c>
      <c r="AY225" s="149"/>
      <c r="AZ225" s="76" t="n">
        <f aca="false">R225*E225</f>
        <v>0</v>
      </c>
    </row>
    <row r="226" customFormat="false" ht="12" hidden="false" customHeight="true" outlineLevel="0" collapsed="false">
      <c r="A226" s="138" t="n">
        <f aca="false">EDATE(A225,1)</f>
        <v>43556</v>
      </c>
      <c r="B226" s="139" t="n">
        <f aca="false">VLOOKUP($A226,Table2,MATCH(I$3,Curves2,0))</f>
        <v>0</v>
      </c>
      <c r="C226" s="140"/>
      <c r="D226" s="141" t="n">
        <f aca="false">B226+C226</f>
        <v>0</v>
      </c>
      <c r="E226" s="126" t="n">
        <f aca="false">IF(Y226=0,0,IF(AND(Y226=1,$H$3=1),D226*T226,IF($H$3=2,D226,"N/A")))</f>
        <v>0</v>
      </c>
      <c r="F226" s="126" t="n">
        <f aca="false">E226*X226</f>
        <v>0</v>
      </c>
      <c r="G226" s="142" t="n">
        <f aca="false">VLOOKUP($A226,Table,MATCH(G$4,Curves,0))</f>
        <v>3.987</v>
      </c>
      <c r="H226" s="143" t="n">
        <f aca="false">G226</f>
        <v>3.987</v>
      </c>
      <c r="I226" s="142" t="n">
        <f aca="false">VLOOKUP($A226,Table1,MATCH(I$3,Curves1,0))</f>
        <v>0</v>
      </c>
      <c r="J226" s="142" t="n">
        <f aca="false">VLOOKUP($A226,Table,MATCH(J$4,Curves,0))</f>
        <v>-0.061</v>
      </c>
      <c r="K226" s="143" t="n">
        <f aca="false">J226</f>
        <v>-0.061</v>
      </c>
      <c r="L226" s="144" t="n">
        <v>0</v>
      </c>
      <c r="M226" s="142" t="n">
        <f aca="false">VLOOKUP($A226,Table,MATCH(M$4,Curves,0))</f>
        <v>0.005</v>
      </c>
      <c r="N226" s="143" t="n">
        <f aca="false">M226</f>
        <v>0.005</v>
      </c>
      <c r="O226" s="144" t="n">
        <v>0</v>
      </c>
      <c r="P226" s="145"/>
      <c r="Q226" s="144" t="n">
        <f aca="false">M226+J226+G226</f>
        <v>3.931</v>
      </c>
      <c r="R226" s="144" t="n">
        <f aca="false">O226+L226+I226</f>
        <v>0</v>
      </c>
      <c r="S226" s="145"/>
      <c r="T226" s="71" t="n">
        <f aca="false">A227-A226</f>
        <v>30</v>
      </c>
      <c r="U226" s="146" t="n">
        <f aca="false">CHOOSE(F$3,A227+24,A226)</f>
        <v>43610</v>
      </c>
      <c r="V226" s="71" t="n">
        <f aca="false">U226-C$3</f>
        <v>6722</v>
      </c>
      <c r="W226" s="142" t="n">
        <f aca="false">VLOOKUP($A226,Table,MATCH(W$4,Curves,0))</f>
        <v>0.058966861357273</v>
      </c>
      <c r="X226" s="147" t="n">
        <f aca="false">1/(1+CHOOSE(F$3,(W227+($K$3/10000))/2,(W226+($K$3/10000))/2))^(2*V226/365.25)</f>
        <v>0.343171150394862</v>
      </c>
      <c r="Y226" s="71" t="n">
        <f aca="false">IF(AND(mthbeg&lt;=A226,mthend&gt;=A226),1,0)</f>
        <v>0</v>
      </c>
      <c r="Z226" s="71" t="n">
        <f aca="false">T226*Y226</f>
        <v>0</v>
      </c>
      <c r="AB226" s="132" t="n">
        <f aca="false">F226*G226</f>
        <v>0</v>
      </c>
      <c r="AC226" s="132" t="n">
        <f aca="false">$F226*H226</f>
        <v>0</v>
      </c>
      <c r="AD226" s="132" t="n">
        <f aca="false">$F226*I226</f>
        <v>0</v>
      </c>
      <c r="AE226" s="132" t="n">
        <f aca="false">$F226*J226</f>
        <v>-0</v>
      </c>
      <c r="AF226" s="132" t="n">
        <f aca="false">$F226*K226</f>
        <v>-0</v>
      </c>
      <c r="AG226" s="132" t="n">
        <f aca="false">$F226*L226</f>
        <v>0</v>
      </c>
      <c r="AH226" s="132" t="n">
        <f aca="false">$F226*M226</f>
        <v>0</v>
      </c>
      <c r="AI226" s="132" t="n">
        <f aca="false">$F226*N226</f>
        <v>0</v>
      </c>
      <c r="AJ226" s="132" t="n">
        <f aca="false">F226*O226</f>
        <v>0</v>
      </c>
      <c r="AK226" s="137"/>
      <c r="AL226" s="132" t="n">
        <f aca="false">CHOOSE($G$3,AC226-AD226,AD226-AC226)</f>
        <v>0</v>
      </c>
      <c r="AM226" s="132" t="n">
        <f aca="false">CHOOSE($G$3,AF226-AG226,AG226-AF226)</f>
        <v>0</v>
      </c>
      <c r="AN226" s="132" t="n">
        <f aca="false">CHOOSE($G$3,AI226-AJ226,AJ226-AI226)</f>
        <v>0</v>
      </c>
      <c r="AO226" s="148" t="n">
        <f aca="false">SUM(AL226:AN226)</f>
        <v>0</v>
      </c>
      <c r="AQ226" s="132" t="n">
        <f aca="false">CHOOSE($G$3,AB226-AC226,AC226-AB226)</f>
        <v>0</v>
      </c>
      <c r="AR226" s="132" t="n">
        <f aca="false">CHOOSE($G$3,AE226-AF226,AF226-AE226)</f>
        <v>0</v>
      </c>
      <c r="AS226" s="132" t="n">
        <f aca="false">CHOOSE($G$3,AH226-AI226,AI226-AH226)</f>
        <v>0</v>
      </c>
      <c r="AT226" s="148" t="n">
        <f aca="false">AQ226+AR226+AS226</f>
        <v>0</v>
      </c>
      <c r="AU226" s="148"/>
      <c r="AV226" s="133" t="n">
        <f aca="false">AT226+AO226</f>
        <v>0</v>
      </c>
      <c r="AX226" s="133" t="n">
        <f aca="false">AJ226+AG226+AD226</f>
        <v>0</v>
      </c>
      <c r="AY226" s="149"/>
      <c r="AZ226" s="76" t="n">
        <f aca="false">R226*E226</f>
        <v>0</v>
      </c>
    </row>
    <row r="227" customFormat="false" ht="12" hidden="false" customHeight="true" outlineLevel="0" collapsed="false">
      <c r="A227" s="138" t="n">
        <f aca="false">EDATE(A226,1)</f>
        <v>43586</v>
      </c>
      <c r="B227" s="139" t="n">
        <f aca="false">VLOOKUP($A227,Table2,MATCH(I$3,Curves2,0))</f>
        <v>0</v>
      </c>
      <c r="C227" s="140"/>
      <c r="D227" s="141" t="n">
        <f aca="false">B227+C227</f>
        <v>0</v>
      </c>
      <c r="E227" s="126" t="n">
        <f aca="false">IF(Y227=0,0,IF(AND(Y227=1,$H$3=1),D227*T227,IF($H$3=2,D227,"N/A")))</f>
        <v>0</v>
      </c>
      <c r="F227" s="126" t="n">
        <f aca="false">E227*X227</f>
        <v>0</v>
      </c>
      <c r="G227" s="142" t="n">
        <f aca="false">VLOOKUP($A227,Table,MATCH(G$4,Curves,0))</f>
        <v>3.987</v>
      </c>
      <c r="H227" s="143" t="n">
        <f aca="false">G227</f>
        <v>3.987</v>
      </c>
      <c r="I227" s="142" t="n">
        <f aca="false">VLOOKUP($A227,Table1,MATCH(I$3,Curves1,0))</f>
        <v>0</v>
      </c>
      <c r="J227" s="142" t="n">
        <f aca="false">VLOOKUP($A227,Table,MATCH(J$4,Curves,0))</f>
        <v>-0.061</v>
      </c>
      <c r="K227" s="143" t="n">
        <f aca="false">J227</f>
        <v>-0.061</v>
      </c>
      <c r="L227" s="144" t="n">
        <v>0</v>
      </c>
      <c r="M227" s="142" t="n">
        <f aca="false">VLOOKUP($A227,Table,MATCH(M$4,Curves,0))</f>
        <v>0.005</v>
      </c>
      <c r="N227" s="143" t="n">
        <f aca="false">M227</f>
        <v>0.005</v>
      </c>
      <c r="O227" s="144" t="n">
        <v>0</v>
      </c>
      <c r="P227" s="145"/>
      <c r="Q227" s="144" t="n">
        <f aca="false">M227+J227+G227</f>
        <v>3.931</v>
      </c>
      <c r="R227" s="144" t="n">
        <f aca="false">O227+L227+I227</f>
        <v>0</v>
      </c>
      <c r="S227" s="145"/>
      <c r="T227" s="71" t="n">
        <f aca="false">A228-A227</f>
        <v>31</v>
      </c>
      <c r="U227" s="146" t="n">
        <f aca="false">CHOOSE(F$3,A228+24,A227)</f>
        <v>43641</v>
      </c>
      <c r="V227" s="71" t="n">
        <f aca="false">U227-C$3</f>
        <v>6753</v>
      </c>
      <c r="W227" s="142" t="n">
        <f aca="false">VLOOKUP($A227,Table,MATCH(W$4,Curves,0))</f>
        <v>0.058966861357273</v>
      </c>
      <c r="X227" s="147" t="n">
        <f aca="false">1/(1+CHOOSE(F$3,(W228+($K$3/10000))/2,(W227+($K$3/10000))/2))^(2*V227/365.25)</f>
        <v>0.341482675197626</v>
      </c>
      <c r="Y227" s="71" t="n">
        <f aca="false">IF(AND(mthbeg&lt;=A227,mthend&gt;=A227),1,0)</f>
        <v>0</v>
      </c>
      <c r="Z227" s="71" t="n">
        <f aca="false">T227*Y227</f>
        <v>0</v>
      </c>
      <c r="AB227" s="132" t="n">
        <f aca="false">F227*G227</f>
        <v>0</v>
      </c>
      <c r="AC227" s="132" t="n">
        <f aca="false">$F227*H227</f>
        <v>0</v>
      </c>
      <c r="AD227" s="132" t="n">
        <f aca="false">$F227*I227</f>
        <v>0</v>
      </c>
      <c r="AE227" s="132" t="n">
        <f aca="false">$F227*J227</f>
        <v>-0</v>
      </c>
      <c r="AF227" s="132" t="n">
        <f aca="false">$F227*K227</f>
        <v>-0</v>
      </c>
      <c r="AG227" s="132" t="n">
        <f aca="false">$F227*L227</f>
        <v>0</v>
      </c>
      <c r="AH227" s="132" t="n">
        <f aca="false">$F227*M227</f>
        <v>0</v>
      </c>
      <c r="AI227" s="132" t="n">
        <f aca="false">$F227*N227</f>
        <v>0</v>
      </c>
      <c r="AJ227" s="132" t="n">
        <f aca="false">F227*O227</f>
        <v>0</v>
      </c>
      <c r="AK227" s="137"/>
      <c r="AL227" s="132" t="n">
        <f aca="false">CHOOSE($G$3,AC227-AD227,AD227-AC227)</f>
        <v>0</v>
      </c>
      <c r="AM227" s="132" t="n">
        <f aca="false">CHOOSE($G$3,AF227-AG227,AG227-AF227)</f>
        <v>0</v>
      </c>
      <c r="AN227" s="132" t="n">
        <f aca="false">CHOOSE($G$3,AI227-AJ227,AJ227-AI227)</f>
        <v>0</v>
      </c>
      <c r="AO227" s="148" t="n">
        <f aca="false">SUM(AL227:AN227)</f>
        <v>0</v>
      </c>
      <c r="AQ227" s="132" t="n">
        <f aca="false">CHOOSE($G$3,AB227-AC227,AC227-AB227)</f>
        <v>0</v>
      </c>
      <c r="AR227" s="132" t="n">
        <f aca="false">CHOOSE($G$3,AE227-AF227,AF227-AE227)</f>
        <v>0</v>
      </c>
      <c r="AS227" s="132" t="n">
        <f aca="false">CHOOSE($G$3,AH227-AI227,AI227-AH227)</f>
        <v>0</v>
      </c>
      <c r="AT227" s="148" t="n">
        <f aca="false">AQ227+AR227+AS227</f>
        <v>0</v>
      </c>
      <c r="AU227" s="148"/>
      <c r="AV227" s="133" t="n">
        <f aca="false">AT227+AO227</f>
        <v>0</v>
      </c>
      <c r="AX227" s="133" t="n">
        <f aca="false">AJ227+AG227+AD227</f>
        <v>0</v>
      </c>
      <c r="AY227" s="149"/>
      <c r="AZ227" s="76" t="n">
        <f aca="false">R227*E227</f>
        <v>0</v>
      </c>
    </row>
    <row r="228" customFormat="false" ht="12" hidden="false" customHeight="true" outlineLevel="0" collapsed="false">
      <c r="A228" s="138" t="n">
        <f aca="false">EDATE(A227,1)</f>
        <v>43617</v>
      </c>
      <c r="B228" s="139" t="n">
        <f aca="false">VLOOKUP($A228,Table2,MATCH(I$3,Curves2,0))</f>
        <v>0</v>
      </c>
      <c r="C228" s="140"/>
      <c r="D228" s="141" t="n">
        <f aca="false">B228+C228</f>
        <v>0</v>
      </c>
      <c r="E228" s="126" t="n">
        <f aca="false">IF(Y228=0,0,IF(AND(Y228=1,$H$3=1),D228*T228,IF($H$3=2,D228,"N/A")))</f>
        <v>0</v>
      </c>
      <c r="F228" s="126" t="n">
        <f aca="false">E228*X228</f>
        <v>0</v>
      </c>
      <c r="G228" s="142" t="n">
        <f aca="false">VLOOKUP($A228,Table,MATCH(G$4,Curves,0))</f>
        <v>3.987</v>
      </c>
      <c r="H228" s="143" t="n">
        <f aca="false">G228</f>
        <v>3.987</v>
      </c>
      <c r="I228" s="142" t="n">
        <f aca="false">VLOOKUP($A228,Table1,MATCH(I$3,Curves1,0))</f>
        <v>0</v>
      </c>
      <c r="J228" s="142" t="n">
        <f aca="false">VLOOKUP($A228,Table,MATCH(J$4,Curves,0))</f>
        <v>-0.061</v>
      </c>
      <c r="K228" s="143" t="n">
        <f aca="false">J228</f>
        <v>-0.061</v>
      </c>
      <c r="L228" s="144" t="n">
        <v>0</v>
      </c>
      <c r="M228" s="142" t="n">
        <f aca="false">VLOOKUP($A228,Table,MATCH(M$4,Curves,0))</f>
        <v>0.005</v>
      </c>
      <c r="N228" s="143" t="n">
        <f aca="false">M228</f>
        <v>0.005</v>
      </c>
      <c r="O228" s="144" t="n">
        <v>0</v>
      </c>
      <c r="P228" s="145"/>
      <c r="Q228" s="144" t="n">
        <f aca="false">M228+J228+G228</f>
        <v>3.931</v>
      </c>
      <c r="R228" s="144" t="n">
        <f aca="false">O228+L228+I228</f>
        <v>0</v>
      </c>
      <c r="S228" s="145"/>
      <c r="T228" s="71" t="n">
        <f aca="false">A229-A228</f>
        <v>30</v>
      </c>
      <c r="U228" s="146" t="n">
        <f aca="false">CHOOSE(F$3,A229+24,A228)</f>
        <v>43671</v>
      </c>
      <c r="V228" s="71" t="n">
        <f aca="false">U228-C$3</f>
        <v>6783</v>
      </c>
      <c r="W228" s="142" t="n">
        <f aca="false">VLOOKUP($A228,Table,MATCH(W$4,Curves,0))</f>
        <v>0.058966861357273</v>
      </c>
      <c r="X228" s="147" t="n">
        <f aca="false">1/(1+CHOOSE(F$3,(W229+($K$3/10000))/2,(W228+($K$3/10000))/2))^(2*V228/365.25)</f>
        <v>0.339856577358033</v>
      </c>
      <c r="Y228" s="71" t="n">
        <f aca="false">IF(AND(mthbeg&lt;=A228,mthend&gt;=A228),1,0)</f>
        <v>0</v>
      </c>
      <c r="Z228" s="71" t="n">
        <f aca="false">T228*Y228</f>
        <v>0</v>
      </c>
      <c r="AB228" s="132" t="n">
        <f aca="false">F228*G228</f>
        <v>0</v>
      </c>
      <c r="AC228" s="132" t="n">
        <f aca="false">$F228*H228</f>
        <v>0</v>
      </c>
      <c r="AD228" s="132" t="n">
        <f aca="false">$F228*I228</f>
        <v>0</v>
      </c>
      <c r="AE228" s="132" t="n">
        <f aca="false">$F228*J228</f>
        <v>-0</v>
      </c>
      <c r="AF228" s="132" t="n">
        <f aca="false">$F228*K228</f>
        <v>-0</v>
      </c>
      <c r="AG228" s="132" t="n">
        <f aca="false">$F228*L228</f>
        <v>0</v>
      </c>
      <c r="AH228" s="132" t="n">
        <f aca="false">$F228*M228</f>
        <v>0</v>
      </c>
      <c r="AI228" s="132" t="n">
        <f aca="false">$F228*N228</f>
        <v>0</v>
      </c>
      <c r="AJ228" s="132" t="n">
        <f aca="false">F228*O228</f>
        <v>0</v>
      </c>
      <c r="AK228" s="137"/>
      <c r="AL228" s="132" t="n">
        <f aca="false">CHOOSE($G$3,AC228-AD228,AD228-AC228)</f>
        <v>0</v>
      </c>
      <c r="AM228" s="132" t="n">
        <f aca="false">CHOOSE($G$3,AF228-AG228,AG228-AF228)</f>
        <v>0</v>
      </c>
      <c r="AN228" s="132" t="n">
        <f aca="false">CHOOSE($G$3,AI228-AJ228,AJ228-AI228)</f>
        <v>0</v>
      </c>
      <c r="AO228" s="148" t="n">
        <f aca="false">SUM(AL228:AN228)</f>
        <v>0</v>
      </c>
      <c r="AQ228" s="132" t="n">
        <f aca="false">CHOOSE($G$3,AB228-AC228,AC228-AB228)</f>
        <v>0</v>
      </c>
      <c r="AR228" s="132" t="n">
        <f aca="false">CHOOSE($G$3,AE228-AF228,AF228-AE228)</f>
        <v>0</v>
      </c>
      <c r="AS228" s="132" t="n">
        <f aca="false">CHOOSE($G$3,AH228-AI228,AI228-AH228)</f>
        <v>0</v>
      </c>
      <c r="AT228" s="148" t="n">
        <f aca="false">AQ228+AR228+AS228</f>
        <v>0</v>
      </c>
      <c r="AU228" s="148"/>
      <c r="AV228" s="133" t="n">
        <f aca="false">AT228+AO228</f>
        <v>0</v>
      </c>
      <c r="AX228" s="133" t="n">
        <f aca="false">AJ228+AG228+AD228</f>
        <v>0</v>
      </c>
      <c r="AY228" s="149"/>
      <c r="AZ228" s="76" t="n">
        <f aca="false">R228*E228</f>
        <v>0</v>
      </c>
    </row>
    <row r="229" customFormat="false" ht="12" hidden="false" customHeight="true" outlineLevel="0" collapsed="false">
      <c r="A229" s="138" t="n">
        <f aca="false">EDATE(A228,1)</f>
        <v>43647</v>
      </c>
      <c r="B229" s="139" t="n">
        <f aca="false">VLOOKUP($A229,Table2,MATCH(I$3,Curves2,0))</f>
        <v>0</v>
      </c>
      <c r="C229" s="140"/>
      <c r="D229" s="141" t="n">
        <f aca="false">B229+C229</f>
        <v>0</v>
      </c>
      <c r="E229" s="126" t="n">
        <f aca="false">IF(Y229=0,0,IF(AND(Y229=1,$H$3=1),D229*T229,IF($H$3=2,D229,"N/A")))</f>
        <v>0</v>
      </c>
      <c r="F229" s="126" t="n">
        <f aca="false">E229*X229</f>
        <v>0</v>
      </c>
      <c r="G229" s="142" t="n">
        <f aca="false">VLOOKUP($A229,Table,MATCH(G$4,Curves,0))</f>
        <v>3.987</v>
      </c>
      <c r="H229" s="143" t="n">
        <f aca="false">G229</f>
        <v>3.987</v>
      </c>
      <c r="I229" s="142" t="n">
        <f aca="false">VLOOKUP($A229,Table1,MATCH(I$3,Curves1,0))</f>
        <v>0</v>
      </c>
      <c r="J229" s="142" t="n">
        <f aca="false">VLOOKUP($A229,Table,MATCH(J$4,Curves,0))</f>
        <v>-0.061</v>
      </c>
      <c r="K229" s="143" t="n">
        <f aca="false">J229</f>
        <v>-0.061</v>
      </c>
      <c r="L229" s="144" t="n">
        <v>0</v>
      </c>
      <c r="M229" s="142" t="n">
        <f aca="false">VLOOKUP($A229,Table,MATCH(M$4,Curves,0))</f>
        <v>0.005</v>
      </c>
      <c r="N229" s="143" t="n">
        <f aca="false">M229</f>
        <v>0.005</v>
      </c>
      <c r="O229" s="144" t="n">
        <v>0</v>
      </c>
      <c r="P229" s="145"/>
      <c r="Q229" s="144" t="n">
        <f aca="false">M229+J229+G229</f>
        <v>3.931</v>
      </c>
      <c r="R229" s="144" t="n">
        <f aca="false">O229+L229+I229</f>
        <v>0</v>
      </c>
      <c r="S229" s="145"/>
      <c r="T229" s="71" t="n">
        <f aca="false">A230-A229</f>
        <v>31</v>
      </c>
      <c r="U229" s="146" t="n">
        <f aca="false">CHOOSE(F$3,A230+24,A229)</f>
        <v>43702</v>
      </c>
      <c r="V229" s="71" t="n">
        <f aca="false">U229-C$3</f>
        <v>6814</v>
      </c>
      <c r="W229" s="142" t="n">
        <f aca="false">VLOOKUP($A229,Table,MATCH(W$4,Curves,0))</f>
        <v>0.058966861357273</v>
      </c>
      <c r="X229" s="147" t="n">
        <f aca="false">1/(1+CHOOSE(F$3,(W230+($K$3/10000))/2,(W229+($K$3/10000))/2))^(2*V229/365.25)</f>
        <v>0.338184410566547</v>
      </c>
      <c r="Y229" s="71" t="n">
        <f aca="false">IF(AND(mthbeg&lt;=A229,mthend&gt;=A229),1,0)</f>
        <v>0</v>
      </c>
      <c r="Z229" s="71" t="n">
        <f aca="false">T229*Y229</f>
        <v>0</v>
      </c>
      <c r="AB229" s="132" t="n">
        <f aca="false">F229*G229</f>
        <v>0</v>
      </c>
      <c r="AC229" s="132" t="n">
        <f aca="false">$F229*H229</f>
        <v>0</v>
      </c>
      <c r="AD229" s="132" t="n">
        <f aca="false">$F229*I229</f>
        <v>0</v>
      </c>
      <c r="AE229" s="132" t="n">
        <f aca="false">$F229*J229</f>
        <v>-0</v>
      </c>
      <c r="AF229" s="132" t="n">
        <f aca="false">$F229*K229</f>
        <v>-0</v>
      </c>
      <c r="AG229" s="132" t="n">
        <f aca="false">$F229*L229</f>
        <v>0</v>
      </c>
      <c r="AH229" s="132" t="n">
        <f aca="false">$F229*M229</f>
        <v>0</v>
      </c>
      <c r="AI229" s="132" t="n">
        <f aca="false">$F229*N229</f>
        <v>0</v>
      </c>
      <c r="AJ229" s="132" t="n">
        <f aca="false">F229*O229</f>
        <v>0</v>
      </c>
      <c r="AK229" s="137"/>
      <c r="AL229" s="132" t="n">
        <f aca="false">CHOOSE($G$3,AC229-AD229,AD229-AC229)</f>
        <v>0</v>
      </c>
      <c r="AM229" s="132" t="n">
        <f aca="false">CHOOSE($G$3,AF229-AG229,AG229-AF229)</f>
        <v>0</v>
      </c>
      <c r="AN229" s="132" t="n">
        <f aca="false">CHOOSE($G$3,AI229-AJ229,AJ229-AI229)</f>
        <v>0</v>
      </c>
      <c r="AO229" s="148" t="n">
        <f aca="false">SUM(AL229:AN229)</f>
        <v>0</v>
      </c>
      <c r="AQ229" s="132" t="n">
        <f aca="false">CHOOSE($G$3,AB229-AC229,AC229-AB229)</f>
        <v>0</v>
      </c>
      <c r="AR229" s="132" t="n">
        <f aca="false">CHOOSE($G$3,AE229-AF229,AF229-AE229)</f>
        <v>0</v>
      </c>
      <c r="AS229" s="132" t="n">
        <f aca="false">CHOOSE($G$3,AH229-AI229,AI229-AH229)</f>
        <v>0</v>
      </c>
      <c r="AT229" s="148" t="n">
        <f aca="false">AQ229+AR229+AS229</f>
        <v>0</v>
      </c>
      <c r="AU229" s="148"/>
      <c r="AV229" s="133" t="n">
        <f aca="false">AT229+AO229</f>
        <v>0</v>
      </c>
      <c r="AX229" s="133" t="n">
        <f aca="false">AJ229+AG229+AD229</f>
        <v>0</v>
      </c>
      <c r="AY229" s="149"/>
      <c r="AZ229" s="76" t="n">
        <f aca="false">R229*E229</f>
        <v>0</v>
      </c>
    </row>
    <row r="230" customFormat="false" ht="12" hidden="false" customHeight="true" outlineLevel="0" collapsed="false">
      <c r="A230" s="138" t="n">
        <f aca="false">EDATE(A229,1)</f>
        <v>43678</v>
      </c>
      <c r="B230" s="139" t="n">
        <f aca="false">VLOOKUP($A230,Table2,MATCH(I$3,Curves2,0))</f>
        <v>0</v>
      </c>
      <c r="C230" s="140"/>
      <c r="D230" s="141" t="n">
        <f aca="false">B230+C230</f>
        <v>0</v>
      </c>
      <c r="E230" s="126" t="n">
        <f aca="false">IF(Y230=0,0,IF(AND(Y230=1,$H$3=1),D230*T230,IF($H$3=2,D230,"N/A")))</f>
        <v>0</v>
      </c>
      <c r="F230" s="126" t="n">
        <f aca="false">E230*X230</f>
        <v>0</v>
      </c>
      <c r="G230" s="142" t="n">
        <f aca="false">VLOOKUP($A230,Table,MATCH(G$4,Curves,0))</f>
        <v>3.987</v>
      </c>
      <c r="H230" s="143" t="n">
        <f aca="false">G230</f>
        <v>3.987</v>
      </c>
      <c r="I230" s="142" t="n">
        <f aca="false">VLOOKUP($A230,Table1,MATCH(I$3,Curves1,0))</f>
        <v>0</v>
      </c>
      <c r="J230" s="142" t="n">
        <f aca="false">VLOOKUP($A230,Table,MATCH(J$4,Curves,0))</f>
        <v>-0.061</v>
      </c>
      <c r="K230" s="143" t="n">
        <f aca="false">J230</f>
        <v>-0.061</v>
      </c>
      <c r="L230" s="144" t="n">
        <v>0</v>
      </c>
      <c r="M230" s="142" t="n">
        <f aca="false">VLOOKUP($A230,Table,MATCH(M$4,Curves,0))</f>
        <v>0.005</v>
      </c>
      <c r="N230" s="143" t="n">
        <f aca="false">M230</f>
        <v>0.005</v>
      </c>
      <c r="O230" s="144" t="n">
        <v>0</v>
      </c>
      <c r="P230" s="145"/>
      <c r="Q230" s="144" t="n">
        <f aca="false">M230+J230+G230</f>
        <v>3.931</v>
      </c>
      <c r="R230" s="144" t="n">
        <f aca="false">O230+L230+I230</f>
        <v>0</v>
      </c>
      <c r="S230" s="145"/>
      <c r="T230" s="71" t="n">
        <f aca="false">A231-A230</f>
        <v>31</v>
      </c>
      <c r="U230" s="146" t="n">
        <f aca="false">CHOOSE(F$3,A231+24,A230)</f>
        <v>43733</v>
      </c>
      <c r="V230" s="71" t="n">
        <f aca="false">U230-C$3</f>
        <v>6845</v>
      </c>
      <c r="W230" s="142" t="n">
        <f aca="false">VLOOKUP($A230,Table,MATCH(W$4,Curves,0))</f>
        <v>0.058966861357273</v>
      </c>
      <c r="X230" s="147" t="n">
        <f aca="false">1/(1+CHOOSE(F$3,(W231+($K$3/10000))/2,(W230+($K$3/10000))/2))^(2*V230/365.25)</f>
        <v>0.336520471192051</v>
      </c>
      <c r="Y230" s="71" t="n">
        <f aca="false">IF(AND(mthbeg&lt;=A230,mthend&gt;=A230),1,0)</f>
        <v>0</v>
      </c>
      <c r="Z230" s="71" t="n">
        <f aca="false">T230*Y230</f>
        <v>0</v>
      </c>
      <c r="AB230" s="132" t="n">
        <f aca="false">F230*G230</f>
        <v>0</v>
      </c>
      <c r="AC230" s="132" t="n">
        <f aca="false">$F230*H230</f>
        <v>0</v>
      </c>
      <c r="AD230" s="132" t="n">
        <f aca="false">$F230*I230</f>
        <v>0</v>
      </c>
      <c r="AE230" s="132" t="n">
        <f aca="false">$F230*J230</f>
        <v>-0</v>
      </c>
      <c r="AF230" s="132" t="n">
        <f aca="false">$F230*K230</f>
        <v>-0</v>
      </c>
      <c r="AG230" s="132" t="n">
        <f aca="false">$F230*L230</f>
        <v>0</v>
      </c>
      <c r="AH230" s="132" t="n">
        <f aca="false">$F230*M230</f>
        <v>0</v>
      </c>
      <c r="AI230" s="132" t="n">
        <f aca="false">$F230*N230</f>
        <v>0</v>
      </c>
      <c r="AJ230" s="132" t="n">
        <f aca="false">F230*O230</f>
        <v>0</v>
      </c>
      <c r="AK230" s="137"/>
      <c r="AL230" s="132" t="n">
        <f aca="false">CHOOSE($G$3,AC230-AD230,AD230-AC230)</f>
        <v>0</v>
      </c>
      <c r="AM230" s="132" t="n">
        <f aca="false">CHOOSE($G$3,AF230-AG230,AG230-AF230)</f>
        <v>0</v>
      </c>
      <c r="AN230" s="132" t="n">
        <f aca="false">CHOOSE($G$3,AI230-AJ230,AJ230-AI230)</f>
        <v>0</v>
      </c>
      <c r="AO230" s="148" t="n">
        <f aca="false">SUM(AL230:AN230)</f>
        <v>0</v>
      </c>
      <c r="AQ230" s="132" t="n">
        <f aca="false">CHOOSE($G$3,AB230-AC230,AC230-AB230)</f>
        <v>0</v>
      </c>
      <c r="AR230" s="132" t="n">
        <f aca="false">CHOOSE($G$3,AE230-AF230,AF230-AE230)</f>
        <v>0</v>
      </c>
      <c r="AS230" s="132" t="n">
        <f aca="false">CHOOSE($G$3,AH230-AI230,AI230-AH230)</f>
        <v>0</v>
      </c>
      <c r="AT230" s="148" t="n">
        <f aca="false">AQ230+AR230+AS230</f>
        <v>0</v>
      </c>
      <c r="AU230" s="148"/>
      <c r="AV230" s="133" t="n">
        <f aca="false">AT230+AO230</f>
        <v>0</v>
      </c>
      <c r="AX230" s="133" t="n">
        <f aca="false">AJ230+AG230+AD230</f>
        <v>0</v>
      </c>
      <c r="AY230" s="149"/>
      <c r="AZ230" s="76" t="n">
        <f aca="false">R230*E230</f>
        <v>0</v>
      </c>
    </row>
    <row r="231" customFormat="false" ht="12" hidden="false" customHeight="true" outlineLevel="0" collapsed="false">
      <c r="A231" s="138" t="n">
        <f aca="false">EDATE(A230,1)</f>
        <v>43709</v>
      </c>
      <c r="B231" s="139" t="n">
        <f aca="false">VLOOKUP($A231,Table2,MATCH(I$3,Curves2,0))</f>
        <v>0</v>
      </c>
      <c r="C231" s="140"/>
      <c r="D231" s="141" t="n">
        <f aca="false">B231+C231</f>
        <v>0</v>
      </c>
      <c r="E231" s="126" t="n">
        <f aca="false">IF(Y231=0,0,IF(AND(Y231=1,$H$3=1),D231*T231,IF($H$3=2,D231,"N/A")))</f>
        <v>0</v>
      </c>
      <c r="F231" s="126" t="n">
        <f aca="false">E231*X231</f>
        <v>0</v>
      </c>
      <c r="G231" s="142" t="n">
        <f aca="false">VLOOKUP($A231,Table,MATCH(G$4,Curves,0))</f>
        <v>3.987</v>
      </c>
      <c r="H231" s="143" t="n">
        <f aca="false">G231</f>
        <v>3.987</v>
      </c>
      <c r="I231" s="142" t="n">
        <f aca="false">VLOOKUP($A231,Table1,MATCH(I$3,Curves1,0))</f>
        <v>0</v>
      </c>
      <c r="J231" s="142" t="n">
        <f aca="false">VLOOKUP($A231,Table,MATCH(J$4,Curves,0))</f>
        <v>-0.061</v>
      </c>
      <c r="K231" s="143" t="n">
        <f aca="false">J231</f>
        <v>-0.061</v>
      </c>
      <c r="L231" s="144" t="n">
        <v>0</v>
      </c>
      <c r="M231" s="142" t="n">
        <f aca="false">VLOOKUP($A231,Table,MATCH(M$4,Curves,0))</f>
        <v>0.005</v>
      </c>
      <c r="N231" s="143" t="n">
        <f aca="false">M231</f>
        <v>0.005</v>
      </c>
      <c r="O231" s="144" t="n">
        <v>0</v>
      </c>
      <c r="P231" s="145"/>
      <c r="Q231" s="144" t="n">
        <f aca="false">M231+J231+G231</f>
        <v>3.931</v>
      </c>
      <c r="R231" s="144" t="n">
        <f aca="false">O231+L231+I231</f>
        <v>0</v>
      </c>
      <c r="S231" s="145"/>
      <c r="T231" s="71" t="n">
        <f aca="false">A232-A231</f>
        <v>30</v>
      </c>
      <c r="U231" s="146" t="n">
        <f aca="false">CHOOSE(F$3,A232+24,A231)</f>
        <v>43763</v>
      </c>
      <c r="V231" s="71" t="n">
        <f aca="false">U231-C$3</f>
        <v>6875</v>
      </c>
      <c r="W231" s="142" t="n">
        <f aca="false">VLOOKUP($A231,Table,MATCH(W$4,Curves,0))</f>
        <v>0.058966861357273</v>
      </c>
      <c r="X231" s="147" t="n">
        <f aca="false">1/(1+CHOOSE(F$3,(W232+($K$3/10000))/2,(W231+($K$3/10000))/2))^(2*V231/365.25)</f>
        <v>0.33491800274803</v>
      </c>
      <c r="Y231" s="71" t="n">
        <f aca="false">IF(AND(mthbeg&lt;=A231,mthend&gt;=A231),1,0)</f>
        <v>0</v>
      </c>
      <c r="Z231" s="71" t="n">
        <f aca="false">T231*Y231</f>
        <v>0</v>
      </c>
      <c r="AB231" s="132" t="n">
        <f aca="false">F231*G231</f>
        <v>0</v>
      </c>
      <c r="AC231" s="132" t="n">
        <f aca="false">$F231*H231</f>
        <v>0</v>
      </c>
      <c r="AD231" s="132" t="n">
        <f aca="false">$F231*I231</f>
        <v>0</v>
      </c>
      <c r="AE231" s="132" t="n">
        <f aca="false">$F231*J231</f>
        <v>-0</v>
      </c>
      <c r="AF231" s="132" t="n">
        <f aca="false">$F231*K231</f>
        <v>-0</v>
      </c>
      <c r="AG231" s="132" t="n">
        <f aca="false">$F231*L231</f>
        <v>0</v>
      </c>
      <c r="AH231" s="132" t="n">
        <f aca="false">$F231*M231</f>
        <v>0</v>
      </c>
      <c r="AI231" s="132" t="n">
        <f aca="false">$F231*N231</f>
        <v>0</v>
      </c>
      <c r="AJ231" s="132" t="n">
        <f aca="false">F231*O231</f>
        <v>0</v>
      </c>
      <c r="AK231" s="137"/>
      <c r="AL231" s="132" t="n">
        <f aca="false">CHOOSE($G$3,AC231-AD231,AD231-AC231)</f>
        <v>0</v>
      </c>
      <c r="AM231" s="132" t="n">
        <f aca="false">CHOOSE($G$3,AF231-AG231,AG231-AF231)</f>
        <v>0</v>
      </c>
      <c r="AN231" s="132" t="n">
        <f aca="false">CHOOSE($G$3,AI231-AJ231,AJ231-AI231)</f>
        <v>0</v>
      </c>
      <c r="AO231" s="148" t="n">
        <f aca="false">SUM(AL231:AN231)</f>
        <v>0</v>
      </c>
      <c r="AQ231" s="132" t="n">
        <f aca="false">CHOOSE($G$3,AB231-AC231,AC231-AB231)</f>
        <v>0</v>
      </c>
      <c r="AR231" s="132" t="n">
        <f aca="false">CHOOSE($G$3,AE231-AF231,AF231-AE231)</f>
        <v>0</v>
      </c>
      <c r="AS231" s="132" t="n">
        <f aca="false">CHOOSE($G$3,AH231-AI231,AI231-AH231)</f>
        <v>0</v>
      </c>
      <c r="AT231" s="148" t="n">
        <f aca="false">AQ231+AR231+AS231</f>
        <v>0</v>
      </c>
      <c r="AU231" s="148"/>
      <c r="AV231" s="133" t="n">
        <f aca="false">AT231+AO231</f>
        <v>0</v>
      </c>
      <c r="AX231" s="133" t="n">
        <f aca="false">AJ231+AG231+AD231</f>
        <v>0</v>
      </c>
      <c r="AY231" s="149"/>
      <c r="AZ231" s="76" t="n">
        <f aca="false">R231*E231</f>
        <v>0</v>
      </c>
    </row>
    <row r="232" customFormat="false" ht="12" hidden="false" customHeight="true" outlineLevel="0" collapsed="false">
      <c r="A232" s="138" t="n">
        <f aca="false">EDATE(A231,1)</f>
        <v>43739</v>
      </c>
      <c r="B232" s="139" t="n">
        <f aca="false">VLOOKUP($A232,Table2,MATCH(I$3,Curves2,0))</f>
        <v>0</v>
      </c>
      <c r="C232" s="140"/>
      <c r="D232" s="141" t="n">
        <f aca="false">B232+C232</f>
        <v>0</v>
      </c>
      <c r="E232" s="126" t="n">
        <f aca="false">IF(Y232=0,0,IF(AND(Y232=1,$H$3=1),D232*T232,IF($H$3=2,D232,"N/A")))</f>
        <v>0</v>
      </c>
      <c r="F232" s="126" t="n">
        <f aca="false">E232*X232</f>
        <v>0</v>
      </c>
      <c r="G232" s="142" t="n">
        <f aca="false">VLOOKUP($A232,Table,MATCH(G$4,Curves,0))</f>
        <v>3.987</v>
      </c>
      <c r="H232" s="143" t="n">
        <f aca="false">G232</f>
        <v>3.987</v>
      </c>
      <c r="I232" s="142" t="n">
        <f aca="false">VLOOKUP($A232,Table1,MATCH(I$3,Curves1,0))</f>
        <v>0</v>
      </c>
      <c r="J232" s="142" t="n">
        <f aca="false">VLOOKUP($A232,Table,MATCH(J$4,Curves,0))</f>
        <v>-0.061</v>
      </c>
      <c r="K232" s="143" t="n">
        <f aca="false">J232</f>
        <v>-0.061</v>
      </c>
      <c r="L232" s="144" t="n">
        <v>0</v>
      </c>
      <c r="M232" s="142" t="n">
        <f aca="false">VLOOKUP($A232,Table,MATCH(M$4,Curves,0))</f>
        <v>0.005</v>
      </c>
      <c r="N232" s="143" t="n">
        <f aca="false">M232</f>
        <v>0.005</v>
      </c>
      <c r="O232" s="144" t="n">
        <v>0</v>
      </c>
      <c r="P232" s="145"/>
      <c r="Q232" s="144" t="n">
        <f aca="false">M232+J232+G232</f>
        <v>3.931</v>
      </c>
      <c r="R232" s="144" t="n">
        <f aca="false">O232+L232+I232</f>
        <v>0</v>
      </c>
      <c r="S232" s="145"/>
      <c r="T232" s="71" t="n">
        <f aca="false">A233-A232</f>
        <v>31</v>
      </c>
      <c r="U232" s="146" t="n">
        <f aca="false">CHOOSE(F$3,A233+24,A232)</f>
        <v>43794</v>
      </c>
      <c r="V232" s="71" t="n">
        <f aca="false">U232-C$3</f>
        <v>6906</v>
      </c>
      <c r="W232" s="142" t="n">
        <f aca="false">VLOOKUP($A232,Table,MATCH(W$4,Curves,0))</f>
        <v>0.058966861357273</v>
      </c>
      <c r="X232" s="147" t="n">
        <f aca="false">1/(1+CHOOSE(F$3,(W233+($K$3/10000))/2,(W232+($K$3/10000))/2))^(2*V232/365.25)</f>
        <v>0.333270134796143</v>
      </c>
      <c r="Y232" s="71" t="n">
        <f aca="false">IF(AND(mthbeg&lt;=A232,mthend&gt;=A232),1,0)</f>
        <v>0</v>
      </c>
      <c r="Z232" s="71" t="n">
        <f aca="false">T232*Y232</f>
        <v>0</v>
      </c>
      <c r="AB232" s="132" t="n">
        <f aca="false">F232*G232</f>
        <v>0</v>
      </c>
      <c r="AC232" s="132" t="n">
        <f aca="false">$F232*H232</f>
        <v>0</v>
      </c>
      <c r="AD232" s="132" t="n">
        <f aca="false">$F232*I232</f>
        <v>0</v>
      </c>
      <c r="AE232" s="132" t="n">
        <f aca="false">$F232*J232</f>
        <v>-0</v>
      </c>
      <c r="AF232" s="132" t="n">
        <f aca="false">$F232*K232</f>
        <v>-0</v>
      </c>
      <c r="AG232" s="132" t="n">
        <f aca="false">$F232*L232</f>
        <v>0</v>
      </c>
      <c r="AH232" s="132" t="n">
        <f aca="false">$F232*M232</f>
        <v>0</v>
      </c>
      <c r="AI232" s="132" t="n">
        <f aca="false">$F232*N232</f>
        <v>0</v>
      </c>
      <c r="AJ232" s="132" t="n">
        <f aca="false">F232*O232</f>
        <v>0</v>
      </c>
      <c r="AK232" s="137"/>
      <c r="AL232" s="132" t="n">
        <f aca="false">CHOOSE($G$3,AC232-AD232,AD232-AC232)</f>
        <v>0</v>
      </c>
      <c r="AM232" s="132" t="n">
        <f aca="false">CHOOSE($G$3,AF232-AG232,AG232-AF232)</f>
        <v>0</v>
      </c>
      <c r="AN232" s="132" t="n">
        <f aca="false">CHOOSE($G$3,AI232-AJ232,AJ232-AI232)</f>
        <v>0</v>
      </c>
      <c r="AO232" s="148" t="n">
        <f aca="false">SUM(AL232:AN232)</f>
        <v>0</v>
      </c>
      <c r="AQ232" s="132" t="n">
        <f aca="false">CHOOSE($G$3,AB232-AC232,AC232-AB232)</f>
        <v>0</v>
      </c>
      <c r="AR232" s="132" t="n">
        <f aca="false">CHOOSE($G$3,AE232-AF232,AF232-AE232)</f>
        <v>0</v>
      </c>
      <c r="AS232" s="132" t="n">
        <f aca="false">CHOOSE($G$3,AH232-AI232,AI232-AH232)</f>
        <v>0</v>
      </c>
      <c r="AT232" s="148" t="n">
        <f aca="false">AQ232+AR232+AS232</f>
        <v>0</v>
      </c>
      <c r="AU232" s="148"/>
      <c r="AV232" s="133" t="n">
        <f aca="false">AT232+AO232</f>
        <v>0</v>
      </c>
      <c r="AX232" s="133" t="n">
        <f aca="false">AJ232+AG232+AD232</f>
        <v>0</v>
      </c>
      <c r="AY232" s="149"/>
      <c r="AZ232" s="76" t="n">
        <f aca="false">R232*E232</f>
        <v>0</v>
      </c>
    </row>
    <row r="233" customFormat="false" ht="12" hidden="false" customHeight="true" outlineLevel="0" collapsed="false">
      <c r="A233" s="138" t="n">
        <f aca="false">EDATE(A232,1)</f>
        <v>43770</v>
      </c>
      <c r="B233" s="139" t="n">
        <f aca="false">VLOOKUP($A233,Table2,MATCH(I$3,Curves2,0))</f>
        <v>0</v>
      </c>
      <c r="C233" s="140"/>
      <c r="D233" s="141" t="n">
        <f aca="false">B233+C233</f>
        <v>0</v>
      </c>
      <c r="E233" s="126" t="n">
        <f aca="false">IF(Y233=0,0,IF(AND(Y233=1,$H$3=1),D233*T233,IF($H$3=2,D233,"N/A")))</f>
        <v>0</v>
      </c>
      <c r="F233" s="126" t="n">
        <f aca="false">E233*X233</f>
        <v>0</v>
      </c>
      <c r="G233" s="142" t="n">
        <f aca="false">VLOOKUP($A233,Table,MATCH(G$4,Curves,0))</f>
        <v>3.987</v>
      </c>
      <c r="H233" s="143" t="n">
        <f aca="false">G233</f>
        <v>3.987</v>
      </c>
      <c r="I233" s="142" t="n">
        <f aca="false">VLOOKUP($A233,Table1,MATCH(I$3,Curves1,0))</f>
        <v>0</v>
      </c>
      <c r="J233" s="142" t="n">
        <f aca="false">VLOOKUP($A233,Table,MATCH(J$4,Curves,0))</f>
        <v>-0.061</v>
      </c>
      <c r="K233" s="143" t="n">
        <f aca="false">J233</f>
        <v>-0.061</v>
      </c>
      <c r="L233" s="144" t="n">
        <v>0</v>
      </c>
      <c r="M233" s="142" t="n">
        <f aca="false">VLOOKUP($A233,Table,MATCH(M$4,Curves,0))</f>
        <v>0.005</v>
      </c>
      <c r="N233" s="143" t="n">
        <f aca="false">M233</f>
        <v>0.005</v>
      </c>
      <c r="O233" s="144" t="n">
        <v>0</v>
      </c>
      <c r="P233" s="145"/>
      <c r="Q233" s="144" t="n">
        <f aca="false">M233+J233+G233</f>
        <v>3.931</v>
      </c>
      <c r="R233" s="144" t="n">
        <f aca="false">O233+L233+I233</f>
        <v>0</v>
      </c>
      <c r="S233" s="145"/>
      <c r="T233" s="71" t="n">
        <f aca="false">A234-A233</f>
        <v>30</v>
      </c>
      <c r="U233" s="146" t="n">
        <f aca="false">CHOOSE(F$3,A234+24,A233)</f>
        <v>43824</v>
      </c>
      <c r="V233" s="71" t="n">
        <f aca="false">U233-C$3</f>
        <v>6936</v>
      </c>
      <c r="W233" s="142" t="n">
        <f aca="false">VLOOKUP($A233,Table,MATCH(W$4,Curves,0))</f>
        <v>0.058966861357273</v>
      </c>
      <c r="X233" s="147" t="n">
        <f aca="false">1/(1+CHOOSE(F$3,(W234+($K$3/10000))/2,(W233+($K$3/10000))/2))^(2*V233/365.25)</f>
        <v>0.331683144047991</v>
      </c>
      <c r="Y233" s="71" t="n">
        <f aca="false">IF(AND(mthbeg&lt;=A233,mthend&gt;=A233),1,0)</f>
        <v>0</v>
      </c>
      <c r="Z233" s="71" t="n">
        <f aca="false">T233*Y233</f>
        <v>0</v>
      </c>
      <c r="AB233" s="132" t="n">
        <f aca="false">F233*G233</f>
        <v>0</v>
      </c>
      <c r="AC233" s="132" t="n">
        <f aca="false">$F233*H233</f>
        <v>0</v>
      </c>
      <c r="AD233" s="132" t="n">
        <f aca="false">$F233*I233</f>
        <v>0</v>
      </c>
      <c r="AE233" s="132" t="n">
        <f aca="false">$F233*J233</f>
        <v>-0</v>
      </c>
      <c r="AF233" s="132" t="n">
        <f aca="false">$F233*K233</f>
        <v>-0</v>
      </c>
      <c r="AG233" s="132" t="n">
        <f aca="false">$F233*L233</f>
        <v>0</v>
      </c>
      <c r="AH233" s="132" t="n">
        <f aca="false">$F233*M233</f>
        <v>0</v>
      </c>
      <c r="AI233" s="132" t="n">
        <f aca="false">$F233*N233</f>
        <v>0</v>
      </c>
      <c r="AJ233" s="132" t="n">
        <f aca="false">F233*O233</f>
        <v>0</v>
      </c>
      <c r="AK233" s="137"/>
      <c r="AL233" s="132" t="n">
        <f aca="false">CHOOSE($G$3,AC233-AD233,AD233-AC233)</f>
        <v>0</v>
      </c>
      <c r="AM233" s="132" t="n">
        <f aca="false">CHOOSE($G$3,AF233-AG233,AG233-AF233)</f>
        <v>0</v>
      </c>
      <c r="AN233" s="132" t="n">
        <f aca="false">CHOOSE($G$3,AI233-AJ233,AJ233-AI233)</f>
        <v>0</v>
      </c>
      <c r="AO233" s="148" t="n">
        <f aca="false">SUM(AL233:AN233)</f>
        <v>0</v>
      </c>
      <c r="AQ233" s="132" t="n">
        <f aca="false">CHOOSE($G$3,AB233-AC233,AC233-AB233)</f>
        <v>0</v>
      </c>
      <c r="AR233" s="132" t="n">
        <f aca="false">CHOOSE($G$3,AE233-AF233,AF233-AE233)</f>
        <v>0</v>
      </c>
      <c r="AS233" s="132" t="n">
        <f aca="false">CHOOSE($G$3,AH233-AI233,AI233-AH233)</f>
        <v>0</v>
      </c>
      <c r="AT233" s="148" t="n">
        <f aca="false">AQ233+AR233+AS233</f>
        <v>0</v>
      </c>
      <c r="AU233" s="148"/>
      <c r="AV233" s="133" t="n">
        <f aca="false">AT233+AO233</f>
        <v>0</v>
      </c>
      <c r="AX233" s="133" t="n">
        <f aca="false">AJ233+AG233+AD233</f>
        <v>0</v>
      </c>
      <c r="AY233" s="149"/>
      <c r="AZ233" s="76" t="n">
        <f aca="false">R233*E233</f>
        <v>0</v>
      </c>
    </row>
    <row r="234" customFormat="false" ht="12" hidden="false" customHeight="true" outlineLevel="0" collapsed="false">
      <c r="A234" s="138" t="n">
        <f aca="false">EDATE(A233,1)</f>
        <v>43800</v>
      </c>
      <c r="B234" s="139" t="n">
        <f aca="false">VLOOKUP($A234,Table2,MATCH(I$3,Curves2,0))</f>
        <v>0</v>
      </c>
      <c r="C234" s="140"/>
      <c r="D234" s="141" t="n">
        <f aca="false">B234+C234</f>
        <v>0</v>
      </c>
      <c r="E234" s="126" t="n">
        <f aca="false">IF(Y234=0,0,IF(AND(Y234=1,$H$3=1),D234*T234,IF($H$3=2,D234,"N/A")))</f>
        <v>0</v>
      </c>
      <c r="F234" s="126" t="n">
        <f aca="false">E234*X234</f>
        <v>0</v>
      </c>
      <c r="G234" s="142" t="n">
        <f aca="false">VLOOKUP($A234,Table,MATCH(G$4,Curves,0))</f>
        <v>3.987</v>
      </c>
      <c r="H234" s="143" t="n">
        <f aca="false">G234</f>
        <v>3.987</v>
      </c>
      <c r="I234" s="142" t="n">
        <f aca="false">VLOOKUP($A234,Table1,MATCH(I$3,Curves1,0))</f>
        <v>0</v>
      </c>
      <c r="J234" s="142" t="n">
        <f aca="false">VLOOKUP($A234,Table,MATCH(J$4,Curves,0))</f>
        <v>-0.061</v>
      </c>
      <c r="K234" s="143" t="n">
        <f aca="false">J234</f>
        <v>-0.061</v>
      </c>
      <c r="L234" s="144" t="n">
        <v>0</v>
      </c>
      <c r="M234" s="142" t="n">
        <f aca="false">VLOOKUP($A234,Table,MATCH(M$4,Curves,0))</f>
        <v>0.005</v>
      </c>
      <c r="N234" s="143" t="n">
        <f aca="false">M234</f>
        <v>0.005</v>
      </c>
      <c r="O234" s="144" t="n">
        <v>0</v>
      </c>
      <c r="P234" s="145"/>
      <c r="Q234" s="144" t="n">
        <f aca="false">M234+J234+G234</f>
        <v>3.931</v>
      </c>
      <c r="R234" s="144" t="n">
        <f aca="false">O234+L234+I234</f>
        <v>0</v>
      </c>
      <c r="S234" s="145"/>
      <c r="T234" s="71" t="n">
        <f aca="false">A235-A234</f>
        <v>31</v>
      </c>
      <c r="U234" s="146" t="n">
        <f aca="false">CHOOSE(F$3,A235+24,A234)</f>
        <v>43855</v>
      </c>
      <c r="V234" s="71" t="n">
        <f aca="false">U234-C$3</f>
        <v>6967</v>
      </c>
      <c r="W234" s="142" t="n">
        <f aca="false">VLOOKUP($A234,Table,MATCH(W$4,Curves,0))</f>
        <v>0.058966861357273</v>
      </c>
      <c r="X234" s="147" t="n">
        <f aca="false">1/(1+CHOOSE(F$3,(W235+($K$3/10000))/2,(W234+($K$3/10000))/2))^(2*V234/365.25)</f>
        <v>0.330051192290329</v>
      </c>
      <c r="Y234" s="71" t="n">
        <f aca="false">IF(AND(mthbeg&lt;=A234,mthend&gt;=A234),1,0)</f>
        <v>0</v>
      </c>
      <c r="Z234" s="71" t="n">
        <f aca="false">T234*Y234</f>
        <v>0</v>
      </c>
      <c r="AB234" s="132" t="n">
        <f aca="false">F234*G234</f>
        <v>0</v>
      </c>
      <c r="AC234" s="132" t="n">
        <f aca="false">$F234*H234</f>
        <v>0</v>
      </c>
      <c r="AD234" s="132" t="n">
        <f aca="false">$F234*I234</f>
        <v>0</v>
      </c>
      <c r="AE234" s="132" t="n">
        <f aca="false">$F234*J234</f>
        <v>-0</v>
      </c>
      <c r="AF234" s="132" t="n">
        <f aca="false">$F234*K234</f>
        <v>-0</v>
      </c>
      <c r="AG234" s="132" t="n">
        <f aca="false">$F234*L234</f>
        <v>0</v>
      </c>
      <c r="AH234" s="132" t="n">
        <f aca="false">$F234*M234</f>
        <v>0</v>
      </c>
      <c r="AI234" s="132" t="n">
        <f aca="false">$F234*N234</f>
        <v>0</v>
      </c>
      <c r="AJ234" s="132" t="n">
        <f aca="false">F234*O234</f>
        <v>0</v>
      </c>
      <c r="AK234" s="137"/>
      <c r="AL234" s="132" t="n">
        <f aca="false">CHOOSE($G$3,AC234-AD234,AD234-AC234)</f>
        <v>0</v>
      </c>
      <c r="AM234" s="132" t="n">
        <f aca="false">CHOOSE($G$3,AF234-AG234,AG234-AF234)</f>
        <v>0</v>
      </c>
      <c r="AN234" s="132" t="n">
        <f aca="false">CHOOSE($G$3,AI234-AJ234,AJ234-AI234)</f>
        <v>0</v>
      </c>
      <c r="AO234" s="148" t="n">
        <f aca="false">SUM(AL234:AN234)</f>
        <v>0</v>
      </c>
      <c r="AQ234" s="132" t="n">
        <f aca="false">CHOOSE($G$3,AB234-AC234,AC234-AB234)</f>
        <v>0</v>
      </c>
      <c r="AR234" s="132" t="n">
        <f aca="false">CHOOSE($G$3,AE234-AF234,AF234-AE234)</f>
        <v>0</v>
      </c>
      <c r="AS234" s="132" t="n">
        <f aca="false">CHOOSE($G$3,AH234-AI234,AI234-AH234)</f>
        <v>0</v>
      </c>
      <c r="AT234" s="148" t="n">
        <f aca="false">AQ234+AR234+AS234</f>
        <v>0</v>
      </c>
      <c r="AU234" s="148"/>
      <c r="AV234" s="133" t="n">
        <f aca="false">AT234+AO234</f>
        <v>0</v>
      </c>
      <c r="AX234" s="133" t="n">
        <f aca="false">AJ234+AG234+AD234</f>
        <v>0</v>
      </c>
      <c r="AY234" s="149"/>
      <c r="AZ234" s="76" t="n">
        <f aca="false">R234*E234</f>
        <v>0</v>
      </c>
    </row>
    <row r="235" customFormat="false" ht="12" hidden="false" customHeight="true" outlineLevel="0" collapsed="false">
      <c r="A235" s="138" t="n">
        <f aca="false">EDATE(A234,1)</f>
        <v>43831</v>
      </c>
      <c r="B235" s="139" t="n">
        <f aca="false">VLOOKUP($A235,Table2,MATCH(I$3,Curves2,0))</f>
        <v>0</v>
      </c>
      <c r="C235" s="140"/>
      <c r="D235" s="141" t="n">
        <f aca="false">B235+C235</f>
        <v>0</v>
      </c>
      <c r="E235" s="126" t="n">
        <f aca="false">IF(Y235=0,0,IF(AND(Y235=1,$H$3=1),D235*T235,IF($H$3=2,D235,"N/A")))</f>
        <v>0</v>
      </c>
      <c r="F235" s="126" t="n">
        <f aca="false">E235*X235</f>
        <v>0</v>
      </c>
      <c r="G235" s="142" t="n">
        <f aca="false">VLOOKUP($A235,Table,MATCH(G$4,Curves,0))</f>
        <v>3.987</v>
      </c>
      <c r="H235" s="143" t="n">
        <f aca="false">G235</f>
        <v>3.987</v>
      </c>
      <c r="I235" s="142" t="n">
        <f aca="false">VLOOKUP($A235,Table1,MATCH(I$3,Curves1,0))</f>
        <v>0</v>
      </c>
      <c r="J235" s="142" t="n">
        <f aca="false">VLOOKUP($A235,Table,MATCH(J$4,Curves,0))</f>
        <v>-0.061</v>
      </c>
      <c r="K235" s="143" t="n">
        <f aca="false">J235</f>
        <v>-0.061</v>
      </c>
      <c r="L235" s="144" t="n">
        <v>0</v>
      </c>
      <c r="M235" s="142" t="n">
        <f aca="false">VLOOKUP($A235,Table,MATCH(M$4,Curves,0))</f>
        <v>0.005</v>
      </c>
      <c r="N235" s="143" t="n">
        <f aca="false">M235</f>
        <v>0.005</v>
      </c>
      <c r="O235" s="144" t="n">
        <v>0</v>
      </c>
      <c r="P235" s="145"/>
      <c r="Q235" s="144" t="n">
        <f aca="false">M235+J235+G235</f>
        <v>3.931</v>
      </c>
      <c r="R235" s="144" t="n">
        <f aca="false">O235+L235+I235</f>
        <v>0</v>
      </c>
      <c r="S235" s="145"/>
      <c r="T235" s="71" t="n">
        <f aca="false">A236-A235</f>
        <v>31</v>
      </c>
      <c r="U235" s="146" t="n">
        <f aca="false">CHOOSE(F$3,A236+24,A235)</f>
        <v>43886</v>
      </c>
      <c r="V235" s="71" t="n">
        <f aca="false">U235-C$3</f>
        <v>6998</v>
      </c>
      <c r="W235" s="142" t="n">
        <f aca="false">VLOOKUP($A235,Table,MATCH(W$4,Curves,0))</f>
        <v>0.058966861357273</v>
      </c>
      <c r="X235" s="147" t="n">
        <f aca="false">1/(1+CHOOSE(F$3,(W236+($K$3/10000))/2,(W235+($K$3/10000))/2))^(2*V235/365.25)</f>
        <v>0.328427270083118</v>
      </c>
      <c r="Y235" s="71" t="n">
        <f aca="false">IF(AND(mthbeg&lt;=A235,mthend&gt;=A235),1,0)</f>
        <v>0</v>
      </c>
      <c r="Z235" s="71" t="n">
        <f aca="false">T235*Y235</f>
        <v>0</v>
      </c>
      <c r="AB235" s="132" t="n">
        <f aca="false">F235*G235</f>
        <v>0</v>
      </c>
      <c r="AC235" s="132" t="n">
        <f aca="false">$F235*H235</f>
        <v>0</v>
      </c>
      <c r="AD235" s="132" t="n">
        <f aca="false">$F235*I235</f>
        <v>0</v>
      </c>
      <c r="AE235" s="132" t="n">
        <f aca="false">$F235*J235</f>
        <v>-0</v>
      </c>
      <c r="AF235" s="132" t="n">
        <f aca="false">$F235*K235</f>
        <v>-0</v>
      </c>
      <c r="AG235" s="132" t="n">
        <f aca="false">$F235*L235</f>
        <v>0</v>
      </c>
      <c r="AH235" s="132" t="n">
        <f aca="false">$F235*M235</f>
        <v>0</v>
      </c>
      <c r="AI235" s="132" t="n">
        <f aca="false">$F235*N235</f>
        <v>0</v>
      </c>
      <c r="AJ235" s="132" t="n">
        <f aca="false">F235*O235</f>
        <v>0</v>
      </c>
      <c r="AK235" s="137"/>
      <c r="AL235" s="132" t="n">
        <f aca="false">CHOOSE($G$3,AC235-AD235,AD235-AC235)</f>
        <v>0</v>
      </c>
      <c r="AM235" s="132" t="n">
        <f aca="false">CHOOSE($G$3,AF235-AG235,AG235-AF235)</f>
        <v>0</v>
      </c>
      <c r="AN235" s="132" t="n">
        <f aca="false">CHOOSE($G$3,AI235-AJ235,AJ235-AI235)</f>
        <v>0</v>
      </c>
      <c r="AO235" s="148" t="n">
        <f aca="false">SUM(AL235:AN235)</f>
        <v>0</v>
      </c>
      <c r="AQ235" s="132" t="n">
        <f aca="false">CHOOSE($G$3,AB235-AC235,AC235-AB235)</f>
        <v>0</v>
      </c>
      <c r="AR235" s="132" t="n">
        <f aca="false">CHOOSE($G$3,AE235-AF235,AF235-AE235)</f>
        <v>0</v>
      </c>
      <c r="AS235" s="132" t="n">
        <f aca="false">CHOOSE($G$3,AH235-AI235,AI235-AH235)</f>
        <v>0</v>
      </c>
      <c r="AT235" s="148" t="n">
        <f aca="false">AQ235+AR235+AS235</f>
        <v>0</v>
      </c>
      <c r="AU235" s="148"/>
      <c r="AV235" s="133" t="n">
        <f aca="false">AT235+AO235</f>
        <v>0</v>
      </c>
      <c r="AX235" s="133" t="n">
        <f aca="false">AJ235+AG235+AD235</f>
        <v>0</v>
      </c>
      <c r="AY235" s="149"/>
      <c r="AZ235" s="76" t="n">
        <f aca="false">R235*E235</f>
        <v>0</v>
      </c>
    </row>
    <row r="236" customFormat="false" ht="12" hidden="false" customHeight="true" outlineLevel="0" collapsed="false">
      <c r="A236" s="138" t="n">
        <f aca="false">EDATE(A235,1)</f>
        <v>43862</v>
      </c>
      <c r="B236" s="139" t="n">
        <f aca="false">VLOOKUP($A236,Table2,MATCH(I$3,Curves2,0))</f>
        <v>0</v>
      </c>
      <c r="C236" s="140"/>
      <c r="D236" s="141" t="n">
        <f aca="false">B236+C236</f>
        <v>0</v>
      </c>
      <c r="E236" s="126" t="n">
        <f aca="false">IF(Y236=0,0,IF(AND(Y236=1,$H$3=1),D236*T236,IF($H$3=2,D236,"N/A")))</f>
        <v>0</v>
      </c>
      <c r="F236" s="126" t="n">
        <f aca="false">E236*X236</f>
        <v>0</v>
      </c>
      <c r="G236" s="142" t="n">
        <f aca="false">VLOOKUP($A236,Table,MATCH(G$4,Curves,0))</f>
        <v>3.987</v>
      </c>
      <c r="H236" s="143" t="n">
        <f aca="false">G236</f>
        <v>3.987</v>
      </c>
      <c r="I236" s="142" t="n">
        <f aca="false">VLOOKUP($A236,Table1,MATCH(I$3,Curves1,0))</f>
        <v>0</v>
      </c>
      <c r="J236" s="142" t="n">
        <f aca="false">VLOOKUP($A236,Table,MATCH(J$4,Curves,0))</f>
        <v>-0.061</v>
      </c>
      <c r="K236" s="143" t="n">
        <f aca="false">J236</f>
        <v>-0.061</v>
      </c>
      <c r="L236" s="144" t="n">
        <v>0</v>
      </c>
      <c r="M236" s="142" t="n">
        <f aca="false">VLOOKUP($A236,Table,MATCH(M$4,Curves,0))</f>
        <v>0.005</v>
      </c>
      <c r="N236" s="143" t="n">
        <f aca="false">M236</f>
        <v>0.005</v>
      </c>
      <c r="O236" s="144" t="n">
        <v>0</v>
      </c>
      <c r="P236" s="145"/>
      <c r="Q236" s="144" t="n">
        <f aca="false">M236+J236+G236</f>
        <v>3.931</v>
      </c>
      <c r="R236" s="144" t="n">
        <f aca="false">O236+L236+I236</f>
        <v>0</v>
      </c>
      <c r="S236" s="145"/>
      <c r="T236" s="71" t="n">
        <f aca="false">A237-A236</f>
        <v>29</v>
      </c>
      <c r="U236" s="146" t="n">
        <f aca="false">CHOOSE(F$3,A237+24,A236)</f>
        <v>43915</v>
      </c>
      <c r="V236" s="71" t="n">
        <f aca="false">U236-C$3</f>
        <v>7027</v>
      </c>
      <c r="W236" s="142" t="n">
        <f aca="false">VLOOKUP($A236,Table,MATCH(W$4,Curves,0))</f>
        <v>0.058966861357273</v>
      </c>
      <c r="X236" s="147" t="n">
        <f aca="false">1/(1+CHOOSE(F$3,(W237+($K$3/10000))/2,(W236+($K$3/10000))/2))^(2*V236/365.25)</f>
        <v>0.326915351258902</v>
      </c>
      <c r="Y236" s="71" t="n">
        <f aca="false">IF(AND(mthbeg&lt;=A236,mthend&gt;=A236),1,0)</f>
        <v>0</v>
      </c>
      <c r="Z236" s="71" t="n">
        <f aca="false">T236*Y236</f>
        <v>0</v>
      </c>
      <c r="AB236" s="132" t="n">
        <f aca="false">F236*G236</f>
        <v>0</v>
      </c>
      <c r="AC236" s="132" t="n">
        <f aca="false">$F236*H236</f>
        <v>0</v>
      </c>
      <c r="AD236" s="132" t="n">
        <f aca="false">$F236*I236</f>
        <v>0</v>
      </c>
      <c r="AE236" s="132" t="n">
        <f aca="false">$F236*J236</f>
        <v>-0</v>
      </c>
      <c r="AF236" s="132" t="n">
        <f aca="false">$F236*K236</f>
        <v>-0</v>
      </c>
      <c r="AG236" s="132" t="n">
        <f aca="false">$F236*L236</f>
        <v>0</v>
      </c>
      <c r="AH236" s="132" t="n">
        <f aca="false">$F236*M236</f>
        <v>0</v>
      </c>
      <c r="AI236" s="132" t="n">
        <f aca="false">$F236*N236</f>
        <v>0</v>
      </c>
      <c r="AJ236" s="132" t="n">
        <f aca="false">F236*O236</f>
        <v>0</v>
      </c>
      <c r="AK236" s="137"/>
      <c r="AL236" s="132" t="n">
        <f aca="false">CHOOSE($G$3,AC236-AD236,AD236-AC236)</f>
        <v>0</v>
      </c>
      <c r="AM236" s="132" t="n">
        <f aca="false">CHOOSE($G$3,AF236-AG236,AG236-AF236)</f>
        <v>0</v>
      </c>
      <c r="AN236" s="132" t="n">
        <f aca="false">CHOOSE($G$3,AI236-AJ236,AJ236-AI236)</f>
        <v>0</v>
      </c>
      <c r="AO236" s="148" t="n">
        <f aca="false">SUM(AL236:AN236)</f>
        <v>0</v>
      </c>
      <c r="AQ236" s="132" t="n">
        <f aca="false">CHOOSE($G$3,AB236-AC236,AC236-AB236)</f>
        <v>0</v>
      </c>
      <c r="AR236" s="132" t="n">
        <f aca="false">CHOOSE($G$3,AE236-AF236,AF236-AE236)</f>
        <v>0</v>
      </c>
      <c r="AS236" s="132" t="n">
        <f aca="false">CHOOSE($G$3,AH236-AI236,AI236-AH236)</f>
        <v>0</v>
      </c>
      <c r="AT236" s="148" t="n">
        <f aca="false">AQ236+AR236+AS236</f>
        <v>0</v>
      </c>
      <c r="AU236" s="148"/>
      <c r="AV236" s="133" t="n">
        <f aca="false">AT236+AO236</f>
        <v>0</v>
      </c>
      <c r="AX236" s="133" t="n">
        <f aca="false">AJ236+AG236+AD236</f>
        <v>0</v>
      </c>
      <c r="AY236" s="149"/>
      <c r="AZ236" s="76" t="n">
        <f aca="false">R236*E236</f>
        <v>0</v>
      </c>
    </row>
    <row r="237" customFormat="false" ht="12" hidden="false" customHeight="true" outlineLevel="0" collapsed="false">
      <c r="A237" s="138" t="n">
        <f aca="false">EDATE(A236,1)</f>
        <v>43891</v>
      </c>
      <c r="B237" s="139" t="n">
        <f aca="false">VLOOKUP($A237,Table2,MATCH(I$3,Curves2,0))</f>
        <v>0</v>
      </c>
      <c r="C237" s="140"/>
      <c r="D237" s="141" t="n">
        <f aca="false">B237+C237</f>
        <v>0</v>
      </c>
      <c r="E237" s="126" t="n">
        <f aca="false">IF(Y237=0,0,IF(AND(Y237=1,$H$3=1),D237*T237,IF($H$3=2,D237,"N/A")))</f>
        <v>0</v>
      </c>
      <c r="F237" s="126" t="n">
        <f aca="false">E237*X237</f>
        <v>0</v>
      </c>
      <c r="G237" s="142" t="n">
        <f aca="false">VLOOKUP($A237,Table,MATCH(G$4,Curves,0))</f>
        <v>3.987</v>
      </c>
      <c r="H237" s="143" t="n">
        <f aca="false">G237</f>
        <v>3.987</v>
      </c>
      <c r="I237" s="142" t="n">
        <f aca="false">VLOOKUP($A237,Table1,MATCH(I$3,Curves1,0))</f>
        <v>0</v>
      </c>
      <c r="J237" s="142" t="n">
        <f aca="false">VLOOKUP($A237,Table,MATCH(J$4,Curves,0))</f>
        <v>-0.061</v>
      </c>
      <c r="K237" s="143" t="n">
        <f aca="false">J237</f>
        <v>-0.061</v>
      </c>
      <c r="L237" s="144" t="n">
        <v>0</v>
      </c>
      <c r="M237" s="142" t="n">
        <f aca="false">VLOOKUP($A237,Table,MATCH(M$4,Curves,0))</f>
        <v>0.005</v>
      </c>
      <c r="N237" s="143" t="n">
        <f aca="false">M237</f>
        <v>0.005</v>
      </c>
      <c r="O237" s="144" t="n">
        <v>0</v>
      </c>
      <c r="P237" s="145"/>
      <c r="Q237" s="144" t="n">
        <f aca="false">M237+J237+G237</f>
        <v>3.931</v>
      </c>
      <c r="R237" s="144" t="n">
        <f aca="false">O237+L237+I237</f>
        <v>0</v>
      </c>
      <c r="S237" s="145"/>
      <c r="T237" s="71" t="n">
        <f aca="false">A238-A237</f>
        <v>31</v>
      </c>
      <c r="U237" s="146" t="n">
        <f aca="false">CHOOSE(F$3,A238+24,A237)</f>
        <v>43946</v>
      </c>
      <c r="V237" s="71" t="n">
        <f aca="false">U237-C$3</f>
        <v>7058</v>
      </c>
      <c r="W237" s="142" t="n">
        <f aca="false">VLOOKUP($A237,Table,MATCH(W$4,Curves,0))</f>
        <v>0.058966861357273</v>
      </c>
      <c r="X237" s="147" t="n">
        <f aca="false">1/(1+CHOOSE(F$3,(W238+($K$3/10000))/2,(W237+($K$3/10000))/2))^(2*V237/365.25)</f>
        <v>0.325306858057883</v>
      </c>
      <c r="Y237" s="71" t="n">
        <f aca="false">IF(AND(mthbeg&lt;=A237,mthend&gt;=A237),1,0)</f>
        <v>0</v>
      </c>
      <c r="Z237" s="71" t="n">
        <f aca="false">T237*Y237</f>
        <v>0</v>
      </c>
      <c r="AB237" s="132" t="n">
        <f aca="false">F237*G237</f>
        <v>0</v>
      </c>
      <c r="AC237" s="132" t="n">
        <f aca="false">$F237*H237</f>
        <v>0</v>
      </c>
      <c r="AD237" s="132" t="n">
        <f aca="false">$F237*I237</f>
        <v>0</v>
      </c>
      <c r="AE237" s="132" t="n">
        <f aca="false">$F237*J237</f>
        <v>-0</v>
      </c>
      <c r="AF237" s="132" t="n">
        <f aca="false">$F237*K237</f>
        <v>-0</v>
      </c>
      <c r="AG237" s="132" t="n">
        <f aca="false">$F237*L237</f>
        <v>0</v>
      </c>
      <c r="AH237" s="132" t="n">
        <f aca="false">$F237*M237</f>
        <v>0</v>
      </c>
      <c r="AI237" s="132" t="n">
        <f aca="false">$F237*N237</f>
        <v>0</v>
      </c>
      <c r="AJ237" s="132" t="n">
        <f aca="false">F237*O237</f>
        <v>0</v>
      </c>
      <c r="AK237" s="137"/>
      <c r="AL237" s="132" t="n">
        <f aca="false">CHOOSE($G$3,AC237-AD237,AD237-AC237)</f>
        <v>0</v>
      </c>
      <c r="AM237" s="132" t="n">
        <f aca="false">CHOOSE($G$3,AF237-AG237,AG237-AF237)</f>
        <v>0</v>
      </c>
      <c r="AN237" s="132" t="n">
        <f aca="false">CHOOSE($G$3,AI237-AJ237,AJ237-AI237)</f>
        <v>0</v>
      </c>
      <c r="AO237" s="148" t="n">
        <f aca="false">SUM(AL237:AN237)</f>
        <v>0</v>
      </c>
      <c r="AQ237" s="132" t="n">
        <f aca="false">CHOOSE($G$3,AB237-AC237,AC237-AB237)</f>
        <v>0</v>
      </c>
      <c r="AR237" s="132" t="n">
        <f aca="false">CHOOSE($G$3,AE237-AF237,AF237-AE237)</f>
        <v>0</v>
      </c>
      <c r="AS237" s="132" t="n">
        <f aca="false">CHOOSE($G$3,AH237-AI237,AI237-AH237)</f>
        <v>0</v>
      </c>
      <c r="AT237" s="148" t="n">
        <f aca="false">AQ237+AR237+AS237</f>
        <v>0</v>
      </c>
      <c r="AU237" s="148"/>
      <c r="AV237" s="133" t="n">
        <f aca="false">AT237+AO237</f>
        <v>0</v>
      </c>
      <c r="AX237" s="133" t="n">
        <f aca="false">AJ237+AG237+AD237</f>
        <v>0</v>
      </c>
      <c r="AY237" s="149"/>
      <c r="AZ237" s="76" t="n">
        <f aca="false">R237*E237</f>
        <v>0</v>
      </c>
    </row>
    <row r="238" customFormat="false" ht="12" hidden="false" customHeight="true" outlineLevel="0" collapsed="false">
      <c r="A238" s="138" t="n">
        <f aca="false">EDATE(A237,1)</f>
        <v>43922</v>
      </c>
      <c r="B238" s="139" t="n">
        <f aca="false">VLOOKUP($A238,Table2,MATCH(I$3,Curves2,0))</f>
        <v>0</v>
      </c>
      <c r="C238" s="140"/>
      <c r="D238" s="141" t="n">
        <f aca="false">B238+C238</f>
        <v>0</v>
      </c>
      <c r="E238" s="126" t="n">
        <f aca="false">IF(Y238=0,0,IF(AND(Y238=1,$H$3=1),D238*T238,IF($H$3=2,D238,"N/A")))</f>
        <v>0</v>
      </c>
      <c r="F238" s="126" t="n">
        <f aca="false">E238*X238</f>
        <v>0</v>
      </c>
      <c r="G238" s="142" t="n">
        <f aca="false">VLOOKUP($A238,Table,MATCH(G$4,Curves,0))</f>
        <v>3.987</v>
      </c>
      <c r="H238" s="143" t="n">
        <f aca="false">G238</f>
        <v>3.987</v>
      </c>
      <c r="I238" s="142" t="n">
        <f aca="false">VLOOKUP($A238,Table1,MATCH(I$3,Curves1,0))</f>
        <v>0</v>
      </c>
      <c r="J238" s="142" t="n">
        <f aca="false">VLOOKUP($A238,Table,MATCH(J$4,Curves,0))</f>
        <v>-0.061</v>
      </c>
      <c r="K238" s="143" t="n">
        <f aca="false">J238</f>
        <v>-0.061</v>
      </c>
      <c r="L238" s="144" t="n">
        <v>0</v>
      </c>
      <c r="M238" s="142" t="n">
        <f aca="false">VLOOKUP($A238,Table,MATCH(M$4,Curves,0))</f>
        <v>0.005</v>
      </c>
      <c r="N238" s="143" t="n">
        <f aca="false">M238</f>
        <v>0.005</v>
      </c>
      <c r="O238" s="144" t="n">
        <v>0</v>
      </c>
      <c r="P238" s="145"/>
      <c r="Q238" s="144" t="n">
        <f aca="false">M238+J238+G238</f>
        <v>3.931</v>
      </c>
      <c r="R238" s="144" t="n">
        <f aca="false">O238+L238+I238</f>
        <v>0</v>
      </c>
      <c r="S238" s="145"/>
      <c r="T238" s="71" t="n">
        <f aca="false">A239-A238</f>
        <v>30</v>
      </c>
      <c r="U238" s="146" t="n">
        <f aca="false">CHOOSE(F$3,A239+24,A238)</f>
        <v>43976</v>
      </c>
      <c r="V238" s="71" t="n">
        <f aca="false">U238-C$3</f>
        <v>7088</v>
      </c>
      <c r="W238" s="142" t="n">
        <f aca="false">VLOOKUP($A238,Table,MATCH(W$4,Curves,0))</f>
        <v>0.058966861357273</v>
      </c>
      <c r="X238" s="147" t="n">
        <f aca="false">1/(1+CHOOSE(F$3,(W239+($K$3/10000))/2,(W238+($K$3/10000))/2))^(2*V238/365.25)</f>
        <v>0.323757787438746</v>
      </c>
      <c r="Y238" s="71" t="n">
        <f aca="false">IF(AND(mthbeg&lt;=A238,mthend&gt;=A238),1,0)</f>
        <v>0</v>
      </c>
      <c r="Z238" s="71" t="n">
        <f aca="false">T238*Y238</f>
        <v>0</v>
      </c>
      <c r="AB238" s="132" t="n">
        <f aca="false">F238*G238</f>
        <v>0</v>
      </c>
      <c r="AC238" s="132" t="n">
        <f aca="false">$F238*H238</f>
        <v>0</v>
      </c>
      <c r="AD238" s="132" t="n">
        <f aca="false">$F238*I238</f>
        <v>0</v>
      </c>
      <c r="AE238" s="132" t="n">
        <f aca="false">$F238*J238</f>
        <v>-0</v>
      </c>
      <c r="AF238" s="132" t="n">
        <f aca="false">$F238*K238</f>
        <v>-0</v>
      </c>
      <c r="AG238" s="132" t="n">
        <f aca="false">$F238*L238</f>
        <v>0</v>
      </c>
      <c r="AH238" s="132" t="n">
        <f aca="false">$F238*M238</f>
        <v>0</v>
      </c>
      <c r="AI238" s="132" t="n">
        <f aca="false">$F238*N238</f>
        <v>0</v>
      </c>
      <c r="AJ238" s="132" t="n">
        <f aca="false">F238*O238</f>
        <v>0</v>
      </c>
      <c r="AK238" s="137"/>
      <c r="AL238" s="132" t="n">
        <f aca="false">CHOOSE($G$3,AC238-AD238,AD238-AC238)</f>
        <v>0</v>
      </c>
      <c r="AM238" s="132" t="n">
        <f aca="false">CHOOSE($G$3,AF238-AG238,AG238-AF238)</f>
        <v>0</v>
      </c>
      <c r="AN238" s="132" t="n">
        <f aca="false">CHOOSE($G$3,AI238-AJ238,AJ238-AI238)</f>
        <v>0</v>
      </c>
      <c r="AO238" s="148" t="n">
        <f aca="false">SUM(AL238:AN238)</f>
        <v>0</v>
      </c>
      <c r="AQ238" s="132" t="n">
        <f aca="false">CHOOSE($G$3,AB238-AC238,AC238-AB238)</f>
        <v>0</v>
      </c>
      <c r="AR238" s="132" t="n">
        <f aca="false">CHOOSE($G$3,AE238-AF238,AF238-AE238)</f>
        <v>0</v>
      </c>
      <c r="AS238" s="132" t="n">
        <f aca="false">CHOOSE($G$3,AH238-AI238,AI238-AH238)</f>
        <v>0</v>
      </c>
      <c r="AT238" s="148" t="n">
        <f aca="false">AQ238+AR238+AS238</f>
        <v>0</v>
      </c>
      <c r="AU238" s="148"/>
      <c r="AV238" s="133" t="n">
        <f aca="false">AT238+AO238</f>
        <v>0</v>
      </c>
      <c r="AX238" s="133" t="n">
        <f aca="false">AJ238+AG238+AD238</f>
        <v>0</v>
      </c>
      <c r="AY238" s="149"/>
      <c r="AZ238" s="76" t="n">
        <f aca="false">R238*E238</f>
        <v>0</v>
      </c>
    </row>
    <row r="239" customFormat="false" ht="12" hidden="false" customHeight="true" outlineLevel="0" collapsed="false">
      <c r="A239" s="138" t="n">
        <f aca="false">EDATE(A238,1)</f>
        <v>43952</v>
      </c>
      <c r="B239" s="139" t="n">
        <f aca="false">VLOOKUP($A239,Table2,MATCH(I$3,Curves2,0))</f>
        <v>0</v>
      </c>
      <c r="C239" s="140"/>
      <c r="D239" s="141" t="n">
        <f aca="false">B239+C239</f>
        <v>0</v>
      </c>
      <c r="E239" s="126" t="n">
        <f aca="false">IF(Y239=0,0,IF(AND(Y239=1,$H$3=1),D239*T239,IF($H$3=2,D239,"N/A")))</f>
        <v>0</v>
      </c>
      <c r="F239" s="126" t="n">
        <f aca="false">E239*X239</f>
        <v>0</v>
      </c>
      <c r="G239" s="142" t="n">
        <f aca="false">VLOOKUP($A239,Table,MATCH(G$4,Curves,0))</f>
        <v>3.987</v>
      </c>
      <c r="H239" s="143" t="n">
        <f aca="false">G239</f>
        <v>3.987</v>
      </c>
      <c r="I239" s="142" t="n">
        <f aca="false">VLOOKUP($A239,Table1,MATCH(I$3,Curves1,0))</f>
        <v>0</v>
      </c>
      <c r="J239" s="142" t="n">
        <f aca="false">VLOOKUP($A239,Table,MATCH(J$4,Curves,0))</f>
        <v>-0.061</v>
      </c>
      <c r="K239" s="143" t="n">
        <f aca="false">J239</f>
        <v>-0.061</v>
      </c>
      <c r="L239" s="144" t="n">
        <v>0</v>
      </c>
      <c r="M239" s="142" t="n">
        <f aca="false">VLOOKUP($A239,Table,MATCH(M$4,Curves,0))</f>
        <v>0.005</v>
      </c>
      <c r="N239" s="143" t="n">
        <f aca="false">M239</f>
        <v>0.005</v>
      </c>
      <c r="O239" s="144" t="n">
        <v>0</v>
      </c>
      <c r="P239" s="145"/>
      <c r="Q239" s="144" t="n">
        <f aca="false">M239+J239+G239</f>
        <v>3.931</v>
      </c>
      <c r="R239" s="144" t="n">
        <f aca="false">O239+L239+I239</f>
        <v>0</v>
      </c>
      <c r="S239" s="145"/>
      <c r="T239" s="71" t="n">
        <f aca="false">A240-A239</f>
        <v>31</v>
      </c>
      <c r="U239" s="146" t="n">
        <f aca="false">CHOOSE(F$3,A240+24,A239)</f>
        <v>44007</v>
      </c>
      <c r="V239" s="71" t="n">
        <f aca="false">U239-C$3</f>
        <v>7119</v>
      </c>
      <c r="W239" s="142" t="n">
        <f aca="false">VLOOKUP($A239,Table,MATCH(W$4,Curves,0))</f>
        <v>0.058966861357273</v>
      </c>
      <c r="X239" s="147" t="n">
        <f aca="false">1/(1+CHOOSE(F$3,(W240+($K$3/10000))/2,(W239+($K$3/10000))/2))^(2*V239/365.25)</f>
        <v>0.322164830124668</v>
      </c>
      <c r="Y239" s="71" t="n">
        <f aca="false">IF(AND(mthbeg&lt;=A239,mthend&gt;=A239),1,0)</f>
        <v>0</v>
      </c>
      <c r="Z239" s="71" t="n">
        <f aca="false">T239*Y239</f>
        <v>0</v>
      </c>
      <c r="AB239" s="132" t="n">
        <f aca="false">F239*G239</f>
        <v>0</v>
      </c>
      <c r="AC239" s="132" t="n">
        <f aca="false">$F239*H239</f>
        <v>0</v>
      </c>
      <c r="AD239" s="132" t="n">
        <f aca="false">$F239*I239</f>
        <v>0</v>
      </c>
      <c r="AE239" s="132" t="n">
        <f aca="false">$F239*J239</f>
        <v>-0</v>
      </c>
      <c r="AF239" s="132" t="n">
        <f aca="false">$F239*K239</f>
        <v>-0</v>
      </c>
      <c r="AG239" s="132" t="n">
        <f aca="false">$F239*L239</f>
        <v>0</v>
      </c>
      <c r="AH239" s="132" t="n">
        <f aca="false">$F239*M239</f>
        <v>0</v>
      </c>
      <c r="AI239" s="132" t="n">
        <f aca="false">$F239*N239</f>
        <v>0</v>
      </c>
      <c r="AJ239" s="132" t="n">
        <f aca="false">F239*O239</f>
        <v>0</v>
      </c>
      <c r="AK239" s="137"/>
      <c r="AL239" s="132" t="n">
        <f aca="false">CHOOSE($G$3,AC239-AD239,AD239-AC239)</f>
        <v>0</v>
      </c>
      <c r="AM239" s="132" t="n">
        <f aca="false">CHOOSE($G$3,AF239-AG239,AG239-AF239)</f>
        <v>0</v>
      </c>
      <c r="AN239" s="132" t="n">
        <f aca="false">CHOOSE($G$3,AI239-AJ239,AJ239-AI239)</f>
        <v>0</v>
      </c>
      <c r="AO239" s="148" t="n">
        <f aca="false">SUM(AL239:AN239)</f>
        <v>0</v>
      </c>
      <c r="AQ239" s="132" t="n">
        <f aca="false">CHOOSE($G$3,AB239-AC239,AC239-AB239)</f>
        <v>0</v>
      </c>
      <c r="AR239" s="132" t="n">
        <f aca="false">CHOOSE($G$3,AE239-AF239,AF239-AE239)</f>
        <v>0</v>
      </c>
      <c r="AS239" s="132" t="n">
        <f aca="false">CHOOSE($G$3,AH239-AI239,AI239-AH239)</f>
        <v>0</v>
      </c>
      <c r="AT239" s="148" t="n">
        <f aca="false">AQ239+AR239+AS239</f>
        <v>0</v>
      </c>
      <c r="AU239" s="148"/>
      <c r="AV239" s="133" t="n">
        <f aca="false">AT239+AO239</f>
        <v>0</v>
      </c>
      <c r="AX239" s="133" t="n">
        <f aca="false">AJ239+AG239+AD239</f>
        <v>0</v>
      </c>
      <c r="AY239" s="149"/>
      <c r="AZ239" s="76" t="n">
        <f aca="false">R239*E239</f>
        <v>0</v>
      </c>
    </row>
    <row r="240" customFormat="false" ht="12" hidden="false" customHeight="true" outlineLevel="0" collapsed="false">
      <c r="A240" s="138" t="n">
        <f aca="false">EDATE(A239,1)</f>
        <v>43983</v>
      </c>
      <c r="B240" s="139" t="n">
        <f aca="false">VLOOKUP($A240,Table2,MATCH(I$3,Curves2,0))</f>
        <v>0</v>
      </c>
      <c r="C240" s="140"/>
      <c r="D240" s="141" t="n">
        <f aca="false">B240+C240</f>
        <v>0</v>
      </c>
      <c r="E240" s="126" t="n">
        <f aca="false">IF(Y240=0,0,IF(AND(Y240=1,$H$3=1),D240*T240,IF($H$3=2,D240,"N/A")))</f>
        <v>0</v>
      </c>
      <c r="F240" s="126" t="n">
        <f aca="false">E240*X240</f>
        <v>0</v>
      </c>
      <c r="G240" s="142" t="n">
        <f aca="false">VLOOKUP($A240,Table,MATCH(G$4,Curves,0))</f>
        <v>3.987</v>
      </c>
      <c r="H240" s="143" t="n">
        <f aca="false">G240</f>
        <v>3.987</v>
      </c>
      <c r="I240" s="142" t="n">
        <f aca="false">VLOOKUP($A240,Table1,MATCH(I$3,Curves1,0))</f>
        <v>0</v>
      </c>
      <c r="J240" s="142" t="n">
        <f aca="false">VLOOKUP($A240,Table,MATCH(J$4,Curves,0))</f>
        <v>-0.061</v>
      </c>
      <c r="K240" s="143" t="n">
        <f aca="false">J240</f>
        <v>-0.061</v>
      </c>
      <c r="L240" s="144" t="n">
        <v>0</v>
      </c>
      <c r="M240" s="142" t="n">
        <f aca="false">VLOOKUP($A240,Table,MATCH(M$4,Curves,0))</f>
        <v>0.005</v>
      </c>
      <c r="N240" s="143" t="n">
        <f aca="false">M240</f>
        <v>0.005</v>
      </c>
      <c r="O240" s="144" t="n">
        <v>0</v>
      </c>
      <c r="P240" s="145"/>
      <c r="Q240" s="144" t="n">
        <f aca="false">M240+J240+G240</f>
        <v>3.931</v>
      </c>
      <c r="R240" s="144" t="n">
        <f aca="false">O240+L240+I240</f>
        <v>0</v>
      </c>
      <c r="S240" s="145"/>
      <c r="T240" s="71" t="n">
        <f aca="false">A241-A240</f>
        <v>30</v>
      </c>
      <c r="U240" s="146" t="n">
        <f aca="false">CHOOSE(F$3,A241+24,A240)</f>
        <v>44037</v>
      </c>
      <c r="V240" s="71" t="n">
        <f aca="false">U240-C$3</f>
        <v>7149</v>
      </c>
      <c r="W240" s="142" t="n">
        <f aca="false">VLOOKUP($A240,Table,MATCH(W$4,Curves,0))</f>
        <v>0.058966861357273</v>
      </c>
      <c r="X240" s="147" t="n">
        <f aca="false">1/(1+CHOOSE(F$3,(W241+($K$3/10000))/2,(W240+($K$3/10000))/2))^(2*V240/365.25)</f>
        <v>0.320630721450032</v>
      </c>
      <c r="Y240" s="71" t="n">
        <f aca="false">IF(AND(mthbeg&lt;=A240,mthend&gt;=A240),1,0)</f>
        <v>0</v>
      </c>
      <c r="Z240" s="71" t="n">
        <f aca="false">T240*Y240</f>
        <v>0</v>
      </c>
      <c r="AB240" s="132" t="n">
        <f aca="false">F240*G240</f>
        <v>0</v>
      </c>
      <c r="AC240" s="132" t="n">
        <f aca="false">$F240*H240</f>
        <v>0</v>
      </c>
      <c r="AD240" s="132" t="n">
        <f aca="false">$F240*I240</f>
        <v>0</v>
      </c>
      <c r="AE240" s="132" t="n">
        <f aca="false">$F240*J240</f>
        <v>-0</v>
      </c>
      <c r="AF240" s="132" t="n">
        <f aca="false">$F240*K240</f>
        <v>-0</v>
      </c>
      <c r="AG240" s="132" t="n">
        <f aca="false">$F240*L240</f>
        <v>0</v>
      </c>
      <c r="AH240" s="132" t="n">
        <f aca="false">$F240*M240</f>
        <v>0</v>
      </c>
      <c r="AI240" s="132" t="n">
        <f aca="false">$F240*N240</f>
        <v>0</v>
      </c>
      <c r="AJ240" s="132" t="n">
        <f aca="false">F240*O240</f>
        <v>0</v>
      </c>
      <c r="AK240" s="137"/>
      <c r="AL240" s="132" t="n">
        <f aca="false">CHOOSE($G$3,AC240-AD240,AD240-AC240)</f>
        <v>0</v>
      </c>
      <c r="AM240" s="132" t="n">
        <f aca="false">CHOOSE($G$3,AF240-AG240,AG240-AF240)</f>
        <v>0</v>
      </c>
      <c r="AN240" s="132" t="n">
        <f aca="false">CHOOSE($G$3,AI240-AJ240,AJ240-AI240)</f>
        <v>0</v>
      </c>
      <c r="AO240" s="148" t="n">
        <f aca="false">SUM(AL240:AN240)</f>
        <v>0</v>
      </c>
      <c r="AQ240" s="132" t="n">
        <f aca="false">CHOOSE($G$3,AB240-AC240,AC240-AB240)</f>
        <v>0</v>
      </c>
      <c r="AR240" s="132" t="n">
        <f aca="false">CHOOSE($G$3,AE240-AF240,AF240-AE240)</f>
        <v>0</v>
      </c>
      <c r="AS240" s="132" t="n">
        <f aca="false">CHOOSE($G$3,AH240-AI240,AI240-AH240)</f>
        <v>0</v>
      </c>
      <c r="AT240" s="148" t="n">
        <f aca="false">AQ240+AR240+AS240</f>
        <v>0</v>
      </c>
      <c r="AU240" s="148"/>
      <c r="AV240" s="133" t="n">
        <f aca="false">AT240+AO240</f>
        <v>0</v>
      </c>
      <c r="AX240" s="133" t="n">
        <f aca="false">AJ240+AG240+AD240</f>
        <v>0</v>
      </c>
      <c r="AY240" s="149"/>
      <c r="AZ240" s="76" t="n">
        <f aca="false">R240*E240</f>
        <v>0</v>
      </c>
    </row>
    <row r="241" customFormat="false" ht="12" hidden="false" customHeight="true" outlineLevel="0" collapsed="false">
      <c r="A241" s="138" t="n">
        <f aca="false">EDATE(A240,1)</f>
        <v>44013</v>
      </c>
      <c r="B241" s="139" t="n">
        <f aca="false">VLOOKUP($A241,Table2,MATCH(I$3,Curves2,0))</f>
        <v>0</v>
      </c>
      <c r="C241" s="140"/>
      <c r="D241" s="141" t="n">
        <f aca="false">B241+C241</f>
        <v>0</v>
      </c>
      <c r="E241" s="126" t="n">
        <f aca="false">IF(Y241=0,0,IF(AND(Y241=1,$H$3=1),D241*T241,IF($H$3=2,D241,"N/A")))</f>
        <v>0</v>
      </c>
      <c r="F241" s="126" t="n">
        <f aca="false">E241*X241</f>
        <v>0</v>
      </c>
      <c r="G241" s="142" t="n">
        <f aca="false">VLOOKUP($A241,Table,MATCH(G$4,Curves,0))</f>
        <v>3.987</v>
      </c>
      <c r="H241" s="143" t="n">
        <f aca="false">G241</f>
        <v>3.987</v>
      </c>
      <c r="I241" s="142" t="n">
        <f aca="false">VLOOKUP($A241,Table1,MATCH(I$3,Curves1,0))</f>
        <v>0</v>
      </c>
      <c r="J241" s="142" t="n">
        <f aca="false">VLOOKUP($A241,Table,MATCH(J$4,Curves,0))</f>
        <v>-0.061</v>
      </c>
      <c r="K241" s="143" t="n">
        <f aca="false">J241</f>
        <v>-0.061</v>
      </c>
      <c r="L241" s="144" t="n">
        <v>0</v>
      </c>
      <c r="M241" s="142" t="n">
        <f aca="false">VLOOKUP($A241,Table,MATCH(M$4,Curves,0))</f>
        <v>0.005</v>
      </c>
      <c r="N241" s="143" t="n">
        <f aca="false">M241</f>
        <v>0.005</v>
      </c>
      <c r="O241" s="144" t="n">
        <v>0</v>
      </c>
      <c r="P241" s="145"/>
      <c r="Q241" s="144" t="n">
        <f aca="false">M241+J241+G241</f>
        <v>3.931</v>
      </c>
      <c r="R241" s="144" t="n">
        <f aca="false">O241+L241+I241</f>
        <v>0</v>
      </c>
      <c r="S241" s="145"/>
      <c r="T241" s="71" t="n">
        <f aca="false">A242-A241</f>
        <v>31</v>
      </c>
      <c r="U241" s="146" t="n">
        <f aca="false">CHOOSE(F$3,A242+24,A241)</f>
        <v>44068</v>
      </c>
      <c r="V241" s="71" t="n">
        <f aca="false">U241-C$3</f>
        <v>7180</v>
      </c>
      <c r="W241" s="142" t="n">
        <f aca="false">VLOOKUP($A241,Table,MATCH(W$4,Curves,0))</f>
        <v>0.058966861357273</v>
      </c>
      <c r="X241" s="147" t="n">
        <f aca="false">1/(1+CHOOSE(F$3,(W242+($K$3/10000))/2,(W241+($K$3/10000))/2))^(2*V241/365.25)</f>
        <v>0.319053149967065</v>
      </c>
      <c r="Y241" s="71" t="n">
        <f aca="false">IF(AND(mthbeg&lt;=A241,mthend&gt;=A241),1,0)</f>
        <v>0</v>
      </c>
      <c r="Z241" s="71" t="n">
        <f aca="false">T241*Y241</f>
        <v>0</v>
      </c>
      <c r="AB241" s="132" t="n">
        <f aca="false">F241*G241</f>
        <v>0</v>
      </c>
      <c r="AC241" s="132" t="n">
        <f aca="false">$F241*H241</f>
        <v>0</v>
      </c>
      <c r="AD241" s="132" t="n">
        <f aca="false">$F241*I241</f>
        <v>0</v>
      </c>
      <c r="AE241" s="132" t="n">
        <f aca="false">$F241*J241</f>
        <v>-0</v>
      </c>
      <c r="AF241" s="132" t="n">
        <f aca="false">$F241*K241</f>
        <v>-0</v>
      </c>
      <c r="AG241" s="132" t="n">
        <f aca="false">$F241*L241</f>
        <v>0</v>
      </c>
      <c r="AH241" s="132" t="n">
        <f aca="false">$F241*M241</f>
        <v>0</v>
      </c>
      <c r="AI241" s="132" t="n">
        <f aca="false">$F241*N241</f>
        <v>0</v>
      </c>
      <c r="AJ241" s="132" t="n">
        <f aca="false">F241*O241</f>
        <v>0</v>
      </c>
      <c r="AK241" s="137"/>
      <c r="AL241" s="132" t="n">
        <f aca="false">CHOOSE($G$3,AC241-AD241,AD241-AC241)</f>
        <v>0</v>
      </c>
      <c r="AM241" s="132" t="n">
        <f aca="false">CHOOSE($G$3,AF241-AG241,AG241-AF241)</f>
        <v>0</v>
      </c>
      <c r="AN241" s="132" t="n">
        <f aca="false">CHOOSE($G$3,AI241-AJ241,AJ241-AI241)</f>
        <v>0</v>
      </c>
      <c r="AO241" s="148" t="n">
        <f aca="false">SUM(AL241:AN241)</f>
        <v>0</v>
      </c>
      <c r="AQ241" s="132" t="n">
        <f aca="false">CHOOSE($G$3,AB241-AC241,AC241-AB241)</f>
        <v>0</v>
      </c>
      <c r="AR241" s="132" t="n">
        <f aca="false">CHOOSE($G$3,AE241-AF241,AF241-AE241)</f>
        <v>0</v>
      </c>
      <c r="AS241" s="132" t="n">
        <f aca="false">CHOOSE($G$3,AH241-AI241,AI241-AH241)</f>
        <v>0</v>
      </c>
      <c r="AT241" s="148" t="n">
        <f aca="false">AQ241+AR241+AS241</f>
        <v>0</v>
      </c>
      <c r="AU241" s="148"/>
      <c r="AV241" s="133" t="n">
        <f aca="false">AT241+AO241</f>
        <v>0</v>
      </c>
      <c r="AX241" s="133" t="n">
        <f aca="false">AJ241+AG241+AD241</f>
        <v>0</v>
      </c>
      <c r="AY241" s="149"/>
      <c r="AZ241" s="76" t="n">
        <f aca="false">R241*E241</f>
        <v>0</v>
      </c>
    </row>
    <row r="242" customFormat="false" ht="12" hidden="false" customHeight="true" outlineLevel="0" collapsed="false">
      <c r="A242" s="138" t="n">
        <f aca="false">EDATE(A241,1)</f>
        <v>44044</v>
      </c>
      <c r="B242" s="139" t="n">
        <f aca="false">VLOOKUP($A242,Table2,MATCH(I$3,Curves2,0))</f>
        <v>0</v>
      </c>
      <c r="C242" s="140"/>
      <c r="D242" s="141" t="n">
        <f aca="false">B242+C242</f>
        <v>0</v>
      </c>
      <c r="E242" s="126" t="n">
        <f aca="false">IF(Y242=0,0,IF(AND(Y242=1,$H$3=1),D242*T242,IF($H$3=2,D242,"N/A")))</f>
        <v>0</v>
      </c>
      <c r="F242" s="126" t="n">
        <f aca="false">E242*X242</f>
        <v>0</v>
      </c>
      <c r="G242" s="142" t="n">
        <f aca="false">VLOOKUP($A242,Table,MATCH(G$4,Curves,0))</f>
        <v>3.987</v>
      </c>
      <c r="H242" s="143" t="n">
        <f aca="false">G242</f>
        <v>3.987</v>
      </c>
      <c r="I242" s="142" t="n">
        <f aca="false">VLOOKUP($A242,Table1,MATCH(I$3,Curves1,0))</f>
        <v>0</v>
      </c>
      <c r="J242" s="142" t="n">
        <f aca="false">VLOOKUP($A242,Table,MATCH(J$4,Curves,0))</f>
        <v>-0.061</v>
      </c>
      <c r="K242" s="143" t="n">
        <f aca="false">J242</f>
        <v>-0.061</v>
      </c>
      <c r="L242" s="144" t="n">
        <v>0</v>
      </c>
      <c r="M242" s="142" t="n">
        <f aca="false">VLOOKUP($A242,Table,MATCH(M$4,Curves,0))</f>
        <v>0.005</v>
      </c>
      <c r="N242" s="143" t="n">
        <f aca="false">M242</f>
        <v>0.005</v>
      </c>
      <c r="O242" s="144" t="n">
        <v>0</v>
      </c>
      <c r="P242" s="145"/>
      <c r="Q242" s="144" t="n">
        <f aca="false">M242+J242+G242</f>
        <v>3.931</v>
      </c>
      <c r="R242" s="144" t="n">
        <f aca="false">O242+L242+I242</f>
        <v>0</v>
      </c>
      <c r="S242" s="145"/>
      <c r="T242" s="71" t="n">
        <f aca="false">A243-A242</f>
        <v>31</v>
      </c>
      <c r="U242" s="146" t="n">
        <f aca="false">CHOOSE(F$3,A243+24,A242)</f>
        <v>44099</v>
      </c>
      <c r="V242" s="71" t="n">
        <f aca="false">U242-C$3</f>
        <v>7211</v>
      </c>
      <c r="W242" s="142" t="n">
        <f aca="false">VLOOKUP($A242,Table,MATCH(W$4,Curves,0))</f>
        <v>0.058966861357273</v>
      </c>
      <c r="X242" s="147" t="n">
        <f aca="false">1/(1+CHOOSE(F$3,(W243+($K$3/10000))/2,(W242+($K$3/10000))/2))^(2*V242/365.25)</f>
        <v>0.317483340472009</v>
      </c>
      <c r="Y242" s="71" t="n">
        <f aca="false">IF(AND(mthbeg&lt;=A242,mthend&gt;=A242),1,0)</f>
        <v>0</v>
      </c>
      <c r="Z242" s="71" t="n">
        <f aca="false">T242*Y242</f>
        <v>0</v>
      </c>
      <c r="AB242" s="132" t="n">
        <f aca="false">F242*G242</f>
        <v>0</v>
      </c>
      <c r="AC242" s="132" t="n">
        <f aca="false">$F242*H242</f>
        <v>0</v>
      </c>
      <c r="AD242" s="132" t="n">
        <f aca="false">$F242*I242</f>
        <v>0</v>
      </c>
      <c r="AE242" s="132" t="n">
        <f aca="false">$F242*J242</f>
        <v>-0</v>
      </c>
      <c r="AF242" s="132" t="n">
        <f aca="false">$F242*K242</f>
        <v>-0</v>
      </c>
      <c r="AG242" s="132" t="n">
        <f aca="false">$F242*L242</f>
        <v>0</v>
      </c>
      <c r="AH242" s="132" t="n">
        <f aca="false">$F242*M242</f>
        <v>0</v>
      </c>
      <c r="AI242" s="132" t="n">
        <f aca="false">$F242*N242</f>
        <v>0</v>
      </c>
      <c r="AJ242" s="132" t="n">
        <f aca="false">F242*O242</f>
        <v>0</v>
      </c>
      <c r="AK242" s="137"/>
      <c r="AL242" s="132" t="n">
        <f aca="false">CHOOSE($G$3,AC242-AD242,AD242-AC242)</f>
        <v>0</v>
      </c>
      <c r="AM242" s="132" t="n">
        <f aca="false">CHOOSE($G$3,AF242-AG242,AG242-AF242)</f>
        <v>0</v>
      </c>
      <c r="AN242" s="132" t="n">
        <f aca="false">CHOOSE($G$3,AI242-AJ242,AJ242-AI242)</f>
        <v>0</v>
      </c>
      <c r="AO242" s="148" t="n">
        <f aca="false">SUM(AL242:AN242)</f>
        <v>0</v>
      </c>
      <c r="AQ242" s="132" t="n">
        <f aca="false">CHOOSE($G$3,AB242-AC242,AC242-AB242)</f>
        <v>0</v>
      </c>
      <c r="AR242" s="132" t="n">
        <f aca="false">CHOOSE($G$3,AE242-AF242,AF242-AE242)</f>
        <v>0</v>
      </c>
      <c r="AS242" s="132" t="n">
        <f aca="false">CHOOSE($G$3,AH242-AI242,AI242-AH242)</f>
        <v>0</v>
      </c>
      <c r="AT242" s="148" t="n">
        <f aca="false">AQ242+AR242+AS242</f>
        <v>0</v>
      </c>
      <c r="AU242" s="148"/>
      <c r="AV242" s="133" t="n">
        <f aca="false">AT242+AO242</f>
        <v>0</v>
      </c>
      <c r="AX242" s="133" t="n">
        <f aca="false">AJ242+AG242+AD242</f>
        <v>0</v>
      </c>
      <c r="AY242" s="149"/>
      <c r="AZ242" s="76" t="n">
        <f aca="false">R242*E242</f>
        <v>0</v>
      </c>
    </row>
    <row r="243" customFormat="false" ht="12" hidden="false" customHeight="true" outlineLevel="0" collapsed="false">
      <c r="A243" s="138" t="n">
        <f aca="false">EDATE(A242,1)</f>
        <v>44075</v>
      </c>
      <c r="B243" s="139" t="n">
        <f aca="false">VLOOKUP($A243,Table2,MATCH(I$3,Curves2,0))</f>
        <v>0</v>
      </c>
      <c r="C243" s="140"/>
      <c r="D243" s="141" t="n">
        <f aca="false">B243+C243</f>
        <v>0</v>
      </c>
      <c r="E243" s="126" t="n">
        <f aca="false">IF(Y243=0,0,IF(AND(Y243=1,$H$3=1),D243*T243,IF($H$3=2,D243,"N/A")))</f>
        <v>0</v>
      </c>
      <c r="F243" s="126" t="n">
        <f aca="false">E243*X243</f>
        <v>0</v>
      </c>
      <c r="G243" s="142" t="n">
        <f aca="false">VLOOKUP($A243,Table,MATCH(G$4,Curves,0))</f>
        <v>3.987</v>
      </c>
      <c r="H243" s="143" t="n">
        <f aca="false">G243</f>
        <v>3.987</v>
      </c>
      <c r="I243" s="142" t="n">
        <f aca="false">VLOOKUP($A243,Table1,MATCH(I$3,Curves1,0))</f>
        <v>0</v>
      </c>
      <c r="J243" s="142" t="n">
        <f aca="false">VLOOKUP($A243,Table,MATCH(J$4,Curves,0))</f>
        <v>-0.061</v>
      </c>
      <c r="K243" s="143" t="n">
        <f aca="false">J243</f>
        <v>-0.061</v>
      </c>
      <c r="L243" s="144" t="n">
        <v>0</v>
      </c>
      <c r="M243" s="142" t="n">
        <f aca="false">VLOOKUP($A243,Table,MATCH(M$4,Curves,0))</f>
        <v>0.005</v>
      </c>
      <c r="N243" s="143" t="n">
        <f aca="false">M243</f>
        <v>0.005</v>
      </c>
      <c r="O243" s="144" t="n">
        <v>0</v>
      </c>
      <c r="P243" s="145"/>
      <c r="Q243" s="144" t="n">
        <f aca="false">M243+J243+G243</f>
        <v>3.931</v>
      </c>
      <c r="R243" s="144" t="n">
        <f aca="false">O243+L243+I243</f>
        <v>0</v>
      </c>
      <c r="S243" s="145"/>
      <c r="T243" s="71" t="n">
        <f aca="false">A244-A243</f>
        <v>30</v>
      </c>
      <c r="U243" s="146" t="n">
        <f aca="false">CHOOSE(F$3,A244+24,A243)</f>
        <v>44129</v>
      </c>
      <c r="V243" s="71" t="n">
        <f aca="false">U243-C$3</f>
        <v>7241</v>
      </c>
      <c r="W243" s="142" t="n">
        <f aca="false">VLOOKUP($A243,Table,MATCH(W$4,Curves,0))</f>
        <v>0.058966861357273</v>
      </c>
      <c r="X243" s="147" t="n">
        <f aca="false">1/(1+CHOOSE(F$3,(W244+($K$3/10000))/2,(W243+($K$3/10000))/2))^(2*V243/365.25)</f>
        <v>0.315971524466264</v>
      </c>
      <c r="Y243" s="71" t="n">
        <f aca="false">IF(AND(mthbeg&lt;=A243,mthend&gt;=A243),1,0)</f>
        <v>0</v>
      </c>
      <c r="Z243" s="71" t="n">
        <f aca="false">T243*Y243</f>
        <v>0</v>
      </c>
      <c r="AB243" s="132" t="n">
        <f aca="false">F243*G243</f>
        <v>0</v>
      </c>
      <c r="AC243" s="132" t="n">
        <f aca="false">$F243*H243</f>
        <v>0</v>
      </c>
      <c r="AD243" s="132" t="n">
        <f aca="false">$F243*I243</f>
        <v>0</v>
      </c>
      <c r="AE243" s="132" t="n">
        <f aca="false">$F243*J243</f>
        <v>-0</v>
      </c>
      <c r="AF243" s="132" t="n">
        <f aca="false">$F243*K243</f>
        <v>-0</v>
      </c>
      <c r="AG243" s="132" t="n">
        <f aca="false">$F243*L243</f>
        <v>0</v>
      </c>
      <c r="AH243" s="132" t="n">
        <f aca="false">$F243*M243</f>
        <v>0</v>
      </c>
      <c r="AI243" s="132" t="n">
        <f aca="false">$F243*N243</f>
        <v>0</v>
      </c>
      <c r="AJ243" s="132" t="n">
        <f aca="false">F243*O243</f>
        <v>0</v>
      </c>
      <c r="AK243" s="137"/>
      <c r="AL243" s="132" t="n">
        <f aca="false">CHOOSE($G$3,AC243-AD243,AD243-AC243)</f>
        <v>0</v>
      </c>
      <c r="AM243" s="132" t="n">
        <f aca="false">CHOOSE($G$3,AF243-AG243,AG243-AF243)</f>
        <v>0</v>
      </c>
      <c r="AN243" s="132" t="n">
        <f aca="false">CHOOSE($G$3,AI243-AJ243,AJ243-AI243)</f>
        <v>0</v>
      </c>
      <c r="AO243" s="148" t="n">
        <f aca="false">SUM(AL243:AN243)</f>
        <v>0</v>
      </c>
      <c r="AQ243" s="132" t="n">
        <f aca="false">CHOOSE($G$3,AB243-AC243,AC243-AB243)</f>
        <v>0</v>
      </c>
      <c r="AR243" s="132" t="n">
        <f aca="false">CHOOSE($G$3,AE243-AF243,AF243-AE243)</f>
        <v>0</v>
      </c>
      <c r="AS243" s="132" t="n">
        <f aca="false">CHOOSE($G$3,AH243-AI243,AI243-AH243)</f>
        <v>0</v>
      </c>
      <c r="AT243" s="148" t="n">
        <f aca="false">AQ243+AR243+AS243</f>
        <v>0</v>
      </c>
      <c r="AU243" s="148"/>
      <c r="AV243" s="133" t="n">
        <f aca="false">AT243+AO243</f>
        <v>0</v>
      </c>
      <c r="AX243" s="133" t="n">
        <f aca="false">AJ243+AG243+AD243</f>
        <v>0</v>
      </c>
      <c r="AY243" s="149"/>
      <c r="AZ243" s="76" t="n">
        <f aca="false">R243*E243</f>
        <v>0</v>
      </c>
    </row>
    <row r="244" customFormat="false" ht="12" hidden="false" customHeight="true" outlineLevel="0" collapsed="false">
      <c r="A244" s="138" t="n">
        <f aca="false">EDATE(A243,1)</f>
        <v>44105</v>
      </c>
      <c r="B244" s="139" t="n">
        <f aca="false">VLOOKUP($A244,Table2,MATCH(I$3,Curves2,0))</f>
        <v>0</v>
      </c>
      <c r="C244" s="140"/>
      <c r="D244" s="141" t="n">
        <f aca="false">B244+C244</f>
        <v>0</v>
      </c>
      <c r="E244" s="126" t="n">
        <f aca="false">IF(Y244=0,0,IF(AND(Y244=1,$H$3=1),D244*T244,IF($H$3=2,D244,"N/A")))</f>
        <v>0</v>
      </c>
      <c r="F244" s="126" t="n">
        <f aca="false">E244*X244</f>
        <v>0</v>
      </c>
      <c r="G244" s="142" t="n">
        <f aca="false">VLOOKUP($A244,Table,MATCH(G$4,Curves,0))</f>
        <v>3.987</v>
      </c>
      <c r="H244" s="143" t="n">
        <f aca="false">G244</f>
        <v>3.987</v>
      </c>
      <c r="I244" s="142" t="n">
        <f aca="false">VLOOKUP($A244,Table1,MATCH(I$3,Curves1,0))</f>
        <v>0</v>
      </c>
      <c r="J244" s="142" t="n">
        <f aca="false">VLOOKUP($A244,Table,MATCH(J$4,Curves,0))</f>
        <v>-0.061</v>
      </c>
      <c r="K244" s="143" t="n">
        <f aca="false">J244</f>
        <v>-0.061</v>
      </c>
      <c r="L244" s="144" t="n">
        <v>0</v>
      </c>
      <c r="M244" s="142" t="n">
        <f aca="false">VLOOKUP($A244,Table,MATCH(M$4,Curves,0))</f>
        <v>0.005</v>
      </c>
      <c r="N244" s="143" t="n">
        <f aca="false">M244</f>
        <v>0.005</v>
      </c>
      <c r="O244" s="144" t="n">
        <v>0</v>
      </c>
      <c r="P244" s="145"/>
      <c r="Q244" s="144" t="n">
        <f aca="false">M244+J244+G244</f>
        <v>3.931</v>
      </c>
      <c r="R244" s="144" t="n">
        <f aca="false">O244+L244+I244</f>
        <v>0</v>
      </c>
      <c r="S244" s="145"/>
      <c r="T244" s="71" t="n">
        <f aca="false">A245-A244</f>
        <v>31</v>
      </c>
      <c r="U244" s="146" t="n">
        <f aca="false">CHOOSE(F$3,A245+24,A244)</f>
        <v>44160</v>
      </c>
      <c r="V244" s="71" t="n">
        <f aca="false">U244-C$3</f>
        <v>7272</v>
      </c>
      <c r="W244" s="142" t="n">
        <f aca="false">VLOOKUP($A244,Table,MATCH(W$4,Curves,0))</f>
        <v>0.058966861357273</v>
      </c>
      <c r="X244" s="147" t="n">
        <f aca="false">1/(1+CHOOSE(F$3,(W245+($K$3/10000))/2,(W244+($K$3/10000))/2))^(2*V244/365.25)</f>
        <v>0.314416877225434</v>
      </c>
      <c r="Y244" s="71" t="n">
        <f aca="false">IF(AND(mthbeg&lt;=A244,mthend&gt;=A244),1,0)</f>
        <v>0</v>
      </c>
      <c r="Z244" s="71" t="n">
        <f aca="false">T244*Y244</f>
        <v>0</v>
      </c>
      <c r="AB244" s="132" t="n">
        <f aca="false">F244*G244</f>
        <v>0</v>
      </c>
      <c r="AC244" s="132" t="n">
        <f aca="false">$F244*H244</f>
        <v>0</v>
      </c>
      <c r="AD244" s="132" t="n">
        <f aca="false">$F244*I244</f>
        <v>0</v>
      </c>
      <c r="AE244" s="132" t="n">
        <f aca="false">$F244*J244</f>
        <v>-0</v>
      </c>
      <c r="AF244" s="132" t="n">
        <f aca="false">$F244*K244</f>
        <v>-0</v>
      </c>
      <c r="AG244" s="132" t="n">
        <f aca="false">$F244*L244</f>
        <v>0</v>
      </c>
      <c r="AH244" s="132" t="n">
        <f aca="false">$F244*M244</f>
        <v>0</v>
      </c>
      <c r="AI244" s="132" t="n">
        <f aca="false">$F244*N244</f>
        <v>0</v>
      </c>
      <c r="AJ244" s="132" t="n">
        <f aca="false">F244*O244</f>
        <v>0</v>
      </c>
      <c r="AK244" s="137"/>
      <c r="AL244" s="132" t="n">
        <f aca="false">CHOOSE($G$3,AC244-AD244,AD244-AC244)</f>
        <v>0</v>
      </c>
      <c r="AM244" s="132" t="n">
        <f aca="false">CHOOSE($G$3,AF244-AG244,AG244-AF244)</f>
        <v>0</v>
      </c>
      <c r="AN244" s="132" t="n">
        <f aca="false">CHOOSE($G$3,AI244-AJ244,AJ244-AI244)</f>
        <v>0</v>
      </c>
      <c r="AO244" s="148" t="n">
        <f aca="false">SUM(AL244:AN244)</f>
        <v>0</v>
      </c>
      <c r="AQ244" s="132" t="n">
        <f aca="false">CHOOSE($G$3,AB244-AC244,AC244-AB244)</f>
        <v>0</v>
      </c>
      <c r="AR244" s="132" t="n">
        <f aca="false">CHOOSE($G$3,AE244-AF244,AF244-AE244)</f>
        <v>0</v>
      </c>
      <c r="AS244" s="132" t="n">
        <f aca="false">CHOOSE($G$3,AH244-AI244,AI244-AH244)</f>
        <v>0</v>
      </c>
      <c r="AT244" s="148" t="n">
        <f aca="false">AQ244+AR244+AS244</f>
        <v>0</v>
      </c>
      <c r="AU244" s="148"/>
      <c r="AV244" s="133" t="n">
        <f aca="false">AT244+AO244</f>
        <v>0</v>
      </c>
      <c r="AX244" s="133" t="n">
        <f aca="false">AJ244+AG244+AD244</f>
        <v>0</v>
      </c>
      <c r="AY244" s="149"/>
      <c r="AZ244" s="76" t="n">
        <f aca="false">R244*E244</f>
        <v>0</v>
      </c>
    </row>
    <row r="245" customFormat="false" ht="12" hidden="false" customHeight="true" outlineLevel="0" collapsed="false">
      <c r="A245" s="138" t="n">
        <f aca="false">EDATE(A244,1)</f>
        <v>44136</v>
      </c>
      <c r="B245" s="139" t="n">
        <f aca="false">VLOOKUP($A245,Table2,MATCH(I$3,Curves2,0))</f>
        <v>0</v>
      </c>
      <c r="C245" s="140"/>
      <c r="D245" s="141" t="n">
        <f aca="false">B245+C245</f>
        <v>0</v>
      </c>
      <c r="E245" s="126" t="n">
        <f aca="false">IF(Y245=0,0,IF(AND(Y245=1,$H$3=1),D245*T245,IF($H$3=2,D245,"N/A")))</f>
        <v>0</v>
      </c>
      <c r="F245" s="126" t="n">
        <f aca="false">E245*X245</f>
        <v>0</v>
      </c>
      <c r="G245" s="142" t="n">
        <f aca="false">VLOOKUP($A245,Table,MATCH(G$4,Curves,0))</f>
        <v>3.987</v>
      </c>
      <c r="H245" s="143" t="n">
        <f aca="false">G245</f>
        <v>3.987</v>
      </c>
      <c r="I245" s="142" t="n">
        <f aca="false">VLOOKUP($A245,Table1,MATCH(I$3,Curves1,0))</f>
        <v>0</v>
      </c>
      <c r="J245" s="142" t="n">
        <f aca="false">VLOOKUP($A245,Table,MATCH(J$4,Curves,0))</f>
        <v>-0.061</v>
      </c>
      <c r="K245" s="143" t="n">
        <f aca="false">J245</f>
        <v>-0.061</v>
      </c>
      <c r="L245" s="144" t="n">
        <v>0</v>
      </c>
      <c r="M245" s="142" t="n">
        <f aca="false">VLOOKUP($A245,Table,MATCH(M$4,Curves,0))</f>
        <v>0.005</v>
      </c>
      <c r="N245" s="143" t="n">
        <f aca="false">M245</f>
        <v>0.005</v>
      </c>
      <c r="O245" s="144" t="n">
        <v>0</v>
      </c>
      <c r="P245" s="145"/>
      <c r="Q245" s="144" t="n">
        <f aca="false">M245+J245+G245</f>
        <v>3.931</v>
      </c>
      <c r="R245" s="144" t="n">
        <f aca="false">O245+L245+I245</f>
        <v>0</v>
      </c>
      <c r="S245" s="145"/>
      <c r="T245" s="71" t="n">
        <f aca="false">A246-A245</f>
        <v>30</v>
      </c>
      <c r="U245" s="146" t="n">
        <f aca="false">CHOOSE(F$3,A246+24,A245)</f>
        <v>44190</v>
      </c>
      <c r="V245" s="71" t="n">
        <f aca="false">U245-C$3</f>
        <v>7302</v>
      </c>
      <c r="W245" s="142" t="n">
        <f aca="false">VLOOKUP($A245,Table,MATCH(W$4,Curves,0))</f>
        <v>0.058966861357273</v>
      </c>
      <c r="X245" s="147" t="n">
        <f aca="false">1/(1+CHOOSE(F$3,(W246+($K$3/10000))/2,(W245+($K$3/10000))/2))^(2*V245/365.25)</f>
        <v>0.312919663334592</v>
      </c>
      <c r="Y245" s="71" t="n">
        <f aca="false">IF(AND(mthbeg&lt;=A245,mthend&gt;=A245),1,0)</f>
        <v>0</v>
      </c>
      <c r="Z245" s="71" t="n">
        <f aca="false">T245*Y245</f>
        <v>0</v>
      </c>
      <c r="AB245" s="132" t="n">
        <f aca="false">F245*G245</f>
        <v>0</v>
      </c>
      <c r="AC245" s="132" t="n">
        <f aca="false">$F245*H245</f>
        <v>0</v>
      </c>
      <c r="AD245" s="132" t="n">
        <f aca="false">$F245*I245</f>
        <v>0</v>
      </c>
      <c r="AE245" s="132" t="n">
        <f aca="false">$F245*J245</f>
        <v>-0</v>
      </c>
      <c r="AF245" s="132" t="n">
        <f aca="false">$F245*K245</f>
        <v>-0</v>
      </c>
      <c r="AG245" s="132" t="n">
        <f aca="false">$F245*L245</f>
        <v>0</v>
      </c>
      <c r="AH245" s="132" t="n">
        <f aca="false">$F245*M245</f>
        <v>0</v>
      </c>
      <c r="AI245" s="132" t="n">
        <f aca="false">$F245*N245</f>
        <v>0</v>
      </c>
      <c r="AJ245" s="132" t="n">
        <f aca="false">F245*O245</f>
        <v>0</v>
      </c>
      <c r="AK245" s="137"/>
      <c r="AL245" s="132" t="n">
        <f aca="false">CHOOSE($G$3,AC245-AD245,AD245-AC245)</f>
        <v>0</v>
      </c>
      <c r="AM245" s="132" t="n">
        <f aca="false">CHOOSE($G$3,AF245-AG245,AG245-AF245)</f>
        <v>0</v>
      </c>
      <c r="AN245" s="132" t="n">
        <f aca="false">CHOOSE($G$3,AI245-AJ245,AJ245-AI245)</f>
        <v>0</v>
      </c>
      <c r="AO245" s="148" t="n">
        <f aca="false">SUM(AL245:AN245)</f>
        <v>0</v>
      </c>
      <c r="AQ245" s="132" t="n">
        <f aca="false">CHOOSE($G$3,AB245-AC245,AC245-AB245)</f>
        <v>0</v>
      </c>
      <c r="AR245" s="132" t="n">
        <f aca="false">CHOOSE($G$3,AE245-AF245,AF245-AE245)</f>
        <v>0</v>
      </c>
      <c r="AS245" s="132" t="n">
        <f aca="false">CHOOSE($G$3,AH245-AI245,AI245-AH245)</f>
        <v>0</v>
      </c>
      <c r="AT245" s="148" t="n">
        <f aca="false">AQ245+AR245+AS245</f>
        <v>0</v>
      </c>
      <c r="AU245" s="148"/>
      <c r="AV245" s="133" t="n">
        <f aca="false">AT245+AO245</f>
        <v>0</v>
      </c>
      <c r="AX245" s="133" t="n">
        <f aca="false">AJ245+AG245+AD245</f>
        <v>0</v>
      </c>
      <c r="AY245" s="149"/>
      <c r="AZ245" s="76" t="n">
        <f aca="false">R245*E245</f>
        <v>0</v>
      </c>
    </row>
    <row r="246" customFormat="false" ht="12" hidden="false" customHeight="true" outlineLevel="0" collapsed="false">
      <c r="A246" s="138" t="n">
        <f aca="false">EDATE(A245,1)</f>
        <v>44166</v>
      </c>
      <c r="B246" s="139" t="n">
        <f aca="false">VLOOKUP($A246,Table2,MATCH(I$3,Curves2,0))</f>
        <v>0</v>
      </c>
      <c r="C246" s="140"/>
      <c r="D246" s="141" t="n">
        <f aca="false">B246+C246</f>
        <v>0</v>
      </c>
      <c r="E246" s="126" t="n">
        <f aca="false">IF(Y246=0,0,IF(AND(Y246=1,$H$3=1),D246*T246,IF($H$3=2,D246,"N/A")))</f>
        <v>0</v>
      </c>
      <c r="F246" s="126" t="n">
        <f aca="false">E246*X246</f>
        <v>0</v>
      </c>
      <c r="G246" s="142" t="n">
        <f aca="false">VLOOKUP($A246,Table,MATCH(G$4,Curves,0))</f>
        <v>3.987</v>
      </c>
      <c r="H246" s="143" t="n">
        <f aca="false">G246</f>
        <v>3.987</v>
      </c>
      <c r="I246" s="142" t="n">
        <f aca="false">VLOOKUP($A246,Table1,MATCH(I$3,Curves1,0))</f>
        <v>0</v>
      </c>
      <c r="J246" s="142" t="n">
        <f aca="false">VLOOKUP($A246,Table,MATCH(J$4,Curves,0))</f>
        <v>-0.061</v>
      </c>
      <c r="K246" s="143" t="n">
        <f aca="false">J246</f>
        <v>-0.061</v>
      </c>
      <c r="L246" s="144" t="n">
        <v>0</v>
      </c>
      <c r="M246" s="142" t="n">
        <f aca="false">VLOOKUP($A246,Table,MATCH(M$4,Curves,0))</f>
        <v>0.005</v>
      </c>
      <c r="N246" s="143" t="n">
        <f aca="false">M246</f>
        <v>0.005</v>
      </c>
      <c r="O246" s="144" t="n">
        <v>0</v>
      </c>
      <c r="P246" s="145"/>
      <c r="Q246" s="144" t="n">
        <f aca="false">M246+J246+G246</f>
        <v>3.931</v>
      </c>
      <c r="R246" s="144" t="n">
        <f aca="false">O246+L246+I246</f>
        <v>0</v>
      </c>
      <c r="S246" s="145"/>
      <c r="T246" s="71" t="n">
        <f aca="false">A247-A246</f>
        <v>31</v>
      </c>
      <c r="U246" s="146" t="n">
        <f aca="false">CHOOSE(F$3,A247+24,A246)</f>
        <v>44221</v>
      </c>
      <c r="V246" s="71" t="n">
        <f aca="false">U246-C$3</f>
        <v>7333</v>
      </c>
      <c r="W246" s="142" t="n">
        <f aca="false">VLOOKUP($A246,Table,MATCH(W$4,Curves,0))</f>
        <v>0.058966861357273</v>
      </c>
      <c r="X246" s="147" t="n">
        <f aca="false">1/(1+CHOOSE(F$3,(W247+($K$3/10000))/2,(W246+($K$3/10000))/2))^(2*V246/365.25)</f>
        <v>0.311380031900948</v>
      </c>
      <c r="Y246" s="71" t="n">
        <f aca="false">IF(AND(mthbeg&lt;=A246,mthend&gt;=A246),1,0)</f>
        <v>0</v>
      </c>
      <c r="Z246" s="71" t="n">
        <f aca="false">T246*Y246</f>
        <v>0</v>
      </c>
      <c r="AB246" s="132" t="n">
        <f aca="false">F246*G246</f>
        <v>0</v>
      </c>
      <c r="AC246" s="132" t="n">
        <f aca="false">$F246*H246</f>
        <v>0</v>
      </c>
      <c r="AD246" s="132" t="n">
        <f aca="false">$F246*I246</f>
        <v>0</v>
      </c>
      <c r="AE246" s="132" t="n">
        <f aca="false">$F246*J246</f>
        <v>-0</v>
      </c>
      <c r="AF246" s="132" t="n">
        <f aca="false">$F246*K246</f>
        <v>-0</v>
      </c>
      <c r="AG246" s="132" t="n">
        <f aca="false">$F246*L246</f>
        <v>0</v>
      </c>
      <c r="AH246" s="132" t="n">
        <f aca="false">$F246*M246</f>
        <v>0</v>
      </c>
      <c r="AI246" s="132" t="n">
        <f aca="false">$F246*N246</f>
        <v>0</v>
      </c>
      <c r="AJ246" s="132" t="n">
        <f aca="false">F246*O246</f>
        <v>0</v>
      </c>
      <c r="AK246" s="137"/>
      <c r="AL246" s="132" t="n">
        <f aca="false">CHOOSE($G$3,AC246-AD246,AD246-AC246)</f>
        <v>0</v>
      </c>
      <c r="AM246" s="132" t="n">
        <f aca="false">CHOOSE($G$3,AF246-AG246,AG246-AF246)</f>
        <v>0</v>
      </c>
      <c r="AN246" s="132" t="n">
        <f aca="false">CHOOSE($G$3,AI246-AJ246,AJ246-AI246)</f>
        <v>0</v>
      </c>
      <c r="AO246" s="148" t="n">
        <f aca="false">SUM(AL246:AN246)</f>
        <v>0</v>
      </c>
      <c r="AQ246" s="132" t="n">
        <f aca="false">CHOOSE($G$3,AB246-AC246,AC246-AB246)</f>
        <v>0</v>
      </c>
      <c r="AR246" s="132" t="n">
        <f aca="false">CHOOSE($G$3,AE246-AF246,AF246-AE246)</f>
        <v>0</v>
      </c>
      <c r="AS246" s="132" t="n">
        <f aca="false">CHOOSE($G$3,AH246-AI246,AI246-AH246)</f>
        <v>0</v>
      </c>
      <c r="AT246" s="148" t="n">
        <f aca="false">AQ246+AR246+AS246</f>
        <v>0</v>
      </c>
      <c r="AU246" s="148"/>
      <c r="AV246" s="133" t="n">
        <f aca="false">AT246+AO246</f>
        <v>0</v>
      </c>
      <c r="AX246" s="133" t="n">
        <f aca="false">AJ246+AG246+AD246</f>
        <v>0</v>
      </c>
      <c r="AY246" s="149"/>
      <c r="AZ246" s="76" t="n">
        <f aca="false">R246*E246</f>
        <v>0</v>
      </c>
    </row>
    <row r="247" customFormat="false" ht="12" hidden="false" customHeight="true" outlineLevel="0" collapsed="false">
      <c r="A247" s="138" t="n">
        <f aca="false">EDATE(A246,1)</f>
        <v>44197</v>
      </c>
      <c r="B247" s="139" t="n">
        <f aca="false">VLOOKUP($A247,Table2,MATCH(I$3,Curves2,0))</f>
        <v>0</v>
      </c>
      <c r="C247" s="140"/>
      <c r="D247" s="141" t="n">
        <f aca="false">B247+C247</f>
        <v>0</v>
      </c>
      <c r="E247" s="126" t="n">
        <f aca="false">IF(Y247=0,0,IF(AND(Y247=1,$H$3=1),D247*T247,IF($H$3=2,D247,"N/A")))</f>
        <v>0</v>
      </c>
      <c r="F247" s="126" t="n">
        <f aca="false">E247*X247</f>
        <v>0</v>
      </c>
      <c r="G247" s="142" t="n">
        <f aca="false">VLOOKUP($A247,Table,MATCH(G$4,Curves,0))</f>
        <v>3.987</v>
      </c>
      <c r="H247" s="143" t="n">
        <f aca="false">G247</f>
        <v>3.987</v>
      </c>
      <c r="I247" s="142" t="n">
        <f aca="false">VLOOKUP($A247,Table1,MATCH(I$3,Curves1,0))</f>
        <v>0</v>
      </c>
      <c r="J247" s="142" t="n">
        <f aca="false">VLOOKUP($A247,Table,MATCH(J$4,Curves,0))</f>
        <v>-0.061</v>
      </c>
      <c r="K247" s="143" t="n">
        <f aca="false">J247</f>
        <v>-0.061</v>
      </c>
      <c r="L247" s="144" t="n">
        <v>0</v>
      </c>
      <c r="M247" s="142" t="n">
        <f aca="false">VLOOKUP($A247,Table,MATCH(M$4,Curves,0))</f>
        <v>0.005</v>
      </c>
      <c r="N247" s="143" t="n">
        <f aca="false">M247</f>
        <v>0.005</v>
      </c>
      <c r="O247" s="144" t="n">
        <v>0</v>
      </c>
      <c r="P247" s="145"/>
      <c r="Q247" s="144" t="n">
        <f aca="false">M247+J247+G247</f>
        <v>3.931</v>
      </c>
      <c r="R247" s="144" t="n">
        <f aca="false">O247+L247+I247</f>
        <v>0</v>
      </c>
      <c r="S247" s="145"/>
      <c r="T247" s="71" t="n">
        <f aca="false">A248-A247</f>
        <v>31</v>
      </c>
      <c r="U247" s="146" t="n">
        <f aca="false">CHOOSE(F$3,A248+24,A247)</f>
        <v>44252</v>
      </c>
      <c r="V247" s="71" t="n">
        <f aca="false">U247-C$3</f>
        <v>7364</v>
      </c>
      <c r="W247" s="142" t="n">
        <f aca="false">VLOOKUP($A247,Table,MATCH(W$4,Curves,0))</f>
        <v>0.058966861357273</v>
      </c>
      <c r="X247" s="147" t="n">
        <f aca="false">1/(1+CHOOSE(F$3,(W248+($K$3/10000))/2,(W247+($K$3/10000))/2))^(2*V247/365.25)</f>
        <v>0.309847975782087</v>
      </c>
      <c r="Y247" s="71" t="n">
        <f aca="false">IF(AND(mthbeg&lt;=A247,mthend&gt;=A247),1,0)</f>
        <v>0</v>
      </c>
      <c r="Z247" s="71" t="n">
        <f aca="false">T247*Y247</f>
        <v>0</v>
      </c>
      <c r="AB247" s="132" t="n">
        <f aca="false">F247*G247</f>
        <v>0</v>
      </c>
      <c r="AC247" s="132" t="n">
        <f aca="false">$F247*H247</f>
        <v>0</v>
      </c>
      <c r="AD247" s="132" t="n">
        <f aca="false">$F247*I247</f>
        <v>0</v>
      </c>
      <c r="AE247" s="132" t="n">
        <f aca="false">$F247*J247</f>
        <v>-0</v>
      </c>
      <c r="AF247" s="132" t="n">
        <f aca="false">$F247*K247</f>
        <v>-0</v>
      </c>
      <c r="AG247" s="132" t="n">
        <f aca="false">$F247*L247</f>
        <v>0</v>
      </c>
      <c r="AH247" s="132" t="n">
        <f aca="false">$F247*M247</f>
        <v>0</v>
      </c>
      <c r="AI247" s="132" t="n">
        <f aca="false">$F247*N247</f>
        <v>0</v>
      </c>
      <c r="AJ247" s="132" t="n">
        <f aca="false">F247*O247</f>
        <v>0</v>
      </c>
      <c r="AK247" s="137"/>
      <c r="AL247" s="132" t="n">
        <f aca="false">CHOOSE($G$3,AC247-AD247,AD247-AC247)</f>
        <v>0</v>
      </c>
      <c r="AM247" s="132" t="n">
        <f aca="false">CHOOSE($G$3,AF247-AG247,AG247-AF247)</f>
        <v>0</v>
      </c>
      <c r="AN247" s="132" t="n">
        <f aca="false">CHOOSE($G$3,AI247-AJ247,AJ247-AI247)</f>
        <v>0</v>
      </c>
      <c r="AO247" s="148" t="n">
        <f aca="false">SUM(AL247:AN247)</f>
        <v>0</v>
      </c>
      <c r="AQ247" s="132" t="n">
        <f aca="false">CHOOSE($G$3,AB247-AC247,AC247-AB247)</f>
        <v>0</v>
      </c>
      <c r="AR247" s="132" t="n">
        <f aca="false">CHOOSE($G$3,AE247-AF247,AF247-AE247)</f>
        <v>0</v>
      </c>
      <c r="AS247" s="132" t="n">
        <f aca="false">CHOOSE($G$3,AH247-AI247,AI247-AH247)</f>
        <v>0</v>
      </c>
      <c r="AT247" s="148" t="n">
        <f aca="false">AQ247+AR247+AS247</f>
        <v>0</v>
      </c>
      <c r="AU247" s="148"/>
      <c r="AV247" s="133" t="n">
        <f aca="false">AT247+AO247</f>
        <v>0</v>
      </c>
      <c r="AX247" s="133" t="n">
        <f aca="false">AJ247+AG247+AD247</f>
        <v>0</v>
      </c>
      <c r="AY247" s="149"/>
      <c r="AZ247" s="76" t="n">
        <f aca="false">R247*E247</f>
        <v>0</v>
      </c>
    </row>
    <row r="248" customFormat="false" ht="12" hidden="false" customHeight="true" outlineLevel="0" collapsed="false">
      <c r="A248" s="138" t="n">
        <f aca="false">EDATE(A247,1)</f>
        <v>44228</v>
      </c>
      <c r="B248" s="139" t="n">
        <f aca="false">VLOOKUP($A248,Table2,MATCH(I$3,Curves2,0))</f>
        <v>0</v>
      </c>
      <c r="C248" s="140"/>
      <c r="D248" s="141" t="n">
        <f aca="false">B248+C248</f>
        <v>0</v>
      </c>
      <c r="E248" s="126" t="n">
        <f aca="false">IF(Y248=0,0,IF(AND(Y248=1,$H$3=1),D248*T248,IF($H$3=2,D248,"N/A")))</f>
        <v>0</v>
      </c>
      <c r="F248" s="126" t="n">
        <f aca="false">E248*X248</f>
        <v>0</v>
      </c>
      <c r="G248" s="142" t="n">
        <f aca="false">VLOOKUP($A248,Table,MATCH(G$4,Curves,0))</f>
        <v>3.987</v>
      </c>
      <c r="H248" s="143" t="n">
        <f aca="false">G248</f>
        <v>3.987</v>
      </c>
      <c r="I248" s="142" t="n">
        <f aca="false">VLOOKUP($A248,Table1,MATCH(I$3,Curves1,0))</f>
        <v>0</v>
      </c>
      <c r="J248" s="142" t="n">
        <f aca="false">VLOOKUP($A248,Table,MATCH(J$4,Curves,0))</f>
        <v>-0.061</v>
      </c>
      <c r="K248" s="143" t="n">
        <f aca="false">J248</f>
        <v>-0.061</v>
      </c>
      <c r="L248" s="144" t="n">
        <v>0</v>
      </c>
      <c r="M248" s="142" t="n">
        <f aca="false">VLOOKUP($A248,Table,MATCH(M$4,Curves,0))</f>
        <v>0.005</v>
      </c>
      <c r="N248" s="143" t="n">
        <f aca="false">M248</f>
        <v>0.005</v>
      </c>
      <c r="O248" s="144" t="n">
        <v>0</v>
      </c>
      <c r="P248" s="145"/>
      <c r="Q248" s="144" t="n">
        <f aca="false">M248+J248+G248</f>
        <v>3.931</v>
      </c>
      <c r="R248" s="144" t="n">
        <f aca="false">O248+L248+I248</f>
        <v>0</v>
      </c>
      <c r="S248" s="145"/>
      <c r="T248" s="71" t="n">
        <f aca="false">A249-A248</f>
        <v>28</v>
      </c>
      <c r="U248" s="146" t="n">
        <f aca="false">CHOOSE(F$3,A249+24,A248)</f>
        <v>44280</v>
      </c>
      <c r="V248" s="71" t="n">
        <f aca="false">U248-C$3</f>
        <v>7392</v>
      </c>
      <c r="W248" s="142" t="n">
        <f aca="false">VLOOKUP($A248,Table,MATCH(W$4,Curves,0))</f>
        <v>0.058966861357273</v>
      </c>
      <c r="X248" s="147" t="n">
        <f aca="false">1/(1+CHOOSE(F$3,(W249+($K$3/10000))/2,(W248+($K$3/10000))/2))^(2*V248/365.25)</f>
        <v>0.308470663296764</v>
      </c>
      <c r="Y248" s="71" t="n">
        <f aca="false">IF(AND(mthbeg&lt;=A248,mthend&gt;=A248),1,0)</f>
        <v>0</v>
      </c>
      <c r="Z248" s="71" t="n">
        <f aca="false">T248*Y248</f>
        <v>0</v>
      </c>
      <c r="AB248" s="132" t="n">
        <f aca="false">F248*G248</f>
        <v>0</v>
      </c>
      <c r="AC248" s="132" t="n">
        <f aca="false">$F248*H248</f>
        <v>0</v>
      </c>
      <c r="AD248" s="132" t="n">
        <f aca="false">$F248*I248</f>
        <v>0</v>
      </c>
      <c r="AE248" s="132" t="n">
        <f aca="false">$F248*J248</f>
        <v>-0</v>
      </c>
      <c r="AF248" s="132" t="n">
        <f aca="false">$F248*K248</f>
        <v>-0</v>
      </c>
      <c r="AG248" s="132" t="n">
        <f aca="false">$F248*L248</f>
        <v>0</v>
      </c>
      <c r="AH248" s="132" t="n">
        <f aca="false">$F248*M248</f>
        <v>0</v>
      </c>
      <c r="AI248" s="132" t="n">
        <f aca="false">$F248*N248</f>
        <v>0</v>
      </c>
      <c r="AJ248" s="132" t="n">
        <f aca="false">F248*O248</f>
        <v>0</v>
      </c>
      <c r="AK248" s="137"/>
      <c r="AL248" s="132" t="n">
        <f aca="false">CHOOSE($G$3,AC248-AD248,AD248-AC248)</f>
        <v>0</v>
      </c>
      <c r="AM248" s="132" t="n">
        <f aca="false">CHOOSE($G$3,AF248-AG248,AG248-AF248)</f>
        <v>0</v>
      </c>
      <c r="AN248" s="132" t="n">
        <f aca="false">CHOOSE($G$3,AI248-AJ248,AJ248-AI248)</f>
        <v>0</v>
      </c>
      <c r="AO248" s="148" t="n">
        <f aca="false">SUM(AL248:AN248)</f>
        <v>0</v>
      </c>
      <c r="AQ248" s="132" t="n">
        <f aca="false">CHOOSE($G$3,AB248-AC248,AC248-AB248)</f>
        <v>0</v>
      </c>
      <c r="AR248" s="132" t="n">
        <f aca="false">CHOOSE($G$3,AE248-AF248,AF248-AE248)</f>
        <v>0</v>
      </c>
      <c r="AS248" s="132" t="n">
        <f aca="false">CHOOSE($G$3,AH248-AI248,AI248-AH248)</f>
        <v>0</v>
      </c>
      <c r="AT248" s="148" t="n">
        <f aca="false">AQ248+AR248+AS248</f>
        <v>0</v>
      </c>
      <c r="AU248" s="148"/>
      <c r="AV248" s="133" t="n">
        <f aca="false">AT248+AO248</f>
        <v>0</v>
      </c>
      <c r="AX248" s="133" t="n">
        <f aca="false">AJ248+AG248+AD248</f>
        <v>0</v>
      </c>
      <c r="AY248" s="149"/>
      <c r="AZ248" s="76" t="n">
        <f aca="false">R248*E248</f>
        <v>0</v>
      </c>
    </row>
    <row r="249" customFormat="false" ht="12" hidden="false" customHeight="true" outlineLevel="0" collapsed="false">
      <c r="A249" s="138" t="n">
        <f aca="false">EDATE(A248,1)</f>
        <v>44256</v>
      </c>
      <c r="B249" s="139" t="n">
        <f aca="false">VLOOKUP($A249,Table2,MATCH(I$3,Curves2,0))</f>
        <v>0</v>
      </c>
      <c r="C249" s="140"/>
      <c r="D249" s="141" t="n">
        <f aca="false">B249+C249</f>
        <v>0</v>
      </c>
      <c r="E249" s="126" t="n">
        <f aca="false">IF(Y249=0,0,IF(AND(Y249=1,$H$3=1),D249*T249,IF($H$3=2,D249,"N/A")))</f>
        <v>0</v>
      </c>
      <c r="F249" s="126" t="n">
        <f aca="false">E249*X249</f>
        <v>0</v>
      </c>
      <c r="G249" s="142" t="n">
        <f aca="false">VLOOKUP($A249,Table,MATCH(G$4,Curves,0))</f>
        <v>3.987</v>
      </c>
      <c r="H249" s="143" t="n">
        <f aca="false">G249</f>
        <v>3.987</v>
      </c>
      <c r="I249" s="142" t="n">
        <f aca="false">VLOOKUP($A249,Table1,MATCH(I$3,Curves1,0))</f>
        <v>0</v>
      </c>
      <c r="J249" s="142" t="n">
        <f aca="false">VLOOKUP($A249,Table,MATCH(J$4,Curves,0))</f>
        <v>-0.061</v>
      </c>
      <c r="K249" s="143" t="n">
        <f aca="false">J249</f>
        <v>-0.061</v>
      </c>
      <c r="L249" s="144" t="n">
        <v>0</v>
      </c>
      <c r="M249" s="142" t="n">
        <f aca="false">VLOOKUP($A249,Table,MATCH(M$4,Curves,0))</f>
        <v>0.005</v>
      </c>
      <c r="N249" s="143" t="n">
        <f aca="false">M249</f>
        <v>0.005</v>
      </c>
      <c r="O249" s="144" t="n">
        <v>0</v>
      </c>
      <c r="P249" s="145"/>
      <c r="Q249" s="144" t="n">
        <f aca="false">M249+J249+G249</f>
        <v>3.931</v>
      </c>
      <c r="R249" s="144" t="n">
        <f aca="false">O249+L249+I249</f>
        <v>0</v>
      </c>
      <c r="S249" s="145"/>
      <c r="T249" s="71" t="n">
        <f aca="false">A250-A249</f>
        <v>31</v>
      </c>
      <c r="U249" s="146" t="n">
        <f aca="false">CHOOSE(F$3,A250+24,A249)</f>
        <v>44311</v>
      </c>
      <c r="V249" s="71" t="n">
        <f aca="false">U249-C$3</f>
        <v>7423</v>
      </c>
      <c r="W249" s="142" t="n">
        <f aca="false">VLOOKUP($A249,Table,MATCH(W$4,Curves,0))</f>
        <v>0.058966861357273</v>
      </c>
      <c r="X249" s="147" t="n">
        <f aca="false">1/(1+CHOOSE(F$3,(W250+($K$3/10000))/2,(W249+($K$3/10000))/2))^(2*V249/365.25)</f>
        <v>0.306952921891485</v>
      </c>
      <c r="Y249" s="71" t="n">
        <f aca="false">IF(AND(mthbeg&lt;=A249,mthend&gt;=A249),1,0)</f>
        <v>0</v>
      </c>
      <c r="Z249" s="71" t="n">
        <f aca="false">T249*Y249</f>
        <v>0</v>
      </c>
      <c r="AB249" s="132" t="n">
        <f aca="false">F249*G249</f>
        <v>0</v>
      </c>
      <c r="AC249" s="132" t="n">
        <f aca="false">$F249*H249</f>
        <v>0</v>
      </c>
      <c r="AD249" s="132" t="n">
        <f aca="false">$F249*I249</f>
        <v>0</v>
      </c>
      <c r="AE249" s="132" t="n">
        <f aca="false">$F249*J249</f>
        <v>-0</v>
      </c>
      <c r="AF249" s="132" t="n">
        <f aca="false">$F249*K249</f>
        <v>-0</v>
      </c>
      <c r="AG249" s="132" t="n">
        <f aca="false">$F249*L249</f>
        <v>0</v>
      </c>
      <c r="AH249" s="132" t="n">
        <f aca="false">$F249*M249</f>
        <v>0</v>
      </c>
      <c r="AI249" s="132" t="n">
        <f aca="false">$F249*N249</f>
        <v>0</v>
      </c>
      <c r="AJ249" s="132" t="n">
        <f aca="false">F249*O249</f>
        <v>0</v>
      </c>
      <c r="AK249" s="137"/>
      <c r="AL249" s="132" t="n">
        <f aca="false">CHOOSE($G$3,AC249-AD249,AD249-AC249)</f>
        <v>0</v>
      </c>
      <c r="AM249" s="132" t="n">
        <f aca="false">CHOOSE($G$3,AF249-AG249,AG249-AF249)</f>
        <v>0</v>
      </c>
      <c r="AN249" s="132" t="n">
        <f aca="false">CHOOSE($G$3,AI249-AJ249,AJ249-AI249)</f>
        <v>0</v>
      </c>
      <c r="AO249" s="148" t="n">
        <f aca="false">SUM(AL249:AN249)</f>
        <v>0</v>
      </c>
      <c r="AQ249" s="132" t="n">
        <f aca="false">CHOOSE($G$3,AB249-AC249,AC249-AB249)</f>
        <v>0</v>
      </c>
      <c r="AR249" s="132" t="n">
        <f aca="false">CHOOSE($G$3,AE249-AF249,AF249-AE249)</f>
        <v>0</v>
      </c>
      <c r="AS249" s="132" t="n">
        <f aca="false">CHOOSE($G$3,AH249-AI249,AI249-AH249)</f>
        <v>0</v>
      </c>
      <c r="AT249" s="148" t="n">
        <f aca="false">AQ249+AR249+AS249</f>
        <v>0</v>
      </c>
      <c r="AU249" s="148"/>
      <c r="AV249" s="133" t="n">
        <f aca="false">AT249+AO249</f>
        <v>0</v>
      </c>
      <c r="AX249" s="133" t="n">
        <f aca="false">AJ249+AG249+AD249</f>
        <v>0</v>
      </c>
      <c r="AY249" s="149"/>
      <c r="AZ249" s="76" t="n">
        <f aca="false">R249*E249</f>
        <v>0</v>
      </c>
    </row>
    <row r="250" customFormat="false" ht="12" hidden="false" customHeight="true" outlineLevel="0" collapsed="false">
      <c r="A250" s="138" t="n">
        <f aca="false">EDATE(A249,1)</f>
        <v>44287</v>
      </c>
      <c r="B250" s="139" t="n">
        <f aca="false">VLOOKUP($A250,Table2,MATCH(I$3,Curves2,0))</f>
        <v>0</v>
      </c>
      <c r="C250" s="140"/>
      <c r="D250" s="141" t="n">
        <f aca="false">B250+C250</f>
        <v>0</v>
      </c>
      <c r="E250" s="126" t="n">
        <f aca="false">IF(Y250=0,0,IF(AND(Y250=1,$H$3=1),D250*T250,IF($H$3=2,D250,"N/A")))</f>
        <v>0</v>
      </c>
      <c r="F250" s="126" t="n">
        <f aca="false">E250*X250</f>
        <v>0</v>
      </c>
      <c r="G250" s="142" t="n">
        <f aca="false">VLOOKUP($A250,Table,MATCH(G$4,Curves,0))</f>
        <v>3.987</v>
      </c>
      <c r="H250" s="143" t="n">
        <f aca="false">G250</f>
        <v>3.987</v>
      </c>
      <c r="I250" s="142" t="n">
        <f aca="false">VLOOKUP($A250,Table1,MATCH(I$3,Curves1,0))</f>
        <v>0</v>
      </c>
      <c r="J250" s="142" t="n">
        <f aca="false">VLOOKUP($A250,Table,MATCH(J$4,Curves,0))</f>
        <v>-0.061</v>
      </c>
      <c r="K250" s="143" t="n">
        <f aca="false">J250</f>
        <v>-0.061</v>
      </c>
      <c r="L250" s="144" t="n">
        <v>0</v>
      </c>
      <c r="M250" s="142" t="n">
        <f aca="false">VLOOKUP($A250,Table,MATCH(M$4,Curves,0))</f>
        <v>0.005</v>
      </c>
      <c r="N250" s="143" t="n">
        <f aca="false">M250</f>
        <v>0.005</v>
      </c>
      <c r="O250" s="144" t="n">
        <v>0</v>
      </c>
      <c r="P250" s="145"/>
      <c r="Q250" s="144" t="n">
        <f aca="false">M250+J250+G250</f>
        <v>3.931</v>
      </c>
      <c r="R250" s="144" t="n">
        <f aca="false">O250+L250+I250</f>
        <v>0</v>
      </c>
      <c r="S250" s="145"/>
      <c r="T250" s="71" t="n">
        <f aca="false">A251-A250</f>
        <v>30</v>
      </c>
      <c r="U250" s="146" t="n">
        <f aca="false">CHOOSE(F$3,A251+24,A250)</f>
        <v>44341</v>
      </c>
      <c r="V250" s="71" t="n">
        <f aca="false">U250-C$3</f>
        <v>7453</v>
      </c>
      <c r="W250" s="142" t="n">
        <f aca="false">VLOOKUP($A250,Table,MATCH(W$4,Curves,0))</f>
        <v>0.058966861357273</v>
      </c>
      <c r="X250" s="147" t="n">
        <f aca="false">1/(1+CHOOSE(F$3,(W251+($K$3/10000))/2,(W250+($K$3/10000))/2))^(2*V250/365.25)</f>
        <v>0.305491250423509</v>
      </c>
      <c r="Y250" s="71" t="n">
        <f aca="false">IF(AND(mthbeg&lt;=A250,mthend&gt;=A250),1,0)</f>
        <v>0</v>
      </c>
      <c r="Z250" s="71" t="n">
        <f aca="false">T250*Y250</f>
        <v>0</v>
      </c>
      <c r="AB250" s="132" t="n">
        <f aca="false">F250*G250</f>
        <v>0</v>
      </c>
      <c r="AC250" s="132" t="n">
        <f aca="false">$F250*H250</f>
        <v>0</v>
      </c>
      <c r="AD250" s="132" t="n">
        <f aca="false">$F250*I250</f>
        <v>0</v>
      </c>
      <c r="AE250" s="132" t="n">
        <f aca="false">$F250*J250</f>
        <v>-0</v>
      </c>
      <c r="AF250" s="132" t="n">
        <f aca="false">$F250*K250</f>
        <v>-0</v>
      </c>
      <c r="AG250" s="132" t="n">
        <f aca="false">$F250*L250</f>
        <v>0</v>
      </c>
      <c r="AH250" s="132" t="n">
        <f aca="false">$F250*M250</f>
        <v>0</v>
      </c>
      <c r="AI250" s="132" t="n">
        <f aca="false">$F250*N250</f>
        <v>0</v>
      </c>
      <c r="AJ250" s="132" t="n">
        <f aca="false">F250*O250</f>
        <v>0</v>
      </c>
      <c r="AK250" s="137"/>
      <c r="AL250" s="132" t="n">
        <f aca="false">CHOOSE($G$3,AC250-AD250,AD250-AC250)</f>
        <v>0</v>
      </c>
      <c r="AM250" s="132" t="n">
        <f aca="false">CHOOSE($G$3,AF250-AG250,AG250-AF250)</f>
        <v>0</v>
      </c>
      <c r="AN250" s="132" t="n">
        <f aca="false">CHOOSE($G$3,AI250-AJ250,AJ250-AI250)</f>
        <v>0</v>
      </c>
      <c r="AO250" s="148" t="n">
        <f aca="false">SUM(AL250:AN250)</f>
        <v>0</v>
      </c>
      <c r="AQ250" s="132" t="n">
        <f aca="false">CHOOSE($G$3,AB250-AC250,AC250-AB250)</f>
        <v>0</v>
      </c>
      <c r="AR250" s="132" t="n">
        <f aca="false">CHOOSE($G$3,AE250-AF250,AF250-AE250)</f>
        <v>0</v>
      </c>
      <c r="AS250" s="132" t="n">
        <f aca="false">CHOOSE($G$3,AH250-AI250,AI250-AH250)</f>
        <v>0</v>
      </c>
      <c r="AT250" s="148" t="n">
        <f aca="false">AQ250+AR250+AS250</f>
        <v>0</v>
      </c>
      <c r="AU250" s="148"/>
      <c r="AV250" s="133" t="n">
        <f aca="false">AT250+AO250</f>
        <v>0</v>
      </c>
      <c r="AX250" s="133" t="n">
        <f aca="false">AJ250+AG250+AD250</f>
        <v>0</v>
      </c>
      <c r="AY250" s="149"/>
      <c r="AZ250" s="76" t="n">
        <f aca="false">R250*E250</f>
        <v>0</v>
      </c>
    </row>
    <row r="251" customFormat="false" ht="12" hidden="false" customHeight="true" outlineLevel="0" collapsed="false">
      <c r="A251" s="138" t="n">
        <f aca="false">EDATE(A250,1)</f>
        <v>44317</v>
      </c>
      <c r="B251" s="139" t="n">
        <f aca="false">VLOOKUP($A251,Table2,MATCH(I$3,Curves2,0))</f>
        <v>0</v>
      </c>
      <c r="C251" s="140"/>
      <c r="D251" s="141" t="n">
        <f aca="false">B251+C251</f>
        <v>0</v>
      </c>
      <c r="E251" s="126" t="n">
        <f aca="false">IF(Y251=0,0,IF(AND(Y251=1,$H$3=1),D251*T251,IF($H$3=2,D251,"N/A")))</f>
        <v>0</v>
      </c>
      <c r="F251" s="126" t="n">
        <f aca="false">E251*X251</f>
        <v>0</v>
      </c>
      <c r="G251" s="142" t="n">
        <f aca="false">VLOOKUP($A251,Table,MATCH(G$4,Curves,0))</f>
        <v>3.987</v>
      </c>
      <c r="H251" s="143" t="n">
        <f aca="false">G251</f>
        <v>3.987</v>
      </c>
      <c r="I251" s="142" t="n">
        <f aca="false">VLOOKUP($A251,Table1,MATCH(I$3,Curves1,0))</f>
        <v>0</v>
      </c>
      <c r="J251" s="142" t="n">
        <f aca="false">VLOOKUP($A251,Table,MATCH(J$4,Curves,0))</f>
        <v>-0.061</v>
      </c>
      <c r="K251" s="143" t="n">
        <f aca="false">J251</f>
        <v>-0.061</v>
      </c>
      <c r="L251" s="144" t="n">
        <v>0</v>
      </c>
      <c r="M251" s="142" t="n">
        <f aca="false">VLOOKUP($A251,Table,MATCH(M$4,Curves,0))</f>
        <v>0.005</v>
      </c>
      <c r="N251" s="143" t="n">
        <f aca="false">M251</f>
        <v>0.005</v>
      </c>
      <c r="O251" s="144" t="n">
        <v>0</v>
      </c>
      <c r="P251" s="145"/>
      <c r="Q251" s="144" t="n">
        <f aca="false">M251+J251+G251</f>
        <v>3.931</v>
      </c>
      <c r="R251" s="144" t="n">
        <f aca="false">O251+L251+I251</f>
        <v>0</v>
      </c>
      <c r="S251" s="145"/>
      <c r="T251" s="71" t="n">
        <f aca="false">A252-A251</f>
        <v>31</v>
      </c>
      <c r="U251" s="146" t="n">
        <f aca="false">CHOOSE(F$3,A252+24,A251)</f>
        <v>44372</v>
      </c>
      <c r="V251" s="71" t="n">
        <f aca="false">U251-C$3</f>
        <v>7484</v>
      </c>
      <c r="W251" s="142" t="n">
        <f aca="false">VLOOKUP($A251,Table,MATCH(W$4,Curves,0))</f>
        <v>0.058966861357273</v>
      </c>
      <c r="X251" s="147" t="n">
        <f aca="false">1/(1+CHOOSE(F$3,(W252+($K$3/10000))/2,(W251+($K$3/10000))/2))^(2*V251/365.25)</f>
        <v>0.303988168364545</v>
      </c>
      <c r="Y251" s="71" t="n">
        <f aca="false">IF(AND(mthbeg&lt;=A251,mthend&gt;=A251),1,0)</f>
        <v>0</v>
      </c>
      <c r="Z251" s="71" t="n">
        <f aca="false">T251*Y251</f>
        <v>0</v>
      </c>
      <c r="AB251" s="132" t="n">
        <f aca="false">F251*G251</f>
        <v>0</v>
      </c>
      <c r="AC251" s="132" t="n">
        <f aca="false">$F251*H251</f>
        <v>0</v>
      </c>
      <c r="AD251" s="132" t="n">
        <f aca="false">$F251*I251</f>
        <v>0</v>
      </c>
      <c r="AE251" s="132" t="n">
        <f aca="false">$F251*J251</f>
        <v>-0</v>
      </c>
      <c r="AF251" s="132" t="n">
        <f aca="false">$F251*K251</f>
        <v>-0</v>
      </c>
      <c r="AG251" s="132" t="n">
        <f aca="false">$F251*L251</f>
        <v>0</v>
      </c>
      <c r="AH251" s="132" t="n">
        <f aca="false">$F251*M251</f>
        <v>0</v>
      </c>
      <c r="AI251" s="132" t="n">
        <f aca="false">$F251*N251</f>
        <v>0</v>
      </c>
      <c r="AJ251" s="132" t="n">
        <f aca="false">F251*O251</f>
        <v>0</v>
      </c>
      <c r="AK251" s="137"/>
      <c r="AL251" s="132" t="n">
        <f aca="false">CHOOSE($G$3,AC251-AD251,AD251-AC251)</f>
        <v>0</v>
      </c>
      <c r="AM251" s="132" t="n">
        <f aca="false">CHOOSE($G$3,AF251-AG251,AG251-AF251)</f>
        <v>0</v>
      </c>
      <c r="AN251" s="132" t="n">
        <f aca="false">CHOOSE($G$3,AI251-AJ251,AJ251-AI251)</f>
        <v>0</v>
      </c>
      <c r="AO251" s="148" t="n">
        <f aca="false">SUM(AL251:AN251)</f>
        <v>0</v>
      </c>
      <c r="AQ251" s="132" t="n">
        <f aca="false">CHOOSE($G$3,AB251-AC251,AC251-AB251)</f>
        <v>0</v>
      </c>
      <c r="AR251" s="132" t="n">
        <f aca="false">CHOOSE($G$3,AE251-AF251,AF251-AE251)</f>
        <v>0</v>
      </c>
      <c r="AS251" s="132" t="n">
        <f aca="false">CHOOSE($G$3,AH251-AI251,AI251-AH251)</f>
        <v>0</v>
      </c>
      <c r="AT251" s="148" t="n">
        <f aca="false">AQ251+AR251+AS251</f>
        <v>0</v>
      </c>
      <c r="AU251" s="148"/>
      <c r="AV251" s="133" t="n">
        <f aca="false">AT251+AO251</f>
        <v>0</v>
      </c>
      <c r="AX251" s="133" t="n">
        <f aca="false">AJ251+AG251+AD251</f>
        <v>0</v>
      </c>
      <c r="AY251" s="149"/>
      <c r="AZ251" s="76" t="n">
        <f aca="false">R251*E251</f>
        <v>0</v>
      </c>
    </row>
    <row r="252" customFormat="false" ht="12" hidden="false" customHeight="true" outlineLevel="0" collapsed="false">
      <c r="A252" s="138" t="n">
        <f aca="false">EDATE(A251,1)</f>
        <v>44348</v>
      </c>
      <c r="B252" s="139" t="n">
        <f aca="false">VLOOKUP($A252,Table2,MATCH(I$3,Curves2,0))</f>
        <v>0</v>
      </c>
      <c r="C252" s="140"/>
      <c r="D252" s="141" t="n">
        <f aca="false">B252+C252</f>
        <v>0</v>
      </c>
      <c r="E252" s="126" t="n">
        <f aca="false">IF(Y252=0,0,IF(AND(Y252=1,$H$3=1),D252*T252,IF($H$3=2,D252,"N/A")))</f>
        <v>0</v>
      </c>
      <c r="F252" s="126" t="n">
        <f aca="false">E252*X252</f>
        <v>0</v>
      </c>
      <c r="G252" s="142" t="n">
        <f aca="false">VLOOKUP($A252,Table,MATCH(G$4,Curves,0))</f>
        <v>3.987</v>
      </c>
      <c r="H252" s="143" t="n">
        <f aca="false">G252</f>
        <v>3.987</v>
      </c>
      <c r="I252" s="142" t="n">
        <f aca="false">VLOOKUP($A252,Table1,MATCH(I$3,Curves1,0))</f>
        <v>0</v>
      </c>
      <c r="J252" s="142" t="n">
        <f aca="false">VLOOKUP($A252,Table,MATCH(J$4,Curves,0))</f>
        <v>-0.061</v>
      </c>
      <c r="K252" s="143" t="n">
        <f aca="false">J252</f>
        <v>-0.061</v>
      </c>
      <c r="L252" s="144" t="n">
        <v>0</v>
      </c>
      <c r="M252" s="142" t="n">
        <f aca="false">VLOOKUP($A252,Table,MATCH(M$4,Curves,0))</f>
        <v>0.005</v>
      </c>
      <c r="N252" s="143" t="n">
        <f aca="false">M252</f>
        <v>0.005</v>
      </c>
      <c r="O252" s="144" t="n">
        <v>0</v>
      </c>
      <c r="P252" s="145"/>
      <c r="Q252" s="144" t="n">
        <f aca="false">M252+J252+G252</f>
        <v>3.931</v>
      </c>
      <c r="R252" s="144" t="n">
        <f aca="false">O252+L252+I252</f>
        <v>0</v>
      </c>
      <c r="S252" s="145"/>
      <c r="T252" s="71" t="n">
        <f aca="false">A253-A252</f>
        <v>30</v>
      </c>
      <c r="U252" s="146" t="n">
        <f aca="false">CHOOSE(F$3,A253+24,A252)</f>
        <v>44402</v>
      </c>
      <c r="V252" s="71" t="n">
        <f aca="false">U252-C$3</f>
        <v>7514</v>
      </c>
      <c r="W252" s="142" t="n">
        <f aca="false">VLOOKUP($A252,Table,MATCH(W$4,Curves,0))</f>
        <v>0.058966861357273</v>
      </c>
      <c r="X252" s="147" t="n">
        <f aca="false">1/(1+CHOOSE(F$3,(W253+($K$3/10000))/2,(W252+($K$3/10000))/2))^(2*V252/365.25)</f>
        <v>0.302540614682493</v>
      </c>
      <c r="Y252" s="71" t="n">
        <f aca="false">IF(AND(mthbeg&lt;=A252,mthend&gt;=A252),1,0)</f>
        <v>0</v>
      </c>
      <c r="Z252" s="71" t="n">
        <f aca="false">T252*Y252</f>
        <v>0</v>
      </c>
      <c r="AB252" s="132" t="n">
        <f aca="false">F252*G252</f>
        <v>0</v>
      </c>
      <c r="AC252" s="132" t="n">
        <f aca="false">$F252*H252</f>
        <v>0</v>
      </c>
      <c r="AD252" s="132" t="n">
        <f aca="false">$F252*I252</f>
        <v>0</v>
      </c>
      <c r="AE252" s="132" t="n">
        <f aca="false">$F252*J252</f>
        <v>-0</v>
      </c>
      <c r="AF252" s="132" t="n">
        <f aca="false">$F252*K252</f>
        <v>-0</v>
      </c>
      <c r="AG252" s="132" t="n">
        <f aca="false">$F252*L252</f>
        <v>0</v>
      </c>
      <c r="AH252" s="132" t="n">
        <f aca="false">$F252*M252</f>
        <v>0</v>
      </c>
      <c r="AI252" s="132" t="n">
        <f aca="false">$F252*N252</f>
        <v>0</v>
      </c>
      <c r="AJ252" s="132" t="n">
        <f aca="false">F252*O252</f>
        <v>0</v>
      </c>
      <c r="AK252" s="137"/>
      <c r="AL252" s="132" t="n">
        <f aca="false">CHOOSE($G$3,AC252-AD252,AD252-AC252)</f>
        <v>0</v>
      </c>
      <c r="AM252" s="132" t="n">
        <f aca="false">CHOOSE($G$3,AF252-AG252,AG252-AF252)</f>
        <v>0</v>
      </c>
      <c r="AN252" s="132" t="n">
        <f aca="false">CHOOSE($G$3,AI252-AJ252,AJ252-AI252)</f>
        <v>0</v>
      </c>
      <c r="AO252" s="148" t="n">
        <f aca="false">SUM(AL252:AN252)</f>
        <v>0</v>
      </c>
      <c r="AQ252" s="132" t="n">
        <f aca="false">CHOOSE($G$3,AB252-AC252,AC252-AB252)</f>
        <v>0</v>
      </c>
      <c r="AR252" s="132" t="n">
        <f aca="false">CHOOSE($G$3,AE252-AF252,AF252-AE252)</f>
        <v>0</v>
      </c>
      <c r="AS252" s="132" t="n">
        <f aca="false">CHOOSE($G$3,AH252-AI252,AI252-AH252)</f>
        <v>0</v>
      </c>
      <c r="AT252" s="148" t="n">
        <f aca="false">AQ252+AR252+AS252</f>
        <v>0</v>
      </c>
      <c r="AU252" s="148"/>
      <c r="AV252" s="133" t="n">
        <f aca="false">AT252+AO252</f>
        <v>0</v>
      </c>
      <c r="AX252" s="133" t="n">
        <f aca="false">AJ252+AG252+AD252</f>
        <v>0</v>
      </c>
      <c r="AY252" s="149"/>
      <c r="AZ252" s="76" t="n">
        <f aca="false">R252*E252</f>
        <v>0</v>
      </c>
    </row>
    <row r="253" customFormat="false" ht="12" hidden="false" customHeight="true" outlineLevel="0" collapsed="false">
      <c r="A253" s="138" t="n">
        <f aca="false">EDATE(A252,1)</f>
        <v>44378</v>
      </c>
      <c r="B253" s="139" t="n">
        <f aca="false">VLOOKUP($A253,Table2,MATCH(I$3,Curves2,0))</f>
        <v>0</v>
      </c>
      <c r="C253" s="140"/>
      <c r="D253" s="141" t="n">
        <f aca="false">B253+C253</f>
        <v>0</v>
      </c>
      <c r="E253" s="126" t="n">
        <f aca="false">IF(Y253=0,0,IF(AND(Y253=1,$H$3=1),D253*T253,IF($H$3=2,D253,"N/A")))</f>
        <v>0</v>
      </c>
      <c r="F253" s="126" t="n">
        <f aca="false">E253*X253</f>
        <v>0</v>
      </c>
      <c r="G253" s="142" t="n">
        <f aca="false">VLOOKUP($A253,Table,MATCH(G$4,Curves,0))</f>
        <v>3.987</v>
      </c>
      <c r="H253" s="143" t="n">
        <f aca="false">G253</f>
        <v>3.987</v>
      </c>
      <c r="I253" s="142" t="n">
        <f aca="false">VLOOKUP($A253,Table1,MATCH(I$3,Curves1,0))</f>
        <v>0</v>
      </c>
      <c r="J253" s="142" t="n">
        <f aca="false">VLOOKUP($A253,Table,MATCH(J$4,Curves,0))</f>
        <v>-0.061</v>
      </c>
      <c r="K253" s="143" t="n">
        <f aca="false">J253</f>
        <v>-0.061</v>
      </c>
      <c r="L253" s="144" t="n">
        <v>0</v>
      </c>
      <c r="M253" s="142" t="n">
        <f aca="false">VLOOKUP($A253,Table,MATCH(M$4,Curves,0))</f>
        <v>0.005</v>
      </c>
      <c r="N253" s="143" t="n">
        <f aca="false">M253</f>
        <v>0.005</v>
      </c>
      <c r="O253" s="144" t="n">
        <v>0</v>
      </c>
      <c r="P253" s="145"/>
      <c r="Q253" s="144" t="n">
        <f aca="false">M253+J253+G253</f>
        <v>3.931</v>
      </c>
      <c r="R253" s="144" t="n">
        <f aca="false">O253+L253+I253</f>
        <v>0</v>
      </c>
      <c r="S253" s="145"/>
      <c r="T253" s="71" t="n">
        <f aca="false">A254-A253</f>
        <v>31</v>
      </c>
      <c r="U253" s="146" t="n">
        <f aca="false">CHOOSE(F$3,A254+24,A253)</f>
        <v>44433</v>
      </c>
      <c r="V253" s="71" t="n">
        <f aca="false">U253-C$3</f>
        <v>7545</v>
      </c>
      <c r="W253" s="142" t="n">
        <f aca="false">VLOOKUP($A253,Table,MATCH(W$4,Curves,0))</f>
        <v>0.058966861357273</v>
      </c>
      <c r="X253" s="147" t="n">
        <f aca="false">1/(1+CHOOSE(F$3,(W254+($K$3/10000))/2,(W253+($K$3/10000))/2))^(2*V253/365.25)</f>
        <v>0.30105205038022</v>
      </c>
      <c r="Y253" s="71" t="n">
        <f aca="false">IF(AND(mthbeg&lt;=A253,mthend&gt;=A253),1,0)</f>
        <v>0</v>
      </c>
      <c r="Z253" s="71" t="n">
        <f aca="false">T253*Y253</f>
        <v>0</v>
      </c>
      <c r="AB253" s="132" t="n">
        <f aca="false">F253*G253</f>
        <v>0</v>
      </c>
      <c r="AC253" s="132" t="n">
        <f aca="false">$F253*H253</f>
        <v>0</v>
      </c>
      <c r="AD253" s="132" t="n">
        <f aca="false">$F253*I253</f>
        <v>0</v>
      </c>
      <c r="AE253" s="132" t="n">
        <f aca="false">$F253*J253</f>
        <v>-0</v>
      </c>
      <c r="AF253" s="132" t="n">
        <f aca="false">$F253*K253</f>
        <v>-0</v>
      </c>
      <c r="AG253" s="132" t="n">
        <f aca="false">$F253*L253</f>
        <v>0</v>
      </c>
      <c r="AH253" s="132" t="n">
        <f aca="false">$F253*M253</f>
        <v>0</v>
      </c>
      <c r="AI253" s="132" t="n">
        <f aca="false">$F253*N253</f>
        <v>0</v>
      </c>
      <c r="AJ253" s="132" t="n">
        <f aca="false">F253*O253</f>
        <v>0</v>
      </c>
      <c r="AK253" s="137"/>
      <c r="AL253" s="132" t="n">
        <f aca="false">CHOOSE($G$3,AC253-AD253,AD253-AC253)</f>
        <v>0</v>
      </c>
      <c r="AM253" s="132" t="n">
        <f aca="false">CHOOSE($G$3,AF253-AG253,AG253-AF253)</f>
        <v>0</v>
      </c>
      <c r="AN253" s="132" t="n">
        <f aca="false">CHOOSE($G$3,AI253-AJ253,AJ253-AI253)</f>
        <v>0</v>
      </c>
      <c r="AO253" s="148" t="n">
        <f aca="false">SUM(AL253:AN253)</f>
        <v>0</v>
      </c>
      <c r="AQ253" s="132" t="n">
        <f aca="false">CHOOSE($G$3,AB253-AC253,AC253-AB253)</f>
        <v>0</v>
      </c>
      <c r="AR253" s="132" t="n">
        <f aca="false">CHOOSE($G$3,AE253-AF253,AF253-AE253)</f>
        <v>0</v>
      </c>
      <c r="AS253" s="132" t="n">
        <f aca="false">CHOOSE($G$3,AH253-AI253,AI253-AH253)</f>
        <v>0</v>
      </c>
      <c r="AT253" s="148" t="n">
        <f aca="false">AQ253+AR253+AS253</f>
        <v>0</v>
      </c>
      <c r="AU253" s="148"/>
      <c r="AV253" s="133" t="n">
        <f aca="false">AT253+AO253</f>
        <v>0</v>
      </c>
      <c r="AX253" s="133" t="n">
        <f aca="false">AJ253+AG253+AD253</f>
        <v>0</v>
      </c>
      <c r="AY253" s="149"/>
      <c r="AZ253" s="76" t="n">
        <f aca="false">R253*E253</f>
        <v>0</v>
      </c>
    </row>
    <row r="254" customFormat="false" ht="12" hidden="false" customHeight="true" outlineLevel="0" collapsed="false">
      <c r="A254" s="138" t="n">
        <f aca="false">EDATE(A253,1)</f>
        <v>44409</v>
      </c>
      <c r="B254" s="139" t="n">
        <f aca="false">VLOOKUP($A254,Table2,MATCH(I$3,Curves2,0))</f>
        <v>0</v>
      </c>
      <c r="C254" s="140"/>
      <c r="D254" s="141" t="n">
        <f aca="false">B254+C254</f>
        <v>0</v>
      </c>
      <c r="E254" s="126" t="n">
        <f aca="false">IF(Y254=0,0,IF(AND(Y254=1,$H$3=1),D254*T254,IF($H$3=2,D254,"N/A")))</f>
        <v>0</v>
      </c>
      <c r="F254" s="126" t="n">
        <f aca="false">E254*X254</f>
        <v>0</v>
      </c>
      <c r="G254" s="142" t="n">
        <f aca="false">VLOOKUP($A254,Table,MATCH(G$4,Curves,0))</f>
        <v>3.987</v>
      </c>
      <c r="H254" s="143" t="n">
        <f aca="false">G254</f>
        <v>3.987</v>
      </c>
      <c r="I254" s="142" t="n">
        <f aca="false">VLOOKUP($A254,Table1,MATCH(I$3,Curves1,0))</f>
        <v>0</v>
      </c>
      <c r="J254" s="142" t="n">
        <f aca="false">VLOOKUP($A254,Table,MATCH(J$4,Curves,0))</f>
        <v>-0.061</v>
      </c>
      <c r="K254" s="143" t="n">
        <f aca="false">J254</f>
        <v>-0.061</v>
      </c>
      <c r="L254" s="144" t="n">
        <v>0</v>
      </c>
      <c r="M254" s="142" t="n">
        <f aca="false">VLOOKUP($A254,Table,MATCH(M$4,Curves,0))</f>
        <v>0.005</v>
      </c>
      <c r="N254" s="143" t="n">
        <f aca="false">M254</f>
        <v>0.005</v>
      </c>
      <c r="O254" s="144" t="n">
        <v>0</v>
      </c>
      <c r="P254" s="145"/>
      <c r="Q254" s="144" t="n">
        <f aca="false">M254+J254+G254</f>
        <v>3.931</v>
      </c>
      <c r="R254" s="144" t="n">
        <f aca="false">O254+L254+I254</f>
        <v>0</v>
      </c>
      <c r="S254" s="145"/>
      <c r="T254" s="71" t="n">
        <f aca="false">A255-A254</f>
        <v>31</v>
      </c>
      <c r="U254" s="146" t="n">
        <f aca="false">CHOOSE(F$3,A255+24,A254)</f>
        <v>44464</v>
      </c>
      <c r="V254" s="71" t="n">
        <f aca="false">U254-C$3</f>
        <v>7576</v>
      </c>
      <c r="W254" s="142" t="n">
        <f aca="false">VLOOKUP($A254,Table,MATCH(W$4,Curves,0))</f>
        <v>0.058966861357273</v>
      </c>
      <c r="X254" s="147" t="n">
        <f aca="false">1/(1+CHOOSE(F$3,(W255+($K$3/10000))/2,(W254+($K$3/10000))/2))^(2*V254/365.25)</f>
        <v>0.29957081013156</v>
      </c>
      <c r="Y254" s="71" t="n">
        <f aca="false">IF(AND(mthbeg&lt;=A254,mthend&gt;=A254),1,0)</f>
        <v>0</v>
      </c>
      <c r="Z254" s="71" t="n">
        <f aca="false">T254*Y254</f>
        <v>0</v>
      </c>
      <c r="AB254" s="132" t="n">
        <f aca="false">F254*G254</f>
        <v>0</v>
      </c>
      <c r="AC254" s="132" t="n">
        <f aca="false">$F254*H254</f>
        <v>0</v>
      </c>
      <c r="AD254" s="132" t="n">
        <f aca="false">$F254*I254</f>
        <v>0</v>
      </c>
      <c r="AE254" s="132" t="n">
        <f aca="false">$F254*J254</f>
        <v>-0</v>
      </c>
      <c r="AF254" s="132" t="n">
        <f aca="false">$F254*K254</f>
        <v>-0</v>
      </c>
      <c r="AG254" s="132" t="n">
        <f aca="false">$F254*L254</f>
        <v>0</v>
      </c>
      <c r="AH254" s="132" t="n">
        <f aca="false">$F254*M254</f>
        <v>0</v>
      </c>
      <c r="AI254" s="132" t="n">
        <f aca="false">$F254*N254</f>
        <v>0</v>
      </c>
      <c r="AJ254" s="132" t="n">
        <f aca="false">F254*O254</f>
        <v>0</v>
      </c>
      <c r="AK254" s="137"/>
      <c r="AL254" s="132" t="n">
        <f aca="false">CHOOSE($G$3,AC254-AD254,AD254-AC254)</f>
        <v>0</v>
      </c>
      <c r="AM254" s="132" t="n">
        <f aca="false">CHOOSE($G$3,AF254-AG254,AG254-AF254)</f>
        <v>0</v>
      </c>
      <c r="AN254" s="132" t="n">
        <f aca="false">CHOOSE($G$3,AI254-AJ254,AJ254-AI254)</f>
        <v>0</v>
      </c>
      <c r="AO254" s="148" t="n">
        <f aca="false">SUM(AL254:AN254)</f>
        <v>0</v>
      </c>
      <c r="AQ254" s="132" t="n">
        <f aca="false">CHOOSE($G$3,AB254-AC254,AC254-AB254)</f>
        <v>0</v>
      </c>
      <c r="AR254" s="132" t="n">
        <f aca="false">CHOOSE($G$3,AE254-AF254,AF254-AE254)</f>
        <v>0</v>
      </c>
      <c r="AS254" s="132" t="n">
        <f aca="false">CHOOSE($G$3,AH254-AI254,AI254-AH254)</f>
        <v>0</v>
      </c>
      <c r="AT254" s="148" t="n">
        <f aca="false">AQ254+AR254+AS254</f>
        <v>0</v>
      </c>
      <c r="AU254" s="148"/>
      <c r="AV254" s="133" t="n">
        <f aca="false">AT254+AO254</f>
        <v>0</v>
      </c>
      <c r="AX254" s="133" t="n">
        <f aca="false">AJ254+AG254+AD254</f>
        <v>0</v>
      </c>
      <c r="AY254" s="149"/>
      <c r="AZ254" s="76" t="n">
        <f aca="false">R254*E254</f>
        <v>0</v>
      </c>
    </row>
    <row r="255" customFormat="false" ht="12" hidden="false" customHeight="true" outlineLevel="0" collapsed="false">
      <c r="A255" s="138" t="n">
        <f aca="false">EDATE(A254,1)</f>
        <v>44440</v>
      </c>
      <c r="B255" s="139" t="n">
        <f aca="false">VLOOKUP($A255,Table2,MATCH(I$3,Curves2,0))</f>
        <v>0</v>
      </c>
      <c r="C255" s="140"/>
      <c r="D255" s="141" t="n">
        <f aca="false">B255+C255</f>
        <v>0</v>
      </c>
      <c r="E255" s="126" t="n">
        <f aca="false">IF(Y255=0,0,IF(AND(Y255=1,$H$3=1),D255*T255,IF($H$3=2,D255,"N/A")))</f>
        <v>0</v>
      </c>
      <c r="F255" s="126" t="n">
        <f aca="false">E255*X255</f>
        <v>0</v>
      </c>
      <c r="G255" s="142" t="n">
        <f aca="false">VLOOKUP($A255,Table,MATCH(G$4,Curves,0))</f>
        <v>3.987</v>
      </c>
      <c r="H255" s="143" t="n">
        <f aca="false">G255</f>
        <v>3.987</v>
      </c>
      <c r="I255" s="142" t="n">
        <f aca="false">VLOOKUP($A255,Table1,MATCH(I$3,Curves1,0))</f>
        <v>0</v>
      </c>
      <c r="J255" s="142" t="n">
        <f aca="false">VLOOKUP($A255,Table,MATCH(J$4,Curves,0))</f>
        <v>-0.061</v>
      </c>
      <c r="K255" s="143" t="n">
        <f aca="false">J255</f>
        <v>-0.061</v>
      </c>
      <c r="L255" s="144" t="n">
        <v>0</v>
      </c>
      <c r="M255" s="142" t="n">
        <f aca="false">VLOOKUP($A255,Table,MATCH(M$4,Curves,0))</f>
        <v>0.005</v>
      </c>
      <c r="N255" s="143" t="n">
        <f aca="false">M255</f>
        <v>0.005</v>
      </c>
      <c r="O255" s="144" t="n">
        <v>0</v>
      </c>
      <c r="P255" s="145"/>
      <c r="Q255" s="144" t="n">
        <f aca="false">M255+J255+G255</f>
        <v>3.931</v>
      </c>
      <c r="R255" s="144" t="n">
        <f aca="false">O255+L255+I255</f>
        <v>0</v>
      </c>
      <c r="S255" s="145"/>
      <c r="T255" s="71" t="n">
        <f aca="false">A256-A255</f>
        <v>30</v>
      </c>
      <c r="U255" s="146" t="n">
        <f aca="false">CHOOSE(F$3,A256+24,A255)</f>
        <v>44494</v>
      </c>
      <c r="V255" s="71" t="n">
        <f aca="false">U255-C$3</f>
        <v>7606</v>
      </c>
      <c r="W255" s="142" t="n">
        <f aca="false">VLOOKUP($A255,Table,MATCH(W$4,Curves,0))</f>
        <v>0.058966861357273</v>
      </c>
      <c r="X255" s="147" t="n">
        <f aca="false">1/(1+CHOOSE(F$3,(W256+($K$3/10000))/2,(W255+($K$3/10000))/2))^(2*V255/365.25)</f>
        <v>0.298144291357575</v>
      </c>
      <c r="Y255" s="71" t="n">
        <f aca="false">IF(AND(mthbeg&lt;=A255,mthend&gt;=A255),1,0)</f>
        <v>0</v>
      </c>
      <c r="Z255" s="71" t="n">
        <f aca="false">T255*Y255</f>
        <v>0</v>
      </c>
      <c r="AB255" s="132" t="n">
        <f aca="false">F255*G255</f>
        <v>0</v>
      </c>
      <c r="AC255" s="132" t="n">
        <f aca="false">$F255*H255</f>
        <v>0</v>
      </c>
      <c r="AD255" s="132" t="n">
        <f aca="false">$F255*I255</f>
        <v>0</v>
      </c>
      <c r="AE255" s="132" t="n">
        <f aca="false">$F255*J255</f>
        <v>-0</v>
      </c>
      <c r="AF255" s="132" t="n">
        <f aca="false">$F255*K255</f>
        <v>-0</v>
      </c>
      <c r="AG255" s="132" t="n">
        <f aca="false">$F255*L255</f>
        <v>0</v>
      </c>
      <c r="AH255" s="132" t="n">
        <f aca="false">$F255*M255</f>
        <v>0</v>
      </c>
      <c r="AI255" s="132" t="n">
        <f aca="false">$F255*N255</f>
        <v>0</v>
      </c>
      <c r="AJ255" s="132" t="n">
        <f aca="false">F255*O255</f>
        <v>0</v>
      </c>
      <c r="AK255" s="137"/>
      <c r="AL255" s="132" t="n">
        <f aca="false">CHOOSE($G$3,AC255-AD255,AD255-AC255)</f>
        <v>0</v>
      </c>
      <c r="AM255" s="132" t="n">
        <f aca="false">CHOOSE($G$3,AF255-AG255,AG255-AF255)</f>
        <v>0</v>
      </c>
      <c r="AN255" s="132" t="n">
        <f aca="false">CHOOSE($G$3,AI255-AJ255,AJ255-AI255)</f>
        <v>0</v>
      </c>
      <c r="AO255" s="148" t="n">
        <f aca="false">SUM(AL255:AN255)</f>
        <v>0</v>
      </c>
      <c r="AQ255" s="132" t="n">
        <f aca="false">CHOOSE($G$3,AB255-AC255,AC255-AB255)</f>
        <v>0</v>
      </c>
      <c r="AR255" s="132" t="n">
        <f aca="false">CHOOSE($G$3,AE255-AF255,AF255-AE255)</f>
        <v>0</v>
      </c>
      <c r="AS255" s="132" t="n">
        <f aca="false">CHOOSE($G$3,AH255-AI255,AI255-AH255)</f>
        <v>0</v>
      </c>
      <c r="AT255" s="148" t="n">
        <f aca="false">AQ255+AR255+AS255</f>
        <v>0</v>
      </c>
      <c r="AU255" s="148"/>
      <c r="AV255" s="133" t="n">
        <f aca="false">AT255+AO255</f>
        <v>0</v>
      </c>
      <c r="AX255" s="133" t="n">
        <f aca="false">AJ255+AG255+AD255</f>
        <v>0</v>
      </c>
      <c r="AY255" s="149"/>
      <c r="AZ255" s="76" t="n">
        <f aca="false">R255*E255</f>
        <v>0</v>
      </c>
    </row>
    <row r="256" customFormat="false" ht="12" hidden="false" customHeight="true" outlineLevel="0" collapsed="false">
      <c r="A256" s="138" t="n">
        <f aca="false">EDATE(A255,1)</f>
        <v>44470</v>
      </c>
      <c r="B256" s="139" t="n">
        <f aca="false">VLOOKUP($A256,Table2,MATCH(I$3,Curves2,0))</f>
        <v>0</v>
      </c>
      <c r="C256" s="140"/>
      <c r="D256" s="141" t="n">
        <f aca="false">B256+C256</f>
        <v>0</v>
      </c>
      <c r="E256" s="126" t="n">
        <f aca="false">IF(Y256=0,0,IF(AND(Y256=1,$H$3=1),D256*T256,IF($H$3=2,D256,"N/A")))</f>
        <v>0</v>
      </c>
      <c r="F256" s="126" t="n">
        <f aca="false">E256*X256</f>
        <v>0</v>
      </c>
      <c r="G256" s="142" t="n">
        <f aca="false">VLOOKUP($A256,Table,MATCH(G$4,Curves,0))</f>
        <v>3.987</v>
      </c>
      <c r="H256" s="143" t="n">
        <f aca="false">G256</f>
        <v>3.987</v>
      </c>
      <c r="I256" s="142" t="n">
        <f aca="false">VLOOKUP($A256,Table1,MATCH(I$3,Curves1,0))</f>
        <v>0</v>
      </c>
      <c r="J256" s="142" t="n">
        <f aca="false">VLOOKUP($A256,Table,MATCH(J$4,Curves,0))</f>
        <v>-0.061</v>
      </c>
      <c r="K256" s="143" t="n">
        <f aca="false">J256</f>
        <v>-0.061</v>
      </c>
      <c r="L256" s="144" t="n">
        <v>0</v>
      </c>
      <c r="M256" s="142" t="n">
        <f aca="false">VLOOKUP($A256,Table,MATCH(M$4,Curves,0))</f>
        <v>0.005</v>
      </c>
      <c r="N256" s="143" t="n">
        <f aca="false">M256</f>
        <v>0.005</v>
      </c>
      <c r="O256" s="144" t="n">
        <v>0</v>
      </c>
      <c r="P256" s="145"/>
      <c r="Q256" s="144" t="n">
        <f aca="false">M256+J256+G256</f>
        <v>3.931</v>
      </c>
      <c r="R256" s="144" t="n">
        <f aca="false">O256+L256+I256</f>
        <v>0</v>
      </c>
      <c r="S256" s="145"/>
      <c r="T256" s="71" t="n">
        <f aca="false">A257-A256</f>
        <v>31</v>
      </c>
      <c r="U256" s="146" t="n">
        <f aca="false">CHOOSE(F$3,A257+24,A256)</f>
        <v>44525</v>
      </c>
      <c r="V256" s="71" t="n">
        <f aca="false">U256-C$3</f>
        <v>7637</v>
      </c>
      <c r="W256" s="142" t="n">
        <f aca="false">VLOOKUP($A256,Table,MATCH(W$4,Curves,0))</f>
        <v>0.058966861357273</v>
      </c>
      <c r="X256" s="147" t="n">
        <f aca="false">1/(1+CHOOSE(F$3,(W257+($K$3/10000))/2,(W256+($K$3/10000))/2))^(2*V256/365.25)</f>
        <v>0.296677357903014</v>
      </c>
      <c r="Y256" s="71" t="n">
        <f aca="false">IF(AND(mthbeg&lt;=A256,mthend&gt;=A256),1,0)</f>
        <v>0</v>
      </c>
      <c r="Z256" s="71" t="n">
        <f aca="false">T256*Y256</f>
        <v>0</v>
      </c>
      <c r="AB256" s="132" t="n">
        <f aca="false">F256*G256</f>
        <v>0</v>
      </c>
      <c r="AC256" s="132" t="n">
        <f aca="false">$F256*H256</f>
        <v>0</v>
      </c>
      <c r="AD256" s="132" t="n">
        <f aca="false">$F256*I256</f>
        <v>0</v>
      </c>
      <c r="AE256" s="132" t="n">
        <f aca="false">$F256*J256</f>
        <v>-0</v>
      </c>
      <c r="AF256" s="132" t="n">
        <f aca="false">$F256*K256</f>
        <v>-0</v>
      </c>
      <c r="AG256" s="132" t="n">
        <f aca="false">$F256*L256</f>
        <v>0</v>
      </c>
      <c r="AH256" s="132" t="n">
        <f aca="false">$F256*M256</f>
        <v>0</v>
      </c>
      <c r="AI256" s="132" t="n">
        <f aca="false">$F256*N256</f>
        <v>0</v>
      </c>
      <c r="AJ256" s="132" t="n">
        <f aca="false">F256*O256</f>
        <v>0</v>
      </c>
      <c r="AK256" s="137"/>
      <c r="AL256" s="132" t="n">
        <f aca="false">CHOOSE($G$3,AC256-AD256,AD256-AC256)</f>
        <v>0</v>
      </c>
      <c r="AM256" s="132" t="n">
        <f aca="false">CHOOSE($G$3,AF256-AG256,AG256-AF256)</f>
        <v>0</v>
      </c>
      <c r="AN256" s="132" t="n">
        <f aca="false">CHOOSE($G$3,AI256-AJ256,AJ256-AI256)</f>
        <v>0</v>
      </c>
      <c r="AO256" s="148" t="n">
        <f aca="false">SUM(AL256:AN256)</f>
        <v>0</v>
      </c>
      <c r="AQ256" s="132" t="n">
        <f aca="false">CHOOSE($G$3,AB256-AC256,AC256-AB256)</f>
        <v>0</v>
      </c>
      <c r="AR256" s="132" t="n">
        <f aca="false">CHOOSE($G$3,AE256-AF256,AF256-AE256)</f>
        <v>0</v>
      </c>
      <c r="AS256" s="132" t="n">
        <f aca="false">CHOOSE($G$3,AH256-AI256,AI256-AH256)</f>
        <v>0</v>
      </c>
      <c r="AT256" s="148" t="n">
        <f aca="false">AQ256+AR256+AS256</f>
        <v>0</v>
      </c>
      <c r="AU256" s="148"/>
      <c r="AV256" s="133" t="n">
        <f aca="false">AT256+AO256</f>
        <v>0</v>
      </c>
      <c r="AX256" s="133" t="n">
        <f aca="false">AJ256+AG256+AD256</f>
        <v>0</v>
      </c>
      <c r="AY256" s="149"/>
      <c r="AZ256" s="76" t="n">
        <f aca="false">R256*E256</f>
        <v>0</v>
      </c>
    </row>
    <row r="257" customFormat="false" ht="12" hidden="false" customHeight="true" outlineLevel="0" collapsed="false">
      <c r="A257" s="138" t="n">
        <f aca="false">EDATE(A256,1)</f>
        <v>44501</v>
      </c>
      <c r="B257" s="139" t="n">
        <f aca="false">VLOOKUP($A257,Table2,MATCH(I$3,Curves2,0))</f>
        <v>0</v>
      </c>
      <c r="C257" s="140"/>
      <c r="D257" s="141" t="n">
        <f aca="false">B257+C257</f>
        <v>0</v>
      </c>
      <c r="E257" s="126" t="n">
        <f aca="false">IF(Y257=0,0,IF(AND(Y257=1,$H$3=1),D257*T257,IF($H$3=2,D257,"N/A")))</f>
        <v>0</v>
      </c>
      <c r="F257" s="126" t="n">
        <f aca="false">E257*X257</f>
        <v>0</v>
      </c>
      <c r="G257" s="142" t="n">
        <f aca="false">VLOOKUP($A257,Table,MATCH(G$4,Curves,0))</f>
        <v>3.987</v>
      </c>
      <c r="H257" s="143" t="n">
        <f aca="false">G257</f>
        <v>3.987</v>
      </c>
      <c r="I257" s="142" t="n">
        <f aca="false">VLOOKUP($A257,Table1,MATCH(I$3,Curves1,0))</f>
        <v>0</v>
      </c>
      <c r="J257" s="142" t="n">
        <f aca="false">VLOOKUP($A257,Table,MATCH(J$4,Curves,0))</f>
        <v>-0.061</v>
      </c>
      <c r="K257" s="143" t="n">
        <f aca="false">J257</f>
        <v>-0.061</v>
      </c>
      <c r="L257" s="144" t="n">
        <v>0</v>
      </c>
      <c r="M257" s="142" t="n">
        <f aca="false">VLOOKUP($A257,Table,MATCH(M$4,Curves,0))</f>
        <v>0.005</v>
      </c>
      <c r="N257" s="143" t="n">
        <f aca="false">M257</f>
        <v>0.005</v>
      </c>
      <c r="O257" s="144" t="n">
        <v>0</v>
      </c>
      <c r="P257" s="145"/>
      <c r="Q257" s="144" t="n">
        <f aca="false">M257+J257+G257</f>
        <v>3.931</v>
      </c>
      <c r="R257" s="144" t="n">
        <f aca="false">O257+L257+I257</f>
        <v>0</v>
      </c>
      <c r="S257" s="145"/>
      <c r="T257" s="71" t="n">
        <f aca="false">A258-A257</f>
        <v>30</v>
      </c>
      <c r="U257" s="146" t="n">
        <f aca="false">CHOOSE(F$3,A258+24,A257)</f>
        <v>44555</v>
      </c>
      <c r="V257" s="71" t="n">
        <f aca="false">U257-C$3</f>
        <v>7667</v>
      </c>
      <c r="W257" s="142" t="n">
        <f aca="false">VLOOKUP($A257,Table,MATCH(W$4,Curves,0))</f>
        <v>0.058966861357273</v>
      </c>
      <c r="X257" s="147" t="n">
        <f aca="false">1/(1+CHOOSE(F$3,(W258+($K$3/10000))/2,(W257+($K$3/10000))/2))^(2*V257/365.25)</f>
        <v>0.295264617387077</v>
      </c>
      <c r="Y257" s="71" t="n">
        <f aca="false">IF(AND(mthbeg&lt;=A257,mthend&gt;=A257),1,0)</f>
        <v>0</v>
      </c>
      <c r="Z257" s="71" t="n">
        <f aca="false">T257*Y257</f>
        <v>0</v>
      </c>
      <c r="AB257" s="132" t="n">
        <f aca="false">F257*G257</f>
        <v>0</v>
      </c>
      <c r="AC257" s="132" t="n">
        <f aca="false">$F257*H257</f>
        <v>0</v>
      </c>
      <c r="AD257" s="132" t="n">
        <f aca="false">$F257*I257</f>
        <v>0</v>
      </c>
      <c r="AE257" s="132" t="n">
        <f aca="false">$F257*J257</f>
        <v>-0</v>
      </c>
      <c r="AF257" s="132" t="n">
        <f aca="false">$F257*K257</f>
        <v>-0</v>
      </c>
      <c r="AG257" s="132" t="n">
        <f aca="false">$F257*L257</f>
        <v>0</v>
      </c>
      <c r="AH257" s="132" t="n">
        <f aca="false">$F257*M257</f>
        <v>0</v>
      </c>
      <c r="AI257" s="132" t="n">
        <f aca="false">$F257*N257</f>
        <v>0</v>
      </c>
      <c r="AJ257" s="132" t="n">
        <f aca="false">F257*O257</f>
        <v>0</v>
      </c>
      <c r="AK257" s="137"/>
      <c r="AL257" s="132" t="n">
        <f aca="false">CHOOSE($G$3,AC257-AD257,AD257-AC257)</f>
        <v>0</v>
      </c>
      <c r="AM257" s="132" t="n">
        <f aca="false">CHOOSE($G$3,AF257-AG257,AG257-AF257)</f>
        <v>0</v>
      </c>
      <c r="AN257" s="132" t="n">
        <f aca="false">CHOOSE($G$3,AI257-AJ257,AJ257-AI257)</f>
        <v>0</v>
      </c>
      <c r="AO257" s="148" t="n">
        <f aca="false">SUM(AL257:AN257)</f>
        <v>0</v>
      </c>
      <c r="AQ257" s="132" t="n">
        <f aca="false">CHOOSE($G$3,AB257-AC257,AC257-AB257)</f>
        <v>0</v>
      </c>
      <c r="AR257" s="132" t="n">
        <f aca="false">CHOOSE($G$3,AE257-AF257,AF257-AE257)</f>
        <v>0</v>
      </c>
      <c r="AS257" s="132" t="n">
        <f aca="false">CHOOSE($G$3,AH257-AI257,AI257-AH257)</f>
        <v>0</v>
      </c>
      <c r="AT257" s="148" t="n">
        <f aca="false">AQ257+AR257+AS257</f>
        <v>0</v>
      </c>
      <c r="AU257" s="148"/>
      <c r="AV257" s="133" t="n">
        <f aca="false">AT257+AO257</f>
        <v>0</v>
      </c>
      <c r="AX257" s="133" t="n">
        <f aca="false">AJ257+AG257+AD257</f>
        <v>0</v>
      </c>
      <c r="AY257" s="149"/>
      <c r="AZ257" s="76" t="n">
        <f aca="false">R257*E257</f>
        <v>0</v>
      </c>
    </row>
    <row r="258" customFormat="false" ht="12" hidden="false" customHeight="true" outlineLevel="0" collapsed="false">
      <c r="A258" s="138" t="n">
        <f aca="false">EDATE(A257,1)</f>
        <v>44531</v>
      </c>
      <c r="B258" s="139" t="n">
        <f aca="false">VLOOKUP($A258,Table2,MATCH(I$3,Curves2,0))</f>
        <v>0</v>
      </c>
      <c r="C258" s="140"/>
      <c r="D258" s="141" t="n">
        <f aca="false">B258+C258</f>
        <v>0</v>
      </c>
      <c r="E258" s="126" t="n">
        <f aca="false">IF(Y258=0,0,IF(AND(Y258=1,$H$3=1),D258*T258,IF($H$3=2,D258,"N/A")))</f>
        <v>0</v>
      </c>
      <c r="F258" s="126" t="n">
        <f aca="false">E258*X258</f>
        <v>0</v>
      </c>
      <c r="G258" s="142" t="n">
        <f aca="false">VLOOKUP($A258,Table,MATCH(G$4,Curves,0))</f>
        <v>3.987</v>
      </c>
      <c r="H258" s="143" t="n">
        <f aca="false">G258</f>
        <v>3.987</v>
      </c>
      <c r="I258" s="142" t="n">
        <f aca="false">VLOOKUP($A258,Table1,MATCH(I$3,Curves1,0))</f>
        <v>0</v>
      </c>
      <c r="J258" s="142" t="n">
        <f aca="false">VLOOKUP($A258,Table,MATCH(J$4,Curves,0))</f>
        <v>-0.061</v>
      </c>
      <c r="K258" s="143" t="n">
        <f aca="false">J258</f>
        <v>-0.061</v>
      </c>
      <c r="L258" s="144" t="n">
        <v>0</v>
      </c>
      <c r="M258" s="142" t="n">
        <f aca="false">VLOOKUP($A258,Table,MATCH(M$4,Curves,0))</f>
        <v>0.005</v>
      </c>
      <c r="N258" s="143" t="n">
        <f aca="false">M258</f>
        <v>0.005</v>
      </c>
      <c r="O258" s="144" t="n">
        <v>0</v>
      </c>
      <c r="P258" s="145"/>
      <c r="Q258" s="144" t="n">
        <f aca="false">M258+J258+G258</f>
        <v>3.931</v>
      </c>
      <c r="R258" s="144" t="n">
        <f aca="false">O258+L258+I258</f>
        <v>0</v>
      </c>
      <c r="S258" s="145"/>
      <c r="T258" s="71" t="n">
        <f aca="false">A259-A258</f>
        <v>31</v>
      </c>
      <c r="U258" s="146" t="n">
        <f aca="false">CHOOSE(F$3,A259+24,A258)</f>
        <v>44586</v>
      </c>
      <c r="V258" s="71" t="n">
        <f aca="false">U258-C$3</f>
        <v>7698</v>
      </c>
      <c r="W258" s="142" t="n">
        <f aca="false">VLOOKUP($A258,Table,MATCH(W$4,Curves,0))</f>
        <v>0.058966861357273</v>
      </c>
      <c r="X258" s="147" t="n">
        <f aca="false">1/(1+CHOOSE(F$3,(W259+($K$3/10000))/2,(W258+($K$3/10000))/2))^(2*V258/365.25)</f>
        <v>0.293811852542172</v>
      </c>
      <c r="Y258" s="71" t="n">
        <f aca="false">IF(AND(mthbeg&lt;=A258,mthend&gt;=A258),1,0)</f>
        <v>0</v>
      </c>
      <c r="Z258" s="71" t="n">
        <f aca="false">T258*Y258</f>
        <v>0</v>
      </c>
      <c r="AB258" s="132" t="n">
        <f aca="false">F258*G258</f>
        <v>0</v>
      </c>
      <c r="AC258" s="132" t="n">
        <f aca="false">$F258*H258</f>
        <v>0</v>
      </c>
      <c r="AD258" s="132" t="n">
        <f aca="false">$F258*I258</f>
        <v>0</v>
      </c>
      <c r="AE258" s="132" t="n">
        <f aca="false">$F258*J258</f>
        <v>-0</v>
      </c>
      <c r="AF258" s="132" t="n">
        <f aca="false">$F258*K258</f>
        <v>-0</v>
      </c>
      <c r="AG258" s="132" t="n">
        <f aca="false">$F258*L258</f>
        <v>0</v>
      </c>
      <c r="AH258" s="132" t="n">
        <f aca="false">$F258*M258</f>
        <v>0</v>
      </c>
      <c r="AI258" s="132" t="n">
        <f aca="false">$F258*N258</f>
        <v>0</v>
      </c>
      <c r="AJ258" s="132" t="n">
        <f aca="false">F258*O258</f>
        <v>0</v>
      </c>
      <c r="AK258" s="137"/>
      <c r="AL258" s="132" t="n">
        <f aca="false">CHOOSE($G$3,AC258-AD258,AD258-AC258)</f>
        <v>0</v>
      </c>
      <c r="AM258" s="132" t="n">
        <f aca="false">CHOOSE($G$3,AF258-AG258,AG258-AF258)</f>
        <v>0</v>
      </c>
      <c r="AN258" s="132" t="n">
        <f aca="false">CHOOSE($G$3,AI258-AJ258,AJ258-AI258)</f>
        <v>0</v>
      </c>
      <c r="AO258" s="148" t="n">
        <f aca="false">SUM(AL258:AN258)</f>
        <v>0</v>
      </c>
      <c r="AQ258" s="132" t="n">
        <f aca="false">CHOOSE($G$3,AB258-AC258,AC258-AB258)</f>
        <v>0</v>
      </c>
      <c r="AR258" s="132" t="n">
        <f aca="false">CHOOSE($G$3,AE258-AF258,AF258-AE258)</f>
        <v>0</v>
      </c>
      <c r="AS258" s="132" t="n">
        <f aca="false">CHOOSE($G$3,AH258-AI258,AI258-AH258)</f>
        <v>0</v>
      </c>
      <c r="AT258" s="148" t="n">
        <f aca="false">AQ258+AR258+AS258</f>
        <v>0</v>
      </c>
      <c r="AU258" s="148"/>
      <c r="AV258" s="133" t="n">
        <f aca="false">AT258+AO258</f>
        <v>0</v>
      </c>
      <c r="AX258" s="133" t="n">
        <f aca="false">AJ258+AG258+AD258</f>
        <v>0</v>
      </c>
      <c r="AY258" s="149"/>
      <c r="AZ258" s="76" t="n">
        <f aca="false">R258*E258</f>
        <v>0</v>
      </c>
    </row>
    <row r="259" customFormat="false" ht="12" hidden="false" customHeight="true" outlineLevel="0" collapsed="false">
      <c r="A259" s="138" t="n">
        <f aca="false">EDATE(A258,1)</f>
        <v>44562</v>
      </c>
      <c r="B259" s="139" t="n">
        <f aca="false">VLOOKUP($A259,Table2,MATCH(I$3,Curves2,0))</f>
        <v>0</v>
      </c>
      <c r="C259" s="140"/>
      <c r="D259" s="141" t="n">
        <f aca="false">B259+C259</f>
        <v>0</v>
      </c>
      <c r="E259" s="126" t="n">
        <f aca="false">IF(Y259=0,0,IF(AND(Y259=1,$H$3=1),D259*T259,IF($H$3=2,D259,"N/A")))</f>
        <v>0</v>
      </c>
      <c r="F259" s="126" t="n">
        <f aca="false">E259*X259</f>
        <v>0</v>
      </c>
      <c r="G259" s="142" t="n">
        <f aca="false">VLOOKUP($A259,Table,MATCH(G$4,Curves,0))</f>
        <v>3.987</v>
      </c>
      <c r="H259" s="143" t="n">
        <f aca="false">G259</f>
        <v>3.987</v>
      </c>
      <c r="I259" s="142" t="n">
        <f aca="false">VLOOKUP($A259,Table1,MATCH(I$3,Curves1,0))</f>
        <v>0</v>
      </c>
      <c r="J259" s="142" t="n">
        <f aca="false">VLOOKUP($A259,Table,MATCH(J$4,Curves,0))</f>
        <v>-0.061</v>
      </c>
      <c r="K259" s="143" t="n">
        <f aca="false">J259</f>
        <v>-0.061</v>
      </c>
      <c r="L259" s="144" t="n">
        <v>0</v>
      </c>
      <c r="M259" s="142" t="n">
        <f aca="false">VLOOKUP($A259,Table,MATCH(M$4,Curves,0))</f>
        <v>0.005</v>
      </c>
      <c r="N259" s="143" t="n">
        <f aca="false">M259</f>
        <v>0.005</v>
      </c>
      <c r="O259" s="144" t="n">
        <v>0</v>
      </c>
      <c r="P259" s="145"/>
      <c r="Q259" s="144" t="n">
        <f aca="false">M259+J259+G259</f>
        <v>3.931</v>
      </c>
      <c r="R259" s="144" t="n">
        <f aca="false">O259+L259+I259</f>
        <v>0</v>
      </c>
      <c r="S259" s="145"/>
      <c r="T259" s="71" t="n">
        <f aca="false">A260-A259</f>
        <v>31</v>
      </c>
      <c r="U259" s="146" t="n">
        <f aca="false">CHOOSE(F$3,A260+24,A259)</f>
        <v>44617</v>
      </c>
      <c r="V259" s="71" t="n">
        <f aca="false">U259-C$3</f>
        <v>7729</v>
      </c>
      <c r="W259" s="142" t="n">
        <f aca="false">VLOOKUP($A259,Table,MATCH(W$4,Curves,0))</f>
        <v>0.058966861357273</v>
      </c>
      <c r="X259" s="147" t="n">
        <f aca="false">1/(1+CHOOSE(F$3,(W260+($K$3/10000))/2,(W259+($K$3/10000))/2))^(2*V259/365.25)</f>
        <v>0.29236623560992</v>
      </c>
      <c r="Y259" s="71" t="n">
        <f aca="false">IF(AND(mthbeg&lt;=A259,mthend&gt;=A259),1,0)</f>
        <v>0</v>
      </c>
      <c r="Z259" s="71" t="n">
        <f aca="false">T259*Y259</f>
        <v>0</v>
      </c>
      <c r="AB259" s="132" t="n">
        <f aca="false">F259*G259</f>
        <v>0</v>
      </c>
      <c r="AC259" s="132" t="n">
        <f aca="false">$F259*H259</f>
        <v>0</v>
      </c>
      <c r="AD259" s="132" t="n">
        <f aca="false">$F259*I259</f>
        <v>0</v>
      </c>
      <c r="AE259" s="132" t="n">
        <f aca="false">$F259*J259</f>
        <v>-0</v>
      </c>
      <c r="AF259" s="132" t="n">
        <f aca="false">$F259*K259</f>
        <v>-0</v>
      </c>
      <c r="AG259" s="132" t="n">
        <f aca="false">$F259*L259</f>
        <v>0</v>
      </c>
      <c r="AH259" s="132" t="n">
        <f aca="false">$F259*M259</f>
        <v>0</v>
      </c>
      <c r="AI259" s="132" t="n">
        <f aca="false">$F259*N259</f>
        <v>0</v>
      </c>
      <c r="AJ259" s="132" t="n">
        <f aca="false">F259*O259</f>
        <v>0</v>
      </c>
      <c r="AK259" s="137"/>
      <c r="AL259" s="132" t="n">
        <f aca="false">CHOOSE($G$3,AC259-AD259,AD259-AC259)</f>
        <v>0</v>
      </c>
      <c r="AM259" s="132" t="n">
        <f aca="false">CHOOSE($G$3,AF259-AG259,AG259-AF259)</f>
        <v>0</v>
      </c>
      <c r="AN259" s="132" t="n">
        <f aca="false">CHOOSE($G$3,AI259-AJ259,AJ259-AI259)</f>
        <v>0</v>
      </c>
      <c r="AO259" s="148" t="n">
        <f aca="false">SUM(AL259:AN259)</f>
        <v>0</v>
      </c>
      <c r="AQ259" s="132" t="n">
        <f aca="false">CHOOSE($G$3,AB259-AC259,AC259-AB259)</f>
        <v>0</v>
      </c>
      <c r="AR259" s="132" t="n">
        <f aca="false">CHOOSE($G$3,AE259-AF259,AF259-AE259)</f>
        <v>0</v>
      </c>
      <c r="AS259" s="132" t="n">
        <f aca="false">CHOOSE($G$3,AH259-AI259,AI259-AH259)</f>
        <v>0</v>
      </c>
      <c r="AT259" s="148" t="n">
        <f aca="false">AQ259+AR259+AS259</f>
        <v>0</v>
      </c>
      <c r="AU259" s="148"/>
      <c r="AV259" s="133" t="n">
        <f aca="false">AT259+AO259</f>
        <v>0</v>
      </c>
      <c r="AX259" s="133" t="n">
        <f aca="false">AJ259+AG259+AD259</f>
        <v>0</v>
      </c>
      <c r="AY259" s="149"/>
      <c r="AZ259" s="76" t="n">
        <f aca="false">R259*E259</f>
        <v>0</v>
      </c>
    </row>
    <row r="260" customFormat="false" ht="12" hidden="false" customHeight="true" outlineLevel="0" collapsed="false">
      <c r="A260" s="138" t="n">
        <f aca="false">EDATE(A259,1)</f>
        <v>44593</v>
      </c>
      <c r="B260" s="139" t="n">
        <f aca="false">VLOOKUP($A260,Table2,MATCH(I$3,Curves2,0))</f>
        <v>0</v>
      </c>
      <c r="C260" s="140"/>
      <c r="D260" s="141" t="n">
        <f aca="false">B260+C260</f>
        <v>0</v>
      </c>
      <c r="E260" s="126" t="n">
        <f aca="false">IF(Y260=0,0,IF(AND(Y260=1,$H$3=1),D260*T260,IF($H$3=2,D260,"N/A")))</f>
        <v>0</v>
      </c>
      <c r="F260" s="126" t="n">
        <f aca="false">E260*X260</f>
        <v>0</v>
      </c>
      <c r="G260" s="142" t="n">
        <f aca="false">VLOOKUP($A260,Table,MATCH(G$4,Curves,0))</f>
        <v>3.987</v>
      </c>
      <c r="H260" s="143" t="n">
        <f aca="false">G260</f>
        <v>3.987</v>
      </c>
      <c r="I260" s="142" t="n">
        <f aca="false">VLOOKUP($A260,Table1,MATCH(I$3,Curves1,0))</f>
        <v>0</v>
      </c>
      <c r="J260" s="142" t="n">
        <f aca="false">VLOOKUP($A260,Table,MATCH(J$4,Curves,0))</f>
        <v>-0.061</v>
      </c>
      <c r="K260" s="143" t="n">
        <f aca="false">J260</f>
        <v>-0.061</v>
      </c>
      <c r="L260" s="144" t="n">
        <v>0</v>
      </c>
      <c r="M260" s="142" t="n">
        <f aca="false">VLOOKUP($A260,Table,MATCH(M$4,Curves,0))</f>
        <v>0.005</v>
      </c>
      <c r="N260" s="143" t="n">
        <f aca="false">M260</f>
        <v>0.005</v>
      </c>
      <c r="O260" s="144" t="n">
        <v>0</v>
      </c>
      <c r="P260" s="145"/>
      <c r="Q260" s="144" t="n">
        <f aca="false">M260+J260+G260</f>
        <v>3.931</v>
      </c>
      <c r="R260" s="144" t="n">
        <f aca="false">O260+L260+I260</f>
        <v>0</v>
      </c>
      <c r="S260" s="145"/>
      <c r="T260" s="71" t="n">
        <f aca="false">A261-A260</f>
        <v>28</v>
      </c>
      <c r="U260" s="146" t="n">
        <f aca="false">CHOOSE(F$3,A261+24,A260)</f>
        <v>44645</v>
      </c>
      <c r="V260" s="71" t="n">
        <f aca="false">U260-C$3</f>
        <v>7757</v>
      </c>
      <c r="W260" s="142" t="n">
        <f aca="false">VLOOKUP($A260,Table,MATCH(W$4,Curves,0))</f>
        <v>0.058966861357273</v>
      </c>
      <c r="X260" s="147" t="n">
        <f aca="false">1/(1+CHOOSE(F$3,(W261+($K$3/10000))/2,(W260+($K$3/10000))/2))^(2*V260/365.25)</f>
        <v>0.291066631616781</v>
      </c>
      <c r="Y260" s="71" t="n">
        <f aca="false">IF(AND(mthbeg&lt;=A260,mthend&gt;=A260),1,0)</f>
        <v>0</v>
      </c>
      <c r="Z260" s="71" t="n">
        <f aca="false">T260*Y260</f>
        <v>0</v>
      </c>
      <c r="AB260" s="132" t="n">
        <f aca="false">F260*G260</f>
        <v>0</v>
      </c>
      <c r="AC260" s="132" t="n">
        <f aca="false">$F260*H260</f>
        <v>0</v>
      </c>
      <c r="AD260" s="132" t="n">
        <f aca="false">$F260*I260</f>
        <v>0</v>
      </c>
      <c r="AE260" s="132" t="n">
        <f aca="false">$F260*J260</f>
        <v>-0</v>
      </c>
      <c r="AF260" s="132" t="n">
        <f aca="false">$F260*K260</f>
        <v>-0</v>
      </c>
      <c r="AG260" s="132" t="n">
        <f aca="false">$F260*L260</f>
        <v>0</v>
      </c>
      <c r="AH260" s="132" t="n">
        <f aca="false">$F260*M260</f>
        <v>0</v>
      </c>
      <c r="AI260" s="132" t="n">
        <f aca="false">$F260*N260</f>
        <v>0</v>
      </c>
      <c r="AJ260" s="132" t="n">
        <f aca="false">F260*O260</f>
        <v>0</v>
      </c>
      <c r="AK260" s="137"/>
      <c r="AL260" s="132" t="n">
        <f aca="false">CHOOSE($G$3,AC260-AD260,AD260-AC260)</f>
        <v>0</v>
      </c>
      <c r="AM260" s="132" t="n">
        <f aca="false">CHOOSE($G$3,AF260-AG260,AG260-AF260)</f>
        <v>0</v>
      </c>
      <c r="AN260" s="132" t="n">
        <f aca="false">CHOOSE($G$3,AI260-AJ260,AJ260-AI260)</f>
        <v>0</v>
      </c>
      <c r="AO260" s="148" t="n">
        <f aca="false">SUM(AL260:AN260)</f>
        <v>0</v>
      </c>
      <c r="AQ260" s="132" t="n">
        <f aca="false">CHOOSE($G$3,AB260-AC260,AC260-AB260)</f>
        <v>0</v>
      </c>
      <c r="AR260" s="132" t="n">
        <f aca="false">CHOOSE($G$3,AE260-AF260,AF260-AE260)</f>
        <v>0</v>
      </c>
      <c r="AS260" s="132" t="n">
        <f aca="false">CHOOSE($G$3,AH260-AI260,AI260-AH260)</f>
        <v>0</v>
      </c>
      <c r="AT260" s="148" t="n">
        <f aca="false">AQ260+AR260+AS260</f>
        <v>0</v>
      </c>
      <c r="AU260" s="148"/>
      <c r="AV260" s="133" t="n">
        <f aca="false">AT260+AO260</f>
        <v>0</v>
      </c>
      <c r="AX260" s="133" t="n">
        <f aca="false">AJ260+AG260+AD260</f>
        <v>0</v>
      </c>
      <c r="AY260" s="149"/>
      <c r="AZ260" s="76" t="n">
        <f aca="false">R260*E260</f>
        <v>0</v>
      </c>
    </row>
    <row r="261" customFormat="false" ht="12" hidden="false" customHeight="true" outlineLevel="0" collapsed="false">
      <c r="A261" s="138" t="n">
        <f aca="false">EDATE(A260,1)</f>
        <v>44621</v>
      </c>
      <c r="B261" s="139" t="n">
        <f aca="false">VLOOKUP($A261,Table2,MATCH(I$3,Curves2,0))</f>
        <v>0</v>
      </c>
      <c r="C261" s="140"/>
      <c r="D261" s="141" t="n">
        <f aca="false">B261+C261</f>
        <v>0</v>
      </c>
      <c r="E261" s="126" t="n">
        <f aca="false">IF(Y261=0,0,IF(AND(Y261=1,$H$3=1),D261*T261,IF($H$3=2,D261,"N/A")))</f>
        <v>0</v>
      </c>
      <c r="F261" s="126" t="n">
        <f aca="false">E261*X261</f>
        <v>0</v>
      </c>
      <c r="G261" s="142" t="n">
        <f aca="false">VLOOKUP($A261,Table,MATCH(G$4,Curves,0))</f>
        <v>3.987</v>
      </c>
      <c r="H261" s="143" t="n">
        <f aca="false">G261</f>
        <v>3.987</v>
      </c>
      <c r="I261" s="142" t="n">
        <f aca="false">VLOOKUP($A261,Table1,MATCH(I$3,Curves1,0))</f>
        <v>0</v>
      </c>
      <c r="J261" s="142" t="n">
        <f aca="false">VLOOKUP($A261,Table,MATCH(J$4,Curves,0))</f>
        <v>-0.061</v>
      </c>
      <c r="K261" s="143" t="n">
        <f aca="false">J261</f>
        <v>-0.061</v>
      </c>
      <c r="L261" s="144" t="n">
        <v>0</v>
      </c>
      <c r="M261" s="142" t="n">
        <f aca="false">VLOOKUP($A261,Table,MATCH(M$4,Curves,0))</f>
        <v>0.005</v>
      </c>
      <c r="N261" s="143" t="n">
        <f aca="false">M261</f>
        <v>0.005</v>
      </c>
      <c r="O261" s="144" t="n">
        <v>0</v>
      </c>
      <c r="P261" s="145"/>
      <c r="Q261" s="144" t="n">
        <f aca="false">M261+J261+G261</f>
        <v>3.931</v>
      </c>
      <c r="R261" s="144" t="n">
        <f aca="false">O261+L261+I261</f>
        <v>0</v>
      </c>
      <c r="S261" s="145"/>
      <c r="T261" s="71" t="n">
        <f aca="false">A262-A261</f>
        <v>31</v>
      </c>
      <c r="U261" s="146" t="n">
        <f aca="false">CHOOSE(F$3,A262+24,A261)</f>
        <v>44676</v>
      </c>
      <c r="V261" s="71" t="n">
        <f aca="false">U261-C$3</f>
        <v>7788</v>
      </c>
      <c r="W261" s="142" t="n">
        <f aca="false">VLOOKUP($A261,Table,MATCH(W$4,Curves,0))</f>
        <v>0.058966861357273</v>
      </c>
      <c r="X261" s="147" t="n">
        <f aca="false">1/(1+CHOOSE(F$3,(W262+($K$3/10000))/2,(W261+($K$3/10000))/2))^(2*V261/365.25)</f>
        <v>0.289634521756549</v>
      </c>
      <c r="Y261" s="71" t="n">
        <f aca="false">IF(AND(mthbeg&lt;=A261,mthend&gt;=A261),1,0)</f>
        <v>0</v>
      </c>
      <c r="Z261" s="71" t="n">
        <f aca="false">T261*Y261</f>
        <v>0</v>
      </c>
      <c r="AB261" s="132" t="n">
        <f aca="false">F261*G261</f>
        <v>0</v>
      </c>
      <c r="AC261" s="132" t="n">
        <f aca="false">$F261*H261</f>
        <v>0</v>
      </c>
      <c r="AD261" s="132" t="n">
        <f aca="false">$F261*I261</f>
        <v>0</v>
      </c>
      <c r="AE261" s="132" t="n">
        <f aca="false">$F261*J261</f>
        <v>-0</v>
      </c>
      <c r="AF261" s="132" t="n">
        <f aca="false">$F261*K261</f>
        <v>-0</v>
      </c>
      <c r="AG261" s="132" t="n">
        <f aca="false">$F261*L261</f>
        <v>0</v>
      </c>
      <c r="AH261" s="132" t="n">
        <f aca="false">$F261*M261</f>
        <v>0</v>
      </c>
      <c r="AI261" s="132" t="n">
        <f aca="false">$F261*N261</f>
        <v>0</v>
      </c>
      <c r="AJ261" s="132" t="n">
        <f aca="false">F261*O261</f>
        <v>0</v>
      </c>
      <c r="AK261" s="137"/>
      <c r="AL261" s="132" t="n">
        <f aca="false">CHOOSE($G$3,AC261-AD261,AD261-AC261)</f>
        <v>0</v>
      </c>
      <c r="AM261" s="132" t="n">
        <f aca="false">CHOOSE($G$3,AF261-AG261,AG261-AF261)</f>
        <v>0</v>
      </c>
      <c r="AN261" s="132" t="n">
        <f aca="false">CHOOSE($G$3,AI261-AJ261,AJ261-AI261)</f>
        <v>0</v>
      </c>
      <c r="AO261" s="148" t="n">
        <f aca="false">SUM(AL261:AN261)</f>
        <v>0</v>
      </c>
      <c r="AQ261" s="132" t="n">
        <f aca="false">CHOOSE($G$3,AB261-AC261,AC261-AB261)</f>
        <v>0</v>
      </c>
      <c r="AR261" s="132" t="n">
        <f aca="false">CHOOSE($G$3,AE261-AF261,AF261-AE261)</f>
        <v>0</v>
      </c>
      <c r="AS261" s="132" t="n">
        <f aca="false">CHOOSE($G$3,AH261-AI261,AI261-AH261)</f>
        <v>0</v>
      </c>
      <c r="AT261" s="148" t="n">
        <f aca="false">AQ261+AR261+AS261</f>
        <v>0</v>
      </c>
      <c r="AU261" s="148"/>
      <c r="AV261" s="133" t="n">
        <f aca="false">AT261+AO261</f>
        <v>0</v>
      </c>
      <c r="AX261" s="133" t="n">
        <f aca="false">AJ261+AG261+AD261</f>
        <v>0</v>
      </c>
      <c r="AY261" s="149"/>
      <c r="AZ261" s="76" t="n">
        <f aca="false">R261*E261</f>
        <v>0</v>
      </c>
    </row>
    <row r="262" customFormat="false" ht="12" hidden="false" customHeight="true" outlineLevel="0" collapsed="false">
      <c r="A262" s="138" t="n">
        <f aca="false">EDATE(A261,1)</f>
        <v>44652</v>
      </c>
      <c r="B262" s="139" t="n">
        <f aca="false">VLOOKUP($A262,Table2,MATCH(I$3,Curves2,0))</f>
        <v>0</v>
      </c>
      <c r="C262" s="140"/>
      <c r="D262" s="141" t="n">
        <f aca="false">B262+C262</f>
        <v>0</v>
      </c>
      <c r="E262" s="126" t="n">
        <f aca="false">IF(Y262=0,0,IF(AND(Y262=1,$H$3=1),D262*T262,IF($H$3=2,D262,"N/A")))</f>
        <v>0</v>
      </c>
      <c r="F262" s="126" t="n">
        <f aca="false">E262*X262</f>
        <v>0</v>
      </c>
      <c r="G262" s="142" t="n">
        <f aca="false">VLOOKUP($A262,Table,MATCH(G$4,Curves,0))</f>
        <v>3.987</v>
      </c>
      <c r="H262" s="143" t="n">
        <f aca="false">G262</f>
        <v>3.987</v>
      </c>
      <c r="I262" s="142" t="n">
        <f aca="false">VLOOKUP($A262,Table1,MATCH(I$3,Curves1,0))</f>
        <v>0</v>
      </c>
      <c r="J262" s="142" t="n">
        <f aca="false">VLOOKUP($A262,Table,MATCH(J$4,Curves,0))</f>
        <v>-0.061</v>
      </c>
      <c r="K262" s="143" t="n">
        <f aca="false">J262</f>
        <v>-0.061</v>
      </c>
      <c r="L262" s="144" t="n">
        <v>0</v>
      </c>
      <c r="M262" s="142" t="n">
        <f aca="false">VLOOKUP($A262,Table,MATCH(M$4,Curves,0))</f>
        <v>0.005</v>
      </c>
      <c r="N262" s="143" t="n">
        <f aca="false">M262</f>
        <v>0.005</v>
      </c>
      <c r="O262" s="144" t="n">
        <v>0</v>
      </c>
      <c r="P262" s="145"/>
      <c r="Q262" s="144" t="n">
        <f aca="false">M262+J262+G262</f>
        <v>3.931</v>
      </c>
      <c r="R262" s="144" t="n">
        <f aca="false">O262+L262+I262</f>
        <v>0</v>
      </c>
      <c r="S262" s="145"/>
      <c r="T262" s="71" t="n">
        <f aca="false">A263-A262</f>
        <v>30</v>
      </c>
      <c r="U262" s="146" t="n">
        <f aca="false">CHOOSE(F$3,A263+24,A262)</f>
        <v>44706</v>
      </c>
      <c r="V262" s="71" t="n">
        <f aca="false">U262-C$3</f>
        <v>7818</v>
      </c>
      <c r="W262" s="142" t="n">
        <f aca="false">VLOOKUP($A262,Table,MATCH(W$4,Curves,0))</f>
        <v>0.058966861357273</v>
      </c>
      <c r="X262" s="147" t="n">
        <f aca="false">1/(1+CHOOSE(F$3,(W263+($K$3/10000))/2,(W262+($K$3/10000))/2))^(2*V262/365.25)</f>
        <v>0.288255318346515</v>
      </c>
      <c r="Y262" s="71" t="n">
        <f aca="false">IF(AND(mthbeg&lt;=A262,mthend&gt;=A262),1,0)</f>
        <v>0</v>
      </c>
      <c r="Z262" s="71" t="n">
        <f aca="false">T262*Y262</f>
        <v>0</v>
      </c>
      <c r="AB262" s="132" t="n">
        <f aca="false">F262*G262</f>
        <v>0</v>
      </c>
      <c r="AC262" s="132" t="n">
        <f aca="false">$F262*H262</f>
        <v>0</v>
      </c>
      <c r="AD262" s="132" t="n">
        <f aca="false">$F262*I262</f>
        <v>0</v>
      </c>
      <c r="AE262" s="132" t="n">
        <f aca="false">$F262*J262</f>
        <v>-0</v>
      </c>
      <c r="AF262" s="132" t="n">
        <f aca="false">$F262*K262</f>
        <v>-0</v>
      </c>
      <c r="AG262" s="132" t="n">
        <f aca="false">$F262*L262</f>
        <v>0</v>
      </c>
      <c r="AH262" s="132" t="n">
        <f aca="false">$F262*M262</f>
        <v>0</v>
      </c>
      <c r="AI262" s="132" t="n">
        <f aca="false">$F262*N262</f>
        <v>0</v>
      </c>
      <c r="AJ262" s="132" t="n">
        <f aca="false">F262*O262</f>
        <v>0</v>
      </c>
      <c r="AK262" s="137"/>
      <c r="AL262" s="132" t="n">
        <f aca="false">CHOOSE($G$3,AC262-AD262,AD262-AC262)</f>
        <v>0</v>
      </c>
      <c r="AM262" s="132" t="n">
        <f aca="false">CHOOSE($G$3,AF262-AG262,AG262-AF262)</f>
        <v>0</v>
      </c>
      <c r="AN262" s="132" t="n">
        <f aca="false">CHOOSE($G$3,AI262-AJ262,AJ262-AI262)</f>
        <v>0</v>
      </c>
      <c r="AO262" s="148" t="n">
        <f aca="false">SUM(AL262:AN262)</f>
        <v>0</v>
      </c>
      <c r="AQ262" s="132" t="n">
        <f aca="false">CHOOSE($G$3,AB262-AC262,AC262-AB262)</f>
        <v>0</v>
      </c>
      <c r="AR262" s="132" t="n">
        <f aca="false">CHOOSE($G$3,AE262-AF262,AF262-AE262)</f>
        <v>0</v>
      </c>
      <c r="AS262" s="132" t="n">
        <f aca="false">CHOOSE($G$3,AH262-AI262,AI262-AH262)</f>
        <v>0</v>
      </c>
      <c r="AT262" s="148" t="n">
        <f aca="false">AQ262+AR262+AS262</f>
        <v>0</v>
      </c>
      <c r="AU262" s="148"/>
      <c r="AV262" s="133" t="n">
        <f aca="false">AT262+AO262</f>
        <v>0</v>
      </c>
      <c r="AX262" s="133" t="n">
        <f aca="false">AJ262+AG262+AD262</f>
        <v>0</v>
      </c>
      <c r="AY262" s="149"/>
      <c r="AZ262" s="76" t="n">
        <f aca="false">R262*E262</f>
        <v>0</v>
      </c>
    </row>
    <row r="263" customFormat="false" ht="12" hidden="false" customHeight="true" outlineLevel="0" collapsed="false">
      <c r="A263" s="138" t="n">
        <f aca="false">EDATE(A262,1)</f>
        <v>44682</v>
      </c>
      <c r="B263" s="139" t="n">
        <f aca="false">VLOOKUP($A263,Table2,MATCH(I$3,Curves2,0))</f>
        <v>0</v>
      </c>
      <c r="C263" s="140"/>
      <c r="D263" s="141" t="n">
        <f aca="false">B263+C263</f>
        <v>0</v>
      </c>
      <c r="E263" s="126" t="n">
        <f aca="false">IF(Y263=0,0,IF(AND(Y263=1,$H$3=1),D263*T263,IF($H$3=2,D263,"N/A")))</f>
        <v>0</v>
      </c>
      <c r="F263" s="126" t="n">
        <f aca="false">E263*X263</f>
        <v>0</v>
      </c>
      <c r="G263" s="142" t="n">
        <f aca="false">VLOOKUP($A263,Table,MATCH(G$4,Curves,0))</f>
        <v>3.987</v>
      </c>
      <c r="H263" s="143" t="n">
        <f aca="false">G263</f>
        <v>3.987</v>
      </c>
      <c r="I263" s="142" t="n">
        <f aca="false">VLOOKUP($A263,Table1,MATCH(I$3,Curves1,0))</f>
        <v>0</v>
      </c>
      <c r="J263" s="142" t="n">
        <f aca="false">VLOOKUP($A263,Table,MATCH(J$4,Curves,0))</f>
        <v>-0.061</v>
      </c>
      <c r="K263" s="143" t="n">
        <f aca="false">J263</f>
        <v>-0.061</v>
      </c>
      <c r="L263" s="144" t="n">
        <v>0</v>
      </c>
      <c r="M263" s="142" t="n">
        <f aca="false">VLOOKUP($A263,Table,MATCH(M$4,Curves,0))</f>
        <v>0.005</v>
      </c>
      <c r="N263" s="143" t="n">
        <f aca="false">M263</f>
        <v>0.005</v>
      </c>
      <c r="O263" s="144" t="n">
        <v>0</v>
      </c>
      <c r="P263" s="145"/>
      <c r="Q263" s="144" t="n">
        <f aca="false">M263+J263+G263</f>
        <v>3.931</v>
      </c>
      <c r="R263" s="144" t="n">
        <f aca="false">O263+L263+I263</f>
        <v>0</v>
      </c>
      <c r="S263" s="145"/>
      <c r="T263" s="71" t="n">
        <f aca="false">A264-A263</f>
        <v>31</v>
      </c>
      <c r="U263" s="146" t="n">
        <f aca="false">CHOOSE(F$3,A264+24,A263)</f>
        <v>44737</v>
      </c>
      <c r="V263" s="71" t="n">
        <f aca="false">U263-C$3</f>
        <v>7849</v>
      </c>
      <c r="W263" s="142" t="n">
        <f aca="false">VLOOKUP($A263,Table,MATCH(W$4,Curves,0))</f>
        <v>0.058966861357273</v>
      </c>
      <c r="X263" s="147" t="n">
        <f aca="false">1/(1+CHOOSE(F$3,(W264+($K$3/10000))/2,(W263+($K$3/10000))/2))^(2*V263/365.25)</f>
        <v>0.286837040746725</v>
      </c>
      <c r="Y263" s="71" t="n">
        <f aca="false">IF(AND(mthbeg&lt;=A263,mthend&gt;=A263),1,0)</f>
        <v>0</v>
      </c>
      <c r="Z263" s="71" t="n">
        <f aca="false">T263*Y263</f>
        <v>0</v>
      </c>
      <c r="AB263" s="132" t="n">
        <f aca="false">F263*G263</f>
        <v>0</v>
      </c>
      <c r="AC263" s="132" t="n">
        <f aca="false">$F263*H263</f>
        <v>0</v>
      </c>
      <c r="AD263" s="132" t="n">
        <f aca="false">$F263*I263</f>
        <v>0</v>
      </c>
      <c r="AE263" s="132" t="n">
        <f aca="false">$F263*J263</f>
        <v>-0</v>
      </c>
      <c r="AF263" s="132" t="n">
        <f aca="false">$F263*K263</f>
        <v>-0</v>
      </c>
      <c r="AG263" s="132" t="n">
        <f aca="false">$F263*L263</f>
        <v>0</v>
      </c>
      <c r="AH263" s="132" t="n">
        <f aca="false">$F263*M263</f>
        <v>0</v>
      </c>
      <c r="AI263" s="132" t="n">
        <f aca="false">$F263*N263</f>
        <v>0</v>
      </c>
      <c r="AJ263" s="132" t="n">
        <f aca="false">F263*O263</f>
        <v>0</v>
      </c>
      <c r="AK263" s="137"/>
      <c r="AL263" s="132" t="n">
        <f aca="false">CHOOSE($G$3,AC263-AD263,AD263-AC263)</f>
        <v>0</v>
      </c>
      <c r="AM263" s="132" t="n">
        <f aca="false">CHOOSE($G$3,AF263-AG263,AG263-AF263)</f>
        <v>0</v>
      </c>
      <c r="AN263" s="132" t="n">
        <f aca="false">CHOOSE($G$3,AI263-AJ263,AJ263-AI263)</f>
        <v>0</v>
      </c>
      <c r="AO263" s="148" t="n">
        <f aca="false">SUM(AL263:AN263)</f>
        <v>0</v>
      </c>
      <c r="AQ263" s="132" t="n">
        <f aca="false">CHOOSE($G$3,AB263-AC263,AC263-AB263)</f>
        <v>0</v>
      </c>
      <c r="AR263" s="132" t="n">
        <f aca="false">CHOOSE($G$3,AE263-AF263,AF263-AE263)</f>
        <v>0</v>
      </c>
      <c r="AS263" s="132" t="n">
        <f aca="false">CHOOSE($G$3,AH263-AI263,AI263-AH263)</f>
        <v>0</v>
      </c>
      <c r="AT263" s="148" t="n">
        <f aca="false">AQ263+AR263+AS263</f>
        <v>0</v>
      </c>
      <c r="AU263" s="148"/>
      <c r="AV263" s="133" t="n">
        <f aca="false">AT263+AO263</f>
        <v>0</v>
      </c>
      <c r="AX263" s="133" t="n">
        <f aca="false">AJ263+AG263+AD263</f>
        <v>0</v>
      </c>
      <c r="AY263" s="149"/>
      <c r="AZ263" s="76" t="n">
        <f aca="false">R263*E263</f>
        <v>0</v>
      </c>
    </row>
    <row r="264" customFormat="false" ht="12" hidden="false" customHeight="true" outlineLevel="0" collapsed="false">
      <c r="A264" s="138" t="n">
        <f aca="false">EDATE(A263,1)</f>
        <v>44713</v>
      </c>
      <c r="B264" s="139" t="n">
        <f aca="false">VLOOKUP($A264,Table2,MATCH(I$3,Curves2,0))</f>
        <v>0</v>
      </c>
      <c r="C264" s="140"/>
      <c r="D264" s="141" t="n">
        <f aca="false">B264+C264</f>
        <v>0</v>
      </c>
      <c r="E264" s="126" t="n">
        <f aca="false">IF(Y264=0,0,IF(AND(Y264=1,$H$3=1),D264*T264,IF($H$3=2,D264,"N/A")))</f>
        <v>0</v>
      </c>
      <c r="F264" s="126" t="n">
        <f aca="false">E264*X264</f>
        <v>0</v>
      </c>
      <c r="G264" s="142" t="n">
        <f aca="false">VLOOKUP($A264,Table,MATCH(G$4,Curves,0))</f>
        <v>3.987</v>
      </c>
      <c r="H264" s="143" t="n">
        <f aca="false">G264</f>
        <v>3.987</v>
      </c>
      <c r="I264" s="142" t="n">
        <f aca="false">VLOOKUP($A264,Table1,MATCH(I$3,Curves1,0))</f>
        <v>0</v>
      </c>
      <c r="J264" s="142" t="n">
        <f aca="false">VLOOKUP($A264,Table,MATCH(J$4,Curves,0))</f>
        <v>-0.061</v>
      </c>
      <c r="K264" s="143" t="n">
        <f aca="false">J264</f>
        <v>-0.061</v>
      </c>
      <c r="L264" s="144" t="n">
        <v>0</v>
      </c>
      <c r="M264" s="142" t="n">
        <f aca="false">VLOOKUP($A264,Table,MATCH(M$4,Curves,0))</f>
        <v>0.005</v>
      </c>
      <c r="N264" s="143" t="n">
        <f aca="false">M264</f>
        <v>0.005</v>
      </c>
      <c r="O264" s="144" t="n">
        <v>0</v>
      </c>
      <c r="P264" s="145"/>
      <c r="Q264" s="144" t="n">
        <f aca="false">M264+J264+G264</f>
        <v>3.931</v>
      </c>
      <c r="R264" s="144" t="n">
        <f aca="false">O264+L264+I264</f>
        <v>0</v>
      </c>
      <c r="S264" s="145"/>
      <c r="T264" s="71" t="n">
        <f aca="false">A265-A264</f>
        <v>30</v>
      </c>
      <c r="U264" s="146" t="n">
        <f aca="false">CHOOSE(F$3,A265+24,A264)</f>
        <v>44767</v>
      </c>
      <c r="V264" s="71" t="n">
        <f aca="false">U264-C$3</f>
        <v>7879</v>
      </c>
      <c r="W264" s="142" t="n">
        <f aca="false">VLOOKUP($A264,Table,MATCH(W$4,Curves,0))</f>
        <v>0.058966861357273</v>
      </c>
      <c r="X264" s="147" t="n">
        <f aca="false">1/(1+CHOOSE(F$3,(W265+($K$3/10000))/2,(W264+($K$3/10000))/2))^(2*V264/365.25)</f>
        <v>0.285471158591785</v>
      </c>
      <c r="Y264" s="71" t="n">
        <f aca="false">IF(AND(mthbeg&lt;=A264,mthend&gt;=A264),1,0)</f>
        <v>0</v>
      </c>
      <c r="Z264" s="71" t="n">
        <f aca="false">T264*Y264</f>
        <v>0</v>
      </c>
      <c r="AB264" s="132" t="n">
        <f aca="false">F264*G264</f>
        <v>0</v>
      </c>
      <c r="AC264" s="132" t="n">
        <f aca="false">$F264*H264</f>
        <v>0</v>
      </c>
      <c r="AD264" s="132" t="n">
        <f aca="false">$F264*I264</f>
        <v>0</v>
      </c>
      <c r="AE264" s="132" t="n">
        <f aca="false">$F264*J264</f>
        <v>-0</v>
      </c>
      <c r="AF264" s="132" t="n">
        <f aca="false">$F264*K264</f>
        <v>-0</v>
      </c>
      <c r="AG264" s="132" t="n">
        <f aca="false">$F264*L264</f>
        <v>0</v>
      </c>
      <c r="AH264" s="132" t="n">
        <f aca="false">$F264*M264</f>
        <v>0</v>
      </c>
      <c r="AI264" s="132" t="n">
        <f aca="false">$F264*N264</f>
        <v>0</v>
      </c>
      <c r="AJ264" s="132" t="n">
        <f aca="false">F264*O264</f>
        <v>0</v>
      </c>
      <c r="AK264" s="137"/>
      <c r="AL264" s="132" t="n">
        <f aca="false">CHOOSE($G$3,AC264-AD264,AD264-AC264)</f>
        <v>0</v>
      </c>
      <c r="AM264" s="132" t="n">
        <f aca="false">CHOOSE($G$3,AF264-AG264,AG264-AF264)</f>
        <v>0</v>
      </c>
      <c r="AN264" s="132" t="n">
        <f aca="false">CHOOSE($G$3,AI264-AJ264,AJ264-AI264)</f>
        <v>0</v>
      </c>
      <c r="AO264" s="148" t="n">
        <f aca="false">SUM(AL264:AN264)</f>
        <v>0</v>
      </c>
      <c r="AQ264" s="132" t="n">
        <f aca="false">CHOOSE($G$3,AB264-AC264,AC264-AB264)</f>
        <v>0</v>
      </c>
      <c r="AR264" s="132" t="n">
        <f aca="false">CHOOSE($G$3,AE264-AF264,AF264-AE264)</f>
        <v>0</v>
      </c>
      <c r="AS264" s="132" t="n">
        <f aca="false">CHOOSE($G$3,AH264-AI264,AI264-AH264)</f>
        <v>0</v>
      </c>
      <c r="AT264" s="148" t="n">
        <f aca="false">AQ264+AR264+AS264</f>
        <v>0</v>
      </c>
      <c r="AU264" s="148"/>
      <c r="AV264" s="133" t="n">
        <f aca="false">AT264+AO264</f>
        <v>0</v>
      </c>
      <c r="AX264" s="133" t="n">
        <f aca="false">AJ264+AG264+AD264</f>
        <v>0</v>
      </c>
      <c r="AY264" s="149"/>
      <c r="AZ264" s="76" t="n">
        <f aca="false">R264*E264</f>
        <v>0</v>
      </c>
    </row>
    <row r="265" customFormat="false" ht="12" hidden="false" customHeight="true" outlineLevel="0" collapsed="false">
      <c r="A265" s="138" t="n">
        <f aca="false">EDATE(A264,1)</f>
        <v>44743</v>
      </c>
      <c r="B265" s="139" t="n">
        <f aca="false">VLOOKUP($A265,Table2,MATCH(I$3,Curves2,0))</f>
        <v>0</v>
      </c>
      <c r="C265" s="140"/>
      <c r="D265" s="141" t="n">
        <f aca="false">B265+C265</f>
        <v>0</v>
      </c>
      <c r="E265" s="126" t="n">
        <f aca="false">IF(Y265=0,0,IF(AND(Y265=1,$H$3=1),D265*T265,IF($H$3=2,D265,"N/A")))</f>
        <v>0</v>
      </c>
      <c r="F265" s="126" t="n">
        <f aca="false">E265*X265</f>
        <v>0</v>
      </c>
      <c r="G265" s="142" t="n">
        <f aca="false">VLOOKUP($A265,Table,MATCH(G$4,Curves,0))</f>
        <v>3.987</v>
      </c>
      <c r="H265" s="143" t="n">
        <f aca="false">G265</f>
        <v>3.987</v>
      </c>
      <c r="I265" s="142" t="n">
        <f aca="false">VLOOKUP($A265,Table1,MATCH(I$3,Curves1,0))</f>
        <v>0</v>
      </c>
      <c r="J265" s="142" t="n">
        <f aca="false">VLOOKUP($A265,Table,MATCH(J$4,Curves,0))</f>
        <v>-0.061</v>
      </c>
      <c r="K265" s="143" t="n">
        <f aca="false">J265</f>
        <v>-0.061</v>
      </c>
      <c r="L265" s="144" t="n">
        <v>0</v>
      </c>
      <c r="M265" s="142" t="n">
        <f aca="false">VLOOKUP($A265,Table,MATCH(M$4,Curves,0))</f>
        <v>0.005</v>
      </c>
      <c r="N265" s="143" t="n">
        <f aca="false">M265</f>
        <v>0.005</v>
      </c>
      <c r="O265" s="144" t="n">
        <v>0</v>
      </c>
      <c r="P265" s="145"/>
      <c r="Q265" s="144" t="n">
        <f aca="false">M265+J265+G265</f>
        <v>3.931</v>
      </c>
      <c r="R265" s="144" t="n">
        <f aca="false">O265+L265+I265</f>
        <v>0</v>
      </c>
      <c r="S265" s="145"/>
      <c r="T265" s="71" t="n">
        <f aca="false">A266-A265</f>
        <v>31</v>
      </c>
      <c r="U265" s="146" t="n">
        <f aca="false">CHOOSE(F$3,A266+24,A265)</f>
        <v>44798</v>
      </c>
      <c r="V265" s="71" t="n">
        <f aca="false">U265-C$3</f>
        <v>7910</v>
      </c>
      <c r="W265" s="142" t="n">
        <f aca="false">VLOOKUP($A265,Table,MATCH(W$4,Curves,0))</f>
        <v>0.058966861357273</v>
      </c>
      <c r="X265" s="147" t="n">
        <f aca="false">1/(1+CHOOSE(F$3,(W266+($K$3/10000))/2,(W265+($K$3/10000))/2))^(2*V265/365.25)</f>
        <v>0.284066579651354</v>
      </c>
      <c r="Y265" s="71" t="n">
        <f aca="false">IF(AND(mthbeg&lt;=A265,mthend&gt;=A265),1,0)</f>
        <v>0</v>
      </c>
      <c r="Z265" s="71" t="n">
        <f aca="false">T265*Y265</f>
        <v>0</v>
      </c>
      <c r="AB265" s="132" t="n">
        <f aca="false">F265*G265</f>
        <v>0</v>
      </c>
      <c r="AC265" s="132" t="n">
        <f aca="false">$F265*H265</f>
        <v>0</v>
      </c>
      <c r="AD265" s="132" t="n">
        <f aca="false">$F265*I265</f>
        <v>0</v>
      </c>
      <c r="AE265" s="132" t="n">
        <f aca="false">$F265*J265</f>
        <v>-0</v>
      </c>
      <c r="AF265" s="132" t="n">
        <f aca="false">$F265*K265</f>
        <v>-0</v>
      </c>
      <c r="AG265" s="132" t="n">
        <f aca="false">$F265*L265</f>
        <v>0</v>
      </c>
      <c r="AH265" s="132" t="n">
        <f aca="false">$F265*M265</f>
        <v>0</v>
      </c>
      <c r="AI265" s="132" t="n">
        <f aca="false">$F265*N265</f>
        <v>0</v>
      </c>
      <c r="AJ265" s="132" t="n">
        <f aca="false">F265*O265</f>
        <v>0</v>
      </c>
      <c r="AK265" s="137"/>
      <c r="AL265" s="132" t="n">
        <f aca="false">CHOOSE($G$3,AC265-AD265,AD265-AC265)</f>
        <v>0</v>
      </c>
      <c r="AM265" s="132" t="n">
        <f aca="false">CHOOSE($G$3,AF265-AG265,AG265-AF265)</f>
        <v>0</v>
      </c>
      <c r="AN265" s="132" t="n">
        <f aca="false">CHOOSE($G$3,AI265-AJ265,AJ265-AI265)</f>
        <v>0</v>
      </c>
      <c r="AO265" s="148" t="n">
        <f aca="false">SUM(AL265:AN265)</f>
        <v>0</v>
      </c>
      <c r="AQ265" s="132" t="n">
        <f aca="false">CHOOSE($G$3,AB265-AC265,AC265-AB265)</f>
        <v>0</v>
      </c>
      <c r="AR265" s="132" t="n">
        <f aca="false">CHOOSE($G$3,AE265-AF265,AF265-AE265)</f>
        <v>0</v>
      </c>
      <c r="AS265" s="132" t="n">
        <f aca="false">CHOOSE($G$3,AH265-AI265,AI265-AH265)</f>
        <v>0</v>
      </c>
      <c r="AT265" s="148" t="n">
        <f aca="false">AQ265+AR265+AS265</f>
        <v>0</v>
      </c>
      <c r="AU265" s="148"/>
      <c r="AV265" s="133" t="n">
        <f aca="false">AT265+AO265</f>
        <v>0</v>
      </c>
      <c r="AX265" s="133" t="n">
        <f aca="false">AJ265+AG265+AD265</f>
        <v>0</v>
      </c>
      <c r="AY265" s="149"/>
      <c r="AZ265" s="76" t="n">
        <f aca="false">R265*E265</f>
        <v>0</v>
      </c>
    </row>
    <row r="266" customFormat="false" ht="12" hidden="false" customHeight="true" outlineLevel="0" collapsed="false">
      <c r="A266" s="138" t="n">
        <f aca="false">EDATE(A265,1)</f>
        <v>44774</v>
      </c>
      <c r="B266" s="139" t="n">
        <f aca="false">VLOOKUP($A266,Table2,MATCH(I$3,Curves2,0))</f>
        <v>0</v>
      </c>
      <c r="C266" s="140"/>
      <c r="D266" s="141" t="n">
        <f aca="false">B266+C266</f>
        <v>0</v>
      </c>
      <c r="E266" s="126" t="n">
        <f aca="false">IF(Y266=0,0,IF(AND(Y266=1,$H$3=1),D266*T266,IF($H$3=2,D266,"N/A")))</f>
        <v>0</v>
      </c>
      <c r="F266" s="126" t="n">
        <f aca="false">E266*X266</f>
        <v>0</v>
      </c>
      <c r="G266" s="142" t="n">
        <f aca="false">VLOOKUP($A266,Table,MATCH(G$4,Curves,0))</f>
        <v>3.987</v>
      </c>
      <c r="H266" s="143" t="n">
        <f aca="false">G266</f>
        <v>3.987</v>
      </c>
      <c r="I266" s="142" t="n">
        <f aca="false">VLOOKUP($A266,Table1,MATCH(I$3,Curves1,0))</f>
        <v>0</v>
      </c>
      <c r="J266" s="142" t="n">
        <f aca="false">VLOOKUP($A266,Table,MATCH(J$4,Curves,0))</f>
        <v>-0.061</v>
      </c>
      <c r="K266" s="143" t="n">
        <f aca="false">J266</f>
        <v>-0.061</v>
      </c>
      <c r="L266" s="144" t="n">
        <v>0</v>
      </c>
      <c r="M266" s="142" t="n">
        <f aca="false">VLOOKUP($A266,Table,MATCH(M$4,Curves,0))</f>
        <v>0.005</v>
      </c>
      <c r="N266" s="143" t="n">
        <f aca="false">M266</f>
        <v>0.005</v>
      </c>
      <c r="O266" s="144" t="n">
        <v>0</v>
      </c>
      <c r="P266" s="145"/>
      <c r="Q266" s="144" t="n">
        <f aca="false">M266+J266+G266</f>
        <v>3.931</v>
      </c>
      <c r="R266" s="144" t="n">
        <f aca="false">O266+L266+I266</f>
        <v>0</v>
      </c>
      <c r="S266" s="145"/>
      <c r="T266" s="71" t="n">
        <f aca="false">A267-A266</f>
        <v>31</v>
      </c>
      <c r="U266" s="146" t="n">
        <f aca="false">CHOOSE(F$3,A267+24,A266)</f>
        <v>44829</v>
      </c>
      <c r="V266" s="71" t="n">
        <f aca="false">U266-C$3</f>
        <v>7941</v>
      </c>
      <c r="W266" s="142" t="n">
        <f aca="false">VLOOKUP($A266,Table,MATCH(W$4,Curves,0))</f>
        <v>0.058966861357273</v>
      </c>
      <c r="X266" s="147" t="n">
        <f aca="false">1/(1+CHOOSE(F$3,(W267+($K$3/10000))/2,(W266+($K$3/10000))/2))^(2*V266/365.25)</f>
        <v>0.282668911538656</v>
      </c>
      <c r="Y266" s="71" t="n">
        <f aca="false">IF(AND(mthbeg&lt;=A266,mthend&gt;=A266),1,0)</f>
        <v>0</v>
      </c>
      <c r="Z266" s="71" t="n">
        <f aca="false">T266*Y266</f>
        <v>0</v>
      </c>
      <c r="AB266" s="132" t="n">
        <f aca="false">F266*G266</f>
        <v>0</v>
      </c>
      <c r="AC266" s="132" t="n">
        <f aca="false">$F266*H266</f>
        <v>0</v>
      </c>
      <c r="AD266" s="132" t="n">
        <f aca="false">$F266*I266</f>
        <v>0</v>
      </c>
      <c r="AE266" s="132" t="n">
        <f aca="false">$F266*J266</f>
        <v>-0</v>
      </c>
      <c r="AF266" s="132" t="n">
        <f aca="false">$F266*K266</f>
        <v>-0</v>
      </c>
      <c r="AG266" s="132" t="n">
        <f aca="false">$F266*L266</f>
        <v>0</v>
      </c>
      <c r="AH266" s="132" t="n">
        <f aca="false">$F266*M266</f>
        <v>0</v>
      </c>
      <c r="AI266" s="132" t="n">
        <f aca="false">$F266*N266</f>
        <v>0</v>
      </c>
      <c r="AJ266" s="132" t="n">
        <f aca="false">F266*O266</f>
        <v>0</v>
      </c>
      <c r="AK266" s="137"/>
      <c r="AL266" s="132" t="n">
        <f aca="false">CHOOSE($G$3,AC266-AD266,AD266-AC266)</f>
        <v>0</v>
      </c>
      <c r="AM266" s="132" t="n">
        <f aca="false">CHOOSE($G$3,AF266-AG266,AG266-AF266)</f>
        <v>0</v>
      </c>
      <c r="AN266" s="132" t="n">
        <f aca="false">CHOOSE($G$3,AI266-AJ266,AJ266-AI266)</f>
        <v>0</v>
      </c>
      <c r="AO266" s="148" t="n">
        <f aca="false">SUM(AL266:AN266)</f>
        <v>0</v>
      </c>
      <c r="AQ266" s="132" t="n">
        <f aca="false">CHOOSE($G$3,AB266-AC266,AC266-AB266)</f>
        <v>0</v>
      </c>
      <c r="AR266" s="132" t="n">
        <f aca="false">CHOOSE($G$3,AE266-AF266,AF266-AE266)</f>
        <v>0</v>
      </c>
      <c r="AS266" s="132" t="n">
        <f aca="false">CHOOSE($G$3,AH266-AI266,AI266-AH266)</f>
        <v>0</v>
      </c>
      <c r="AT266" s="148" t="n">
        <f aca="false">AQ266+AR266+AS266</f>
        <v>0</v>
      </c>
      <c r="AU266" s="148"/>
      <c r="AV266" s="133" t="n">
        <f aca="false">AT266+AO266</f>
        <v>0</v>
      </c>
      <c r="AX266" s="133" t="n">
        <f aca="false">AJ266+AG266+AD266</f>
        <v>0</v>
      </c>
      <c r="AY266" s="149"/>
      <c r="AZ266" s="76" t="n">
        <f aca="false">R266*E266</f>
        <v>0</v>
      </c>
    </row>
    <row r="267" customFormat="false" ht="12" hidden="false" customHeight="true" outlineLevel="0" collapsed="false">
      <c r="A267" s="138" t="n">
        <f aca="false">EDATE(A266,1)</f>
        <v>44805</v>
      </c>
      <c r="B267" s="139" t="n">
        <f aca="false">VLOOKUP($A267,Table2,MATCH(I$3,Curves2,0))</f>
        <v>0</v>
      </c>
      <c r="C267" s="140"/>
      <c r="D267" s="141" t="n">
        <f aca="false">B267+C267</f>
        <v>0</v>
      </c>
      <c r="E267" s="126" t="n">
        <f aca="false">IF(Y267=0,0,IF(AND(Y267=1,$H$3=1),D267*T267,IF($H$3=2,D267,"N/A")))</f>
        <v>0</v>
      </c>
      <c r="F267" s="126" t="n">
        <f aca="false">E267*X267</f>
        <v>0</v>
      </c>
      <c r="G267" s="142" t="n">
        <f aca="false">VLOOKUP($A267,Table,MATCH(G$4,Curves,0))</f>
        <v>3.987</v>
      </c>
      <c r="H267" s="143" t="n">
        <f aca="false">G267</f>
        <v>3.987</v>
      </c>
      <c r="I267" s="142" t="n">
        <f aca="false">VLOOKUP($A267,Table1,MATCH(I$3,Curves1,0))</f>
        <v>0</v>
      </c>
      <c r="J267" s="142" t="n">
        <f aca="false">VLOOKUP($A267,Table,MATCH(J$4,Curves,0))</f>
        <v>-0.061</v>
      </c>
      <c r="K267" s="143" t="n">
        <f aca="false">J267</f>
        <v>-0.061</v>
      </c>
      <c r="L267" s="144" t="n">
        <v>0</v>
      </c>
      <c r="M267" s="142" t="n">
        <f aca="false">VLOOKUP($A267,Table,MATCH(M$4,Curves,0))</f>
        <v>0.005</v>
      </c>
      <c r="N267" s="143" t="n">
        <f aca="false">M267</f>
        <v>0.005</v>
      </c>
      <c r="O267" s="144" t="n">
        <v>0</v>
      </c>
      <c r="P267" s="145"/>
      <c r="Q267" s="144" t="n">
        <f aca="false">M267+J267+G267</f>
        <v>3.931</v>
      </c>
      <c r="R267" s="144" t="n">
        <f aca="false">O267+L267+I267</f>
        <v>0</v>
      </c>
      <c r="S267" s="145"/>
      <c r="T267" s="71" t="n">
        <f aca="false">A268-A267</f>
        <v>30</v>
      </c>
      <c r="U267" s="146" t="n">
        <f aca="false">CHOOSE(F$3,A268+24,A267)</f>
        <v>44859</v>
      </c>
      <c r="V267" s="71" t="n">
        <f aca="false">U267-C$3</f>
        <v>7971</v>
      </c>
      <c r="W267" s="142" t="n">
        <f aca="false">VLOOKUP($A267,Table,MATCH(W$4,Curves,0))</f>
        <v>0.058966861357273</v>
      </c>
      <c r="X267" s="147" t="n">
        <f aca="false">1/(1+CHOOSE(F$3,(W268+($K$3/10000))/2,(W267+($K$3/10000))/2))^(2*V267/365.25)</f>
        <v>0.281322877494302</v>
      </c>
      <c r="Y267" s="71" t="n">
        <f aca="false">IF(AND(mthbeg&lt;=A267,mthend&gt;=A267),1,0)</f>
        <v>0</v>
      </c>
      <c r="Z267" s="71" t="n">
        <f aca="false">T267*Y267</f>
        <v>0</v>
      </c>
      <c r="AB267" s="132" t="n">
        <f aca="false">F267*G267</f>
        <v>0</v>
      </c>
      <c r="AC267" s="132" t="n">
        <f aca="false">$F267*H267</f>
        <v>0</v>
      </c>
      <c r="AD267" s="132" t="n">
        <f aca="false">$F267*I267</f>
        <v>0</v>
      </c>
      <c r="AE267" s="132" t="n">
        <f aca="false">$F267*J267</f>
        <v>-0</v>
      </c>
      <c r="AF267" s="132" t="n">
        <f aca="false">$F267*K267</f>
        <v>-0</v>
      </c>
      <c r="AG267" s="132" t="n">
        <f aca="false">$F267*L267</f>
        <v>0</v>
      </c>
      <c r="AH267" s="132" t="n">
        <f aca="false">$F267*M267</f>
        <v>0</v>
      </c>
      <c r="AI267" s="132" t="n">
        <f aca="false">$F267*N267</f>
        <v>0</v>
      </c>
      <c r="AJ267" s="132" t="n">
        <f aca="false">F267*O267</f>
        <v>0</v>
      </c>
      <c r="AK267" s="137"/>
      <c r="AL267" s="132" t="n">
        <f aca="false">CHOOSE($G$3,AC267-AD267,AD267-AC267)</f>
        <v>0</v>
      </c>
      <c r="AM267" s="132" t="n">
        <f aca="false">CHOOSE($G$3,AF267-AG267,AG267-AF267)</f>
        <v>0</v>
      </c>
      <c r="AN267" s="132" t="n">
        <f aca="false">CHOOSE($G$3,AI267-AJ267,AJ267-AI267)</f>
        <v>0</v>
      </c>
      <c r="AO267" s="148" t="n">
        <f aca="false">SUM(AL267:AN267)</f>
        <v>0</v>
      </c>
      <c r="AQ267" s="132" t="n">
        <f aca="false">CHOOSE($G$3,AB267-AC267,AC267-AB267)</f>
        <v>0</v>
      </c>
      <c r="AR267" s="132" t="n">
        <f aca="false">CHOOSE($G$3,AE267-AF267,AF267-AE267)</f>
        <v>0</v>
      </c>
      <c r="AS267" s="132" t="n">
        <f aca="false">CHOOSE($G$3,AH267-AI267,AI267-AH267)</f>
        <v>0</v>
      </c>
      <c r="AT267" s="148" t="n">
        <f aca="false">AQ267+AR267+AS267</f>
        <v>0</v>
      </c>
      <c r="AU267" s="148"/>
      <c r="AV267" s="133" t="n">
        <f aca="false">AT267+AO267</f>
        <v>0</v>
      </c>
      <c r="AX267" s="133" t="n">
        <f aca="false">AJ267+AG267+AD267</f>
        <v>0</v>
      </c>
      <c r="AY267" s="149"/>
      <c r="AZ267" s="76" t="n">
        <f aca="false">R267*E267</f>
        <v>0</v>
      </c>
    </row>
    <row r="268" customFormat="false" ht="12" hidden="false" customHeight="true" outlineLevel="0" collapsed="false">
      <c r="A268" s="138" t="n">
        <f aca="false">EDATE(A267,1)</f>
        <v>44835</v>
      </c>
      <c r="B268" s="139" t="n">
        <f aca="false">VLOOKUP($A268,Table2,MATCH(I$3,Curves2,0))</f>
        <v>0</v>
      </c>
      <c r="C268" s="140"/>
      <c r="D268" s="141" t="n">
        <f aca="false">B268+C268</f>
        <v>0</v>
      </c>
      <c r="E268" s="126" t="n">
        <f aca="false">IF(Y268=0,0,IF(AND(Y268=1,$H$3=1),D268*T268,IF($H$3=2,D268,"N/A")))</f>
        <v>0</v>
      </c>
      <c r="F268" s="126" t="n">
        <f aca="false">E268*X268</f>
        <v>0</v>
      </c>
      <c r="G268" s="142" t="n">
        <f aca="false">VLOOKUP($A268,Table,MATCH(G$4,Curves,0))</f>
        <v>3.987</v>
      </c>
      <c r="H268" s="143" t="n">
        <f aca="false">G268</f>
        <v>3.987</v>
      </c>
      <c r="I268" s="142" t="n">
        <f aca="false">VLOOKUP($A268,Table1,MATCH(I$3,Curves1,0))</f>
        <v>0</v>
      </c>
      <c r="J268" s="142" t="n">
        <f aca="false">VLOOKUP($A268,Table,MATCH(J$4,Curves,0))</f>
        <v>-0.061</v>
      </c>
      <c r="K268" s="143" t="n">
        <f aca="false">J268</f>
        <v>-0.061</v>
      </c>
      <c r="L268" s="144" t="n">
        <v>0</v>
      </c>
      <c r="M268" s="142" t="n">
        <f aca="false">VLOOKUP($A268,Table,MATCH(M$4,Curves,0))</f>
        <v>0.005</v>
      </c>
      <c r="N268" s="143" t="n">
        <f aca="false">M268</f>
        <v>0.005</v>
      </c>
      <c r="O268" s="144" t="n">
        <v>0</v>
      </c>
      <c r="P268" s="145"/>
      <c r="Q268" s="144" t="n">
        <f aca="false">M268+J268+G268</f>
        <v>3.931</v>
      </c>
      <c r="R268" s="144" t="n">
        <f aca="false">O268+L268+I268</f>
        <v>0</v>
      </c>
      <c r="S268" s="145"/>
      <c r="T268" s="71" t="n">
        <f aca="false">A269-A268</f>
        <v>31</v>
      </c>
      <c r="U268" s="146" t="n">
        <f aca="false">CHOOSE(F$3,A269+24,A268)</f>
        <v>44890</v>
      </c>
      <c r="V268" s="71" t="n">
        <f aca="false">U268-C$3</f>
        <v>8002</v>
      </c>
      <c r="W268" s="142" t="n">
        <f aca="false">VLOOKUP($A268,Table,MATCH(W$4,Curves,0))</f>
        <v>0.058966861357273</v>
      </c>
      <c r="X268" s="147" t="n">
        <f aca="false">1/(1+CHOOSE(F$3,(W269+($K$3/10000))/2,(W268+($K$3/10000))/2))^(2*V268/365.25)</f>
        <v>0.27993870898096</v>
      </c>
      <c r="Y268" s="71" t="n">
        <f aca="false">IF(AND(mthbeg&lt;=A268,mthend&gt;=A268),1,0)</f>
        <v>0</v>
      </c>
      <c r="Z268" s="71" t="n">
        <f aca="false">T268*Y268</f>
        <v>0</v>
      </c>
      <c r="AB268" s="132" t="n">
        <f aca="false">F268*G268</f>
        <v>0</v>
      </c>
      <c r="AC268" s="132" t="n">
        <f aca="false">$F268*H268</f>
        <v>0</v>
      </c>
      <c r="AD268" s="132" t="n">
        <f aca="false">$F268*I268</f>
        <v>0</v>
      </c>
      <c r="AE268" s="132" t="n">
        <f aca="false">$F268*J268</f>
        <v>-0</v>
      </c>
      <c r="AF268" s="132" t="n">
        <f aca="false">$F268*K268</f>
        <v>-0</v>
      </c>
      <c r="AG268" s="132" t="n">
        <f aca="false">$F268*L268</f>
        <v>0</v>
      </c>
      <c r="AH268" s="132" t="n">
        <f aca="false">$F268*M268</f>
        <v>0</v>
      </c>
      <c r="AI268" s="132" t="n">
        <f aca="false">$F268*N268</f>
        <v>0</v>
      </c>
      <c r="AJ268" s="132" t="n">
        <f aca="false">F268*O268</f>
        <v>0</v>
      </c>
      <c r="AK268" s="137"/>
      <c r="AL268" s="132" t="n">
        <f aca="false">CHOOSE($G$3,AC268-AD268,AD268-AC268)</f>
        <v>0</v>
      </c>
      <c r="AM268" s="132" t="n">
        <f aca="false">CHOOSE($G$3,AF268-AG268,AG268-AF268)</f>
        <v>0</v>
      </c>
      <c r="AN268" s="132" t="n">
        <f aca="false">CHOOSE($G$3,AI268-AJ268,AJ268-AI268)</f>
        <v>0</v>
      </c>
      <c r="AO268" s="148" t="n">
        <f aca="false">SUM(AL268:AN268)</f>
        <v>0</v>
      </c>
      <c r="AQ268" s="132" t="n">
        <f aca="false">CHOOSE($G$3,AB268-AC268,AC268-AB268)</f>
        <v>0</v>
      </c>
      <c r="AR268" s="132" t="n">
        <f aca="false">CHOOSE($G$3,AE268-AF268,AF268-AE268)</f>
        <v>0</v>
      </c>
      <c r="AS268" s="132" t="n">
        <f aca="false">CHOOSE($G$3,AH268-AI268,AI268-AH268)</f>
        <v>0</v>
      </c>
      <c r="AT268" s="148" t="n">
        <f aca="false">AQ268+AR268+AS268</f>
        <v>0</v>
      </c>
      <c r="AU268" s="148"/>
      <c r="AV268" s="133" t="n">
        <f aca="false">AT268+AO268</f>
        <v>0</v>
      </c>
      <c r="AX268" s="133" t="n">
        <f aca="false">AJ268+AG268+AD268</f>
        <v>0</v>
      </c>
      <c r="AY268" s="149"/>
      <c r="AZ268" s="76" t="n">
        <f aca="false">R268*E268</f>
        <v>0</v>
      </c>
    </row>
    <row r="269" customFormat="false" ht="12" hidden="false" customHeight="true" outlineLevel="0" collapsed="false">
      <c r="A269" s="138" t="n">
        <f aca="false">EDATE(A268,1)</f>
        <v>44866</v>
      </c>
      <c r="B269" s="139" t="n">
        <f aca="false">VLOOKUP($A269,Table2,MATCH(I$3,Curves2,0))</f>
        <v>0</v>
      </c>
      <c r="C269" s="140"/>
      <c r="D269" s="141" t="n">
        <f aca="false">B269+C269</f>
        <v>0</v>
      </c>
      <c r="E269" s="126" t="n">
        <f aca="false">IF(Y269=0,0,IF(AND(Y269=1,$H$3=1),D269*T269,IF($H$3=2,D269,"N/A")))</f>
        <v>0</v>
      </c>
      <c r="F269" s="126" t="n">
        <f aca="false">E269*X269</f>
        <v>0</v>
      </c>
      <c r="G269" s="142" t="n">
        <f aca="false">VLOOKUP($A269,Table,MATCH(G$4,Curves,0))</f>
        <v>3.987</v>
      </c>
      <c r="H269" s="143" t="n">
        <f aca="false">G269</f>
        <v>3.987</v>
      </c>
      <c r="I269" s="142" t="n">
        <f aca="false">VLOOKUP($A269,Table1,MATCH(I$3,Curves1,0))</f>
        <v>0</v>
      </c>
      <c r="J269" s="142" t="n">
        <f aca="false">VLOOKUP($A269,Table,MATCH(J$4,Curves,0))</f>
        <v>-0.061</v>
      </c>
      <c r="K269" s="143" t="n">
        <f aca="false">J269</f>
        <v>-0.061</v>
      </c>
      <c r="L269" s="144" t="n">
        <v>0</v>
      </c>
      <c r="M269" s="142" t="n">
        <f aca="false">VLOOKUP($A269,Table,MATCH(M$4,Curves,0))</f>
        <v>0.005</v>
      </c>
      <c r="N269" s="143" t="n">
        <f aca="false">M269</f>
        <v>0.005</v>
      </c>
      <c r="O269" s="144" t="n">
        <v>0</v>
      </c>
      <c r="P269" s="145"/>
      <c r="Q269" s="144" t="n">
        <f aca="false">M269+J269+G269</f>
        <v>3.931</v>
      </c>
      <c r="R269" s="144" t="n">
        <f aca="false">O269+L269+I269</f>
        <v>0</v>
      </c>
      <c r="S269" s="145"/>
      <c r="T269" s="71" t="n">
        <f aca="false">A270-A269</f>
        <v>30</v>
      </c>
      <c r="U269" s="146" t="n">
        <f aca="false">CHOOSE(F$3,A270+24,A269)</f>
        <v>44920</v>
      </c>
      <c r="V269" s="71" t="n">
        <f aca="false">U269-C$3</f>
        <v>8032</v>
      </c>
      <c r="W269" s="142" t="n">
        <f aca="false">VLOOKUP($A269,Table,MATCH(W$4,Curves,0))</f>
        <v>0.058966861357273</v>
      </c>
      <c r="X269" s="147" t="n">
        <f aca="false">1/(1+CHOOSE(F$3,(W270+($K$3/10000))/2,(W269+($K$3/10000))/2))^(2*V269/365.25)</f>
        <v>0.278605675820115</v>
      </c>
      <c r="Y269" s="71" t="n">
        <f aca="false">IF(AND(mthbeg&lt;=A269,mthend&gt;=A269),1,0)</f>
        <v>0</v>
      </c>
      <c r="Z269" s="71" t="n">
        <f aca="false">T269*Y269</f>
        <v>0</v>
      </c>
      <c r="AB269" s="132" t="n">
        <f aca="false">F269*G269</f>
        <v>0</v>
      </c>
      <c r="AC269" s="132" t="n">
        <f aca="false">$F269*H269</f>
        <v>0</v>
      </c>
      <c r="AD269" s="132" t="n">
        <f aca="false">$F269*I269</f>
        <v>0</v>
      </c>
      <c r="AE269" s="132" t="n">
        <f aca="false">$F269*J269</f>
        <v>-0</v>
      </c>
      <c r="AF269" s="132" t="n">
        <f aca="false">$F269*K269</f>
        <v>-0</v>
      </c>
      <c r="AG269" s="132" t="n">
        <f aca="false">$F269*L269</f>
        <v>0</v>
      </c>
      <c r="AH269" s="132" t="n">
        <f aca="false">$F269*M269</f>
        <v>0</v>
      </c>
      <c r="AI269" s="132" t="n">
        <f aca="false">$F269*N269</f>
        <v>0</v>
      </c>
      <c r="AJ269" s="132" t="n">
        <f aca="false">F269*O269</f>
        <v>0</v>
      </c>
      <c r="AK269" s="137"/>
      <c r="AL269" s="132" t="n">
        <f aca="false">CHOOSE($G$3,AC269-AD269,AD269-AC269)</f>
        <v>0</v>
      </c>
      <c r="AM269" s="132" t="n">
        <f aca="false">CHOOSE($G$3,AF269-AG269,AG269-AF269)</f>
        <v>0</v>
      </c>
      <c r="AN269" s="132" t="n">
        <f aca="false">CHOOSE($G$3,AI269-AJ269,AJ269-AI269)</f>
        <v>0</v>
      </c>
      <c r="AO269" s="148" t="n">
        <f aca="false">SUM(AL269:AN269)</f>
        <v>0</v>
      </c>
      <c r="AQ269" s="132" t="n">
        <f aca="false">CHOOSE($G$3,AB269-AC269,AC269-AB269)</f>
        <v>0</v>
      </c>
      <c r="AR269" s="132" t="n">
        <f aca="false">CHOOSE($G$3,AE269-AF269,AF269-AE269)</f>
        <v>0</v>
      </c>
      <c r="AS269" s="132" t="n">
        <f aca="false">CHOOSE($G$3,AH269-AI269,AI269-AH269)</f>
        <v>0</v>
      </c>
      <c r="AT269" s="148" t="n">
        <f aca="false">AQ269+AR269+AS269</f>
        <v>0</v>
      </c>
      <c r="AU269" s="148"/>
      <c r="AV269" s="133" t="n">
        <f aca="false">AT269+AO269</f>
        <v>0</v>
      </c>
      <c r="AX269" s="133" t="n">
        <f aca="false">AJ269+AG269+AD269</f>
        <v>0</v>
      </c>
      <c r="AY269" s="149"/>
      <c r="AZ269" s="76" t="n">
        <f aca="false">R269*E269</f>
        <v>0</v>
      </c>
    </row>
    <row r="270" customFormat="false" ht="12" hidden="false" customHeight="true" outlineLevel="0" collapsed="false">
      <c r="A270" s="138" t="n">
        <f aca="false">EDATE(A269,1)</f>
        <v>44896</v>
      </c>
      <c r="B270" s="139" t="n">
        <f aca="false">VLOOKUP($A270,Table2,MATCH(I$3,Curves2,0))</f>
        <v>0</v>
      </c>
      <c r="C270" s="140"/>
      <c r="D270" s="141" t="n">
        <f aca="false">B270+C270</f>
        <v>0</v>
      </c>
      <c r="E270" s="126" t="n">
        <f aca="false">IF(Y270=0,0,IF(AND(Y270=1,$H$3=1),D270*T270,IF($H$3=2,D270,"N/A")))</f>
        <v>0</v>
      </c>
      <c r="F270" s="126" t="n">
        <f aca="false">E270*X270</f>
        <v>0</v>
      </c>
      <c r="G270" s="142" t="n">
        <f aca="false">VLOOKUP($A270,Table,MATCH(G$4,Curves,0))</f>
        <v>3.987</v>
      </c>
      <c r="H270" s="143" t="n">
        <f aca="false">G270</f>
        <v>3.987</v>
      </c>
      <c r="I270" s="142" t="n">
        <f aca="false">VLOOKUP($A270,Table1,MATCH(I$3,Curves1,0))</f>
        <v>0</v>
      </c>
      <c r="J270" s="142" t="n">
        <f aca="false">VLOOKUP($A270,Table,MATCH(J$4,Curves,0))</f>
        <v>-0.061</v>
      </c>
      <c r="K270" s="143" t="n">
        <f aca="false">J270</f>
        <v>-0.061</v>
      </c>
      <c r="L270" s="144" t="n">
        <v>0</v>
      </c>
      <c r="M270" s="142" t="n">
        <f aca="false">VLOOKUP($A270,Table,MATCH(M$4,Curves,0))</f>
        <v>0.005</v>
      </c>
      <c r="N270" s="143" t="n">
        <f aca="false">M270</f>
        <v>0.005</v>
      </c>
      <c r="O270" s="144" t="n">
        <v>0</v>
      </c>
      <c r="P270" s="145"/>
      <c r="Q270" s="144" t="n">
        <f aca="false">M270+J270+G270</f>
        <v>3.931</v>
      </c>
      <c r="R270" s="144" t="n">
        <f aca="false">O270+L270+I270</f>
        <v>0</v>
      </c>
      <c r="S270" s="145"/>
      <c r="T270" s="71" t="n">
        <f aca="false">A271-A270</f>
        <v>31</v>
      </c>
      <c r="U270" s="146" t="n">
        <f aca="false">CHOOSE(F$3,A271+24,A270)</f>
        <v>44951</v>
      </c>
      <c r="V270" s="71" t="n">
        <f aca="false">U270-C$3</f>
        <v>8063</v>
      </c>
      <c r="W270" s="142" t="n">
        <f aca="false">VLOOKUP($A270,Table,MATCH(W$4,Curves,0))</f>
        <v>0.058966861357273</v>
      </c>
      <c r="X270" s="147" t="n">
        <f aca="false">1/(1+CHOOSE(F$3,(W271+($K$3/10000))/2,(W270+($K$3/10000))/2))^(2*V270/365.25)</f>
        <v>0.277234876518105</v>
      </c>
      <c r="Y270" s="71" t="n">
        <f aca="false">IF(AND(mthbeg&lt;=A270,mthend&gt;=A270),1,0)</f>
        <v>0</v>
      </c>
      <c r="Z270" s="71" t="n">
        <f aca="false">T270*Y270</f>
        <v>0</v>
      </c>
      <c r="AB270" s="132" t="n">
        <f aca="false">F270*G270</f>
        <v>0</v>
      </c>
      <c r="AC270" s="132" t="n">
        <f aca="false">$F270*H270</f>
        <v>0</v>
      </c>
      <c r="AD270" s="132" t="n">
        <f aca="false">$F270*I270</f>
        <v>0</v>
      </c>
      <c r="AE270" s="132" t="n">
        <f aca="false">$F270*J270</f>
        <v>-0</v>
      </c>
      <c r="AF270" s="132" t="n">
        <f aca="false">$F270*K270</f>
        <v>-0</v>
      </c>
      <c r="AG270" s="132" t="n">
        <f aca="false">$F270*L270</f>
        <v>0</v>
      </c>
      <c r="AH270" s="132" t="n">
        <f aca="false">$F270*M270</f>
        <v>0</v>
      </c>
      <c r="AI270" s="132" t="n">
        <f aca="false">$F270*N270</f>
        <v>0</v>
      </c>
      <c r="AJ270" s="132" t="n">
        <f aca="false">F270*O270</f>
        <v>0</v>
      </c>
      <c r="AK270" s="137"/>
      <c r="AL270" s="132" t="n">
        <f aca="false">CHOOSE($G$3,AC270-AD270,AD270-AC270)</f>
        <v>0</v>
      </c>
      <c r="AM270" s="132" t="n">
        <f aca="false">CHOOSE($G$3,AF270-AG270,AG270-AF270)</f>
        <v>0</v>
      </c>
      <c r="AN270" s="132" t="n">
        <f aca="false">CHOOSE($G$3,AI270-AJ270,AJ270-AI270)</f>
        <v>0</v>
      </c>
      <c r="AO270" s="148" t="n">
        <f aca="false">SUM(AL270:AN270)</f>
        <v>0</v>
      </c>
      <c r="AQ270" s="132" t="n">
        <f aca="false">CHOOSE($G$3,AB270-AC270,AC270-AB270)</f>
        <v>0</v>
      </c>
      <c r="AR270" s="132" t="n">
        <f aca="false">CHOOSE($G$3,AE270-AF270,AF270-AE270)</f>
        <v>0</v>
      </c>
      <c r="AS270" s="132" t="n">
        <f aca="false">CHOOSE($G$3,AH270-AI270,AI270-AH270)</f>
        <v>0</v>
      </c>
      <c r="AT270" s="148" t="n">
        <f aca="false">AQ270+AR270+AS270</f>
        <v>0</v>
      </c>
      <c r="AU270" s="148"/>
      <c r="AV270" s="133" t="n">
        <f aca="false">AT270+AO270</f>
        <v>0</v>
      </c>
      <c r="AX270" s="133" t="n">
        <f aca="false">AJ270+AG270+AD270</f>
        <v>0</v>
      </c>
      <c r="AY270" s="149"/>
      <c r="AZ270" s="76" t="n">
        <f aca="false">R270*E270</f>
        <v>0</v>
      </c>
    </row>
    <row r="271" customFormat="false" ht="12" hidden="false" customHeight="true" outlineLevel="0" collapsed="false">
      <c r="A271" s="138" t="n">
        <f aca="false">EDATE(A270,1)</f>
        <v>44927</v>
      </c>
      <c r="B271" s="139" t="n">
        <f aca="false">VLOOKUP($A271,Table2,MATCH(I$3,Curves2,0))</f>
        <v>0</v>
      </c>
      <c r="C271" s="140"/>
      <c r="D271" s="141" t="n">
        <f aca="false">B271+C271</f>
        <v>0</v>
      </c>
      <c r="E271" s="126" t="n">
        <f aca="false">IF(Y271=0,0,IF(AND(Y271=1,$H$3=1),D271*T271,IF($H$3=2,D271,"N/A")))</f>
        <v>0</v>
      </c>
      <c r="F271" s="126" t="n">
        <f aca="false">E271*X271</f>
        <v>0</v>
      </c>
      <c r="G271" s="142" t="n">
        <f aca="false">VLOOKUP($A271,Table,MATCH(G$4,Curves,0))</f>
        <v>3.987</v>
      </c>
      <c r="H271" s="143" t="n">
        <f aca="false">G271</f>
        <v>3.987</v>
      </c>
      <c r="I271" s="142" t="n">
        <f aca="false">VLOOKUP($A271,Table1,MATCH(I$3,Curves1,0))</f>
        <v>0</v>
      </c>
      <c r="J271" s="142" t="n">
        <f aca="false">VLOOKUP($A271,Table,MATCH(J$4,Curves,0))</f>
        <v>-0.061</v>
      </c>
      <c r="K271" s="143" t="n">
        <f aca="false">J271</f>
        <v>-0.061</v>
      </c>
      <c r="L271" s="144" t="n">
        <v>0</v>
      </c>
      <c r="M271" s="142" t="n">
        <f aca="false">VLOOKUP($A271,Table,MATCH(M$4,Curves,0))</f>
        <v>0.005</v>
      </c>
      <c r="N271" s="143" t="n">
        <f aca="false">M271</f>
        <v>0.005</v>
      </c>
      <c r="O271" s="144" t="n">
        <v>0</v>
      </c>
      <c r="P271" s="145"/>
      <c r="Q271" s="144" t="n">
        <f aca="false">M271+J271+G271</f>
        <v>3.931</v>
      </c>
      <c r="R271" s="144" t="n">
        <f aca="false">O271+L271+I271</f>
        <v>0</v>
      </c>
      <c r="S271" s="145"/>
      <c r="T271" s="71" t="n">
        <f aca="false">A272-A271</f>
        <v>31</v>
      </c>
      <c r="U271" s="146" t="n">
        <f aca="false">CHOOSE(F$3,A272+24,A271)</f>
        <v>44982</v>
      </c>
      <c r="V271" s="71" t="n">
        <f aca="false">U271-C$3</f>
        <v>8094</v>
      </c>
      <c r="W271" s="142" t="n">
        <f aca="false">VLOOKUP($A271,Table,MATCH(W$4,Curves,0))</f>
        <v>0.058966861357273</v>
      </c>
      <c r="X271" s="147" t="n">
        <f aca="false">1/(1+CHOOSE(F$3,(W272+($K$3/10000))/2,(W271+($K$3/10000))/2))^(2*V271/365.25)</f>
        <v>0.275870821840808</v>
      </c>
      <c r="Y271" s="71" t="n">
        <f aca="false">IF(AND(mthbeg&lt;=A271,mthend&gt;=A271),1,0)</f>
        <v>0</v>
      </c>
      <c r="Z271" s="71" t="n">
        <f aca="false">T271*Y271</f>
        <v>0</v>
      </c>
      <c r="AB271" s="132" t="n">
        <f aca="false">F271*G271</f>
        <v>0</v>
      </c>
      <c r="AC271" s="132" t="n">
        <f aca="false">$F271*H271</f>
        <v>0</v>
      </c>
      <c r="AD271" s="132" t="n">
        <f aca="false">$F271*I271</f>
        <v>0</v>
      </c>
      <c r="AE271" s="132" t="n">
        <f aca="false">$F271*J271</f>
        <v>-0</v>
      </c>
      <c r="AF271" s="132" t="n">
        <f aca="false">$F271*K271</f>
        <v>-0</v>
      </c>
      <c r="AG271" s="132" t="n">
        <f aca="false">$F271*L271</f>
        <v>0</v>
      </c>
      <c r="AH271" s="132" t="n">
        <f aca="false">$F271*M271</f>
        <v>0</v>
      </c>
      <c r="AI271" s="132" t="n">
        <f aca="false">$F271*N271</f>
        <v>0</v>
      </c>
      <c r="AJ271" s="132" t="n">
        <f aca="false">F271*O271</f>
        <v>0</v>
      </c>
      <c r="AK271" s="137"/>
      <c r="AL271" s="132" t="n">
        <f aca="false">CHOOSE($G$3,AC271-AD271,AD271-AC271)</f>
        <v>0</v>
      </c>
      <c r="AM271" s="132" t="n">
        <f aca="false">CHOOSE($G$3,AF271-AG271,AG271-AF271)</f>
        <v>0</v>
      </c>
      <c r="AN271" s="132" t="n">
        <f aca="false">CHOOSE($G$3,AI271-AJ271,AJ271-AI271)</f>
        <v>0</v>
      </c>
      <c r="AO271" s="148" t="n">
        <f aca="false">SUM(AL271:AN271)</f>
        <v>0</v>
      </c>
      <c r="AQ271" s="132" t="n">
        <f aca="false">CHOOSE($G$3,AB271-AC271,AC271-AB271)</f>
        <v>0</v>
      </c>
      <c r="AR271" s="132" t="n">
        <f aca="false">CHOOSE($G$3,AE271-AF271,AF271-AE271)</f>
        <v>0</v>
      </c>
      <c r="AS271" s="132" t="n">
        <f aca="false">CHOOSE($G$3,AH271-AI271,AI271-AH271)</f>
        <v>0</v>
      </c>
      <c r="AT271" s="148" t="n">
        <f aca="false">AQ271+AR271+AS271</f>
        <v>0</v>
      </c>
      <c r="AU271" s="148"/>
      <c r="AV271" s="133" t="n">
        <f aca="false">AT271+AO271</f>
        <v>0</v>
      </c>
      <c r="AX271" s="133" t="n">
        <f aca="false">AJ271+AG271+AD271</f>
        <v>0</v>
      </c>
      <c r="AY271" s="149"/>
      <c r="AZ271" s="76" t="n">
        <f aca="false">R271*E271</f>
        <v>0</v>
      </c>
    </row>
    <row r="272" customFormat="false" ht="12" hidden="false" customHeight="true" outlineLevel="0" collapsed="false">
      <c r="A272" s="138" t="n">
        <f aca="false">EDATE(A271,1)</f>
        <v>44958</v>
      </c>
      <c r="B272" s="139" t="n">
        <f aca="false">VLOOKUP($A272,Table2,MATCH(I$3,Curves2,0))</f>
        <v>0</v>
      </c>
      <c r="C272" s="140"/>
      <c r="D272" s="141" t="n">
        <f aca="false">B272+C272</f>
        <v>0</v>
      </c>
      <c r="E272" s="126" t="n">
        <f aca="false">IF(Y272=0,0,IF(AND(Y272=1,$H$3=1),D272*T272,IF($H$3=2,D272,"N/A")))</f>
        <v>0</v>
      </c>
      <c r="F272" s="126" t="n">
        <f aca="false">E272*X272</f>
        <v>0</v>
      </c>
      <c r="G272" s="142" t="n">
        <f aca="false">VLOOKUP($A272,Table,MATCH(G$4,Curves,0))</f>
        <v>3.987</v>
      </c>
      <c r="H272" s="143" t="n">
        <f aca="false">G272</f>
        <v>3.987</v>
      </c>
      <c r="I272" s="142" t="n">
        <f aca="false">VLOOKUP($A272,Table1,MATCH(I$3,Curves1,0))</f>
        <v>0</v>
      </c>
      <c r="J272" s="142" t="n">
        <f aca="false">VLOOKUP($A272,Table,MATCH(J$4,Curves,0))</f>
        <v>-0.061</v>
      </c>
      <c r="K272" s="143" t="n">
        <f aca="false">J272</f>
        <v>-0.061</v>
      </c>
      <c r="L272" s="144" t="n">
        <v>0</v>
      </c>
      <c r="M272" s="142" t="n">
        <f aca="false">VLOOKUP($A272,Table,MATCH(M$4,Curves,0))</f>
        <v>0.005</v>
      </c>
      <c r="N272" s="143" t="n">
        <f aca="false">M272</f>
        <v>0.005</v>
      </c>
      <c r="O272" s="144" t="n">
        <v>0</v>
      </c>
      <c r="P272" s="145"/>
      <c r="Q272" s="144" t="n">
        <f aca="false">M272+J272+G272</f>
        <v>3.931</v>
      </c>
      <c r="R272" s="144" t="n">
        <f aca="false">O272+L272+I272</f>
        <v>0</v>
      </c>
      <c r="S272" s="145"/>
      <c r="T272" s="71" t="n">
        <f aca="false">A273-A272</f>
        <v>28</v>
      </c>
      <c r="U272" s="146" t="n">
        <f aca="false">CHOOSE(F$3,A273+24,A272)</f>
        <v>45010</v>
      </c>
      <c r="V272" s="71" t="n">
        <f aca="false">U272-C$3</f>
        <v>8122</v>
      </c>
      <c r="W272" s="142" t="n">
        <f aca="false">VLOOKUP($A272,Table,MATCH(W$4,Curves,0))</f>
        <v>0.058966861357273</v>
      </c>
      <c r="X272" s="147" t="n">
        <f aca="false">1/(1+CHOOSE(F$3,(W273+($K$3/10000))/2,(W272+($K$3/10000))/2))^(2*V272/365.25)</f>
        <v>0.274644541997286</v>
      </c>
      <c r="Y272" s="71" t="n">
        <f aca="false">IF(AND(mthbeg&lt;=A272,mthend&gt;=A272),1,0)</f>
        <v>0</v>
      </c>
      <c r="Z272" s="71" t="n">
        <f aca="false">T272*Y272</f>
        <v>0</v>
      </c>
      <c r="AB272" s="132" t="n">
        <f aca="false">F272*G272</f>
        <v>0</v>
      </c>
      <c r="AC272" s="132" t="n">
        <f aca="false">$F272*H272</f>
        <v>0</v>
      </c>
      <c r="AD272" s="132" t="n">
        <f aca="false">$F272*I272</f>
        <v>0</v>
      </c>
      <c r="AE272" s="132" t="n">
        <f aca="false">$F272*J272</f>
        <v>-0</v>
      </c>
      <c r="AF272" s="132" t="n">
        <f aca="false">$F272*K272</f>
        <v>-0</v>
      </c>
      <c r="AG272" s="132" t="n">
        <f aca="false">$F272*L272</f>
        <v>0</v>
      </c>
      <c r="AH272" s="132" t="n">
        <f aca="false">$F272*M272</f>
        <v>0</v>
      </c>
      <c r="AI272" s="132" t="n">
        <f aca="false">$F272*N272</f>
        <v>0</v>
      </c>
      <c r="AJ272" s="132" t="n">
        <f aca="false">F272*O272</f>
        <v>0</v>
      </c>
      <c r="AK272" s="137"/>
      <c r="AL272" s="132" t="n">
        <f aca="false">CHOOSE($G$3,AC272-AD272,AD272-AC272)</f>
        <v>0</v>
      </c>
      <c r="AM272" s="132" t="n">
        <f aca="false">CHOOSE($G$3,AF272-AG272,AG272-AF272)</f>
        <v>0</v>
      </c>
      <c r="AN272" s="132" t="n">
        <f aca="false">CHOOSE($G$3,AI272-AJ272,AJ272-AI272)</f>
        <v>0</v>
      </c>
      <c r="AO272" s="148" t="n">
        <f aca="false">SUM(AL272:AN272)</f>
        <v>0</v>
      </c>
      <c r="AQ272" s="132" t="n">
        <f aca="false">CHOOSE($G$3,AB272-AC272,AC272-AB272)</f>
        <v>0</v>
      </c>
      <c r="AR272" s="132" t="n">
        <f aca="false">CHOOSE($G$3,AE272-AF272,AF272-AE272)</f>
        <v>0</v>
      </c>
      <c r="AS272" s="132" t="n">
        <f aca="false">CHOOSE($G$3,AH272-AI272,AI272-AH272)</f>
        <v>0</v>
      </c>
      <c r="AT272" s="148" t="n">
        <f aca="false">AQ272+AR272+AS272</f>
        <v>0</v>
      </c>
      <c r="AU272" s="148"/>
      <c r="AV272" s="133" t="n">
        <f aca="false">AT272+AO272</f>
        <v>0</v>
      </c>
      <c r="AX272" s="133" t="n">
        <f aca="false">AJ272+AG272+AD272</f>
        <v>0</v>
      </c>
      <c r="AY272" s="149"/>
      <c r="AZ272" s="76" t="n">
        <f aca="false">R272*E272</f>
        <v>0</v>
      </c>
    </row>
    <row r="273" customFormat="false" ht="12" hidden="false" customHeight="true" outlineLevel="0" collapsed="false">
      <c r="A273" s="138" t="n">
        <f aca="false">EDATE(A272,1)</f>
        <v>44986</v>
      </c>
      <c r="B273" s="139" t="n">
        <f aca="false">VLOOKUP($A273,Table2,MATCH(I$3,Curves2,0))</f>
        <v>0</v>
      </c>
      <c r="C273" s="140"/>
      <c r="D273" s="141" t="n">
        <f aca="false">B273+C273</f>
        <v>0</v>
      </c>
      <c r="E273" s="126" t="n">
        <f aca="false">IF(Y273=0,0,IF(AND(Y273=1,$H$3=1),D273*T273,IF($H$3=2,D273,"N/A")))</f>
        <v>0</v>
      </c>
      <c r="F273" s="126" t="n">
        <f aca="false">E273*X273</f>
        <v>0</v>
      </c>
      <c r="G273" s="142" t="n">
        <f aca="false">VLOOKUP($A273,Table,MATCH(G$4,Curves,0))</f>
        <v>3.987</v>
      </c>
      <c r="H273" s="143" t="n">
        <f aca="false">G273</f>
        <v>3.987</v>
      </c>
      <c r="I273" s="142" t="n">
        <f aca="false">VLOOKUP($A273,Table1,MATCH(I$3,Curves1,0))</f>
        <v>0</v>
      </c>
      <c r="J273" s="142" t="n">
        <f aca="false">VLOOKUP($A273,Table,MATCH(J$4,Curves,0))</f>
        <v>-0.061</v>
      </c>
      <c r="K273" s="143" t="n">
        <f aca="false">J273</f>
        <v>-0.061</v>
      </c>
      <c r="L273" s="144" t="n">
        <v>0</v>
      </c>
      <c r="M273" s="142" t="n">
        <f aca="false">VLOOKUP($A273,Table,MATCH(M$4,Curves,0))</f>
        <v>0.005</v>
      </c>
      <c r="N273" s="143" t="n">
        <f aca="false">M273</f>
        <v>0.005</v>
      </c>
      <c r="O273" s="144" t="n">
        <v>0</v>
      </c>
      <c r="P273" s="145"/>
      <c r="Q273" s="144" t="n">
        <f aca="false">M273+J273+G273</f>
        <v>3.931</v>
      </c>
      <c r="R273" s="144" t="n">
        <f aca="false">O273+L273+I273</f>
        <v>0</v>
      </c>
      <c r="S273" s="145"/>
      <c r="T273" s="71" t="n">
        <f aca="false">A274-A273</f>
        <v>31</v>
      </c>
      <c r="U273" s="146" t="n">
        <f aca="false">CHOOSE(F$3,A274+24,A273)</f>
        <v>45041</v>
      </c>
      <c r="V273" s="71" t="n">
        <f aca="false">U273-C$3</f>
        <v>8153</v>
      </c>
      <c r="W273" s="142" t="n">
        <f aca="false">VLOOKUP($A273,Table,MATCH(W$4,Curves,0))</f>
        <v>0.058966861357273</v>
      </c>
      <c r="X273" s="147" t="n">
        <f aca="false">1/(1+CHOOSE(F$3,(W274+($K$3/10000))/2,(W273+($K$3/10000))/2))^(2*V273/365.25)</f>
        <v>0.273293232317889</v>
      </c>
      <c r="Y273" s="71" t="n">
        <f aca="false">IF(AND(mthbeg&lt;=A273,mthend&gt;=A273),1,0)</f>
        <v>0</v>
      </c>
      <c r="Z273" s="71" t="n">
        <f aca="false">T273*Y273</f>
        <v>0</v>
      </c>
      <c r="AB273" s="132" t="n">
        <f aca="false">F273*G273</f>
        <v>0</v>
      </c>
      <c r="AC273" s="132" t="n">
        <f aca="false">$F273*H273</f>
        <v>0</v>
      </c>
      <c r="AD273" s="132" t="n">
        <f aca="false">$F273*I273</f>
        <v>0</v>
      </c>
      <c r="AE273" s="132" t="n">
        <f aca="false">$F273*J273</f>
        <v>-0</v>
      </c>
      <c r="AF273" s="132" t="n">
        <f aca="false">$F273*K273</f>
        <v>-0</v>
      </c>
      <c r="AG273" s="132" t="n">
        <f aca="false">$F273*L273</f>
        <v>0</v>
      </c>
      <c r="AH273" s="132" t="n">
        <f aca="false">$F273*M273</f>
        <v>0</v>
      </c>
      <c r="AI273" s="132" t="n">
        <f aca="false">$F273*N273</f>
        <v>0</v>
      </c>
      <c r="AJ273" s="132" t="n">
        <f aca="false">F273*O273</f>
        <v>0</v>
      </c>
      <c r="AK273" s="137"/>
      <c r="AL273" s="132" t="n">
        <f aca="false">CHOOSE($G$3,AC273-AD273,AD273-AC273)</f>
        <v>0</v>
      </c>
      <c r="AM273" s="132" t="n">
        <f aca="false">CHOOSE($G$3,AF273-AG273,AG273-AF273)</f>
        <v>0</v>
      </c>
      <c r="AN273" s="132" t="n">
        <f aca="false">CHOOSE($G$3,AI273-AJ273,AJ273-AI273)</f>
        <v>0</v>
      </c>
      <c r="AO273" s="148" t="n">
        <f aca="false">SUM(AL273:AN273)</f>
        <v>0</v>
      </c>
      <c r="AQ273" s="132" t="n">
        <f aca="false">CHOOSE($G$3,AB273-AC273,AC273-AB273)</f>
        <v>0</v>
      </c>
      <c r="AR273" s="132" t="n">
        <f aca="false">CHOOSE($G$3,AE273-AF273,AF273-AE273)</f>
        <v>0</v>
      </c>
      <c r="AS273" s="132" t="n">
        <f aca="false">CHOOSE($G$3,AH273-AI273,AI273-AH273)</f>
        <v>0</v>
      </c>
      <c r="AT273" s="148" t="n">
        <f aca="false">AQ273+AR273+AS273</f>
        <v>0</v>
      </c>
      <c r="AU273" s="148"/>
      <c r="AV273" s="133" t="n">
        <f aca="false">AT273+AO273</f>
        <v>0</v>
      </c>
      <c r="AX273" s="133" t="n">
        <f aca="false">AJ273+AG273+AD273</f>
        <v>0</v>
      </c>
      <c r="AY273" s="149"/>
      <c r="AZ273" s="76" t="n">
        <f aca="false">R273*E273</f>
        <v>0</v>
      </c>
    </row>
    <row r="274" customFormat="false" ht="12" hidden="false" customHeight="true" outlineLevel="0" collapsed="false">
      <c r="A274" s="138" t="n">
        <f aca="false">EDATE(A273,1)</f>
        <v>45017</v>
      </c>
      <c r="B274" s="139" t="n">
        <f aca="false">VLOOKUP($A274,Table2,MATCH(I$3,Curves2,0))</f>
        <v>0</v>
      </c>
      <c r="C274" s="140"/>
      <c r="D274" s="141" t="n">
        <f aca="false">B274+C274</f>
        <v>0</v>
      </c>
      <c r="E274" s="126" t="n">
        <f aca="false">IF(Y274=0,0,IF(AND(Y274=1,$H$3=1),D274*T274,IF($H$3=2,D274,"N/A")))</f>
        <v>0</v>
      </c>
      <c r="F274" s="126" t="n">
        <f aca="false">E274*X274</f>
        <v>0</v>
      </c>
      <c r="G274" s="142" t="n">
        <f aca="false">VLOOKUP($A274,Table,MATCH(G$4,Curves,0))</f>
        <v>3.987</v>
      </c>
      <c r="H274" s="143" t="n">
        <f aca="false">G274</f>
        <v>3.987</v>
      </c>
      <c r="I274" s="142" t="n">
        <f aca="false">VLOOKUP($A274,Table1,MATCH(I$3,Curves1,0))</f>
        <v>0</v>
      </c>
      <c r="J274" s="142" t="n">
        <f aca="false">VLOOKUP($A274,Table,MATCH(J$4,Curves,0))</f>
        <v>-0.061</v>
      </c>
      <c r="K274" s="143" t="n">
        <f aca="false">J274</f>
        <v>-0.061</v>
      </c>
      <c r="L274" s="144" t="n">
        <v>0</v>
      </c>
      <c r="M274" s="142" t="n">
        <f aca="false">VLOOKUP($A274,Table,MATCH(M$4,Curves,0))</f>
        <v>0.005</v>
      </c>
      <c r="N274" s="143" t="n">
        <f aca="false">M274</f>
        <v>0.005</v>
      </c>
      <c r="O274" s="144" t="n">
        <v>0</v>
      </c>
      <c r="P274" s="145"/>
      <c r="Q274" s="144" t="n">
        <f aca="false">M274+J274+G274</f>
        <v>3.931</v>
      </c>
      <c r="R274" s="144" t="n">
        <f aca="false">O274+L274+I274</f>
        <v>0</v>
      </c>
      <c r="S274" s="145"/>
      <c r="T274" s="71" t="n">
        <f aca="false">A275-A274</f>
        <v>30</v>
      </c>
      <c r="U274" s="146" t="n">
        <f aca="false">CHOOSE(F$3,A275+24,A274)</f>
        <v>45071</v>
      </c>
      <c r="V274" s="71" t="n">
        <f aca="false">U274-C$3</f>
        <v>8183</v>
      </c>
      <c r="W274" s="142" t="n">
        <f aca="false">VLOOKUP($A274,Table,MATCH(W$4,Curves,0))</f>
        <v>0.058966861357273</v>
      </c>
      <c r="X274" s="147" t="n">
        <f aca="false">1/(1+CHOOSE(F$3,(W275+($K$3/10000))/2,(W274+($K$3/10000))/2))^(2*V274/365.25)</f>
        <v>0.271991844086728</v>
      </c>
      <c r="Y274" s="71" t="n">
        <f aca="false">IF(AND(mthbeg&lt;=A274,mthend&gt;=A274),1,0)</f>
        <v>0</v>
      </c>
      <c r="Z274" s="71" t="n">
        <f aca="false">T274*Y274</f>
        <v>0</v>
      </c>
      <c r="AB274" s="132" t="n">
        <f aca="false">F274*G274</f>
        <v>0</v>
      </c>
      <c r="AC274" s="132" t="n">
        <f aca="false">$F274*H274</f>
        <v>0</v>
      </c>
      <c r="AD274" s="132" t="n">
        <f aca="false">$F274*I274</f>
        <v>0</v>
      </c>
      <c r="AE274" s="132" t="n">
        <f aca="false">$F274*J274</f>
        <v>-0</v>
      </c>
      <c r="AF274" s="132" t="n">
        <f aca="false">$F274*K274</f>
        <v>-0</v>
      </c>
      <c r="AG274" s="132" t="n">
        <f aca="false">$F274*L274</f>
        <v>0</v>
      </c>
      <c r="AH274" s="132" t="n">
        <f aca="false">$F274*M274</f>
        <v>0</v>
      </c>
      <c r="AI274" s="132" t="n">
        <f aca="false">$F274*N274</f>
        <v>0</v>
      </c>
      <c r="AJ274" s="132" t="n">
        <f aca="false">F274*O274</f>
        <v>0</v>
      </c>
      <c r="AK274" s="137"/>
      <c r="AL274" s="132" t="n">
        <f aca="false">CHOOSE($G$3,AC274-AD274,AD274-AC274)</f>
        <v>0</v>
      </c>
      <c r="AM274" s="132" t="n">
        <f aca="false">CHOOSE($G$3,AF274-AG274,AG274-AF274)</f>
        <v>0</v>
      </c>
      <c r="AN274" s="132" t="n">
        <f aca="false">CHOOSE($G$3,AI274-AJ274,AJ274-AI274)</f>
        <v>0</v>
      </c>
      <c r="AO274" s="148" t="n">
        <f aca="false">SUM(AL274:AN274)</f>
        <v>0</v>
      </c>
      <c r="AQ274" s="132" t="n">
        <f aca="false">CHOOSE($G$3,AB274-AC274,AC274-AB274)</f>
        <v>0</v>
      </c>
      <c r="AR274" s="132" t="n">
        <f aca="false">CHOOSE($G$3,AE274-AF274,AF274-AE274)</f>
        <v>0</v>
      </c>
      <c r="AS274" s="132" t="n">
        <f aca="false">CHOOSE($G$3,AH274-AI274,AI274-AH274)</f>
        <v>0</v>
      </c>
      <c r="AT274" s="148" t="n">
        <f aca="false">AQ274+AR274+AS274</f>
        <v>0</v>
      </c>
      <c r="AU274" s="148"/>
      <c r="AV274" s="133" t="n">
        <f aca="false">AT274+AO274</f>
        <v>0</v>
      </c>
      <c r="AX274" s="133" t="n">
        <f aca="false">AJ274+AG274+AD274</f>
        <v>0</v>
      </c>
      <c r="AY274" s="149"/>
      <c r="AZ274" s="76" t="n">
        <f aca="false">R274*E274</f>
        <v>0</v>
      </c>
    </row>
    <row r="275" customFormat="false" ht="12" hidden="false" customHeight="true" outlineLevel="0" collapsed="false">
      <c r="A275" s="138" t="n">
        <f aca="false">EDATE(A274,1)</f>
        <v>45047</v>
      </c>
      <c r="B275" s="139" t="n">
        <f aca="false">VLOOKUP($A275,Table2,MATCH(I$3,Curves2,0))</f>
        <v>0</v>
      </c>
      <c r="C275" s="140"/>
      <c r="D275" s="141" t="n">
        <f aca="false">B275+C275</f>
        <v>0</v>
      </c>
      <c r="E275" s="126" t="n">
        <f aca="false">IF(Y275=0,0,IF(AND(Y275=1,$H$3=1),D275*T275,IF($H$3=2,D275,"N/A")))</f>
        <v>0</v>
      </c>
      <c r="F275" s="126" t="n">
        <f aca="false">E275*X275</f>
        <v>0</v>
      </c>
      <c r="G275" s="142" t="n">
        <f aca="false">VLOOKUP($A275,Table,MATCH(G$4,Curves,0))</f>
        <v>3.987</v>
      </c>
      <c r="H275" s="143" t="n">
        <f aca="false">G275</f>
        <v>3.987</v>
      </c>
      <c r="I275" s="142" t="n">
        <f aca="false">VLOOKUP($A275,Table1,MATCH(I$3,Curves1,0))</f>
        <v>0</v>
      </c>
      <c r="J275" s="142" t="n">
        <f aca="false">VLOOKUP($A275,Table,MATCH(J$4,Curves,0))</f>
        <v>-0.061</v>
      </c>
      <c r="K275" s="143" t="n">
        <f aca="false">J275</f>
        <v>-0.061</v>
      </c>
      <c r="L275" s="144" t="n">
        <v>0</v>
      </c>
      <c r="M275" s="142" t="n">
        <f aca="false">VLOOKUP($A275,Table,MATCH(M$4,Curves,0))</f>
        <v>0.005</v>
      </c>
      <c r="N275" s="143" t="n">
        <f aca="false">M275</f>
        <v>0.005</v>
      </c>
      <c r="O275" s="144" t="n">
        <v>0</v>
      </c>
      <c r="P275" s="145"/>
      <c r="Q275" s="144" t="n">
        <f aca="false">M275+J275+G275</f>
        <v>3.931</v>
      </c>
      <c r="R275" s="144" t="n">
        <f aca="false">O275+L275+I275</f>
        <v>0</v>
      </c>
      <c r="S275" s="145"/>
      <c r="T275" s="71" t="n">
        <f aca="false">A276-A275</f>
        <v>31</v>
      </c>
      <c r="U275" s="146" t="n">
        <f aca="false">CHOOSE(F$3,A276+24,A275)</f>
        <v>45102</v>
      </c>
      <c r="V275" s="71" t="n">
        <f aca="false">U275-C$3</f>
        <v>8214</v>
      </c>
      <c r="W275" s="142" t="n">
        <f aca="false">VLOOKUP($A275,Table,MATCH(W$4,Curves,0))</f>
        <v>0.058966861357273</v>
      </c>
      <c r="X275" s="147" t="n">
        <f aca="false">1/(1+CHOOSE(F$3,(W276+($K$3/10000))/2,(W275+($K$3/10000))/2))^(2*V275/365.25)</f>
        <v>0.270653586246399</v>
      </c>
      <c r="Y275" s="71" t="n">
        <f aca="false">IF(AND(mthbeg&lt;=A275,mthend&gt;=A275),1,0)</f>
        <v>0</v>
      </c>
      <c r="Z275" s="71" t="n">
        <f aca="false">T275*Y275</f>
        <v>0</v>
      </c>
      <c r="AB275" s="132" t="n">
        <f aca="false">F275*G275</f>
        <v>0</v>
      </c>
      <c r="AC275" s="132" t="n">
        <f aca="false">$F275*H275</f>
        <v>0</v>
      </c>
      <c r="AD275" s="132" t="n">
        <f aca="false">$F275*I275</f>
        <v>0</v>
      </c>
      <c r="AE275" s="132" t="n">
        <f aca="false">$F275*J275</f>
        <v>-0</v>
      </c>
      <c r="AF275" s="132" t="n">
        <f aca="false">$F275*K275</f>
        <v>-0</v>
      </c>
      <c r="AG275" s="132" t="n">
        <f aca="false">$F275*L275</f>
        <v>0</v>
      </c>
      <c r="AH275" s="132" t="n">
        <f aca="false">$F275*M275</f>
        <v>0</v>
      </c>
      <c r="AI275" s="132" t="n">
        <f aca="false">$F275*N275</f>
        <v>0</v>
      </c>
      <c r="AJ275" s="132" t="n">
        <f aca="false">F275*O275</f>
        <v>0</v>
      </c>
      <c r="AK275" s="137"/>
      <c r="AL275" s="132" t="n">
        <f aca="false">CHOOSE($G$3,AC275-AD275,AD275-AC275)</f>
        <v>0</v>
      </c>
      <c r="AM275" s="132" t="n">
        <f aca="false">CHOOSE($G$3,AF275-AG275,AG275-AF275)</f>
        <v>0</v>
      </c>
      <c r="AN275" s="132" t="n">
        <f aca="false">CHOOSE($G$3,AI275-AJ275,AJ275-AI275)</f>
        <v>0</v>
      </c>
      <c r="AO275" s="148" t="n">
        <f aca="false">SUM(AL275:AN275)</f>
        <v>0</v>
      </c>
      <c r="AQ275" s="132" t="n">
        <f aca="false">CHOOSE($G$3,AB275-AC275,AC275-AB275)</f>
        <v>0</v>
      </c>
      <c r="AR275" s="132" t="n">
        <f aca="false">CHOOSE($G$3,AE275-AF275,AF275-AE275)</f>
        <v>0</v>
      </c>
      <c r="AS275" s="132" t="n">
        <f aca="false">CHOOSE($G$3,AH275-AI275,AI275-AH275)</f>
        <v>0</v>
      </c>
      <c r="AT275" s="148" t="n">
        <f aca="false">AQ275+AR275+AS275</f>
        <v>0</v>
      </c>
      <c r="AU275" s="148"/>
      <c r="AV275" s="133" t="n">
        <f aca="false">AT275+AO275</f>
        <v>0</v>
      </c>
      <c r="AX275" s="133" t="n">
        <f aca="false">AJ275+AG275+AD275</f>
        <v>0</v>
      </c>
      <c r="AY275" s="149"/>
      <c r="AZ275" s="76" t="n">
        <f aca="false">R275*E275</f>
        <v>0</v>
      </c>
    </row>
    <row r="276" customFormat="false" ht="12" hidden="false" customHeight="true" outlineLevel="0" collapsed="false">
      <c r="A276" s="138" t="n">
        <f aca="false">EDATE(A275,1)</f>
        <v>45078</v>
      </c>
      <c r="B276" s="139" t="n">
        <f aca="false">VLOOKUP($A276,Table2,MATCH(I$3,Curves2,0))</f>
        <v>0</v>
      </c>
      <c r="C276" s="140"/>
      <c r="D276" s="141" t="n">
        <f aca="false">B276+C276</f>
        <v>0</v>
      </c>
      <c r="E276" s="126" t="n">
        <f aca="false">IF(Y276=0,0,IF(AND(Y276=1,$H$3=1),D276*T276,IF($H$3=2,D276,"N/A")))</f>
        <v>0</v>
      </c>
      <c r="F276" s="126" t="n">
        <f aca="false">E276*X276</f>
        <v>0</v>
      </c>
      <c r="G276" s="142" t="n">
        <f aca="false">VLOOKUP($A276,Table,MATCH(G$4,Curves,0))</f>
        <v>3.987</v>
      </c>
      <c r="H276" s="143" t="n">
        <f aca="false">G276</f>
        <v>3.987</v>
      </c>
      <c r="I276" s="142" t="n">
        <f aca="false">VLOOKUP($A276,Table1,MATCH(I$3,Curves1,0))</f>
        <v>0</v>
      </c>
      <c r="J276" s="142" t="n">
        <f aca="false">VLOOKUP($A276,Table,MATCH(J$4,Curves,0))</f>
        <v>-0.061</v>
      </c>
      <c r="K276" s="143" t="n">
        <f aca="false">J276</f>
        <v>-0.061</v>
      </c>
      <c r="L276" s="144" t="n">
        <v>0</v>
      </c>
      <c r="M276" s="142" t="n">
        <f aca="false">VLOOKUP($A276,Table,MATCH(M$4,Curves,0))</f>
        <v>0.005</v>
      </c>
      <c r="N276" s="143" t="n">
        <f aca="false">M276</f>
        <v>0.005</v>
      </c>
      <c r="O276" s="144" t="n">
        <v>0</v>
      </c>
      <c r="P276" s="145"/>
      <c r="Q276" s="144" t="n">
        <f aca="false">M276+J276+G276</f>
        <v>3.931</v>
      </c>
      <c r="R276" s="144" t="n">
        <f aca="false">O276+L276+I276</f>
        <v>0</v>
      </c>
      <c r="S276" s="145"/>
      <c r="T276" s="71" t="n">
        <f aca="false">A277-A276</f>
        <v>30</v>
      </c>
      <c r="U276" s="146" t="n">
        <f aca="false">CHOOSE(F$3,A277+24,A276)</f>
        <v>45132</v>
      </c>
      <c r="V276" s="71" t="n">
        <f aca="false">U276-C$3</f>
        <v>8244</v>
      </c>
      <c r="W276" s="142" t="n">
        <f aca="false">VLOOKUP($A276,Table,MATCH(W$4,Curves,0))</f>
        <v>0.058966861357273</v>
      </c>
      <c r="X276" s="147" t="n">
        <f aca="false">1/(1+CHOOSE(F$3,(W277+($K$3/10000))/2,(W276+($K$3/10000))/2))^(2*V276/365.25)</f>
        <v>0.269364767680073</v>
      </c>
      <c r="Y276" s="71" t="n">
        <f aca="false">IF(AND(mthbeg&lt;=A276,mthend&gt;=A276),1,0)</f>
        <v>0</v>
      </c>
      <c r="Z276" s="71" t="n">
        <f aca="false">T276*Y276</f>
        <v>0</v>
      </c>
      <c r="AB276" s="132" t="n">
        <f aca="false">F276*G276</f>
        <v>0</v>
      </c>
      <c r="AC276" s="132" t="n">
        <f aca="false">$F276*H276</f>
        <v>0</v>
      </c>
      <c r="AD276" s="132" t="n">
        <f aca="false">$F276*I276</f>
        <v>0</v>
      </c>
      <c r="AE276" s="132" t="n">
        <f aca="false">$F276*J276</f>
        <v>-0</v>
      </c>
      <c r="AF276" s="132" t="n">
        <f aca="false">$F276*K276</f>
        <v>-0</v>
      </c>
      <c r="AG276" s="132" t="n">
        <f aca="false">$F276*L276</f>
        <v>0</v>
      </c>
      <c r="AH276" s="132" t="n">
        <f aca="false">$F276*M276</f>
        <v>0</v>
      </c>
      <c r="AI276" s="132" t="n">
        <f aca="false">$F276*N276</f>
        <v>0</v>
      </c>
      <c r="AJ276" s="132" t="n">
        <f aca="false">F276*O276</f>
        <v>0</v>
      </c>
      <c r="AK276" s="137"/>
      <c r="AL276" s="132" t="n">
        <f aca="false">CHOOSE($G$3,AC276-AD276,AD276-AC276)</f>
        <v>0</v>
      </c>
      <c r="AM276" s="132" t="n">
        <f aca="false">CHOOSE($G$3,AF276-AG276,AG276-AF276)</f>
        <v>0</v>
      </c>
      <c r="AN276" s="132" t="n">
        <f aca="false">CHOOSE($G$3,AI276-AJ276,AJ276-AI276)</f>
        <v>0</v>
      </c>
      <c r="AO276" s="148" t="n">
        <f aca="false">SUM(AL276:AN276)</f>
        <v>0</v>
      </c>
      <c r="AQ276" s="132" t="n">
        <f aca="false">CHOOSE($G$3,AB276-AC276,AC276-AB276)</f>
        <v>0</v>
      </c>
      <c r="AR276" s="132" t="n">
        <f aca="false">CHOOSE($G$3,AE276-AF276,AF276-AE276)</f>
        <v>0</v>
      </c>
      <c r="AS276" s="132" t="n">
        <f aca="false">CHOOSE($G$3,AH276-AI276,AI276-AH276)</f>
        <v>0</v>
      </c>
      <c r="AT276" s="148" t="n">
        <f aca="false">AQ276+AR276+AS276</f>
        <v>0</v>
      </c>
      <c r="AU276" s="148"/>
      <c r="AV276" s="133" t="n">
        <f aca="false">AT276+AO276</f>
        <v>0</v>
      </c>
      <c r="AX276" s="133" t="n">
        <f aca="false">AJ276+AG276+AD276</f>
        <v>0</v>
      </c>
      <c r="AY276" s="149"/>
      <c r="AZ276" s="76" t="n">
        <f aca="false">R276*E276</f>
        <v>0</v>
      </c>
    </row>
    <row r="277" customFormat="false" ht="12" hidden="false" customHeight="true" outlineLevel="0" collapsed="false">
      <c r="A277" s="138" t="n">
        <f aca="false">EDATE(A276,1)</f>
        <v>45108</v>
      </c>
      <c r="B277" s="139" t="n">
        <f aca="false">VLOOKUP($A277,Table2,MATCH(I$3,Curves2,0))</f>
        <v>0</v>
      </c>
      <c r="C277" s="140"/>
      <c r="D277" s="141" t="n">
        <f aca="false">B277+C277</f>
        <v>0</v>
      </c>
      <c r="E277" s="126" t="n">
        <f aca="false">IF(Y277=0,0,IF(AND(Y277=1,$H$3=1),D277*T277,IF($H$3=2,D277,"N/A")))</f>
        <v>0</v>
      </c>
      <c r="F277" s="126" t="n">
        <f aca="false">E277*X277</f>
        <v>0</v>
      </c>
      <c r="G277" s="142" t="n">
        <f aca="false">VLOOKUP($A277,Table,MATCH(G$4,Curves,0))</f>
        <v>3.987</v>
      </c>
      <c r="H277" s="143" t="n">
        <f aca="false">G277</f>
        <v>3.987</v>
      </c>
      <c r="I277" s="142" t="n">
        <f aca="false">VLOOKUP($A277,Table1,MATCH(I$3,Curves1,0))</f>
        <v>0</v>
      </c>
      <c r="J277" s="142" t="n">
        <f aca="false">VLOOKUP($A277,Table,MATCH(J$4,Curves,0))</f>
        <v>-0.061</v>
      </c>
      <c r="K277" s="143" t="n">
        <f aca="false">J277</f>
        <v>-0.061</v>
      </c>
      <c r="L277" s="144" t="n">
        <v>0</v>
      </c>
      <c r="M277" s="142" t="n">
        <f aca="false">VLOOKUP($A277,Table,MATCH(M$4,Curves,0))</f>
        <v>0.005</v>
      </c>
      <c r="N277" s="143" t="n">
        <f aca="false">M277</f>
        <v>0.005</v>
      </c>
      <c r="O277" s="144" t="n">
        <v>0</v>
      </c>
      <c r="P277" s="145"/>
      <c r="Q277" s="144" t="n">
        <f aca="false">M277+J277+G277</f>
        <v>3.931</v>
      </c>
      <c r="R277" s="144" t="n">
        <f aca="false">O277+L277+I277</f>
        <v>0</v>
      </c>
      <c r="S277" s="145"/>
      <c r="T277" s="71" t="n">
        <f aca="false">A278-A277</f>
        <v>31</v>
      </c>
      <c r="U277" s="146" t="n">
        <f aca="false">CHOOSE(F$3,A278+24,A277)</f>
        <v>45163</v>
      </c>
      <c r="V277" s="71" t="n">
        <f aca="false">U277-C$3</f>
        <v>8275</v>
      </c>
      <c r="W277" s="142" t="n">
        <f aca="false">VLOOKUP($A277,Table,MATCH(W$4,Curves,0))</f>
        <v>0.058966861357273</v>
      </c>
      <c r="X277" s="147" t="n">
        <f aca="false">1/(1+CHOOSE(F$3,(W278+($K$3/10000))/2,(W277+($K$3/10000))/2))^(2*V277/365.25)</f>
        <v>0.268039435615552</v>
      </c>
      <c r="Y277" s="71" t="n">
        <f aca="false">IF(AND(mthbeg&lt;=A277,mthend&gt;=A277),1,0)</f>
        <v>0</v>
      </c>
      <c r="Z277" s="71" t="n">
        <f aca="false">T277*Y277</f>
        <v>0</v>
      </c>
      <c r="AB277" s="132" t="n">
        <f aca="false">F277*G277</f>
        <v>0</v>
      </c>
      <c r="AC277" s="132" t="n">
        <f aca="false">$F277*H277</f>
        <v>0</v>
      </c>
      <c r="AD277" s="132" t="n">
        <f aca="false">$F277*I277</f>
        <v>0</v>
      </c>
      <c r="AE277" s="132" t="n">
        <f aca="false">$F277*J277</f>
        <v>-0</v>
      </c>
      <c r="AF277" s="132" t="n">
        <f aca="false">$F277*K277</f>
        <v>-0</v>
      </c>
      <c r="AG277" s="132" t="n">
        <f aca="false">$F277*L277</f>
        <v>0</v>
      </c>
      <c r="AH277" s="132" t="n">
        <f aca="false">$F277*M277</f>
        <v>0</v>
      </c>
      <c r="AI277" s="132" t="n">
        <f aca="false">$F277*N277</f>
        <v>0</v>
      </c>
      <c r="AJ277" s="132" t="n">
        <f aca="false">F277*O277</f>
        <v>0</v>
      </c>
      <c r="AK277" s="137"/>
      <c r="AL277" s="132" t="n">
        <f aca="false">CHOOSE($G$3,AC277-AD277,AD277-AC277)</f>
        <v>0</v>
      </c>
      <c r="AM277" s="132" t="n">
        <f aca="false">CHOOSE($G$3,AF277-AG277,AG277-AF277)</f>
        <v>0</v>
      </c>
      <c r="AN277" s="132" t="n">
        <f aca="false">CHOOSE($G$3,AI277-AJ277,AJ277-AI277)</f>
        <v>0</v>
      </c>
      <c r="AO277" s="148" t="n">
        <f aca="false">SUM(AL277:AN277)</f>
        <v>0</v>
      </c>
      <c r="AQ277" s="132" t="n">
        <f aca="false">CHOOSE($G$3,AB277-AC277,AC277-AB277)</f>
        <v>0</v>
      </c>
      <c r="AR277" s="132" t="n">
        <f aca="false">CHOOSE($G$3,AE277-AF277,AF277-AE277)</f>
        <v>0</v>
      </c>
      <c r="AS277" s="132" t="n">
        <f aca="false">CHOOSE($G$3,AH277-AI277,AI277-AH277)</f>
        <v>0</v>
      </c>
      <c r="AT277" s="148" t="n">
        <f aca="false">AQ277+AR277+AS277</f>
        <v>0</v>
      </c>
      <c r="AU277" s="148"/>
      <c r="AV277" s="133" t="n">
        <f aca="false">AT277+AO277</f>
        <v>0</v>
      </c>
      <c r="AX277" s="133" t="n">
        <f aca="false">AJ277+AG277+AD277</f>
        <v>0</v>
      </c>
      <c r="AY277" s="149"/>
      <c r="AZ277" s="76" t="n">
        <f aca="false">R277*E277</f>
        <v>0</v>
      </c>
    </row>
    <row r="278" customFormat="false" ht="12" hidden="false" customHeight="true" outlineLevel="0" collapsed="false">
      <c r="A278" s="138" t="n">
        <f aca="false">EDATE(A277,1)</f>
        <v>45139</v>
      </c>
      <c r="B278" s="139" t="n">
        <f aca="false">VLOOKUP($A278,Table2,MATCH(I$3,Curves2,0))</f>
        <v>0</v>
      </c>
      <c r="C278" s="140"/>
      <c r="D278" s="141" t="n">
        <f aca="false">B278+C278</f>
        <v>0</v>
      </c>
      <c r="E278" s="126" t="n">
        <f aca="false">IF(Y278=0,0,IF(AND(Y278=1,$H$3=1),D278*T278,IF($H$3=2,D278,"N/A")))</f>
        <v>0</v>
      </c>
      <c r="F278" s="126" t="n">
        <f aca="false">E278*X278</f>
        <v>0</v>
      </c>
      <c r="G278" s="142" t="n">
        <f aca="false">VLOOKUP($A278,Table,MATCH(G$4,Curves,0))</f>
        <v>3.987</v>
      </c>
      <c r="H278" s="143" t="n">
        <f aca="false">G278</f>
        <v>3.987</v>
      </c>
      <c r="I278" s="142" t="n">
        <f aca="false">VLOOKUP($A278,Table1,MATCH(I$3,Curves1,0))</f>
        <v>0</v>
      </c>
      <c r="J278" s="142" t="n">
        <f aca="false">VLOOKUP($A278,Table,MATCH(J$4,Curves,0))</f>
        <v>-0.061</v>
      </c>
      <c r="K278" s="143" t="n">
        <f aca="false">J278</f>
        <v>-0.061</v>
      </c>
      <c r="L278" s="144" t="n">
        <v>0</v>
      </c>
      <c r="M278" s="142" t="n">
        <f aca="false">VLOOKUP($A278,Table,MATCH(M$4,Curves,0))</f>
        <v>0.005</v>
      </c>
      <c r="N278" s="143" t="n">
        <f aca="false">M278</f>
        <v>0.005</v>
      </c>
      <c r="O278" s="144" t="n">
        <v>0</v>
      </c>
      <c r="P278" s="145"/>
      <c r="Q278" s="144" t="n">
        <f aca="false">M278+J278+G278</f>
        <v>3.931</v>
      </c>
      <c r="R278" s="144" t="n">
        <f aca="false">O278+L278+I278</f>
        <v>0</v>
      </c>
      <c r="S278" s="145"/>
      <c r="T278" s="71" t="n">
        <f aca="false">A279-A278</f>
        <v>31</v>
      </c>
      <c r="U278" s="146" t="n">
        <f aca="false">CHOOSE(F$3,A279+24,A278)</f>
        <v>45194</v>
      </c>
      <c r="V278" s="71" t="n">
        <f aca="false">U278-C$3</f>
        <v>8306</v>
      </c>
      <c r="W278" s="142" t="n">
        <f aca="false">VLOOKUP($A278,Table,MATCH(W$4,Curves,0))</f>
        <v>0.058966861357273</v>
      </c>
      <c r="X278" s="147" t="n">
        <f aca="false">1/(1+CHOOSE(F$3,(W279+($K$3/10000))/2,(W278+($K$3/10000))/2))^(2*V278/365.25)</f>
        <v>0.266720624467246</v>
      </c>
      <c r="Y278" s="71" t="n">
        <f aca="false">IF(AND(mthbeg&lt;=A278,mthend&gt;=A278),1,0)</f>
        <v>0</v>
      </c>
      <c r="Z278" s="71" t="n">
        <f aca="false">T278*Y278</f>
        <v>0</v>
      </c>
      <c r="AB278" s="132" t="n">
        <f aca="false">F278*G278</f>
        <v>0</v>
      </c>
      <c r="AC278" s="132" t="n">
        <f aca="false">$F278*H278</f>
        <v>0</v>
      </c>
      <c r="AD278" s="132" t="n">
        <f aca="false">$F278*I278</f>
        <v>0</v>
      </c>
      <c r="AE278" s="132" t="n">
        <f aca="false">$F278*J278</f>
        <v>-0</v>
      </c>
      <c r="AF278" s="132" t="n">
        <f aca="false">$F278*K278</f>
        <v>-0</v>
      </c>
      <c r="AG278" s="132" t="n">
        <f aca="false">$F278*L278</f>
        <v>0</v>
      </c>
      <c r="AH278" s="132" t="n">
        <f aca="false">$F278*M278</f>
        <v>0</v>
      </c>
      <c r="AI278" s="132" t="n">
        <f aca="false">$F278*N278</f>
        <v>0</v>
      </c>
      <c r="AJ278" s="132" t="n">
        <f aca="false">F278*O278</f>
        <v>0</v>
      </c>
      <c r="AK278" s="137"/>
      <c r="AL278" s="132" t="n">
        <f aca="false">CHOOSE($G$3,AC278-AD278,AD278-AC278)</f>
        <v>0</v>
      </c>
      <c r="AM278" s="132" t="n">
        <f aca="false">CHOOSE($G$3,AF278-AG278,AG278-AF278)</f>
        <v>0</v>
      </c>
      <c r="AN278" s="132" t="n">
        <f aca="false">CHOOSE($G$3,AI278-AJ278,AJ278-AI278)</f>
        <v>0</v>
      </c>
      <c r="AO278" s="148" t="n">
        <f aca="false">SUM(AL278:AN278)</f>
        <v>0</v>
      </c>
      <c r="AQ278" s="132" t="n">
        <f aca="false">CHOOSE($G$3,AB278-AC278,AC278-AB278)</f>
        <v>0</v>
      </c>
      <c r="AR278" s="132" t="n">
        <f aca="false">CHOOSE($G$3,AE278-AF278,AF278-AE278)</f>
        <v>0</v>
      </c>
      <c r="AS278" s="132" t="n">
        <f aca="false">CHOOSE($G$3,AH278-AI278,AI278-AH278)</f>
        <v>0</v>
      </c>
      <c r="AT278" s="148" t="n">
        <f aca="false">AQ278+AR278+AS278</f>
        <v>0</v>
      </c>
      <c r="AU278" s="148"/>
      <c r="AV278" s="133" t="n">
        <f aca="false">AT278+AO278</f>
        <v>0</v>
      </c>
      <c r="AX278" s="133" t="n">
        <f aca="false">AJ278+AG278+AD278</f>
        <v>0</v>
      </c>
      <c r="AY278" s="149"/>
      <c r="AZ278" s="76" t="n">
        <f aca="false">R278*E278</f>
        <v>0</v>
      </c>
    </row>
    <row r="279" customFormat="false" ht="12" hidden="false" customHeight="true" outlineLevel="0" collapsed="false">
      <c r="A279" s="138" t="n">
        <f aca="false">EDATE(A278,1)</f>
        <v>45170</v>
      </c>
      <c r="B279" s="139" t="n">
        <f aca="false">VLOOKUP($A279,Table2,MATCH(I$3,Curves2,0))</f>
        <v>0</v>
      </c>
      <c r="C279" s="140"/>
      <c r="D279" s="141" t="n">
        <f aca="false">B279+C279</f>
        <v>0</v>
      </c>
      <c r="E279" s="126" t="n">
        <f aca="false">IF(Y279=0,0,IF(AND(Y279=1,$H$3=1),D279*T279,IF($H$3=2,D279,"N/A")))</f>
        <v>0</v>
      </c>
      <c r="F279" s="126" t="n">
        <f aca="false">E279*X279</f>
        <v>0</v>
      </c>
      <c r="G279" s="142" t="n">
        <f aca="false">VLOOKUP($A279,Table,MATCH(G$4,Curves,0))</f>
        <v>3.987</v>
      </c>
      <c r="H279" s="143" t="n">
        <f aca="false">G279</f>
        <v>3.987</v>
      </c>
      <c r="I279" s="142" t="n">
        <f aca="false">VLOOKUP($A279,Table1,MATCH(I$3,Curves1,0))</f>
        <v>0</v>
      </c>
      <c r="J279" s="142" t="n">
        <f aca="false">VLOOKUP($A279,Table,MATCH(J$4,Curves,0))</f>
        <v>-0.061</v>
      </c>
      <c r="K279" s="143" t="n">
        <f aca="false">J279</f>
        <v>-0.061</v>
      </c>
      <c r="L279" s="144" t="n">
        <v>0</v>
      </c>
      <c r="M279" s="142" t="n">
        <f aca="false">VLOOKUP($A279,Table,MATCH(M$4,Curves,0))</f>
        <v>0.005</v>
      </c>
      <c r="N279" s="143" t="n">
        <f aca="false">M279</f>
        <v>0.005</v>
      </c>
      <c r="O279" s="144" t="n">
        <v>0</v>
      </c>
      <c r="P279" s="145"/>
      <c r="Q279" s="144" t="n">
        <f aca="false">M279+J279+G279</f>
        <v>3.931</v>
      </c>
      <c r="R279" s="144" t="n">
        <f aca="false">O279+L279+I279</f>
        <v>0</v>
      </c>
      <c r="S279" s="145"/>
      <c r="T279" s="71" t="n">
        <f aca="false">A280-A279</f>
        <v>30</v>
      </c>
      <c r="U279" s="146" t="n">
        <f aca="false">CHOOSE(F$3,A280+24,A279)</f>
        <v>45224</v>
      </c>
      <c r="V279" s="71" t="n">
        <f aca="false">U279-C$3</f>
        <v>8336</v>
      </c>
      <c r="W279" s="142" t="n">
        <f aca="false">VLOOKUP($A279,Table,MATCH(W$4,Curves,0))</f>
        <v>0.058966861357273</v>
      </c>
      <c r="X279" s="147" t="n">
        <f aca="false">1/(1+CHOOSE(F$3,(W280+($K$3/10000))/2,(W279+($K$3/10000))/2))^(2*V279/365.25)</f>
        <v>0.265450534173588</v>
      </c>
      <c r="Y279" s="71" t="n">
        <f aca="false">IF(AND(mthbeg&lt;=A279,mthend&gt;=A279),1,0)</f>
        <v>0</v>
      </c>
      <c r="Z279" s="71" t="n">
        <f aca="false">T279*Y279</f>
        <v>0</v>
      </c>
      <c r="AB279" s="132" t="n">
        <f aca="false">F279*G279</f>
        <v>0</v>
      </c>
      <c r="AC279" s="132" t="n">
        <f aca="false">$F279*H279</f>
        <v>0</v>
      </c>
      <c r="AD279" s="132" t="n">
        <f aca="false">$F279*I279</f>
        <v>0</v>
      </c>
      <c r="AE279" s="132" t="n">
        <f aca="false">$F279*J279</f>
        <v>-0</v>
      </c>
      <c r="AF279" s="132" t="n">
        <f aca="false">$F279*K279</f>
        <v>-0</v>
      </c>
      <c r="AG279" s="132" t="n">
        <f aca="false">$F279*L279</f>
        <v>0</v>
      </c>
      <c r="AH279" s="132" t="n">
        <f aca="false">$F279*M279</f>
        <v>0</v>
      </c>
      <c r="AI279" s="132" t="n">
        <f aca="false">$F279*N279</f>
        <v>0</v>
      </c>
      <c r="AJ279" s="132" t="n">
        <f aca="false">F279*O279</f>
        <v>0</v>
      </c>
      <c r="AK279" s="137"/>
      <c r="AL279" s="132" t="n">
        <f aca="false">CHOOSE($G$3,AC279-AD279,AD279-AC279)</f>
        <v>0</v>
      </c>
      <c r="AM279" s="132" t="n">
        <f aca="false">CHOOSE($G$3,AF279-AG279,AG279-AF279)</f>
        <v>0</v>
      </c>
      <c r="AN279" s="132" t="n">
        <f aca="false">CHOOSE($G$3,AI279-AJ279,AJ279-AI279)</f>
        <v>0</v>
      </c>
      <c r="AO279" s="148" t="n">
        <f aca="false">SUM(AL279:AN279)</f>
        <v>0</v>
      </c>
      <c r="AQ279" s="132" t="n">
        <f aca="false">CHOOSE($G$3,AB279-AC279,AC279-AB279)</f>
        <v>0</v>
      </c>
      <c r="AR279" s="132" t="n">
        <f aca="false">CHOOSE($G$3,AE279-AF279,AF279-AE279)</f>
        <v>0</v>
      </c>
      <c r="AS279" s="132" t="n">
        <f aca="false">CHOOSE($G$3,AH279-AI279,AI279-AH279)</f>
        <v>0</v>
      </c>
      <c r="AT279" s="148" t="n">
        <f aca="false">AQ279+AR279+AS279</f>
        <v>0</v>
      </c>
      <c r="AU279" s="148"/>
      <c r="AV279" s="133" t="n">
        <f aca="false">AT279+AO279</f>
        <v>0</v>
      </c>
      <c r="AX279" s="133" t="n">
        <f aca="false">AJ279+AG279+AD279</f>
        <v>0</v>
      </c>
      <c r="AY279" s="149"/>
      <c r="AZ279" s="76" t="n">
        <f aca="false">R279*E279</f>
        <v>0</v>
      </c>
    </row>
    <row r="280" customFormat="false" ht="12" hidden="false" customHeight="true" outlineLevel="0" collapsed="false">
      <c r="A280" s="138" t="n">
        <f aca="false">EDATE(A279,1)</f>
        <v>45200</v>
      </c>
      <c r="B280" s="139" t="n">
        <f aca="false">VLOOKUP($A280,Table2,MATCH(I$3,Curves2,0))</f>
        <v>0</v>
      </c>
      <c r="C280" s="140"/>
      <c r="D280" s="141" t="n">
        <f aca="false">B280+C280</f>
        <v>0</v>
      </c>
      <c r="E280" s="126" t="n">
        <f aca="false">IF(Y280=0,0,IF(AND(Y280=1,$H$3=1),D280*T280,IF($H$3=2,D280,"N/A")))</f>
        <v>0</v>
      </c>
      <c r="F280" s="126" t="n">
        <f aca="false">E280*X280</f>
        <v>0</v>
      </c>
      <c r="G280" s="142" t="n">
        <f aca="false">VLOOKUP($A280,Table,MATCH(G$4,Curves,0))</f>
        <v>3.987</v>
      </c>
      <c r="H280" s="143" t="n">
        <f aca="false">G280</f>
        <v>3.987</v>
      </c>
      <c r="I280" s="142" t="n">
        <f aca="false">VLOOKUP($A280,Table1,MATCH(I$3,Curves1,0))</f>
        <v>0</v>
      </c>
      <c r="J280" s="142" t="n">
        <f aca="false">VLOOKUP($A280,Table,MATCH(J$4,Curves,0))</f>
        <v>-0.061</v>
      </c>
      <c r="K280" s="143" t="n">
        <f aca="false">J280</f>
        <v>-0.061</v>
      </c>
      <c r="L280" s="144" t="n">
        <v>0</v>
      </c>
      <c r="M280" s="142" t="n">
        <f aca="false">VLOOKUP($A280,Table,MATCH(M$4,Curves,0))</f>
        <v>0.005</v>
      </c>
      <c r="N280" s="143" t="n">
        <f aca="false">M280</f>
        <v>0.005</v>
      </c>
      <c r="O280" s="144" t="n">
        <v>0</v>
      </c>
      <c r="P280" s="145"/>
      <c r="Q280" s="144" t="n">
        <f aca="false">M280+J280+G280</f>
        <v>3.931</v>
      </c>
      <c r="R280" s="144" t="n">
        <f aca="false">O280+L280+I280</f>
        <v>0</v>
      </c>
      <c r="S280" s="145"/>
      <c r="T280" s="71" t="n">
        <f aca="false">A281-A280</f>
        <v>31</v>
      </c>
      <c r="U280" s="146" t="n">
        <f aca="false">CHOOSE(F$3,A281+24,A280)</f>
        <v>45255</v>
      </c>
      <c r="V280" s="71" t="n">
        <f aca="false">U280-C$3</f>
        <v>8367</v>
      </c>
      <c r="W280" s="142" t="n">
        <f aca="false">VLOOKUP($A280,Table,MATCH(W$4,Curves,0))</f>
        <v>0.058966861357273</v>
      </c>
      <c r="X280" s="147" t="n">
        <f aca="false">1/(1+CHOOSE(F$3,(W281+($K$3/10000))/2,(W280+($K$3/10000))/2))^(2*V280/365.25)</f>
        <v>0.264144460972127</v>
      </c>
      <c r="Y280" s="71" t="n">
        <f aca="false">IF(AND(mthbeg&lt;=A280,mthend&gt;=A280),1,0)</f>
        <v>0</v>
      </c>
      <c r="Z280" s="71" t="n">
        <f aca="false">T280*Y280</f>
        <v>0</v>
      </c>
      <c r="AB280" s="132" t="n">
        <f aca="false">F280*G280</f>
        <v>0</v>
      </c>
      <c r="AC280" s="132" t="n">
        <f aca="false">$F280*H280</f>
        <v>0</v>
      </c>
      <c r="AD280" s="132" t="n">
        <f aca="false">$F280*I280</f>
        <v>0</v>
      </c>
      <c r="AE280" s="132" t="n">
        <f aca="false">$F280*J280</f>
        <v>-0</v>
      </c>
      <c r="AF280" s="132" t="n">
        <f aca="false">$F280*K280</f>
        <v>-0</v>
      </c>
      <c r="AG280" s="132" t="n">
        <f aca="false">$F280*L280</f>
        <v>0</v>
      </c>
      <c r="AH280" s="132" t="n">
        <f aca="false">$F280*M280</f>
        <v>0</v>
      </c>
      <c r="AI280" s="132" t="n">
        <f aca="false">$F280*N280</f>
        <v>0</v>
      </c>
      <c r="AJ280" s="132" t="n">
        <f aca="false">F280*O280</f>
        <v>0</v>
      </c>
      <c r="AK280" s="137"/>
      <c r="AL280" s="132" t="n">
        <f aca="false">CHOOSE($G$3,AC280-AD280,AD280-AC280)</f>
        <v>0</v>
      </c>
      <c r="AM280" s="132" t="n">
        <f aca="false">CHOOSE($G$3,AF280-AG280,AG280-AF280)</f>
        <v>0</v>
      </c>
      <c r="AN280" s="132" t="n">
        <f aca="false">CHOOSE($G$3,AI280-AJ280,AJ280-AI280)</f>
        <v>0</v>
      </c>
      <c r="AO280" s="148" t="n">
        <f aca="false">SUM(AL280:AN280)</f>
        <v>0</v>
      </c>
      <c r="AQ280" s="132" t="n">
        <f aca="false">CHOOSE($G$3,AB280-AC280,AC280-AB280)</f>
        <v>0</v>
      </c>
      <c r="AR280" s="132" t="n">
        <f aca="false">CHOOSE($G$3,AE280-AF280,AF280-AE280)</f>
        <v>0</v>
      </c>
      <c r="AS280" s="132" t="n">
        <f aca="false">CHOOSE($G$3,AH280-AI280,AI280-AH280)</f>
        <v>0</v>
      </c>
      <c r="AT280" s="148" t="n">
        <f aca="false">AQ280+AR280+AS280</f>
        <v>0</v>
      </c>
      <c r="AU280" s="148"/>
      <c r="AV280" s="133" t="n">
        <f aca="false">AT280+AO280</f>
        <v>0</v>
      </c>
      <c r="AX280" s="133" t="n">
        <f aca="false">AJ280+AG280+AD280</f>
        <v>0</v>
      </c>
      <c r="AY280" s="149"/>
      <c r="AZ280" s="76" t="n">
        <f aca="false">R280*E280</f>
        <v>0</v>
      </c>
    </row>
    <row r="281" customFormat="false" ht="12" hidden="false" customHeight="true" outlineLevel="0" collapsed="false">
      <c r="A281" s="138" t="n">
        <f aca="false">EDATE(A280,1)</f>
        <v>45231</v>
      </c>
      <c r="B281" s="139" t="n">
        <f aca="false">VLOOKUP($A281,Table2,MATCH(I$3,Curves2,0))</f>
        <v>0</v>
      </c>
      <c r="C281" s="140"/>
      <c r="D281" s="141" t="n">
        <f aca="false">B281+C281</f>
        <v>0</v>
      </c>
      <c r="E281" s="126" t="n">
        <f aca="false">IF(Y281=0,0,IF(AND(Y281=1,$H$3=1),D281*T281,IF($H$3=2,D281,"N/A")))</f>
        <v>0</v>
      </c>
      <c r="F281" s="126" t="n">
        <f aca="false">E281*X281</f>
        <v>0</v>
      </c>
      <c r="G281" s="142" t="n">
        <f aca="false">VLOOKUP($A281,Table,MATCH(G$4,Curves,0))</f>
        <v>3.987</v>
      </c>
      <c r="H281" s="143" t="n">
        <f aca="false">G281</f>
        <v>3.987</v>
      </c>
      <c r="I281" s="142" t="n">
        <f aca="false">VLOOKUP($A281,Table1,MATCH(I$3,Curves1,0))</f>
        <v>0</v>
      </c>
      <c r="J281" s="142" t="n">
        <f aca="false">VLOOKUP($A281,Table,MATCH(J$4,Curves,0))</f>
        <v>-0.061</v>
      </c>
      <c r="K281" s="143" t="n">
        <f aca="false">J281</f>
        <v>-0.061</v>
      </c>
      <c r="L281" s="144" t="n">
        <v>0</v>
      </c>
      <c r="M281" s="142" t="n">
        <f aca="false">VLOOKUP($A281,Table,MATCH(M$4,Curves,0))</f>
        <v>0.005</v>
      </c>
      <c r="N281" s="143" t="n">
        <f aca="false">M281</f>
        <v>0.005</v>
      </c>
      <c r="O281" s="144" t="n">
        <v>0</v>
      </c>
      <c r="P281" s="145"/>
      <c r="Q281" s="144" t="n">
        <f aca="false">M281+J281+G281</f>
        <v>3.931</v>
      </c>
      <c r="R281" s="144" t="n">
        <f aca="false">O281+L281+I281</f>
        <v>0</v>
      </c>
      <c r="S281" s="145"/>
      <c r="T281" s="71" t="n">
        <f aca="false">A282-A281</f>
        <v>30</v>
      </c>
      <c r="U281" s="146" t="n">
        <f aca="false">CHOOSE(F$3,A282+24,A281)</f>
        <v>45285</v>
      </c>
      <c r="V281" s="71" t="n">
        <f aca="false">U281-C$3</f>
        <v>8397</v>
      </c>
      <c r="W281" s="142" t="n">
        <f aca="false">VLOOKUP($A281,Table,MATCH(W$4,Curves,0))</f>
        <v>0.058966861357273</v>
      </c>
      <c r="X281" s="147" t="n">
        <f aca="false">1/(1+CHOOSE(F$3,(W282+($K$3/10000))/2,(W281+($K$3/10000))/2))^(2*V281/365.25)</f>
        <v>0.262886638047206</v>
      </c>
      <c r="Y281" s="71" t="n">
        <f aca="false">IF(AND(mthbeg&lt;=A281,mthend&gt;=A281),1,0)</f>
        <v>0</v>
      </c>
      <c r="Z281" s="71" t="n">
        <f aca="false">T281*Y281</f>
        <v>0</v>
      </c>
      <c r="AB281" s="132" t="n">
        <f aca="false">F281*G281</f>
        <v>0</v>
      </c>
      <c r="AC281" s="132" t="n">
        <f aca="false">$F281*H281</f>
        <v>0</v>
      </c>
      <c r="AD281" s="132" t="n">
        <f aca="false">$F281*I281</f>
        <v>0</v>
      </c>
      <c r="AE281" s="132" t="n">
        <f aca="false">$F281*J281</f>
        <v>-0</v>
      </c>
      <c r="AF281" s="132" t="n">
        <f aca="false">$F281*K281</f>
        <v>-0</v>
      </c>
      <c r="AG281" s="132" t="n">
        <f aca="false">$F281*L281</f>
        <v>0</v>
      </c>
      <c r="AH281" s="132" t="n">
        <f aca="false">$F281*M281</f>
        <v>0</v>
      </c>
      <c r="AI281" s="132" t="n">
        <f aca="false">$F281*N281</f>
        <v>0</v>
      </c>
      <c r="AJ281" s="132" t="n">
        <f aca="false">F281*O281</f>
        <v>0</v>
      </c>
      <c r="AK281" s="137"/>
      <c r="AL281" s="132" t="n">
        <f aca="false">CHOOSE($G$3,AC281-AD281,AD281-AC281)</f>
        <v>0</v>
      </c>
      <c r="AM281" s="132" t="n">
        <f aca="false">CHOOSE($G$3,AF281-AG281,AG281-AF281)</f>
        <v>0</v>
      </c>
      <c r="AN281" s="132" t="n">
        <f aca="false">CHOOSE($G$3,AI281-AJ281,AJ281-AI281)</f>
        <v>0</v>
      </c>
      <c r="AO281" s="148" t="n">
        <f aca="false">SUM(AL281:AN281)</f>
        <v>0</v>
      </c>
      <c r="AQ281" s="132" t="n">
        <f aca="false">CHOOSE($G$3,AB281-AC281,AC281-AB281)</f>
        <v>0</v>
      </c>
      <c r="AR281" s="132" t="n">
        <f aca="false">CHOOSE($G$3,AE281-AF281,AF281-AE281)</f>
        <v>0</v>
      </c>
      <c r="AS281" s="132" t="n">
        <f aca="false">CHOOSE($G$3,AH281-AI281,AI281-AH281)</f>
        <v>0</v>
      </c>
      <c r="AT281" s="148" t="n">
        <f aca="false">AQ281+AR281+AS281</f>
        <v>0</v>
      </c>
      <c r="AU281" s="148"/>
      <c r="AV281" s="133" t="n">
        <f aca="false">AT281+AO281</f>
        <v>0</v>
      </c>
      <c r="AX281" s="133" t="n">
        <f aca="false">AJ281+AG281+AD281</f>
        <v>0</v>
      </c>
      <c r="AY281" s="149"/>
      <c r="AZ281" s="76" t="n">
        <f aca="false">R281*E281</f>
        <v>0</v>
      </c>
    </row>
    <row r="282" customFormat="false" ht="12" hidden="false" customHeight="true" outlineLevel="0" collapsed="false">
      <c r="A282" s="138" t="n">
        <f aca="false">EDATE(A281,1)</f>
        <v>45261</v>
      </c>
      <c r="B282" s="139" t="n">
        <f aca="false">VLOOKUP($A282,Table2,MATCH(I$3,Curves2,0))</f>
        <v>0</v>
      </c>
      <c r="C282" s="140"/>
      <c r="D282" s="141" t="n">
        <f aca="false">B282+C282</f>
        <v>0</v>
      </c>
      <c r="E282" s="126" t="n">
        <f aca="false">IF(Y282=0,0,IF(AND(Y282=1,$H$3=1),D282*T282,IF($H$3=2,D282,"N/A")))</f>
        <v>0</v>
      </c>
      <c r="F282" s="126" t="n">
        <f aca="false">E282*X282</f>
        <v>0</v>
      </c>
      <c r="G282" s="142" t="n">
        <f aca="false">VLOOKUP($A282,Table,MATCH(G$4,Curves,0))</f>
        <v>3.987</v>
      </c>
      <c r="H282" s="143" t="n">
        <f aca="false">G282</f>
        <v>3.987</v>
      </c>
      <c r="I282" s="142" t="n">
        <f aca="false">VLOOKUP($A282,Table1,MATCH(I$3,Curves1,0))</f>
        <v>0</v>
      </c>
      <c r="J282" s="142" t="n">
        <f aca="false">VLOOKUP($A282,Table,MATCH(J$4,Curves,0))</f>
        <v>-0.061</v>
      </c>
      <c r="K282" s="143" t="n">
        <f aca="false">J282</f>
        <v>-0.061</v>
      </c>
      <c r="L282" s="144" t="n">
        <v>0</v>
      </c>
      <c r="M282" s="142" t="n">
        <f aca="false">VLOOKUP($A282,Table,MATCH(M$4,Curves,0))</f>
        <v>0.005</v>
      </c>
      <c r="N282" s="143" t="n">
        <f aca="false">M282</f>
        <v>0.005</v>
      </c>
      <c r="O282" s="144" t="n">
        <v>0</v>
      </c>
      <c r="P282" s="145"/>
      <c r="Q282" s="144" t="n">
        <f aca="false">M282+J282+G282</f>
        <v>3.931</v>
      </c>
      <c r="R282" s="144" t="n">
        <f aca="false">O282+L282+I282</f>
        <v>0</v>
      </c>
      <c r="S282" s="145"/>
      <c r="T282" s="71" t="n">
        <f aca="false">A283-A282</f>
        <v>31</v>
      </c>
      <c r="U282" s="146" t="n">
        <f aca="false">CHOOSE(F$3,A283+24,A282)</f>
        <v>45316</v>
      </c>
      <c r="V282" s="71" t="n">
        <f aca="false">U282-C$3</f>
        <v>8428</v>
      </c>
      <c r="W282" s="142" t="n">
        <f aca="false">VLOOKUP($A282,Table,MATCH(W$4,Curves,0))</f>
        <v>0.058966861357273</v>
      </c>
      <c r="X282" s="147" t="n">
        <f aca="false">1/(1+CHOOSE(F$3,(W283+($K$3/10000))/2,(W282+($K$3/10000))/2))^(2*V282/365.25)</f>
        <v>0.26159317976111</v>
      </c>
      <c r="Y282" s="71" t="n">
        <f aca="false">IF(AND(mthbeg&lt;=A282,mthend&gt;=A282),1,0)</f>
        <v>0</v>
      </c>
      <c r="Z282" s="71" t="n">
        <f aca="false">T282*Y282</f>
        <v>0</v>
      </c>
      <c r="AB282" s="132" t="n">
        <f aca="false">F282*G282</f>
        <v>0</v>
      </c>
      <c r="AC282" s="132" t="n">
        <f aca="false">$F282*H282</f>
        <v>0</v>
      </c>
      <c r="AD282" s="132" t="n">
        <f aca="false">$F282*I282</f>
        <v>0</v>
      </c>
      <c r="AE282" s="132" t="n">
        <f aca="false">$F282*J282</f>
        <v>-0</v>
      </c>
      <c r="AF282" s="132" t="n">
        <f aca="false">$F282*K282</f>
        <v>-0</v>
      </c>
      <c r="AG282" s="132" t="n">
        <f aca="false">$F282*L282</f>
        <v>0</v>
      </c>
      <c r="AH282" s="132" t="n">
        <f aca="false">$F282*M282</f>
        <v>0</v>
      </c>
      <c r="AI282" s="132" t="n">
        <f aca="false">$F282*N282</f>
        <v>0</v>
      </c>
      <c r="AJ282" s="132" t="n">
        <f aca="false">F282*O282</f>
        <v>0</v>
      </c>
      <c r="AK282" s="137"/>
      <c r="AL282" s="132" t="n">
        <f aca="false">CHOOSE($G$3,AC282-AD282,AD282-AC282)</f>
        <v>0</v>
      </c>
      <c r="AM282" s="132" t="n">
        <f aca="false">CHOOSE($G$3,AF282-AG282,AG282-AF282)</f>
        <v>0</v>
      </c>
      <c r="AN282" s="132" t="n">
        <f aca="false">CHOOSE($G$3,AI282-AJ282,AJ282-AI282)</f>
        <v>0</v>
      </c>
      <c r="AO282" s="148" t="n">
        <f aca="false">SUM(AL282:AN282)</f>
        <v>0</v>
      </c>
      <c r="AQ282" s="132" t="n">
        <f aca="false">CHOOSE($G$3,AB282-AC282,AC282-AB282)</f>
        <v>0</v>
      </c>
      <c r="AR282" s="132" t="n">
        <f aca="false">CHOOSE($G$3,AE282-AF282,AF282-AE282)</f>
        <v>0</v>
      </c>
      <c r="AS282" s="132" t="n">
        <f aca="false">CHOOSE($G$3,AH282-AI282,AI282-AH282)</f>
        <v>0</v>
      </c>
      <c r="AT282" s="148" t="n">
        <f aca="false">AQ282+AR282+AS282</f>
        <v>0</v>
      </c>
      <c r="AU282" s="148"/>
      <c r="AV282" s="133" t="n">
        <f aca="false">AT282+AO282</f>
        <v>0</v>
      </c>
      <c r="AX282" s="133" t="n">
        <f aca="false">AJ282+AG282+AD282</f>
        <v>0</v>
      </c>
      <c r="AY282" s="149"/>
      <c r="AZ282" s="76" t="n">
        <f aca="false">R282*E282</f>
        <v>0</v>
      </c>
    </row>
    <row r="283" customFormat="false" ht="12" hidden="false" customHeight="true" outlineLevel="0" collapsed="false">
      <c r="A283" s="138" t="n">
        <f aca="false">EDATE(A282,1)</f>
        <v>45292</v>
      </c>
      <c r="B283" s="139" t="n">
        <f aca="false">VLOOKUP($A283,Table2,MATCH(I$3,Curves2,0))</f>
        <v>0</v>
      </c>
      <c r="C283" s="140"/>
      <c r="D283" s="141" t="n">
        <f aca="false">B283+C283</f>
        <v>0</v>
      </c>
      <c r="E283" s="126" t="n">
        <f aca="false">IF(Y283=0,0,IF(AND(Y283=1,$H$3=1),D283*T283,IF($H$3=2,D283,"N/A")))</f>
        <v>0</v>
      </c>
      <c r="F283" s="126" t="n">
        <f aca="false">E283*X283</f>
        <v>0</v>
      </c>
      <c r="G283" s="142" t="n">
        <f aca="false">VLOOKUP($A283,Table,MATCH(G$4,Curves,0))</f>
        <v>3.987</v>
      </c>
      <c r="H283" s="143" t="n">
        <f aca="false">G283</f>
        <v>3.987</v>
      </c>
      <c r="I283" s="142" t="n">
        <f aca="false">VLOOKUP($A283,Table1,MATCH(I$3,Curves1,0))</f>
        <v>0</v>
      </c>
      <c r="J283" s="142" t="n">
        <f aca="false">VLOOKUP($A283,Table,MATCH(J$4,Curves,0))</f>
        <v>-0.061</v>
      </c>
      <c r="K283" s="143" t="n">
        <f aca="false">J283</f>
        <v>-0.061</v>
      </c>
      <c r="L283" s="144" t="n">
        <v>0</v>
      </c>
      <c r="M283" s="142" t="n">
        <f aca="false">VLOOKUP($A283,Table,MATCH(M$4,Curves,0))</f>
        <v>0.005</v>
      </c>
      <c r="N283" s="143" t="n">
        <f aca="false">M283</f>
        <v>0.005</v>
      </c>
      <c r="O283" s="144" t="n">
        <v>0</v>
      </c>
      <c r="P283" s="145"/>
      <c r="Q283" s="144" t="n">
        <f aca="false">M283+J283+G283</f>
        <v>3.931</v>
      </c>
      <c r="R283" s="144" t="n">
        <f aca="false">O283+L283+I283</f>
        <v>0</v>
      </c>
      <c r="S283" s="145"/>
      <c r="T283" s="71" t="n">
        <f aca="false">A284-A283</f>
        <v>31</v>
      </c>
      <c r="U283" s="146" t="n">
        <f aca="false">CHOOSE(F$3,A284+24,A283)</f>
        <v>45347</v>
      </c>
      <c r="V283" s="71" t="n">
        <f aca="false">U283-C$3</f>
        <v>8459</v>
      </c>
      <c r="W283" s="142" t="n">
        <f aca="false">VLOOKUP($A283,Table,MATCH(W$4,Curves,0))</f>
        <v>0.058966861357273</v>
      </c>
      <c r="X283" s="147" t="n">
        <f aca="false">1/(1+CHOOSE(F$3,(W284+($K$3/10000))/2,(W283+($K$3/10000))/2))^(2*V283/365.25)</f>
        <v>0.260306085565446</v>
      </c>
      <c r="Y283" s="71" t="n">
        <f aca="false">IF(AND(mthbeg&lt;=A283,mthend&gt;=A283),1,0)</f>
        <v>0</v>
      </c>
      <c r="Z283" s="71" t="n">
        <f aca="false">T283*Y283</f>
        <v>0</v>
      </c>
      <c r="AB283" s="132" t="n">
        <f aca="false">F283*G283</f>
        <v>0</v>
      </c>
      <c r="AC283" s="132" t="n">
        <f aca="false">$F283*H283</f>
        <v>0</v>
      </c>
      <c r="AD283" s="132" t="n">
        <f aca="false">$F283*I283</f>
        <v>0</v>
      </c>
      <c r="AE283" s="132" t="n">
        <f aca="false">$F283*J283</f>
        <v>-0</v>
      </c>
      <c r="AF283" s="132" t="n">
        <f aca="false">$F283*K283</f>
        <v>-0</v>
      </c>
      <c r="AG283" s="132" t="n">
        <f aca="false">$F283*L283</f>
        <v>0</v>
      </c>
      <c r="AH283" s="132" t="n">
        <f aca="false">$F283*M283</f>
        <v>0</v>
      </c>
      <c r="AI283" s="132" t="n">
        <f aca="false">$F283*N283</f>
        <v>0</v>
      </c>
      <c r="AJ283" s="132" t="n">
        <f aca="false">F283*O283</f>
        <v>0</v>
      </c>
      <c r="AK283" s="137"/>
      <c r="AL283" s="132" t="n">
        <f aca="false">CHOOSE($G$3,AC283-AD283,AD283-AC283)</f>
        <v>0</v>
      </c>
      <c r="AM283" s="132" t="n">
        <f aca="false">CHOOSE($G$3,AF283-AG283,AG283-AF283)</f>
        <v>0</v>
      </c>
      <c r="AN283" s="132" t="n">
        <f aca="false">CHOOSE($G$3,AI283-AJ283,AJ283-AI283)</f>
        <v>0</v>
      </c>
      <c r="AO283" s="148" t="n">
        <f aca="false">SUM(AL283:AN283)</f>
        <v>0</v>
      </c>
      <c r="AQ283" s="132" t="n">
        <f aca="false">CHOOSE($G$3,AB283-AC283,AC283-AB283)</f>
        <v>0</v>
      </c>
      <c r="AR283" s="132" t="n">
        <f aca="false">CHOOSE($G$3,AE283-AF283,AF283-AE283)</f>
        <v>0</v>
      </c>
      <c r="AS283" s="132" t="n">
        <f aca="false">CHOOSE($G$3,AH283-AI283,AI283-AH283)</f>
        <v>0</v>
      </c>
      <c r="AT283" s="148" t="n">
        <f aca="false">AQ283+AR283+AS283</f>
        <v>0</v>
      </c>
      <c r="AU283" s="148"/>
      <c r="AV283" s="133" t="n">
        <f aca="false">AT283+AO283</f>
        <v>0</v>
      </c>
      <c r="AX283" s="133" t="n">
        <f aca="false">AJ283+AG283+AD283</f>
        <v>0</v>
      </c>
      <c r="AY283" s="149"/>
      <c r="AZ283" s="76" t="n">
        <f aca="false">R283*E283</f>
        <v>0</v>
      </c>
    </row>
    <row r="284" customFormat="false" ht="12" hidden="false" customHeight="true" outlineLevel="0" collapsed="false">
      <c r="A284" s="138" t="n">
        <f aca="false">EDATE(A283,1)</f>
        <v>45323</v>
      </c>
      <c r="B284" s="139" t="n">
        <f aca="false">VLOOKUP($A284,Table2,MATCH(I$3,Curves2,0))</f>
        <v>0</v>
      </c>
      <c r="C284" s="140"/>
      <c r="D284" s="141" t="n">
        <f aca="false">B284+C284</f>
        <v>0</v>
      </c>
      <c r="E284" s="126" t="n">
        <f aca="false">IF(Y284=0,0,IF(AND(Y284=1,$H$3=1),D284*T284,IF($H$3=2,D284,"N/A")))</f>
        <v>0</v>
      </c>
      <c r="F284" s="126" t="n">
        <f aca="false">E284*X284</f>
        <v>0</v>
      </c>
      <c r="G284" s="142" t="n">
        <f aca="false">VLOOKUP($A284,Table,MATCH(G$4,Curves,0))</f>
        <v>3.987</v>
      </c>
      <c r="H284" s="143" t="n">
        <f aca="false">G284</f>
        <v>3.987</v>
      </c>
      <c r="I284" s="142" t="n">
        <f aca="false">VLOOKUP($A284,Table1,MATCH(I$3,Curves1,0))</f>
        <v>0</v>
      </c>
      <c r="J284" s="142" t="n">
        <f aca="false">VLOOKUP($A284,Table,MATCH(J$4,Curves,0))</f>
        <v>-0.061</v>
      </c>
      <c r="K284" s="143" t="n">
        <f aca="false">J284</f>
        <v>-0.061</v>
      </c>
      <c r="L284" s="144" t="n">
        <v>0</v>
      </c>
      <c r="M284" s="142" t="n">
        <f aca="false">VLOOKUP($A284,Table,MATCH(M$4,Curves,0))</f>
        <v>0.005</v>
      </c>
      <c r="N284" s="143" t="n">
        <f aca="false">M284</f>
        <v>0.005</v>
      </c>
      <c r="O284" s="144" t="n">
        <v>0</v>
      </c>
      <c r="P284" s="145"/>
      <c r="Q284" s="144" t="n">
        <f aca="false">M284+J284+G284</f>
        <v>3.931</v>
      </c>
      <c r="R284" s="144" t="n">
        <f aca="false">O284+L284+I284</f>
        <v>0</v>
      </c>
      <c r="S284" s="145"/>
      <c r="T284" s="71" t="n">
        <f aca="false">A285-A284</f>
        <v>29</v>
      </c>
      <c r="U284" s="146" t="n">
        <f aca="false">CHOOSE(F$3,A285+24,A284)</f>
        <v>45376</v>
      </c>
      <c r="V284" s="71" t="n">
        <f aca="false">U284-C$3</f>
        <v>8488</v>
      </c>
      <c r="W284" s="142" t="n">
        <f aca="false">VLOOKUP($A284,Table,MATCH(W$4,Curves,0))</f>
        <v>0.058966861357273</v>
      </c>
      <c r="X284" s="147" t="n">
        <f aca="false">1/(1+CHOOSE(F$3,(W285+($K$3/10000))/2,(W284+($K$3/10000))/2))^(2*V284/365.25)</f>
        <v>0.259107763420257</v>
      </c>
      <c r="Y284" s="71" t="n">
        <f aca="false">IF(AND(mthbeg&lt;=A284,mthend&gt;=A284),1,0)</f>
        <v>0</v>
      </c>
      <c r="Z284" s="71" t="n">
        <f aca="false">T284*Y284</f>
        <v>0</v>
      </c>
      <c r="AB284" s="132" t="n">
        <f aca="false">F284*G284</f>
        <v>0</v>
      </c>
      <c r="AC284" s="132" t="n">
        <f aca="false">$F284*H284</f>
        <v>0</v>
      </c>
      <c r="AD284" s="132" t="n">
        <f aca="false">$F284*I284</f>
        <v>0</v>
      </c>
      <c r="AE284" s="132" t="n">
        <f aca="false">$F284*J284</f>
        <v>-0</v>
      </c>
      <c r="AF284" s="132" t="n">
        <f aca="false">$F284*K284</f>
        <v>-0</v>
      </c>
      <c r="AG284" s="132" t="n">
        <f aca="false">$F284*L284</f>
        <v>0</v>
      </c>
      <c r="AH284" s="132" t="n">
        <f aca="false">$F284*M284</f>
        <v>0</v>
      </c>
      <c r="AI284" s="132" t="n">
        <f aca="false">$F284*N284</f>
        <v>0</v>
      </c>
      <c r="AJ284" s="132" t="n">
        <f aca="false">F284*O284</f>
        <v>0</v>
      </c>
      <c r="AK284" s="137"/>
      <c r="AL284" s="132" t="n">
        <f aca="false">CHOOSE($G$3,AC284-AD284,AD284-AC284)</f>
        <v>0</v>
      </c>
      <c r="AM284" s="132" t="n">
        <f aca="false">CHOOSE($G$3,AF284-AG284,AG284-AF284)</f>
        <v>0</v>
      </c>
      <c r="AN284" s="132" t="n">
        <f aca="false">CHOOSE($G$3,AI284-AJ284,AJ284-AI284)</f>
        <v>0</v>
      </c>
      <c r="AO284" s="148" t="n">
        <f aca="false">SUM(AL284:AN284)</f>
        <v>0</v>
      </c>
      <c r="AQ284" s="132" t="n">
        <f aca="false">CHOOSE($G$3,AB284-AC284,AC284-AB284)</f>
        <v>0</v>
      </c>
      <c r="AR284" s="132" t="n">
        <f aca="false">CHOOSE($G$3,AE284-AF284,AF284-AE284)</f>
        <v>0</v>
      </c>
      <c r="AS284" s="132" t="n">
        <f aca="false">CHOOSE($G$3,AH284-AI284,AI284-AH284)</f>
        <v>0</v>
      </c>
      <c r="AT284" s="148" t="n">
        <f aca="false">AQ284+AR284+AS284</f>
        <v>0</v>
      </c>
      <c r="AU284" s="148"/>
      <c r="AV284" s="133" t="n">
        <f aca="false">AT284+AO284</f>
        <v>0</v>
      </c>
      <c r="AX284" s="133" t="n">
        <f aca="false">AJ284+AG284+AD284</f>
        <v>0</v>
      </c>
      <c r="AY284" s="149"/>
      <c r="AZ284" s="76" t="n">
        <f aca="false">R284*E284</f>
        <v>0</v>
      </c>
    </row>
    <row r="285" customFormat="false" ht="12" hidden="false" customHeight="true" outlineLevel="0" collapsed="false">
      <c r="A285" s="138" t="n">
        <f aca="false">EDATE(A284,1)</f>
        <v>45352</v>
      </c>
      <c r="B285" s="139" t="n">
        <f aca="false">VLOOKUP($A285,Table2,MATCH(I$3,Curves2,0))</f>
        <v>0</v>
      </c>
      <c r="C285" s="140"/>
      <c r="D285" s="141" t="n">
        <f aca="false">B285+C285</f>
        <v>0</v>
      </c>
      <c r="E285" s="126" t="n">
        <f aca="false">IF(Y285=0,0,IF(AND(Y285=1,$H$3=1),D285*T285,IF($H$3=2,D285,"N/A")))</f>
        <v>0</v>
      </c>
      <c r="F285" s="126" t="n">
        <f aca="false">E285*X285</f>
        <v>0</v>
      </c>
      <c r="G285" s="142" t="n">
        <f aca="false">VLOOKUP($A285,Table,MATCH(G$4,Curves,0))</f>
        <v>3.987</v>
      </c>
      <c r="H285" s="143" t="n">
        <f aca="false">G285</f>
        <v>3.987</v>
      </c>
      <c r="I285" s="142" t="n">
        <f aca="false">VLOOKUP($A285,Table1,MATCH(I$3,Curves1,0))</f>
        <v>0</v>
      </c>
      <c r="J285" s="142" t="n">
        <f aca="false">VLOOKUP($A285,Table,MATCH(J$4,Curves,0))</f>
        <v>-0.061</v>
      </c>
      <c r="K285" s="143" t="n">
        <f aca="false">J285</f>
        <v>-0.061</v>
      </c>
      <c r="L285" s="144" t="n">
        <v>0</v>
      </c>
      <c r="M285" s="142" t="n">
        <f aca="false">VLOOKUP($A285,Table,MATCH(M$4,Curves,0))</f>
        <v>0.005</v>
      </c>
      <c r="N285" s="143" t="n">
        <f aca="false">M285</f>
        <v>0.005</v>
      </c>
      <c r="O285" s="144" t="n">
        <v>0</v>
      </c>
      <c r="P285" s="145"/>
      <c r="Q285" s="144" t="n">
        <f aca="false">M285+J285+G285</f>
        <v>3.931</v>
      </c>
      <c r="R285" s="144" t="n">
        <f aca="false">O285+L285+I285</f>
        <v>0</v>
      </c>
      <c r="S285" s="145"/>
      <c r="T285" s="71" t="n">
        <f aca="false">A286-A285</f>
        <v>31</v>
      </c>
      <c r="U285" s="146" t="n">
        <f aca="false">CHOOSE(F$3,A286+24,A285)</f>
        <v>45407</v>
      </c>
      <c r="V285" s="71" t="n">
        <f aca="false">U285-C$3</f>
        <v>8519</v>
      </c>
      <c r="W285" s="142" t="n">
        <f aca="false">VLOOKUP($A285,Table,MATCH(W$4,Curves,0))</f>
        <v>0.058966861357273</v>
      </c>
      <c r="X285" s="147" t="n">
        <f aca="false">1/(1+CHOOSE(F$3,(W286+($K$3/10000))/2,(W285+($K$3/10000))/2))^(2*V285/365.25)</f>
        <v>0.257832898002687</v>
      </c>
      <c r="Y285" s="71" t="n">
        <f aca="false">IF(AND(mthbeg&lt;=A285,mthend&gt;=A285),1,0)</f>
        <v>0</v>
      </c>
      <c r="Z285" s="71" t="n">
        <f aca="false">T285*Y285</f>
        <v>0</v>
      </c>
      <c r="AB285" s="132" t="n">
        <f aca="false">F285*G285</f>
        <v>0</v>
      </c>
      <c r="AC285" s="132" t="n">
        <f aca="false">$F285*H285</f>
        <v>0</v>
      </c>
      <c r="AD285" s="132" t="n">
        <f aca="false">$F285*I285</f>
        <v>0</v>
      </c>
      <c r="AE285" s="132" t="n">
        <f aca="false">$F285*J285</f>
        <v>-0</v>
      </c>
      <c r="AF285" s="132" t="n">
        <f aca="false">$F285*K285</f>
        <v>-0</v>
      </c>
      <c r="AG285" s="132" t="n">
        <f aca="false">$F285*L285</f>
        <v>0</v>
      </c>
      <c r="AH285" s="132" t="n">
        <f aca="false">$F285*M285</f>
        <v>0</v>
      </c>
      <c r="AI285" s="132" t="n">
        <f aca="false">$F285*N285</f>
        <v>0</v>
      </c>
      <c r="AJ285" s="132" t="n">
        <f aca="false">F285*O285</f>
        <v>0</v>
      </c>
      <c r="AK285" s="137"/>
      <c r="AL285" s="132" t="n">
        <f aca="false">CHOOSE($G$3,AC285-AD285,AD285-AC285)</f>
        <v>0</v>
      </c>
      <c r="AM285" s="132" t="n">
        <f aca="false">CHOOSE($G$3,AF285-AG285,AG285-AF285)</f>
        <v>0</v>
      </c>
      <c r="AN285" s="132" t="n">
        <f aca="false">CHOOSE($G$3,AI285-AJ285,AJ285-AI285)</f>
        <v>0</v>
      </c>
      <c r="AO285" s="148" t="n">
        <f aca="false">SUM(AL285:AN285)</f>
        <v>0</v>
      </c>
      <c r="AQ285" s="132" t="n">
        <f aca="false">CHOOSE($G$3,AB285-AC285,AC285-AB285)</f>
        <v>0</v>
      </c>
      <c r="AR285" s="132" t="n">
        <f aca="false">CHOOSE($G$3,AE285-AF285,AF285-AE285)</f>
        <v>0</v>
      </c>
      <c r="AS285" s="132" t="n">
        <f aca="false">CHOOSE($G$3,AH285-AI285,AI285-AH285)</f>
        <v>0</v>
      </c>
      <c r="AT285" s="148" t="n">
        <f aca="false">AQ285+AR285+AS285</f>
        <v>0</v>
      </c>
      <c r="AU285" s="148"/>
      <c r="AV285" s="133" t="n">
        <f aca="false">AT285+AO285</f>
        <v>0</v>
      </c>
      <c r="AX285" s="133" t="n">
        <f aca="false">AJ285+AG285+AD285</f>
        <v>0</v>
      </c>
      <c r="AY285" s="149"/>
      <c r="AZ285" s="76" t="n">
        <f aca="false">R285*E285</f>
        <v>0</v>
      </c>
    </row>
    <row r="286" customFormat="false" ht="12" hidden="false" customHeight="true" outlineLevel="0" collapsed="false">
      <c r="A286" s="138" t="n">
        <f aca="false">EDATE(A285,1)</f>
        <v>45383</v>
      </c>
      <c r="B286" s="139" t="n">
        <f aca="false">VLOOKUP($A286,Table2,MATCH(I$3,Curves2,0))</f>
        <v>0</v>
      </c>
      <c r="C286" s="140"/>
      <c r="D286" s="141" t="n">
        <f aca="false">B286+C286</f>
        <v>0</v>
      </c>
      <c r="E286" s="126" t="n">
        <f aca="false">IF(Y286=0,0,IF(AND(Y286=1,$H$3=1),D286*T286,IF($H$3=2,D286,"N/A")))</f>
        <v>0</v>
      </c>
      <c r="F286" s="126" t="n">
        <f aca="false">E286*X286</f>
        <v>0</v>
      </c>
      <c r="G286" s="142" t="n">
        <f aca="false">VLOOKUP($A286,Table,MATCH(G$4,Curves,0))</f>
        <v>3.987</v>
      </c>
      <c r="H286" s="143" t="n">
        <f aca="false">G286</f>
        <v>3.987</v>
      </c>
      <c r="I286" s="142" t="n">
        <f aca="false">VLOOKUP($A286,Table1,MATCH(I$3,Curves1,0))</f>
        <v>0</v>
      </c>
      <c r="J286" s="142" t="n">
        <f aca="false">VLOOKUP($A286,Table,MATCH(J$4,Curves,0))</f>
        <v>-0.061</v>
      </c>
      <c r="K286" s="143" t="n">
        <f aca="false">J286</f>
        <v>-0.061</v>
      </c>
      <c r="L286" s="144" t="n">
        <v>0</v>
      </c>
      <c r="M286" s="142" t="n">
        <f aca="false">VLOOKUP($A286,Table,MATCH(M$4,Curves,0))</f>
        <v>0.005</v>
      </c>
      <c r="N286" s="143" t="n">
        <f aca="false">M286</f>
        <v>0.005</v>
      </c>
      <c r="O286" s="144" t="n">
        <v>0</v>
      </c>
      <c r="P286" s="145"/>
      <c r="Q286" s="144" t="n">
        <f aca="false">M286+J286+G286</f>
        <v>3.931</v>
      </c>
      <c r="R286" s="144" t="n">
        <f aca="false">O286+L286+I286</f>
        <v>0</v>
      </c>
      <c r="S286" s="145"/>
      <c r="T286" s="71" t="n">
        <f aca="false">A287-A286</f>
        <v>30</v>
      </c>
      <c r="U286" s="146" t="n">
        <f aca="false">CHOOSE(F$3,A287+24,A286)</f>
        <v>45437</v>
      </c>
      <c r="V286" s="71" t="n">
        <f aca="false">U286-C$3</f>
        <v>8549</v>
      </c>
      <c r="W286" s="142" t="n">
        <f aca="false">VLOOKUP($A286,Table,MATCH(W$4,Curves,0))</f>
        <v>0.058966861357273</v>
      </c>
      <c r="X286" s="147" t="n">
        <f aca="false">1/(1+CHOOSE(F$3,(W287+($K$3/10000))/2,(W286+($K$3/10000))/2))^(2*V286/365.25)</f>
        <v>0.256605129952154</v>
      </c>
      <c r="Y286" s="71" t="n">
        <f aca="false">IF(AND(mthbeg&lt;=A286,mthend&gt;=A286),1,0)</f>
        <v>0</v>
      </c>
      <c r="Z286" s="71" t="n">
        <f aca="false">T286*Y286</f>
        <v>0</v>
      </c>
      <c r="AB286" s="132" t="n">
        <f aca="false">F286*G286</f>
        <v>0</v>
      </c>
      <c r="AC286" s="132" t="n">
        <f aca="false">$F286*H286</f>
        <v>0</v>
      </c>
      <c r="AD286" s="132" t="n">
        <f aca="false">$F286*I286</f>
        <v>0</v>
      </c>
      <c r="AE286" s="132" t="n">
        <f aca="false">$F286*J286</f>
        <v>-0</v>
      </c>
      <c r="AF286" s="132" t="n">
        <f aca="false">$F286*K286</f>
        <v>-0</v>
      </c>
      <c r="AG286" s="132" t="n">
        <f aca="false">$F286*L286</f>
        <v>0</v>
      </c>
      <c r="AH286" s="132" t="n">
        <f aca="false">$F286*M286</f>
        <v>0</v>
      </c>
      <c r="AI286" s="132" t="n">
        <f aca="false">$F286*N286</f>
        <v>0</v>
      </c>
      <c r="AJ286" s="132" t="n">
        <f aca="false">F286*O286</f>
        <v>0</v>
      </c>
      <c r="AK286" s="137"/>
      <c r="AL286" s="132" t="n">
        <f aca="false">CHOOSE($G$3,AC286-AD286,AD286-AC286)</f>
        <v>0</v>
      </c>
      <c r="AM286" s="132" t="n">
        <f aca="false">CHOOSE($G$3,AF286-AG286,AG286-AF286)</f>
        <v>0</v>
      </c>
      <c r="AN286" s="132" t="n">
        <f aca="false">CHOOSE($G$3,AI286-AJ286,AJ286-AI286)</f>
        <v>0</v>
      </c>
      <c r="AO286" s="148" t="n">
        <f aca="false">SUM(AL286:AN286)</f>
        <v>0</v>
      </c>
      <c r="AQ286" s="132" t="n">
        <f aca="false">CHOOSE($G$3,AB286-AC286,AC286-AB286)</f>
        <v>0</v>
      </c>
      <c r="AR286" s="132" t="n">
        <f aca="false">CHOOSE($G$3,AE286-AF286,AF286-AE286)</f>
        <v>0</v>
      </c>
      <c r="AS286" s="132" t="n">
        <f aca="false">CHOOSE($G$3,AH286-AI286,AI286-AH286)</f>
        <v>0</v>
      </c>
      <c r="AT286" s="148" t="n">
        <f aca="false">AQ286+AR286+AS286</f>
        <v>0</v>
      </c>
      <c r="AU286" s="148"/>
      <c r="AV286" s="133" t="n">
        <f aca="false">AT286+AO286</f>
        <v>0</v>
      </c>
      <c r="AX286" s="133" t="n">
        <f aca="false">AJ286+AG286+AD286</f>
        <v>0</v>
      </c>
      <c r="AY286" s="149"/>
      <c r="AZ286" s="76" t="n">
        <f aca="false">R286*E286</f>
        <v>0</v>
      </c>
    </row>
    <row r="287" customFormat="false" ht="12" hidden="false" customHeight="true" outlineLevel="0" collapsed="false">
      <c r="A287" s="138" t="n">
        <f aca="false">EDATE(A286,1)</f>
        <v>45413</v>
      </c>
      <c r="B287" s="139" t="n">
        <f aca="false">VLOOKUP($A287,Table2,MATCH(I$3,Curves2,0))</f>
        <v>0</v>
      </c>
      <c r="C287" s="140"/>
      <c r="D287" s="141" t="n">
        <f aca="false">B287+C287</f>
        <v>0</v>
      </c>
      <c r="E287" s="126" t="n">
        <f aca="false">IF(Y287=0,0,IF(AND(Y287=1,$H$3=1),D287*T287,IF($H$3=2,D287,"N/A")))</f>
        <v>0</v>
      </c>
      <c r="F287" s="126" t="n">
        <f aca="false">E287*X287</f>
        <v>0</v>
      </c>
      <c r="G287" s="142" t="n">
        <f aca="false">VLOOKUP($A287,Table,MATCH(G$4,Curves,0))</f>
        <v>3.987</v>
      </c>
      <c r="H287" s="143" t="n">
        <f aca="false">G287</f>
        <v>3.987</v>
      </c>
      <c r="I287" s="142" t="n">
        <f aca="false">VLOOKUP($A287,Table1,MATCH(I$3,Curves1,0))</f>
        <v>0</v>
      </c>
      <c r="J287" s="142" t="n">
        <f aca="false">VLOOKUP($A287,Table,MATCH(J$4,Curves,0))</f>
        <v>-0.061</v>
      </c>
      <c r="K287" s="143" t="n">
        <f aca="false">J287</f>
        <v>-0.061</v>
      </c>
      <c r="L287" s="144" t="n">
        <v>0</v>
      </c>
      <c r="M287" s="142" t="n">
        <f aca="false">VLOOKUP($A287,Table,MATCH(M$4,Curves,0))</f>
        <v>0.005</v>
      </c>
      <c r="N287" s="143" t="n">
        <f aca="false">M287</f>
        <v>0.005</v>
      </c>
      <c r="O287" s="144" t="n">
        <v>0</v>
      </c>
      <c r="P287" s="145"/>
      <c r="Q287" s="144" t="n">
        <f aca="false">M287+J287+G287</f>
        <v>3.931</v>
      </c>
      <c r="R287" s="144" t="n">
        <f aca="false">O287+L287+I287</f>
        <v>0</v>
      </c>
      <c r="S287" s="145"/>
      <c r="T287" s="71" t="n">
        <f aca="false">A288-A287</f>
        <v>31</v>
      </c>
      <c r="U287" s="146" t="n">
        <f aca="false">CHOOSE(F$3,A288+24,A287)</f>
        <v>45468</v>
      </c>
      <c r="V287" s="71" t="n">
        <f aca="false">U287-C$3</f>
        <v>8580</v>
      </c>
      <c r="W287" s="142" t="n">
        <f aca="false">VLOOKUP($A287,Table,MATCH(W$4,Curves,0))</f>
        <v>0.058966861357273</v>
      </c>
      <c r="X287" s="147" t="n">
        <f aca="false">1/(1+CHOOSE(F$3,(W288+($K$3/10000))/2,(W287+($K$3/10000))/2))^(2*V287/365.25)</f>
        <v>0.255342578024613</v>
      </c>
      <c r="Y287" s="71" t="n">
        <f aca="false">IF(AND(mthbeg&lt;=A287,mthend&gt;=A287),1,0)</f>
        <v>0</v>
      </c>
      <c r="Z287" s="71" t="n">
        <f aca="false">T287*Y287</f>
        <v>0</v>
      </c>
      <c r="AB287" s="132" t="n">
        <f aca="false">F287*G287</f>
        <v>0</v>
      </c>
      <c r="AC287" s="132" t="n">
        <f aca="false">$F287*H287</f>
        <v>0</v>
      </c>
      <c r="AD287" s="132" t="n">
        <f aca="false">$F287*I287</f>
        <v>0</v>
      </c>
      <c r="AE287" s="132" t="n">
        <f aca="false">$F287*J287</f>
        <v>-0</v>
      </c>
      <c r="AF287" s="132" t="n">
        <f aca="false">$F287*K287</f>
        <v>-0</v>
      </c>
      <c r="AG287" s="132" t="n">
        <f aca="false">$F287*L287</f>
        <v>0</v>
      </c>
      <c r="AH287" s="132" t="n">
        <f aca="false">$F287*M287</f>
        <v>0</v>
      </c>
      <c r="AI287" s="132" t="n">
        <f aca="false">$F287*N287</f>
        <v>0</v>
      </c>
      <c r="AJ287" s="132" t="n">
        <f aca="false">F287*O287</f>
        <v>0</v>
      </c>
      <c r="AK287" s="137"/>
      <c r="AL287" s="132" t="n">
        <f aca="false">CHOOSE($G$3,AC287-AD287,AD287-AC287)</f>
        <v>0</v>
      </c>
      <c r="AM287" s="132" t="n">
        <f aca="false">CHOOSE($G$3,AF287-AG287,AG287-AF287)</f>
        <v>0</v>
      </c>
      <c r="AN287" s="132" t="n">
        <f aca="false">CHOOSE($G$3,AI287-AJ287,AJ287-AI287)</f>
        <v>0</v>
      </c>
      <c r="AO287" s="148" t="n">
        <f aca="false">SUM(AL287:AN287)</f>
        <v>0</v>
      </c>
      <c r="AQ287" s="132" t="n">
        <f aca="false">CHOOSE($G$3,AB287-AC287,AC287-AB287)</f>
        <v>0</v>
      </c>
      <c r="AR287" s="132" t="n">
        <f aca="false">CHOOSE($G$3,AE287-AF287,AF287-AE287)</f>
        <v>0</v>
      </c>
      <c r="AS287" s="132" t="n">
        <f aca="false">CHOOSE($G$3,AH287-AI287,AI287-AH287)</f>
        <v>0</v>
      </c>
      <c r="AT287" s="148" t="n">
        <f aca="false">AQ287+AR287+AS287</f>
        <v>0</v>
      </c>
      <c r="AU287" s="148"/>
      <c r="AV287" s="133" t="n">
        <f aca="false">AT287+AO287</f>
        <v>0</v>
      </c>
      <c r="AX287" s="133" t="n">
        <f aca="false">AJ287+AG287+AD287</f>
        <v>0</v>
      </c>
      <c r="AY287" s="149"/>
      <c r="AZ287" s="76" t="n">
        <f aca="false">R287*E287</f>
        <v>0</v>
      </c>
    </row>
    <row r="288" customFormat="false" ht="12" hidden="false" customHeight="true" outlineLevel="0" collapsed="false">
      <c r="A288" s="138" t="n">
        <f aca="false">EDATE(A287,1)</f>
        <v>45444</v>
      </c>
      <c r="B288" s="139" t="n">
        <f aca="false">VLOOKUP($A288,Table2,MATCH(I$3,Curves2,0))</f>
        <v>0</v>
      </c>
      <c r="C288" s="140"/>
      <c r="D288" s="141" t="n">
        <f aca="false">B288+C288</f>
        <v>0</v>
      </c>
      <c r="E288" s="126" t="n">
        <f aca="false">IF(Y288=0,0,IF(AND(Y288=1,$H$3=1),D288*T288,IF($H$3=2,D288,"N/A")))</f>
        <v>0</v>
      </c>
      <c r="F288" s="126" t="n">
        <f aca="false">E288*X288</f>
        <v>0</v>
      </c>
      <c r="G288" s="142" t="n">
        <f aca="false">VLOOKUP($A288,Table,MATCH(G$4,Curves,0))</f>
        <v>3.987</v>
      </c>
      <c r="H288" s="143" t="n">
        <f aca="false">G288</f>
        <v>3.987</v>
      </c>
      <c r="I288" s="142" t="n">
        <f aca="false">VLOOKUP($A288,Table1,MATCH(I$3,Curves1,0))</f>
        <v>0</v>
      </c>
      <c r="J288" s="142" t="n">
        <f aca="false">VLOOKUP($A288,Table,MATCH(J$4,Curves,0))</f>
        <v>-0.061</v>
      </c>
      <c r="K288" s="143" t="n">
        <f aca="false">J288</f>
        <v>-0.061</v>
      </c>
      <c r="L288" s="144" t="n">
        <v>0</v>
      </c>
      <c r="M288" s="142" t="n">
        <f aca="false">VLOOKUP($A288,Table,MATCH(M$4,Curves,0))</f>
        <v>0.005</v>
      </c>
      <c r="N288" s="143" t="n">
        <f aca="false">M288</f>
        <v>0.005</v>
      </c>
      <c r="O288" s="144" t="n">
        <v>0</v>
      </c>
      <c r="P288" s="145"/>
      <c r="Q288" s="144" t="n">
        <f aca="false">M288+J288+G288</f>
        <v>3.931</v>
      </c>
      <c r="R288" s="144" t="n">
        <f aca="false">O288+L288+I288</f>
        <v>0</v>
      </c>
      <c r="S288" s="145"/>
      <c r="T288" s="71" t="n">
        <f aca="false">A289-A288</f>
        <v>30</v>
      </c>
      <c r="U288" s="146" t="n">
        <f aca="false">CHOOSE(F$3,A289+24,A288)</f>
        <v>45498</v>
      </c>
      <c r="V288" s="71" t="n">
        <f aca="false">U288-C$3</f>
        <v>8610</v>
      </c>
      <c r="W288" s="142" t="n">
        <f aca="false">VLOOKUP($A288,Table,MATCH(W$4,Curves,0))</f>
        <v>0.058966861357273</v>
      </c>
      <c r="X288" s="147" t="n">
        <f aca="false">1/(1+CHOOSE(F$3,(W289+($K$3/10000))/2,(W288+($K$3/10000))/2))^(2*V288/365.25)</f>
        <v>0.254126668566712</v>
      </c>
      <c r="Y288" s="71" t="n">
        <f aca="false">IF(AND(mthbeg&lt;=A288,mthend&gt;=A288),1,0)</f>
        <v>0</v>
      </c>
      <c r="Z288" s="71" t="n">
        <f aca="false">T288*Y288</f>
        <v>0</v>
      </c>
      <c r="AB288" s="132" t="n">
        <f aca="false">F288*G288</f>
        <v>0</v>
      </c>
      <c r="AC288" s="132" t="n">
        <f aca="false">$F288*H288</f>
        <v>0</v>
      </c>
      <c r="AD288" s="132" t="n">
        <f aca="false">$F288*I288</f>
        <v>0</v>
      </c>
      <c r="AE288" s="132" t="n">
        <f aca="false">$F288*J288</f>
        <v>-0</v>
      </c>
      <c r="AF288" s="132" t="n">
        <f aca="false">$F288*K288</f>
        <v>-0</v>
      </c>
      <c r="AG288" s="132" t="n">
        <f aca="false">$F288*L288</f>
        <v>0</v>
      </c>
      <c r="AH288" s="132" t="n">
        <f aca="false">$F288*M288</f>
        <v>0</v>
      </c>
      <c r="AI288" s="132" t="n">
        <f aca="false">$F288*N288</f>
        <v>0</v>
      </c>
      <c r="AJ288" s="132" t="n">
        <f aca="false">F288*O288</f>
        <v>0</v>
      </c>
      <c r="AK288" s="137"/>
      <c r="AL288" s="132" t="n">
        <f aca="false">CHOOSE($G$3,AC288-AD288,AD288-AC288)</f>
        <v>0</v>
      </c>
      <c r="AM288" s="132" t="n">
        <f aca="false">CHOOSE($G$3,AF288-AG288,AG288-AF288)</f>
        <v>0</v>
      </c>
      <c r="AN288" s="132" t="n">
        <f aca="false">CHOOSE($G$3,AI288-AJ288,AJ288-AI288)</f>
        <v>0</v>
      </c>
      <c r="AO288" s="148" t="n">
        <f aca="false">SUM(AL288:AN288)</f>
        <v>0</v>
      </c>
      <c r="AQ288" s="132" t="n">
        <f aca="false">CHOOSE($G$3,AB288-AC288,AC288-AB288)</f>
        <v>0</v>
      </c>
      <c r="AR288" s="132" t="n">
        <f aca="false">CHOOSE($G$3,AE288-AF288,AF288-AE288)</f>
        <v>0</v>
      </c>
      <c r="AS288" s="132" t="n">
        <f aca="false">CHOOSE($G$3,AH288-AI288,AI288-AH288)</f>
        <v>0</v>
      </c>
      <c r="AT288" s="148" t="n">
        <f aca="false">AQ288+AR288+AS288</f>
        <v>0</v>
      </c>
      <c r="AU288" s="148"/>
      <c r="AV288" s="133" t="n">
        <f aca="false">AT288+AO288</f>
        <v>0</v>
      </c>
      <c r="AX288" s="133" t="n">
        <f aca="false">AJ288+AG288+AD288</f>
        <v>0</v>
      </c>
      <c r="AY288" s="149"/>
      <c r="AZ288" s="76" t="n">
        <f aca="false">R288*E288</f>
        <v>0</v>
      </c>
    </row>
    <row r="289" customFormat="false" ht="12" hidden="false" customHeight="true" outlineLevel="0" collapsed="false">
      <c r="A289" s="138" t="n">
        <f aca="false">EDATE(A288,1)</f>
        <v>45474</v>
      </c>
      <c r="B289" s="139" t="n">
        <f aca="false">VLOOKUP($A289,Table2,MATCH(I$3,Curves2,0))</f>
        <v>0</v>
      </c>
      <c r="C289" s="140"/>
      <c r="D289" s="141" t="n">
        <f aca="false">B289+C289</f>
        <v>0</v>
      </c>
      <c r="E289" s="126" t="n">
        <f aca="false">IF(Y289=0,0,IF(AND(Y289=1,$H$3=1),D289*T289,IF($H$3=2,D289,"N/A")))</f>
        <v>0</v>
      </c>
      <c r="F289" s="126" t="n">
        <f aca="false">E289*X289</f>
        <v>0</v>
      </c>
      <c r="G289" s="142" t="n">
        <f aca="false">VLOOKUP($A289,Table,MATCH(G$4,Curves,0))</f>
        <v>3.987</v>
      </c>
      <c r="H289" s="143" t="n">
        <f aca="false">G289</f>
        <v>3.987</v>
      </c>
      <c r="I289" s="142" t="n">
        <f aca="false">VLOOKUP($A289,Table1,MATCH(I$3,Curves1,0))</f>
        <v>0</v>
      </c>
      <c r="J289" s="142" t="n">
        <f aca="false">VLOOKUP($A289,Table,MATCH(J$4,Curves,0))</f>
        <v>-0.061</v>
      </c>
      <c r="K289" s="143" t="n">
        <f aca="false">J289</f>
        <v>-0.061</v>
      </c>
      <c r="L289" s="144" t="n">
        <v>0</v>
      </c>
      <c r="M289" s="142" t="n">
        <f aca="false">VLOOKUP($A289,Table,MATCH(M$4,Curves,0))</f>
        <v>0.005</v>
      </c>
      <c r="N289" s="143" t="n">
        <f aca="false">M289</f>
        <v>0.005</v>
      </c>
      <c r="O289" s="144" t="n">
        <v>0</v>
      </c>
      <c r="P289" s="145"/>
      <c r="Q289" s="144" t="n">
        <f aca="false">M289+J289+G289</f>
        <v>3.931</v>
      </c>
      <c r="R289" s="144" t="n">
        <f aca="false">O289+L289+I289</f>
        <v>0</v>
      </c>
      <c r="S289" s="145"/>
      <c r="T289" s="71" t="n">
        <f aca="false">A290-A289</f>
        <v>31</v>
      </c>
      <c r="U289" s="146" t="n">
        <f aca="false">CHOOSE(F$3,A290+24,A289)</f>
        <v>45529</v>
      </c>
      <c r="V289" s="71" t="n">
        <f aca="false">U289-C$3</f>
        <v>8641</v>
      </c>
      <c r="W289" s="142" t="n">
        <f aca="false">VLOOKUP($A289,Table,MATCH(W$4,Curves,0))</f>
        <v>0.058966861357273</v>
      </c>
      <c r="X289" s="147" t="n">
        <f aca="false">1/(1+CHOOSE(F$3,(W290+($K$3/10000))/2,(W289+($K$3/10000))/2))^(2*V289/365.25)</f>
        <v>0.252876311197402</v>
      </c>
      <c r="Y289" s="71" t="n">
        <f aca="false">IF(AND(mthbeg&lt;=A289,mthend&gt;=A289),1,0)</f>
        <v>0</v>
      </c>
      <c r="Z289" s="71" t="n">
        <f aca="false">T289*Y289</f>
        <v>0</v>
      </c>
      <c r="AB289" s="132" t="n">
        <f aca="false">F289*G289</f>
        <v>0</v>
      </c>
      <c r="AC289" s="132" t="n">
        <f aca="false">$F289*H289</f>
        <v>0</v>
      </c>
      <c r="AD289" s="132" t="n">
        <f aca="false">$F289*I289</f>
        <v>0</v>
      </c>
      <c r="AE289" s="132" t="n">
        <f aca="false">$F289*J289</f>
        <v>-0</v>
      </c>
      <c r="AF289" s="132" t="n">
        <f aca="false">$F289*K289</f>
        <v>-0</v>
      </c>
      <c r="AG289" s="132" t="n">
        <f aca="false">$F289*L289</f>
        <v>0</v>
      </c>
      <c r="AH289" s="132" t="n">
        <f aca="false">$F289*M289</f>
        <v>0</v>
      </c>
      <c r="AI289" s="132" t="n">
        <f aca="false">$F289*N289</f>
        <v>0</v>
      </c>
      <c r="AJ289" s="132" t="n">
        <f aca="false">F289*O289</f>
        <v>0</v>
      </c>
      <c r="AK289" s="137"/>
      <c r="AL289" s="132" t="n">
        <f aca="false">CHOOSE($G$3,AC289-AD289,AD289-AC289)</f>
        <v>0</v>
      </c>
      <c r="AM289" s="132" t="n">
        <f aca="false">CHOOSE($G$3,AF289-AG289,AG289-AF289)</f>
        <v>0</v>
      </c>
      <c r="AN289" s="132" t="n">
        <f aca="false">CHOOSE($G$3,AI289-AJ289,AJ289-AI289)</f>
        <v>0</v>
      </c>
      <c r="AO289" s="148" t="n">
        <f aca="false">SUM(AL289:AN289)</f>
        <v>0</v>
      </c>
      <c r="AQ289" s="132" t="n">
        <f aca="false">CHOOSE($G$3,AB289-AC289,AC289-AB289)</f>
        <v>0</v>
      </c>
      <c r="AR289" s="132" t="n">
        <f aca="false">CHOOSE($G$3,AE289-AF289,AF289-AE289)</f>
        <v>0</v>
      </c>
      <c r="AS289" s="132" t="n">
        <f aca="false">CHOOSE($G$3,AH289-AI289,AI289-AH289)</f>
        <v>0</v>
      </c>
      <c r="AT289" s="148" t="n">
        <f aca="false">AQ289+AR289+AS289</f>
        <v>0</v>
      </c>
      <c r="AU289" s="148"/>
      <c r="AV289" s="133" t="n">
        <f aca="false">AT289+AO289</f>
        <v>0</v>
      </c>
      <c r="AX289" s="133" t="n">
        <f aca="false">AJ289+AG289+AD289</f>
        <v>0</v>
      </c>
      <c r="AY289" s="149"/>
      <c r="AZ289" s="76" t="n">
        <f aca="false">R289*E289</f>
        <v>0</v>
      </c>
    </row>
    <row r="290" customFormat="false" ht="12" hidden="false" customHeight="true" outlineLevel="0" collapsed="false">
      <c r="A290" s="138" t="n">
        <f aca="false">EDATE(A289,1)</f>
        <v>45505</v>
      </c>
      <c r="B290" s="139" t="n">
        <f aca="false">VLOOKUP($A290,Table2,MATCH(I$3,Curves2,0))</f>
        <v>0</v>
      </c>
      <c r="C290" s="140"/>
      <c r="D290" s="141" t="n">
        <f aca="false">B290+C290</f>
        <v>0</v>
      </c>
      <c r="E290" s="126" t="n">
        <f aca="false">IF(Y290=0,0,IF(AND(Y290=1,$H$3=1),D290*T290,IF($H$3=2,D290,"N/A")))</f>
        <v>0</v>
      </c>
      <c r="F290" s="126" t="n">
        <f aca="false">E290*X290</f>
        <v>0</v>
      </c>
      <c r="G290" s="142" t="n">
        <f aca="false">VLOOKUP($A290,Table,MATCH(G$4,Curves,0))</f>
        <v>3.987</v>
      </c>
      <c r="H290" s="143" t="n">
        <f aca="false">G290</f>
        <v>3.987</v>
      </c>
      <c r="I290" s="142" t="n">
        <f aca="false">VLOOKUP($A290,Table1,MATCH(I$3,Curves1,0))</f>
        <v>0</v>
      </c>
      <c r="J290" s="142" t="n">
        <f aca="false">VLOOKUP($A290,Table,MATCH(J$4,Curves,0))</f>
        <v>-0.061</v>
      </c>
      <c r="K290" s="143" t="n">
        <f aca="false">J290</f>
        <v>-0.061</v>
      </c>
      <c r="L290" s="144" t="n">
        <v>0</v>
      </c>
      <c r="M290" s="142" t="n">
        <f aca="false">VLOOKUP($A290,Table,MATCH(M$4,Curves,0))</f>
        <v>0.005</v>
      </c>
      <c r="N290" s="143" t="n">
        <f aca="false">M290</f>
        <v>0.005</v>
      </c>
      <c r="O290" s="144" t="n">
        <v>0</v>
      </c>
      <c r="P290" s="145"/>
      <c r="Q290" s="144" t="n">
        <f aca="false">M290+J290+G290</f>
        <v>3.931</v>
      </c>
      <c r="R290" s="144" t="n">
        <f aca="false">O290+L290+I290</f>
        <v>0</v>
      </c>
      <c r="S290" s="145"/>
      <c r="T290" s="71" t="n">
        <f aca="false">A291-A290</f>
        <v>31</v>
      </c>
      <c r="U290" s="146" t="n">
        <f aca="false">CHOOSE(F$3,A291+24,A290)</f>
        <v>45560</v>
      </c>
      <c r="V290" s="71" t="n">
        <f aca="false">U290-C$3</f>
        <v>8672</v>
      </c>
      <c r="W290" s="142" t="n">
        <f aca="false">VLOOKUP($A290,Table,MATCH(W$4,Curves,0))</f>
        <v>0.058966861357273</v>
      </c>
      <c r="X290" s="147" t="n">
        <f aca="false">1/(1+CHOOSE(F$3,(W291+($K$3/10000))/2,(W290+($K$3/10000))/2))^(2*V290/365.25)</f>
        <v>0.251632105852827</v>
      </c>
      <c r="Y290" s="71" t="n">
        <f aca="false">IF(AND(mthbeg&lt;=A290,mthend&gt;=A290),1,0)</f>
        <v>0</v>
      </c>
      <c r="Z290" s="71" t="n">
        <f aca="false">T290*Y290</f>
        <v>0</v>
      </c>
      <c r="AB290" s="132" t="n">
        <f aca="false">F290*G290</f>
        <v>0</v>
      </c>
      <c r="AC290" s="132" t="n">
        <f aca="false">$F290*H290</f>
        <v>0</v>
      </c>
      <c r="AD290" s="132" t="n">
        <f aca="false">$F290*I290</f>
        <v>0</v>
      </c>
      <c r="AE290" s="132" t="n">
        <f aca="false">$F290*J290</f>
        <v>-0</v>
      </c>
      <c r="AF290" s="132" t="n">
        <f aca="false">$F290*K290</f>
        <v>-0</v>
      </c>
      <c r="AG290" s="132" t="n">
        <f aca="false">$F290*L290</f>
        <v>0</v>
      </c>
      <c r="AH290" s="132" t="n">
        <f aca="false">$F290*M290</f>
        <v>0</v>
      </c>
      <c r="AI290" s="132" t="n">
        <f aca="false">$F290*N290</f>
        <v>0</v>
      </c>
      <c r="AJ290" s="132" t="n">
        <f aca="false">F290*O290</f>
        <v>0</v>
      </c>
      <c r="AK290" s="137"/>
      <c r="AL290" s="132" t="n">
        <f aca="false">CHOOSE($G$3,AC290-AD290,AD290-AC290)</f>
        <v>0</v>
      </c>
      <c r="AM290" s="132" t="n">
        <f aca="false">CHOOSE($G$3,AF290-AG290,AG290-AF290)</f>
        <v>0</v>
      </c>
      <c r="AN290" s="132" t="n">
        <f aca="false">CHOOSE($G$3,AI290-AJ290,AJ290-AI290)</f>
        <v>0</v>
      </c>
      <c r="AO290" s="148" t="n">
        <f aca="false">SUM(AL290:AN290)</f>
        <v>0</v>
      </c>
      <c r="AQ290" s="132" t="n">
        <f aca="false">CHOOSE($G$3,AB290-AC290,AC290-AB290)</f>
        <v>0</v>
      </c>
      <c r="AR290" s="132" t="n">
        <f aca="false">CHOOSE($G$3,AE290-AF290,AF290-AE290)</f>
        <v>0</v>
      </c>
      <c r="AS290" s="132" t="n">
        <f aca="false">CHOOSE($G$3,AH290-AI290,AI290-AH290)</f>
        <v>0</v>
      </c>
      <c r="AT290" s="148" t="n">
        <f aca="false">AQ290+AR290+AS290</f>
        <v>0</v>
      </c>
      <c r="AU290" s="148"/>
      <c r="AV290" s="133" t="n">
        <f aca="false">AT290+AO290</f>
        <v>0</v>
      </c>
      <c r="AX290" s="133" t="n">
        <f aca="false">AJ290+AG290+AD290</f>
        <v>0</v>
      </c>
      <c r="AY290" s="149"/>
      <c r="AZ290" s="76" t="n">
        <f aca="false">R290*E290</f>
        <v>0</v>
      </c>
    </row>
    <row r="291" customFormat="false" ht="12" hidden="false" customHeight="true" outlineLevel="0" collapsed="false">
      <c r="A291" s="138" t="n">
        <f aca="false">EDATE(A290,1)</f>
        <v>45536</v>
      </c>
      <c r="B291" s="139" t="n">
        <f aca="false">VLOOKUP($A291,Table2,MATCH(I$3,Curves2,0))</f>
        <v>0</v>
      </c>
      <c r="C291" s="140"/>
      <c r="D291" s="141" t="n">
        <f aca="false">B291+C291</f>
        <v>0</v>
      </c>
      <c r="E291" s="126" t="n">
        <f aca="false">IF(Y291=0,0,IF(AND(Y291=1,$H$3=1),D291*T291,IF($H$3=2,D291,"N/A")))</f>
        <v>0</v>
      </c>
      <c r="F291" s="126" t="n">
        <f aca="false">E291*X291</f>
        <v>0</v>
      </c>
      <c r="G291" s="142" t="n">
        <f aca="false">VLOOKUP($A291,Table,MATCH(G$4,Curves,0))</f>
        <v>3.987</v>
      </c>
      <c r="H291" s="143" t="n">
        <f aca="false">G291</f>
        <v>3.987</v>
      </c>
      <c r="I291" s="142" t="n">
        <f aca="false">VLOOKUP($A291,Table1,MATCH(I$3,Curves1,0))</f>
        <v>0</v>
      </c>
      <c r="J291" s="142" t="n">
        <f aca="false">VLOOKUP($A291,Table,MATCH(J$4,Curves,0))</f>
        <v>-0.061</v>
      </c>
      <c r="K291" s="143" t="n">
        <f aca="false">J291</f>
        <v>-0.061</v>
      </c>
      <c r="L291" s="144" t="n">
        <v>0</v>
      </c>
      <c r="M291" s="142" t="n">
        <f aca="false">VLOOKUP($A291,Table,MATCH(M$4,Curves,0))</f>
        <v>0.005</v>
      </c>
      <c r="N291" s="143" t="n">
        <f aca="false">M291</f>
        <v>0.005</v>
      </c>
      <c r="O291" s="144" t="n">
        <v>0</v>
      </c>
      <c r="P291" s="145"/>
      <c r="Q291" s="144" t="n">
        <f aca="false">M291+J291+G291</f>
        <v>3.931</v>
      </c>
      <c r="R291" s="144" t="n">
        <f aca="false">O291+L291+I291</f>
        <v>0</v>
      </c>
      <c r="S291" s="145"/>
      <c r="T291" s="71" t="n">
        <f aca="false">A292-A291</f>
        <v>30</v>
      </c>
      <c r="U291" s="146" t="n">
        <f aca="false">CHOOSE(F$3,A292+24,A291)</f>
        <v>45590</v>
      </c>
      <c r="V291" s="71" t="n">
        <f aca="false">U291-C$3</f>
        <v>8702</v>
      </c>
      <c r="W291" s="142" t="n">
        <f aca="false">VLOOKUP($A291,Table,MATCH(W$4,Curves,0))</f>
        <v>0.058966861357273</v>
      </c>
      <c r="X291" s="147" t="n">
        <f aca="false">1/(1+CHOOSE(F$3,(W292+($K$3/10000))/2,(W291+($K$3/10000))/2))^(2*V291/365.25)</f>
        <v>0.250433865199879</v>
      </c>
      <c r="Y291" s="71" t="n">
        <f aca="false">IF(AND(mthbeg&lt;=A291,mthend&gt;=A291),1,0)</f>
        <v>0</v>
      </c>
      <c r="Z291" s="71" t="n">
        <f aca="false">T291*Y291</f>
        <v>0</v>
      </c>
      <c r="AB291" s="132" t="n">
        <f aca="false">F291*G291</f>
        <v>0</v>
      </c>
      <c r="AC291" s="132" t="n">
        <f aca="false">$F291*H291</f>
        <v>0</v>
      </c>
      <c r="AD291" s="132" t="n">
        <f aca="false">$F291*I291</f>
        <v>0</v>
      </c>
      <c r="AE291" s="132" t="n">
        <f aca="false">$F291*J291</f>
        <v>-0</v>
      </c>
      <c r="AF291" s="132" t="n">
        <f aca="false">$F291*K291</f>
        <v>-0</v>
      </c>
      <c r="AG291" s="132" t="n">
        <f aca="false">$F291*L291</f>
        <v>0</v>
      </c>
      <c r="AH291" s="132" t="n">
        <f aca="false">$F291*M291</f>
        <v>0</v>
      </c>
      <c r="AI291" s="132" t="n">
        <f aca="false">$F291*N291</f>
        <v>0</v>
      </c>
      <c r="AJ291" s="132" t="n">
        <f aca="false">F291*O291</f>
        <v>0</v>
      </c>
      <c r="AK291" s="137"/>
      <c r="AL291" s="132" t="n">
        <f aca="false">CHOOSE($G$3,AC291-AD291,AD291-AC291)</f>
        <v>0</v>
      </c>
      <c r="AM291" s="132" t="n">
        <f aca="false">CHOOSE($G$3,AF291-AG291,AG291-AF291)</f>
        <v>0</v>
      </c>
      <c r="AN291" s="132" t="n">
        <f aca="false">CHOOSE($G$3,AI291-AJ291,AJ291-AI291)</f>
        <v>0</v>
      </c>
      <c r="AO291" s="148" t="n">
        <f aca="false">SUM(AL291:AN291)</f>
        <v>0</v>
      </c>
      <c r="AQ291" s="132" t="n">
        <f aca="false">CHOOSE($G$3,AB291-AC291,AC291-AB291)</f>
        <v>0</v>
      </c>
      <c r="AR291" s="132" t="n">
        <f aca="false">CHOOSE($G$3,AE291-AF291,AF291-AE291)</f>
        <v>0</v>
      </c>
      <c r="AS291" s="132" t="n">
        <f aca="false">CHOOSE($G$3,AH291-AI291,AI291-AH291)</f>
        <v>0</v>
      </c>
      <c r="AT291" s="148" t="n">
        <f aca="false">AQ291+AR291+AS291</f>
        <v>0</v>
      </c>
      <c r="AU291" s="148"/>
      <c r="AV291" s="133" t="n">
        <f aca="false">AT291+AO291</f>
        <v>0</v>
      </c>
      <c r="AX291" s="133" t="n">
        <f aca="false">AJ291+AG291+AD291</f>
        <v>0</v>
      </c>
      <c r="AY291" s="149"/>
      <c r="AZ291" s="76" t="n">
        <f aca="false">R291*E291</f>
        <v>0</v>
      </c>
    </row>
    <row r="292" customFormat="false" ht="12" hidden="false" customHeight="true" outlineLevel="0" collapsed="false">
      <c r="A292" s="138" t="n">
        <f aca="false">EDATE(A291,1)</f>
        <v>45566</v>
      </c>
      <c r="B292" s="139" t="n">
        <f aca="false">VLOOKUP($A292,Table2,MATCH(I$3,Curves2,0))</f>
        <v>0</v>
      </c>
      <c r="C292" s="140"/>
      <c r="D292" s="141" t="n">
        <f aca="false">B292+C292</f>
        <v>0</v>
      </c>
      <c r="E292" s="126" t="n">
        <f aca="false">IF(Y292=0,0,IF(AND(Y292=1,$H$3=1),D292*T292,IF($H$3=2,D292,"N/A")))</f>
        <v>0</v>
      </c>
      <c r="F292" s="126" t="n">
        <f aca="false">E292*X292</f>
        <v>0</v>
      </c>
      <c r="G292" s="142" t="n">
        <f aca="false">VLOOKUP($A292,Table,MATCH(G$4,Curves,0))</f>
        <v>3.987</v>
      </c>
      <c r="H292" s="143" t="n">
        <f aca="false">G292</f>
        <v>3.987</v>
      </c>
      <c r="I292" s="142" t="n">
        <f aca="false">VLOOKUP($A292,Table1,MATCH(I$3,Curves1,0))</f>
        <v>0</v>
      </c>
      <c r="J292" s="142" t="n">
        <f aca="false">VLOOKUP($A292,Table,MATCH(J$4,Curves,0))</f>
        <v>-0.061</v>
      </c>
      <c r="K292" s="143" t="n">
        <f aca="false">J292</f>
        <v>-0.061</v>
      </c>
      <c r="L292" s="144" t="n">
        <v>0</v>
      </c>
      <c r="M292" s="142" t="n">
        <f aca="false">VLOOKUP($A292,Table,MATCH(M$4,Curves,0))</f>
        <v>0.005</v>
      </c>
      <c r="N292" s="143" t="n">
        <f aca="false">M292</f>
        <v>0.005</v>
      </c>
      <c r="O292" s="144" t="n">
        <v>0</v>
      </c>
      <c r="P292" s="145"/>
      <c r="Q292" s="144" t="n">
        <f aca="false">M292+J292+G292</f>
        <v>3.931</v>
      </c>
      <c r="R292" s="144" t="n">
        <f aca="false">O292+L292+I292</f>
        <v>0</v>
      </c>
      <c r="S292" s="145"/>
      <c r="T292" s="71" t="n">
        <f aca="false">A293-A292</f>
        <v>31</v>
      </c>
      <c r="U292" s="146" t="n">
        <f aca="false">CHOOSE(F$3,A293+24,A292)</f>
        <v>45621</v>
      </c>
      <c r="V292" s="71" t="n">
        <f aca="false">U292-C$3</f>
        <v>8733</v>
      </c>
      <c r="W292" s="142" t="n">
        <f aca="false">VLOOKUP($A292,Table,MATCH(W$4,Curves,0))</f>
        <v>0.058966861357273</v>
      </c>
      <c r="X292" s="147" t="n">
        <f aca="false">1/(1+CHOOSE(F$3,(W293+($K$3/10000))/2,(W292+($K$3/10000))/2))^(2*V292/365.25)</f>
        <v>0.24920167721015</v>
      </c>
      <c r="Y292" s="71" t="n">
        <f aca="false">IF(AND(mthbeg&lt;=A292,mthend&gt;=A292),1,0)</f>
        <v>0</v>
      </c>
      <c r="Z292" s="71" t="n">
        <f aca="false">T292*Y292</f>
        <v>0</v>
      </c>
      <c r="AB292" s="132" t="n">
        <f aca="false">F292*G292</f>
        <v>0</v>
      </c>
      <c r="AC292" s="132" t="n">
        <f aca="false">$F292*H292</f>
        <v>0</v>
      </c>
      <c r="AD292" s="132" t="n">
        <f aca="false">$F292*I292</f>
        <v>0</v>
      </c>
      <c r="AE292" s="132" t="n">
        <f aca="false">$F292*J292</f>
        <v>-0</v>
      </c>
      <c r="AF292" s="132" t="n">
        <f aca="false">$F292*K292</f>
        <v>-0</v>
      </c>
      <c r="AG292" s="132" t="n">
        <f aca="false">$F292*L292</f>
        <v>0</v>
      </c>
      <c r="AH292" s="132" t="n">
        <f aca="false">$F292*M292</f>
        <v>0</v>
      </c>
      <c r="AI292" s="132" t="n">
        <f aca="false">$F292*N292</f>
        <v>0</v>
      </c>
      <c r="AJ292" s="132" t="n">
        <f aca="false">F292*O292</f>
        <v>0</v>
      </c>
      <c r="AK292" s="137"/>
      <c r="AL292" s="132" t="n">
        <f aca="false">CHOOSE($G$3,AC292-AD292,AD292-AC292)</f>
        <v>0</v>
      </c>
      <c r="AM292" s="132" t="n">
        <f aca="false">CHOOSE($G$3,AF292-AG292,AG292-AF292)</f>
        <v>0</v>
      </c>
      <c r="AN292" s="132" t="n">
        <f aca="false">CHOOSE($G$3,AI292-AJ292,AJ292-AI292)</f>
        <v>0</v>
      </c>
      <c r="AO292" s="148" t="n">
        <f aca="false">SUM(AL292:AN292)</f>
        <v>0</v>
      </c>
      <c r="AQ292" s="132" t="n">
        <f aca="false">CHOOSE($G$3,AB292-AC292,AC292-AB292)</f>
        <v>0</v>
      </c>
      <c r="AR292" s="132" t="n">
        <f aca="false">CHOOSE($G$3,AE292-AF292,AF292-AE292)</f>
        <v>0</v>
      </c>
      <c r="AS292" s="132" t="n">
        <f aca="false">CHOOSE($G$3,AH292-AI292,AI292-AH292)</f>
        <v>0</v>
      </c>
      <c r="AT292" s="148" t="n">
        <f aca="false">AQ292+AR292+AS292</f>
        <v>0</v>
      </c>
      <c r="AU292" s="148"/>
      <c r="AV292" s="133" t="n">
        <f aca="false">AT292+AO292</f>
        <v>0</v>
      </c>
      <c r="AX292" s="133" t="n">
        <f aca="false">AJ292+AG292+AD292</f>
        <v>0</v>
      </c>
      <c r="AY292" s="149"/>
      <c r="AZ292" s="76" t="n">
        <f aca="false">R292*E292</f>
        <v>0</v>
      </c>
    </row>
    <row r="293" customFormat="false" ht="12" hidden="false" customHeight="true" outlineLevel="0" collapsed="false">
      <c r="A293" s="138" t="n">
        <f aca="false">EDATE(A292,1)</f>
        <v>45597</v>
      </c>
      <c r="B293" s="139" t="n">
        <f aca="false">VLOOKUP($A293,Table2,MATCH(I$3,Curves2,0))</f>
        <v>0</v>
      </c>
      <c r="C293" s="140"/>
      <c r="D293" s="141" t="n">
        <f aca="false">B293+C293</f>
        <v>0</v>
      </c>
      <c r="E293" s="126" t="n">
        <f aca="false">IF(Y293=0,0,IF(AND(Y293=1,$H$3=1),D293*T293,IF($H$3=2,D293,"N/A")))</f>
        <v>0</v>
      </c>
      <c r="F293" s="126" t="n">
        <f aca="false">E293*X293</f>
        <v>0</v>
      </c>
      <c r="G293" s="142" t="n">
        <f aca="false">VLOOKUP($A293,Table,MATCH(G$4,Curves,0))</f>
        <v>3.987</v>
      </c>
      <c r="H293" s="143" t="n">
        <f aca="false">G293</f>
        <v>3.987</v>
      </c>
      <c r="I293" s="142" t="n">
        <f aca="false">VLOOKUP($A293,Table1,MATCH(I$3,Curves1,0))</f>
        <v>0</v>
      </c>
      <c r="J293" s="142" t="n">
        <f aca="false">VLOOKUP($A293,Table,MATCH(J$4,Curves,0))</f>
        <v>-0.061</v>
      </c>
      <c r="K293" s="143" t="n">
        <f aca="false">J293</f>
        <v>-0.061</v>
      </c>
      <c r="L293" s="144" t="n">
        <v>0</v>
      </c>
      <c r="M293" s="142" t="n">
        <f aca="false">VLOOKUP($A293,Table,MATCH(M$4,Curves,0))</f>
        <v>0.005</v>
      </c>
      <c r="N293" s="143" t="n">
        <f aca="false">M293</f>
        <v>0.005</v>
      </c>
      <c r="O293" s="144" t="n">
        <v>0</v>
      </c>
      <c r="P293" s="145"/>
      <c r="Q293" s="144" t="n">
        <f aca="false">M293+J293+G293</f>
        <v>3.931</v>
      </c>
      <c r="R293" s="144" t="n">
        <f aca="false">O293+L293+I293</f>
        <v>0</v>
      </c>
      <c r="S293" s="145"/>
      <c r="T293" s="71" t="n">
        <f aca="false">A294-A293</f>
        <v>30</v>
      </c>
      <c r="U293" s="146" t="n">
        <f aca="false">CHOOSE(F$3,A294+24,A293)</f>
        <v>45651</v>
      </c>
      <c r="V293" s="71" t="n">
        <f aca="false">U293-C$3</f>
        <v>8763</v>
      </c>
      <c r="W293" s="142" t="n">
        <f aca="false">VLOOKUP($A293,Table,MATCH(W$4,Curves,0))</f>
        <v>0.058966861357273</v>
      </c>
      <c r="X293" s="147" t="n">
        <f aca="false">1/(1+CHOOSE(F$3,(W294+($K$3/10000))/2,(W293+($K$3/10000))/2))^(2*V293/365.25)</f>
        <v>0.248015009954777</v>
      </c>
      <c r="Y293" s="71" t="n">
        <f aca="false">IF(AND(mthbeg&lt;=A293,mthend&gt;=A293),1,0)</f>
        <v>0</v>
      </c>
      <c r="Z293" s="71" t="n">
        <f aca="false">T293*Y293</f>
        <v>0</v>
      </c>
      <c r="AB293" s="132" t="n">
        <f aca="false">F293*G293</f>
        <v>0</v>
      </c>
      <c r="AC293" s="132" t="n">
        <f aca="false">$F293*H293</f>
        <v>0</v>
      </c>
      <c r="AD293" s="132" t="n">
        <f aca="false">$F293*I293</f>
        <v>0</v>
      </c>
      <c r="AE293" s="132" t="n">
        <f aca="false">$F293*J293</f>
        <v>-0</v>
      </c>
      <c r="AF293" s="132" t="n">
        <f aca="false">$F293*K293</f>
        <v>-0</v>
      </c>
      <c r="AG293" s="132" t="n">
        <f aca="false">$F293*L293</f>
        <v>0</v>
      </c>
      <c r="AH293" s="132" t="n">
        <f aca="false">$F293*M293</f>
        <v>0</v>
      </c>
      <c r="AI293" s="132" t="n">
        <f aca="false">$F293*N293</f>
        <v>0</v>
      </c>
      <c r="AJ293" s="132" t="n">
        <f aca="false">F293*O293</f>
        <v>0</v>
      </c>
      <c r="AK293" s="137"/>
      <c r="AL293" s="132" t="n">
        <f aca="false">CHOOSE($G$3,AC293-AD293,AD293-AC293)</f>
        <v>0</v>
      </c>
      <c r="AM293" s="132" t="n">
        <f aca="false">CHOOSE($G$3,AF293-AG293,AG293-AF293)</f>
        <v>0</v>
      </c>
      <c r="AN293" s="132" t="n">
        <f aca="false">CHOOSE($G$3,AI293-AJ293,AJ293-AI293)</f>
        <v>0</v>
      </c>
      <c r="AO293" s="148" t="n">
        <f aca="false">SUM(AL293:AN293)</f>
        <v>0</v>
      </c>
      <c r="AQ293" s="132" t="n">
        <f aca="false">CHOOSE($G$3,AB293-AC293,AC293-AB293)</f>
        <v>0</v>
      </c>
      <c r="AR293" s="132" t="n">
        <f aca="false">CHOOSE($G$3,AE293-AF293,AF293-AE293)</f>
        <v>0</v>
      </c>
      <c r="AS293" s="132" t="n">
        <f aca="false">CHOOSE($G$3,AH293-AI293,AI293-AH293)</f>
        <v>0</v>
      </c>
      <c r="AT293" s="148" t="n">
        <f aca="false">AQ293+AR293+AS293</f>
        <v>0</v>
      </c>
      <c r="AU293" s="148"/>
      <c r="AV293" s="133" t="n">
        <f aca="false">AT293+AO293</f>
        <v>0</v>
      </c>
      <c r="AX293" s="133" t="n">
        <f aca="false">AJ293+AG293+AD293</f>
        <v>0</v>
      </c>
      <c r="AY293" s="149"/>
      <c r="AZ293" s="76" t="n">
        <f aca="false">R293*E293</f>
        <v>0</v>
      </c>
    </row>
    <row r="294" customFormat="false" ht="12" hidden="false" customHeight="true" outlineLevel="0" collapsed="false">
      <c r="A294" s="138" t="n">
        <f aca="false">EDATE(A293,1)</f>
        <v>45627</v>
      </c>
      <c r="B294" s="139" t="n">
        <f aca="false">VLOOKUP($A294,Table2,MATCH(I$3,Curves2,0))</f>
        <v>0</v>
      </c>
      <c r="C294" s="140"/>
      <c r="D294" s="141" t="n">
        <f aca="false">B294+C294</f>
        <v>0</v>
      </c>
      <c r="E294" s="126" t="n">
        <f aca="false">IF(Y294=0,0,IF(AND(Y294=1,$H$3=1),D294*T294,IF($H$3=2,D294,"N/A")))</f>
        <v>0</v>
      </c>
      <c r="F294" s="126" t="n">
        <f aca="false">E294*X294</f>
        <v>0</v>
      </c>
      <c r="G294" s="142" t="n">
        <f aca="false">VLOOKUP($A294,Table,MATCH(G$4,Curves,0))</f>
        <v>3.987</v>
      </c>
      <c r="H294" s="143" t="n">
        <f aca="false">G294</f>
        <v>3.987</v>
      </c>
      <c r="I294" s="142" t="n">
        <f aca="false">VLOOKUP($A294,Table1,MATCH(I$3,Curves1,0))</f>
        <v>0</v>
      </c>
      <c r="J294" s="142" t="n">
        <f aca="false">VLOOKUP($A294,Table,MATCH(J$4,Curves,0))</f>
        <v>-0.061</v>
      </c>
      <c r="K294" s="143" t="n">
        <f aca="false">J294</f>
        <v>-0.061</v>
      </c>
      <c r="L294" s="144" t="n">
        <v>0</v>
      </c>
      <c r="M294" s="142" t="n">
        <f aca="false">VLOOKUP($A294,Table,MATCH(M$4,Curves,0))</f>
        <v>0.005</v>
      </c>
      <c r="N294" s="143" t="n">
        <f aca="false">M294</f>
        <v>0.005</v>
      </c>
      <c r="O294" s="144" t="n">
        <v>0</v>
      </c>
      <c r="P294" s="145"/>
      <c r="Q294" s="144" t="n">
        <f aca="false">M294+J294+G294</f>
        <v>3.931</v>
      </c>
      <c r="R294" s="144" t="n">
        <f aca="false">O294+L294+I294</f>
        <v>0</v>
      </c>
      <c r="S294" s="145"/>
      <c r="T294" s="71" t="n">
        <f aca="false">A295-A294</f>
        <v>31</v>
      </c>
      <c r="U294" s="146" t="n">
        <f aca="false">CHOOSE(F$3,A295+24,A294)</f>
        <v>45682</v>
      </c>
      <c r="V294" s="71" t="n">
        <f aca="false">U294-C$3</f>
        <v>8794</v>
      </c>
      <c r="W294" s="142" t="n">
        <f aca="false">VLOOKUP($A294,Table,MATCH(W$4,Curves,0))</f>
        <v>0.058966861357273</v>
      </c>
      <c r="X294" s="147" t="n">
        <f aca="false">1/(1+CHOOSE(F$3,(W295+($K$3/10000))/2,(W294+($K$3/10000))/2))^(2*V294/365.25)</f>
        <v>0.246794723248366</v>
      </c>
      <c r="Y294" s="71" t="n">
        <f aca="false">IF(AND(mthbeg&lt;=A294,mthend&gt;=A294),1,0)</f>
        <v>0</v>
      </c>
      <c r="Z294" s="71" t="n">
        <f aca="false">T294*Y294</f>
        <v>0</v>
      </c>
      <c r="AB294" s="132" t="n">
        <f aca="false">F294*G294</f>
        <v>0</v>
      </c>
      <c r="AC294" s="132" t="n">
        <f aca="false">$F294*H294</f>
        <v>0</v>
      </c>
      <c r="AD294" s="132" t="n">
        <f aca="false">$F294*I294</f>
        <v>0</v>
      </c>
      <c r="AE294" s="132" t="n">
        <f aca="false">$F294*J294</f>
        <v>-0</v>
      </c>
      <c r="AF294" s="132" t="n">
        <f aca="false">$F294*K294</f>
        <v>-0</v>
      </c>
      <c r="AG294" s="132" t="n">
        <f aca="false">$F294*L294</f>
        <v>0</v>
      </c>
      <c r="AH294" s="132" t="n">
        <f aca="false">$F294*M294</f>
        <v>0</v>
      </c>
      <c r="AI294" s="132" t="n">
        <f aca="false">$F294*N294</f>
        <v>0</v>
      </c>
      <c r="AJ294" s="132" t="n">
        <f aca="false">F294*O294</f>
        <v>0</v>
      </c>
      <c r="AK294" s="137"/>
      <c r="AL294" s="132" t="n">
        <f aca="false">CHOOSE($G$3,AC294-AD294,AD294-AC294)</f>
        <v>0</v>
      </c>
      <c r="AM294" s="132" t="n">
        <f aca="false">CHOOSE($G$3,AF294-AG294,AG294-AF294)</f>
        <v>0</v>
      </c>
      <c r="AN294" s="132" t="n">
        <f aca="false">CHOOSE($G$3,AI294-AJ294,AJ294-AI294)</f>
        <v>0</v>
      </c>
      <c r="AO294" s="148" t="n">
        <f aca="false">SUM(AL294:AN294)</f>
        <v>0</v>
      </c>
      <c r="AQ294" s="132" t="n">
        <f aca="false">CHOOSE($G$3,AB294-AC294,AC294-AB294)</f>
        <v>0</v>
      </c>
      <c r="AR294" s="132" t="n">
        <f aca="false">CHOOSE($G$3,AE294-AF294,AF294-AE294)</f>
        <v>0</v>
      </c>
      <c r="AS294" s="132" t="n">
        <f aca="false">CHOOSE($G$3,AH294-AI294,AI294-AH294)</f>
        <v>0</v>
      </c>
      <c r="AT294" s="148" t="n">
        <f aca="false">AQ294+AR294+AS294</f>
        <v>0</v>
      </c>
      <c r="AU294" s="148"/>
      <c r="AV294" s="133" t="n">
        <f aca="false">AT294+AO294</f>
        <v>0</v>
      </c>
      <c r="AX294" s="133" t="n">
        <f aca="false">AJ294+AG294+AD294</f>
        <v>0</v>
      </c>
      <c r="AY294" s="149"/>
      <c r="AZ294" s="76" t="n">
        <f aca="false">R294*E294</f>
        <v>0</v>
      </c>
    </row>
    <row r="295" customFormat="false" ht="12" hidden="false" customHeight="true" outlineLevel="0" collapsed="false">
      <c r="A295" s="138" t="n">
        <f aca="false">EDATE(A294,1)</f>
        <v>45658</v>
      </c>
      <c r="B295" s="139" t="n">
        <f aca="false">VLOOKUP($A295,Table2,MATCH(I$3,Curves2,0))</f>
        <v>0</v>
      </c>
      <c r="C295" s="140"/>
      <c r="D295" s="141" t="n">
        <f aca="false">B295+C295</f>
        <v>0</v>
      </c>
      <c r="E295" s="126" t="n">
        <f aca="false">IF(Y295=0,0,IF(AND(Y295=1,$H$3=1),D295*T295,IF($H$3=2,D295,"N/A")))</f>
        <v>0</v>
      </c>
      <c r="F295" s="126" t="n">
        <f aca="false">E295*X295</f>
        <v>0</v>
      </c>
      <c r="G295" s="142" t="n">
        <f aca="false">VLOOKUP($A295,Table,MATCH(G$4,Curves,0))</f>
        <v>3.987</v>
      </c>
      <c r="H295" s="143" t="n">
        <f aca="false">G295</f>
        <v>3.987</v>
      </c>
      <c r="I295" s="142" t="n">
        <f aca="false">VLOOKUP($A295,Table1,MATCH(I$3,Curves1,0))</f>
        <v>0</v>
      </c>
      <c r="J295" s="142" t="n">
        <f aca="false">VLOOKUP($A295,Table,MATCH(J$4,Curves,0))</f>
        <v>-0.061</v>
      </c>
      <c r="K295" s="143" t="n">
        <f aca="false">J295</f>
        <v>-0.061</v>
      </c>
      <c r="L295" s="144" t="n">
        <v>0</v>
      </c>
      <c r="M295" s="142" t="n">
        <f aca="false">VLOOKUP($A295,Table,MATCH(M$4,Curves,0))</f>
        <v>0.005</v>
      </c>
      <c r="N295" s="143" t="n">
        <f aca="false">M295</f>
        <v>0.005</v>
      </c>
      <c r="O295" s="144" t="n">
        <v>0</v>
      </c>
      <c r="P295" s="145"/>
      <c r="Q295" s="144" t="n">
        <f aca="false">M295+J295+G295</f>
        <v>3.931</v>
      </c>
      <c r="R295" s="144" t="n">
        <f aca="false">O295+L295+I295</f>
        <v>0</v>
      </c>
      <c r="S295" s="145"/>
      <c r="T295" s="71" t="n">
        <f aca="false">A296-A295</f>
        <v>31</v>
      </c>
      <c r="U295" s="146" t="n">
        <f aca="false">CHOOSE(F$3,A296+24,A295)</f>
        <v>45713</v>
      </c>
      <c r="V295" s="71" t="n">
        <f aca="false">U295-C$3</f>
        <v>8825</v>
      </c>
      <c r="W295" s="142" t="n">
        <f aca="false">VLOOKUP($A295,Table,MATCH(W$4,Curves,0))</f>
        <v>0.058966861357273</v>
      </c>
      <c r="X295" s="147" t="n">
        <f aca="false">1/(1+CHOOSE(F$3,(W296+($K$3/10000))/2,(W295+($K$3/10000))/2))^(2*V295/365.25)</f>
        <v>0.24558044061262</v>
      </c>
      <c r="Y295" s="71" t="n">
        <f aca="false">IF(AND(mthbeg&lt;=A295,mthend&gt;=A295),1,0)</f>
        <v>0</v>
      </c>
      <c r="Z295" s="71" t="n">
        <f aca="false">T295*Y295</f>
        <v>0</v>
      </c>
      <c r="AB295" s="132" t="n">
        <f aca="false">F295*G295</f>
        <v>0</v>
      </c>
      <c r="AC295" s="132" t="n">
        <f aca="false">$F295*H295</f>
        <v>0</v>
      </c>
      <c r="AD295" s="132" t="n">
        <f aca="false">$F295*I295</f>
        <v>0</v>
      </c>
      <c r="AE295" s="132" t="n">
        <f aca="false">$F295*J295</f>
        <v>-0</v>
      </c>
      <c r="AF295" s="132" t="n">
        <f aca="false">$F295*K295</f>
        <v>-0</v>
      </c>
      <c r="AG295" s="132" t="n">
        <f aca="false">$F295*L295</f>
        <v>0</v>
      </c>
      <c r="AH295" s="132" t="n">
        <f aca="false">$F295*M295</f>
        <v>0</v>
      </c>
      <c r="AI295" s="132" t="n">
        <f aca="false">$F295*N295</f>
        <v>0</v>
      </c>
      <c r="AJ295" s="132" t="n">
        <f aca="false">F295*O295</f>
        <v>0</v>
      </c>
      <c r="AK295" s="137"/>
      <c r="AL295" s="132" t="n">
        <f aca="false">CHOOSE($G$3,AC295-AD295,AD295-AC295)</f>
        <v>0</v>
      </c>
      <c r="AM295" s="132" t="n">
        <f aca="false">CHOOSE($G$3,AF295-AG295,AG295-AF295)</f>
        <v>0</v>
      </c>
      <c r="AN295" s="132" t="n">
        <f aca="false">CHOOSE($G$3,AI295-AJ295,AJ295-AI295)</f>
        <v>0</v>
      </c>
      <c r="AO295" s="148" t="n">
        <f aca="false">SUM(AL295:AN295)</f>
        <v>0</v>
      </c>
      <c r="AQ295" s="132" t="n">
        <f aca="false">CHOOSE($G$3,AB295-AC295,AC295-AB295)</f>
        <v>0</v>
      </c>
      <c r="AR295" s="132" t="n">
        <f aca="false">CHOOSE($G$3,AE295-AF295,AF295-AE295)</f>
        <v>0</v>
      </c>
      <c r="AS295" s="132" t="n">
        <f aca="false">CHOOSE($G$3,AH295-AI295,AI295-AH295)</f>
        <v>0</v>
      </c>
      <c r="AT295" s="148" t="n">
        <f aca="false">AQ295+AR295+AS295</f>
        <v>0</v>
      </c>
      <c r="AU295" s="148"/>
      <c r="AV295" s="133" t="n">
        <f aca="false">AT295+AO295</f>
        <v>0</v>
      </c>
      <c r="AX295" s="133" t="n">
        <f aca="false">AJ295+AG295+AD295</f>
        <v>0</v>
      </c>
      <c r="AY295" s="149"/>
      <c r="AZ295" s="76" t="n">
        <f aca="false">R295*E295</f>
        <v>0</v>
      </c>
    </row>
    <row r="296" customFormat="false" ht="12" hidden="false" customHeight="true" outlineLevel="0" collapsed="false">
      <c r="A296" s="138" t="n">
        <f aca="false">EDATE(A295,1)</f>
        <v>45689</v>
      </c>
      <c r="B296" s="139" t="n">
        <f aca="false">VLOOKUP($A296,Table2,MATCH(I$3,Curves2,0))</f>
        <v>0</v>
      </c>
      <c r="C296" s="140"/>
      <c r="D296" s="141" t="n">
        <f aca="false">B296+C296</f>
        <v>0</v>
      </c>
      <c r="E296" s="126" t="n">
        <f aca="false">IF(Y296=0,0,IF(AND(Y296=1,$H$3=1),D296*T296,IF($H$3=2,D296,"N/A")))</f>
        <v>0</v>
      </c>
      <c r="F296" s="126" t="n">
        <f aca="false">E296*X296</f>
        <v>0</v>
      </c>
      <c r="G296" s="142" t="n">
        <f aca="false">VLOOKUP($A296,Table,MATCH(G$4,Curves,0))</f>
        <v>3.987</v>
      </c>
      <c r="H296" s="143" t="n">
        <f aca="false">G296</f>
        <v>3.987</v>
      </c>
      <c r="I296" s="142" t="n">
        <f aca="false">VLOOKUP($A296,Table1,MATCH(I$3,Curves1,0))</f>
        <v>0</v>
      </c>
      <c r="J296" s="142" t="n">
        <f aca="false">VLOOKUP($A296,Table,MATCH(J$4,Curves,0))</f>
        <v>-0.061</v>
      </c>
      <c r="K296" s="143" t="n">
        <f aca="false">J296</f>
        <v>-0.061</v>
      </c>
      <c r="L296" s="144" t="n">
        <v>0</v>
      </c>
      <c r="M296" s="142" t="n">
        <f aca="false">VLOOKUP($A296,Table,MATCH(M$4,Curves,0))</f>
        <v>0.005</v>
      </c>
      <c r="N296" s="143" t="n">
        <f aca="false">M296</f>
        <v>0.005</v>
      </c>
      <c r="O296" s="144" t="n">
        <v>0</v>
      </c>
      <c r="P296" s="145"/>
      <c r="Q296" s="144" t="n">
        <f aca="false">M296+J296+G296</f>
        <v>3.931</v>
      </c>
      <c r="R296" s="144" t="n">
        <f aca="false">O296+L296+I296</f>
        <v>0</v>
      </c>
      <c r="S296" s="145"/>
      <c r="T296" s="71" t="n">
        <f aca="false">A297-A296</f>
        <v>28</v>
      </c>
      <c r="U296" s="146" t="n">
        <f aca="false">CHOOSE(F$3,A297+24,A296)</f>
        <v>45741</v>
      </c>
      <c r="V296" s="71" t="n">
        <f aca="false">U296-C$3</f>
        <v>8853</v>
      </c>
      <c r="W296" s="142" t="n">
        <f aca="false">VLOOKUP($A296,Table,MATCH(W$4,Curves,0))</f>
        <v>0.058966861357273</v>
      </c>
      <c r="X296" s="147" t="n">
        <f aca="false">1/(1+CHOOSE(F$3,(W297+($K$3/10000))/2,(W296+($K$3/10000))/2))^(2*V296/365.25)</f>
        <v>0.244488805251268</v>
      </c>
      <c r="Y296" s="71" t="n">
        <f aca="false">IF(AND(mthbeg&lt;=A296,mthend&gt;=A296),1,0)</f>
        <v>0</v>
      </c>
      <c r="Z296" s="71" t="n">
        <f aca="false">T296*Y296</f>
        <v>0</v>
      </c>
      <c r="AB296" s="132" t="n">
        <f aca="false">F296*G296</f>
        <v>0</v>
      </c>
      <c r="AC296" s="132" t="n">
        <f aca="false">$F296*H296</f>
        <v>0</v>
      </c>
      <c r="AD296" s="132" t="n">
        <f aca="false">$F296*I296</f>
        <v>0</v>
      </c>
      <c r="AE296" s="132" t="n">
        <f aca="false">$F296*J296</f>
        <v>-0</v>
      </c>
      <c r="AF296" s="132" t="n">
        <f aca="false">$F296*K296</f>
        <v>-0</v>
      </c>
      <c r="AG296" s="132" t="n">
        <f aca="false">$F296*L296</f>
        <v>0</v>
      </c>
      <c r="AH296" s="132" t="n">
        <f aca="false">$F296*M296</f>
        <v>0</v>
      </c>
      <c r="AI296" s="132" t="n">
        <f aca="false">$F296*N296</f>
        <v>0</v>
      </c>
      <c r="AJ296" s="132" t="n">
        <f aca="false">F296*O296</f>
        <v>0</v>
      </c>
      <c r="AK296" s="137"/>
      <c r="AL296" s="132" t="n">
        <f aca="false">CHOOSE($G$3,AC296-AD296,AD296-AC296)</f>
        <v>0</v>
      </c>
      <c r="AM296" s="132" t="n">
        <f aca="false">CHOOSE($G$3,AF296-AG296,AG296-AF296)</f>
        <v>0</v>
      </c>
      <c r="AN296" s="132" t="n">
        <f aca="false">CHOOSE($G$3,AI296-AJ296,AJ296-AI296)</f>
        <v>0</v>
      </c>
      <c r="AO296" s="148" t="n">
        <f aca="false">SUM(AL296:AN296)</f>
        <v>0</v>
      </c>
      <c r="AQ296" s="132" t="n">
        <f aca="false">CHOOSE($G$3,AB296-AC296,AC296-AB296)</f>
        <v>0</v>
      </c>
      <c r="AR296" s="132" t="n">
        <f aca="false">CHOOSE($G$3,AE296-AF296,AF296-AE296)</f>
        <v>0</v>
      </c>
      <c r="AS296" s="132" t="n">
        <f aca="false">CHOOSE($G$3,AH296-AI296,AI296-AH296)</f>
        <v>0</v>
      </c>
      <c r="AT296" s="148" t="n">
        <f aca="false">AQ296+AR296+AS296</f>
        <v>0</v>
      </c>
      <c r="AU296" s="148"/>
      <c r="AV296" s="133" t="n">
        <f aca="false">AT296+AO296</f>
        <v>0</v>
      </c>
      <c r="AX296" s="133" t="n">
        <f aca="false">AJ296+AG296+AD296</f>
        <v>0</v>
      </c>
      <c r="AY296" s="149"/>
      <c r="AZ296" s="76" t="n">
        <f aca="false">R296*E296</f>
        <v>0</v>
      </c>
    </row>
    <row r="297" customFormat="false" ht="12" hidden="false" customHeight="true" outlineLevel="0" collapsed="false">
      <c r="A297" s="138" t="n">
        <f aca="false">EDATE(A296,1)</f>
        <v>45717</v>
      </c>
      <c r="B297" s="139" t="n">
        <f aca="false">VLOOKUP($A297,Table2,MATCH(I$3,Curves2,0))</f>
        <v>0</v>
      </c>
      <c r="C297" s="140"/>
      <c r="D297" s="141" t="n">
        <f aca="false">B297+C297</f>
        <v>0</v>
      </c>
      <c r="E297" s="126" t="n">
        <f aca="false">IF(Y297=0,0,IF(AND(Y297=1,$H$3=1),D297*T297,IF($H$3=2,D297,"N/A")))</f>
        <v>0</v>
      </c>
      <c r="F297" s="126" t="n">
        <f aca="false">E297*X297</f>
        <v>0</v>
      </c>
      <c r="G297" s="142" t="n">
        <f aca="false">VLOOKUP($A297,Table,MATCH(G$4,Curves,0))</f>
        <v>3.987</v>
      </c>
      <c r="H297" s="143" t="n">
        <f aca="false">G297</f>
        <v>3.987</v>
      </c>
      <c r="I297" s="142" t="n">
        <f aca="false">VLOOKUP($A297,Table1,MATCH(I$3,Curves1,0))</f>
        <v>0</v>
      </c>
      <c r="J297" s="142" t="n">
        <f aca="false">VLOOKUP($A297,Table,MATCH(J$4,Curves,0))</f>
        <v>-0.061</v>
      </c>
      <c r="K297" s="143" t="n">
        <f aca="false">J297</f>
        <v>-0.061</v>
      </c>
      <c r="L297" s="144" t="n">
        <v>0</v>
      </c>
      <c r="M297" s="142" t="n">
        <f aca="false">VLOOKUP($A297,Table,MATCH(M$4,Curves,0))</f>
        <v>0.005</v>
      </c>
      <c r="N297" s="143" t="n">
        <f aca="false">M297</f>
        <v>0.005</v>
      </c>
      <c r="O297" s="144" t="n">
        <v>0</v>
      </c>
      <c r="P297" s="145"/>
      <c r="Q297" s="144" t="n">
        <f aca="false">M297+J297+G297</f>
        <v>3.931</v>
      </c>
      <c r="R297" s="144" t="n">
        <f aca="false">O297+L297+I297</f>
        <v>0</v>
      </c>
      <c r="S297" s="145"/>
      <c r="T297" s="71" t="n">
        <f aca="false">A298-A297</f>
        <v>31</v>
      </c>
      <c r="U297" s="146" t="n">
        <f aca="false">CHOOSE(F$3,A298+24,A297)</f>
        <v>45772</v>
      </c>
      <c r="V297" s="71" t="n">
        <f aca="false">U297-C$3</f>
        <v>8884</v>
      </c>
      <c r="W297" s="142" t="n">
        <f aca="false">VLOOKUP($A297,Table,MATCH(W$4,Curves,0))</f>
        <v>0.058966861357273</v>
      </c>
      <c r="X297" s="147" t="n">
        <f aca="false">1/(1+CHOOSE(F$3,(W298+($K$3/10000))/2,(W297+($K$3/10000))/2))^(2*V297/365.25)</f>
        <v>0.24328586822351</v>
      </c>
      <c r="Y297" s="71" t="n">
        <f aca="false">IF(AND(mthbeg&lt;=A297,mthend&gt;=A297),1,0)</f>
        <v>0</v>
      </c>
      <c r="Z297" s="71" t="n">
        <f aca="false">T297*Y297</f>
        <v>0</v>
      </c>
      <c r="AB297" s="132" t="n">
        <f aca="false">F297*G297</f>
        <v>0</v>
      </c>
      <c r="AC297" s="132" t="n">
        <f aca="false">$F297*H297</f>
        <v>0</v>
      </c>
      <c r="AD297" s="132" t="n">
        <f aca="false">$F297*I297</f>
        <v>0</v>
      </c>
      <c r="AE297" s="132" t="n">
        <f aca="false">$F297*J297</f>
        <v>-0</v>
      </c>
      <c r="AF297" s="132" t="n">
        <f aca="false">$F297*K297</f>
        <v>-0</v>
      </c>
      <c r="AG297" s="132" t="n">
        <f aca="false">$F297*L297</f>
        <v>0</v>
      </c>
      <c r="AH297" s="132" t="n">
        <f aca="false">$F297*M297</f>
        <v>0</v>
      </c>
      <c r="AI297" s="132" t="n">
        <f aca="false">$F297*N297</f>
        <v>0</v>
      </c>
      <c r="AJ297" s="132" t="n">
        <f aca="false">F297*O297</f>
        <v>0</v>
      </c>
      <c r="AK297" s="137"/>
      <c r="AL297" s="132" t="n">
        <f aca="false">CHOOSE($G$3,AC297-AD297,AD297-AC297)</f>
        <v>0</v>
      </c>
      <c r="AM297" s="132" t="n">
        <f aca="false">CHOOSE($G$3,AF297-AG297,AG297-AF297)</f>
        <v>0</v>
      </c>
      <c r="AN297" s="132" t="n">
        <f aca="false">CHOOSE($G$3,AI297-AJ297,AJ297-AI297)</f>
        <v>0</v>
      </c>
      <c r="AO297" s="148" t="n">
        <f aca="false">SUM(AL297:AN297)</f>
        <v>0</v>
      </c>
      <c r="AQ297" s="132" t="n">
        <f aca="false">CHOOSE($G$3,AB297-AC297,AC297-AB297)</f>
        <v>0</v>
      </c>
      <c r="AR297" s="132" t="n">
        <f aca="false">CHOOSE($G$3,AE297-AF297,AF297-AE297)</f>
        <v>0</v>
      </c>
      <c r="AS297" s="132" t="n">
        <f aca="false">CHOOSE($G$3,AH297-AI297,AI297-AH297)</f>
        <v>0</v>
      </c>
      <c r="AT297" s="148" t="n">
        <f aca="false">AQ297+AR297+AS297</f>
        <v>0</v>
      </c>
      <c r="AU297" s="148"/>
      <c r="AV297" s="133" t="n">
        <f aca="false">AT297+AO297</f>
        <v>0</v>
      </c>
      <c r="AX297" s="133" t="n">
        <f aca="false">AJ297+AG297+AD297</f>
        <v>0</v>
      </c>
      <c r="AY297" s="149"/>
      <c r="AZ297" s="76" t="n">
        <f aca="false">R297*E297</f>
        <v>0</v>
      </c>
    </row>
    <row r="298" customFormat="false" ht="12" hidden="false" customHeight="true" outlineLevel="0" collapsed="false">
      <c r="A298" s="138" t="n">
        <f aca="false">EDATE(A297,1)</f>
        <v>45748</v>
      </c>
      <c r="B298" s="139" t="n">
        <f aca="false">VLOOKUP($A298,Table2,MATCH(I$3,Curves2,0))</f>
        <v>0</v>
      </c>
      <c r="C298" s="140"/>
      <c r="D298" s="141" t="n">
        <f aca="false">B298+C298</f>
        <v>0</v>
      </c>
      <c r="E298" s="126" t="n">
        <f aca="false">IF(Y298=0,0,IF(AND(Y298=1,$H$3=1),D298*T298,IF($H$3=2,D298,"N/A")))</f>
        <v>0</v>
      </c>
      <c r="F298" s="126" t="n">
        <f aca="false">E298*X298</f>
        <v>0</v>
      </c>
      <c r="G298" s="142" t="n">
        <f aca="false">VLOOKUP($A298,Table,MATCH(G$4,Curves,0))</f>
        <v>3.987</v>
      </c>
      <c r="H298" s="143" t="n">
        <f aca="false">G298</f>
        <v>3.987</v>
      </c>
      <c r="I298" s="142" t="n">
        <f aca="false">VLOOKUP($A298,Table1,MATCH(I$3,Curves1,0))</f>
        <v>0</v>
      </c>
      <c r="J298" s="142" t="n">
        <f aca="false">VLOOKUP($A298,Table,MATCH(J$4,Curves,0))</f>
        <v>-0.061</v>
      </c>
      <c r="K298" s="143" t="n">
        <f aca="false">J298</f>
        <v>-0.061</v>
      </c>
      <c r="L298" s="144" t="n">
        <v>0</v>
      </c>
      <c r="M298" s="142" t="n">
        <f aca="false">VLOOKUP($A298,Table,MATCH(M$4,Curves,0))</f>
        <v>0.005</v>
      </c>
      <c r="N298" s="143" t="n">
        <f aca="false">M298</f>
        <v>0.005</v>
      </c>
      <c r="O298" s="144" t="n">
        <v>0</v>
      </c>
      <c r="P298" s="145"/>
      <c r="Q298" s="144" t="n">
        <f aca="false">M298+J298+G298</f>
        <v>3.931</v>
      </c>
      <c r="R298" s="144" t="n">
        <f aca="false">O298+L298+I298</f>
        <v>0</v>
      </c>
      <c r="S298" s="145"/>
      <c r="T298" s="71" t="n">
        <f aca="false">A299-A298</f>
        <v>30</v>
      </c>
      <c r="U298" s="146" t="n">
        <f aca="false">CHOOSE(F$3,A299+24,A298)</f>
        <v>45802</v>
      </c>
      <c r="V298" s="71" t="n">
        <f aca="false">U298-C$3</f>
        <v>8914</v>
      </c>
      <c r="W298" s="142" t="n">
        <f aca="false">VLOOKUP($A298,Table,MATCH(W$4,Curves,0))</f>
        <v>0.058966861357273</v>
      </c>
      <c r="X298" s="147" t="n">
        <f aca="false">1/(1+CHOOSE(F$3,(W299+($K$3/10000))/2,(W298+($K$3/10000))/2))^(2*V298/365.25)</f>
        <v>0.242127371311499</v>
      </c>
      <c r="Y298" s="71" t="n">
        <f aca="false">IF(AND(mthbeg&lt;=A298,mthend&gt;=A298),1,0)</f>
        <v>0</v>
      </c>
      <c r="Z298" s="71" t="n">
        <f aca="false">T298*Y298</f>
        <v>0</v>
      </c>
      <c r="AB298" s="132" t="n">
        <f aca="false">F298*G298</f>
        <v>0</v>
      </c>
      <c r="AC298" s="132" t="n">
        <f aca="false">$F298*H298</f>
        <v>0</v>
      </c>
      <c r="AD298" s="132" t="n">
        <f aca="false">$F298*I298</f>
        <v>0</v>
      </c>
      <c r="AE298" s="132" t="n">
        <f aca="false">$F298*J298</f>
        <v>-0</v>
      </c>
      <c r="AF298" s="132" t="n">
        <f aca="false">$F298*K298</f>
        <v>-0</v>
      </c>
      <c r="AG298" s="132" t="n">
        <f aca="false">$F298*L298</f>
        <v>0</v>
      </c>
      <c r="AH298" s="132" t="n">
        <f aca="false">$F298*M298</f>
        <v>0</v>
      </c>
      <c r="AI298" s="132" t="n">
        <f aca="false">$F298*N298</f>
        <v>0</v>
      </c>
      <c r="AJ298" s="132" t="n">
        <f aca="false">F298*O298</f>
        <v>0</v>
      </c>
      <c r="AK298" s="137"/>
      <c r="AL298" s="132" t="n">
        <f aca="false">CHOOSE($G$3,AC298-AD298,AD298-AC298)</f>
        <v>0</v>
      </c>
      <c r="AM298" s="132" t="n">
        <f aca="false">CHOOSE($G$3,AF298-AG298,AG298-AF298)</f>
        <v>0</v>
      </c>
      <c r="AN298" s="132" t="n">
        <f aca="false">CHOOSE($G$3,AI298-AJ298,AJ298-AI298)</f>
        <v>0</v>
      </c>
      <c r="AO298" s="148" t="n">
        <f aca="false">SUM(AL298:AN298)</f>
        <v>0</v>
      </c>
      <c r="AQ298" s="132" t="n">
        <f aca="false">CHOOSE($G$3,AB298-AC298,AC298-AB298)</f>
        <v>0</v>
      </c>
      <c r="AR298" s="132" t="n">
        <f aca="false">CHOOSE($G$3,AE298-AF298,AF298-AE298)</f>
        <v>0</v>
      </c>
      <c r="AS298" s="132" t="n">
        <f aca="false">CHOOSE($G$3,AH298-AI298,AI298-AH298)</f>
        <v>0</v>
      </c>
      <c r="AT298" s="148" t="n">
        <f aca="false">AQ298+AR298+AS298</f>
        <v>0</v>
      </c>
      <c r="AU298" s="148"/>
      <c r="AV298" s="133" t="n">
        <f aca="false">AT298+AO298</f>
        <v>0</v>
      </c>
      <c r="AX298" s="133" t="n">
        <f aca="false">AJ298+AG298+AD298</f>
        <v>0</v>
      </c>
      <c r="AY298" s="149"/>
      <c r="AZ298" s="76" t="n">
        <f aca="false">R298*E298</f>
        <v>0</v>
      </c>
    </row>
    <row r="299" customFormat="false" ht="12" hidden="false" customHeight="true" outlineLevel="0" collapsed="false">
      <c r="A299" s="138" t="n">
        <f aca="false">EDATE(A298,1)</f>
        <v>45778</v>
      </c>
      <c r="B299" s="139" t="n">
        <f aca="false">VLOOKUP($A299,Table2,MATCH(I$3,Curves2,0))</f>
        <v>0</v>
      </c>
      <c r="C299" s="140"/>
      <c r="D299" s="141" t="n">
        <f aca="false">B299+C299</f>
        <v>0</v>
      </c>
      <c r="E299" s="126" t="n">
        <f aca="false">IF(Y299=0,0,IF(AND(Y299=1,$H$3=1),D299*T299,IF($H$3=2,D299,"N/A")))</f>
        <v>0</v>
      </c>
      <c r="F299" s="126" t="n">
        <f aca="false">E299*X299</f>
        <v>0</v>
      </c>
      <c r="G299" s="142" t="n">
        <f aca="false">VLOOKUP($A299,Table,MATCH(G$4,Curves,0))</f>
        <v>3.987</v>
      </c>
      <c r="H299" s="143" t="n">
        <f aca="false">G299</f>
        <v>3.987</v>
      </c>
      <c r="I299" s="142" t="n">
        <f aca="false">VLOOKUP($A299,Table1,MATCH(I$3,Curves1,0))</f>
        <v>0</v>
      </c>
      <c r="J299" s="142" t="n">
        <f aca="false">VLOOKUP($A299,Table,MATCH(J$4,Curves,0))</f>
        <v>-0.061</v>
      </c>
      <c r="K299" s="143" t="n">
        <f aca="false">J299</f>
        <v>-0.061</v>
      </c>
      <c r="L299" s="144" t="n">
        <v>0</v>
      </c>
      <c r="M299" s="142" t="n">
        <f aca="false">VLOOKUP($A299,Table,MATCH(M$4,Curves,0))</f>
        <v>0.005</v>
      </c>
      <c r="N299" s="143" t="n">
        <f aca="false">M299</f>
        <v>0.005</v>
      </c>
      <c r="O299" s="144" t="n">
        <v>0</v>
      </c>
      <c r="P299" s="145"/>
      <c r="Q299" s="144" t="n">
        <f aca="false">M299+J299+G299</f>
        <v>3.931</v>
      </c>
      <c r="R299" s="144" t="n">
        <f aca="false">O299+L299+I299</f>
        <v>0</v>
      </c>
      <c r="S299" s="145"/>
      <c r="T299" s="71" t="n">
        <f aca="false">A300-A299</f>
        <v>31</v>
      </c>
      <c r="U299" s="146" t="n">
        <f aca="false">CHOOSE(F$3,A300+24,A299)</f>
        <v>45833</v>
      </c>
      <c r="V299" s="71" t="n">
        <f aca="false">U299-C$3</f>
        <v>8945</v>
      </c>
      <c r="W299" s="142" t="n">
        <f aca="false">VLOOKUP($A299,Table,MATCH(W$4,Curves,0))</f>
        <v>0.058966861357273</v>
      </c>
      <c r="X299" s="147" t="n">
        <f aca="false">1/(1+CHOOSE(F$3,(W300+($K$3/10000))/2,(W299+($K$3/10000))/2))^(2*V299/365.25)</f>
        <v>0.240936053041997</v>
      </c>
      <c r="Y299" s="71" t="n">
        <f aca="false">IF(AND(mthbeg&lt;=A299,mthend&gt;=A299),1,0)</f>
        <v>0</v>
      </c>
      <c r="Z299" s="71" t="n">
        <f aca="false">T299*Y299</f>
        <v>0</v>
      </c>
      <c r="AB299" s="132" t="n">
        <f aca="false">F299*G299</f>
        <v>0</v>
      </c>
      <c r="AC299" s="132" t="n">
        <f aca="false">$F299*H299</f>
        <v>0</v>
      </c>
      <c r="AD299" s="132" t="n">
        <f aca="false">$F299*I299</f>
        <v>0</v>
      </c>
      <c r="AE299" s="132" t="n">
        <f aca="false">$F299*J299</f>
        <v>-0</v>
      </c>
      <c r="AF299" s="132" t="n">
        <f aca="false">$F299*K299</f>
        <v>-0</v>
      </c>
      <c r="AG299" s="132" t="n">
        <f aca="false">$F299*L299</f>
        <v>0</v>
      </c>
      <c r="AH299" s="132" t="n">
        <f aca="false">$F299*M299</f>
        <v>0</v>
      </c>
      <c r="AI299" s="132" t="n">
        <f aca="false">$F299*N299</f>
        <v>0</v>
      </c>
      <c r="AJ299" s="132" t="n">
        <f aca="false">F299*O299</f>
        <v>0</v>
      </c>
      <c r="AK299" s="137"/>
      <c r="AL299" s="132" t="n">
        <f aca="false">CHOOSE($G$3,AC299-AD299,AD299-AC299)</f>
        <v>0</v>
      </c>
      <c r="AM299" s="132" t="n">
        <f aca="false">CHOOSE($G$3,AF299-AG299,AG299-AF299)</f>
        <v>0</v>
      </c>
      <c r="AN299" s="132" t="n">
        <f aca="false">CHOOSE($G$3,AI299-AJ299,AJ299-AI299)</f>
        <v>0</v>
      </c>
      <c r="AO299" s="148" t="n">
        <f aca="false">SUM(AL299:AN299)</f>
        <v>0</v>
      </c>
      <c r="AQ299" s="132" t="n">
        <f aca="false">CHOOSE($G$3,AB299-AC299,AC299-AB299)</f>
        <v>0</v>
      </c>
      <c r="AR299" s="132" t="n">
        <f aca="false">CHOOSE($G$3,AE299-AF299,AF299-AE299)</f>
        <v>0</v>
      </c>
      <c r="AS299" s="132" t="n">
        <f aca="false">CHOOSE($G$3,AH299-AI299,AI299-AH299)</f>
        <v>0</v>
      </c>
      <c r="AT299" s="148" t="n">
        <f aca="false">AQ299+AR299+AS299</f>
        <v>0</v>
      </c>
      <c r="AU299" s="148"/>
      <c r="AV299" s="133" t="n">
        <f aca="false">AT299+AO299</f>
        <v>0</v>
      </c>
      <c r="AX299" s="133" t="n">
        <f aca="false">AJ299+AG299+AD299</f>
        <v>0</v>
      </c>
      <c r="AY299" s="149"/>
      <c r="AZ299" s="76" t="n">
        <f aca="false">R299*E299</f>
        <v>0</v>
      </c>
    </row>
    <row r="300" customFormat="false" ht="12" hidden="false" customHeight="true" outlineLevel="0" collapsed="false">
      <c r="A300" s="138" t="n">
        <f aca="false">EDATE(A299,1)</f>
        <v>45809</v>
      </c>
      <c r="B300" s="139" t="n">
        <f aca="false">VLOOKUP($A300,Table2,MATCH(I$3,Curves2,0))</f>
        <v>0</v>
      </c>
      <c r="C300" s="140"/>
      <c r="D300" s="141" t="n">
        <f aca="false">B300+C300</f>
        <v>0</v>
      </c>
      <c r="E300" s="126" t="n">
        <f aca="false">IF(Y300=0,0,IF(AND(Y300=1,$H$3=1),D300*T300,IF($H$3=2,D300,"N/A")))</f>
        <v>0</v>
      </c>
      <c r="F300" s="126" t="n">
        <f aca="false">E300*X300</f>
        <v>0</v>
      </c>
      <c r="G300" s="142" t="n">
        <f aca="false">VLOOKUP($A300,Table,MATCH(G$4,Curves,0))</f>
        <v>3.987</v>
      </c>
      <c r="H300" s="143" t="n">
        <f aca="false">G300</f>
        <v>3.987</v>
      </c>
      <c r="I300" s="142" t="n">
        <f aca="false">VLOOKUP($A300,Table1,MATCH(I$3,Curves1,0))</f>
        <v>0</v>
      </c>
      <c r="J300" s="142" t="n">
        <f aca="false">VLOOKUP($A300,Table,MATCH(J$4,Curves,0))</f>
        <v>-0.061</v>
      </c>
      <c r="K300" s="143" t="n">
        <f aca="false">J300</f>
        <v>-0.061</v>
      </c>
      <c r="L300" s="144" t="n">
        <v>0</v>
      </c>
      <c r="M300" s="142" t="n">
        <f aca="false">VLOOKUP($A300,Table,MATCH(M$4,Curves,0))</f>
        <v>0.005</v>
      </c>
      <c r="N300" s="143" t="n">
        <f aca="false">M300</f>
        <v>0.005</v>
      </c>
      <c r="O300" s="144" t="n">
        <v>0</v>
      </c>
      <c r="P300" s="145"/>
      <c r="Q300" s="144" t="n">
        <f aca="false">M300+J300+G300</f>
        <v>3.931</v>
      </c>
      <c r="R300" s="144" t="n">
        <f aca="false">O300+L300+I300</f>
        <v>0</v>
      </c>
      <c r="S300" s="145"/>
      <c r="T300" s="71" t="n">
        <f aca="false">A301-A300</f>
        <v>30</v>
      </c>
      <c r="U300" s="146" t="n">
        <f aca="false">CHOOSE(F$3,A301+24,A300)</f>
        <v>45863</v>
      </c>
      <c r="V300" s="71" t="n">
        <f aca="false">U300-C$3</f>
        <v>8975</v>
      </c>
      <c r="W300" s="142" t="n">
        <f aca="false">VLOOKUP($A300,Table,MATCH(W$4,Curves,0))</f>
        <v>0.058966861357273</v>
      </c>
      <c r="X300" s="147" t="n">
        <f aca="false">1/(1+CHOOSE(F$3,(W301+($K$3/10000))/2,(W300+($K$3/10000))/2))^(2*V300/365.25)</f>
        <v>0.23978874565633</v>
      </c>
      <c r="Y300" s="71" t="n">
        <f aca="false">IF(AND(mthbeg&lt;=A300,mthend&gt;=A300),1,0)</f>
        <v>0</v>
      </c>
      <c r="Z300" s="71" t="n">
        <f aca="false">T300*Y300</f>
        <v>0</v>
      </c>
      <c r="AB300" s="132" t="n">
        <f aca="false">F300*G300</f>
        <v>0</v>
      </c>
      <c r="AC300" s="132" t="n">
        <f aca="false">$F300*H300</f>
        <v>0</v>
      </c>
      <c r="AD300" s="132" t="n">
        <f aca="false">$F300*I300</f>
        <v>0</v>
      </c>
      <c r="AE300" s="132" t="n">
        <f aca="false">$F300*J300</f>
        <v>-0</v>
      </c>
      <c r="AF300" s="132" t="n">
        <f aca="false">$F300*K300</f>
        <v>-0</v>
      </c>
      <c r="AG300" s="132" t="n">
        <f aca="false">$F300*L300</f>
        <v>0</v>
      </c>
      <c r="AH300" s="132" t="n">
        <f aca="false">$F300*M300</f>
        <v>0</v>
      </c>
      <c r="AI300" s="132" t="n">
        <f aca="false">$F300*N300</f>
        <v>0</v>
      </c>
      <c r="AJ300" s="132" t="n">
        <f aca="false">F300*O300</f>
        <v>0</v>
      </c>
      <c r="AK300" s="137"/>
      <c r="AL300" s="132" t="n">
        <f aca="false">CHOOSE($G$3,AC300-AD300,AD300-AC300)</f>
        <v>0</v>
      </c>
      <c r="AM300" s="132" t="n">
        <f aca="false">CHOOSE($G$3,AF300-AG300,AG300-AF300)</f>
        <v>0</v>
      </c>
      <c r="AN300" s="132" t="n">
        <f aca="false">CHOOSE($G$3,AI300-AJ300,AJ300-AI300)</f>
        <v>0</v>
      </c>
      <c r="AO300" s="148" t="n">
        <f aca="false">SUM(AL300:AN300)</f>
        <v>0</v>
      </c>
      <c r="AQ300" s="132" t="n">
        <f aca="false">CHOOSE($G$3,AB300-AC300,AC300-AB300)</f>
        <v>0</v>
      </c>
      <c r="AR300" s="132" t="n">
        <f aca="false">CHOOSE($G$3,AE300-AF300,AF300-AE300)</f>
        <v>0</v>
      </c>
      <c r="AS300" s="132" t="n">
        <f aca="false">CHOOSE($G$3,AH300-AI300,AI300-AH300)</f>
        <v>0</v>
      </c>
      <c r="AT300" s="148" t="n">
        <f aca="false">AQ300+AR300+AS300</f>
        <v>0</v>
      </c>
      <c r="AU300" s="148"/>
      <c r="AV300" s="133" t="n">
        <f aca="false">AT300+AO300</f>
        <v>0</v>
      </c>
      <c r="AX300" s="133" t="n">
        <f aca="false">AJ300+AG300+AD300</f>
        <v>0</v>
      </c>
      <c r="AY300" s="149"/>
      <c r="AZ300" s="76" t="n">
        <f aca="false">R300*E300</f>
        <v>0</v>
      </c>
    </row>
    <row r="301" customFormat="false" ht="12" hidden="false" customHeight="true" outlineLevel="0" collapsed="false">
      <c r="A301" s="138" t="n">
        <f aca="false">EDATE(A300,1)</f>
        <v>45839</v>
      </c>
      <c r="B301" s="139" t="n">
        <f aca="false">VLOOKUP($A301,Table2,MATCH(I$3,Curves2,0))</f>
        <v>0</v>
      </c>
      <c r="C301" s="140"/>
      <c r="D301" s="141" t="n">
        <f aca="false">B301+C301</f>
        <v>0</v>
      </c>
      <c r="E301" s="126" t="n">
        <f aca="false">IF(Y301=0,0,IF(AND(Y301=1,$H$3=1),D301*T301,IF($H$3=2,D301,"N/A")))</f>
        <v>0</v>
      </c>
      <c r="F301" s="126" t="n">
        <f aca="false">E301*X301</f>
        <v>0</v>
      </c>
      <c r="G301" s="142" t="n">
        <f aca="false">VLOOKUP($A301,Table,MATCH(G$4,Curves,0))</f>
        <v>3.987</v>
      </c>
      <c r="H301" s="143" t="n">
        <f aca="false">G301</f>
        <v>3.987</v>
      </c>
      <c r="I301" s="142" t="n">
        <f aca="false">VLOOKUP($A301,Table1,MATCH(I$3,Curves1,0))</f>
        <v>0</v>
      </c>
      <c r="J301" s="142" t="n">
        <f aca="false">VLOOKUP($A301,Table,MATCH(J$4,Curves,0))</f>
        <v>-0.061</v>
      </c>
      <c r="K301" s="143" t="n">
        <f aca="false">J301</f>
        <v>-0.061</v>
      </c>
      <c r="L301" s="144" t="n">
        <v>0</v>
      </c>
      <c r="M301" s="142" t="n">
        <f aca="false">VLOOKUP($A301,Table,MATCH(M$4,Curves,0))</f>
        <v>0.005</v>
      </c>
      <c r="N301" s="143" t="n">
        <f aca="false">M301</f>
        <v>0.005</v>
      </c>
      <c r="O301" s="144" t="n">
        <v>0</v>
      </c>
      <c r="P301" s="145"/>
      <c r="Q301" s="144" t="n">
        <f aca="false">M301+J301+G301</f>
        <v>3.931</v>
      </c>
      <c r="R301" s="144" t="n">
        <f aca="false">O301+L301+I301</f>
        <v>0</v>
      </c>
      <c r="S301" s="145"/>
      <c r="T301" s="71" t="n">
        <f aca="false">A302-A301</f>
        <v>31</v>
      </c>
      <c r="U301" s="146" t="n">
        <f aca="false">CHOOSE(F$3,A302+24,A301)</f>
        <v>45894</v>
      </c>
      <c r="V301" s="71" t="n">
        <f aca="false">U301-C$3</f>
        <v>9006</v>
      </c>
      <c r="W301" s="142" t="n">
        <f aca="false">VLOOKUP($A301,Table,MATCH(W$4,Curves,0))</f>
        <v>0.058966861357273</v>
      </c>
      <c r="X301" s="147" t="n">
        <f aca="false">1/(1+CHOOSE(F$3,(W302+($K$3/10000))/2,(W301+($K$3/10000))/2))^(2*V301/365.25)</f>
        <v>0.238608933923464</v>
      </c>
      <c r="Y301" s="71" t="n">
        <f aca="false">IF(AND(mthbeg&lt;=A301,mthend&gt;=A301),1,0)</f>
        <v>0</v>
      </c>
      <c r="Z301" s="71" t="n">
        <f aca="false">T301*Y301</f>
        <v>0</v>
      </c>
      <c r="AB301" s="132" t="n">
        <f aca="false">F301*G301</f>
        <v>0</v>
      </c>
      <c r="AC301" s="132" t="n">
        <f aca="false">$F301*H301</f>
        <v>0</v>
      </c>
      <c r="AD301" s="132" t="n">
        <f aca="false">$F301*I301</f>
        <v>0</v>
      </c>
      <c r="AE301" s="132" t="n">
        <f aca="false">$F301*J301</f>
        <v>-0</v>
      </c>
      <c r="AF301" s="132" t="n">
        <f aca="false">$F301*K301</f>
        <v>-0</v>
      </c>
      <c r="AG301" s="132" t="n">
        <f aca="false">$F301*L301</f>
        <v>0</v>
      </c>
      <c r="AH301" s="132" t="n">
        <f aca="false">$F301*M301</f>
        <v>0</v>
      </c>
      <c r="AI301" s="132" t="n">
        <f aca="false">$F301*N301</f>
        <v>0</v>
      </c>
      <c r="AJ301" s="132" t="n">
        <f aca="false">F301*O301</f>
        <v>0</v>
      </c>
      <c r="AK301" s="137"/>
      <c r="AL301" s="132" t="n">
        <f aca="false">CHOOSE($G$3,AC301-AD301,AD301-AC301)</f>
        <v>0</v>
      </c>
      <c r="AM301" s="132" t="n">
        <f aca="false">CHOOSE($G$3,AF301-AG301,AG301-AF301)</f>
        <v>0</v>
      </c>
      <c r="AN301" s="132" t="n">
        <f aca="false">CHOOSE($G$3,AI301-AJ301,AJ301-AI301)</f>
        <v>0</v>
      </c>
      <c r="AO301" s="148" t="n">
        <f aca="false">SUM(AL301:AN301)</f>
        <v>0</v>
      </c>
      <c r="AQ301" s="132" t="n">
        <f aca="false">CHOOSE($G$3,AB301-AC301,AC301-AB301)</f>
        <v>0</v>
      </c>
      <c r="AR301" s="132" t="n">
        <f aca="false">CHOOSE($G$3,AE301-AF301,AF301-AE301)</f>
        <v>0</v>
      </c>
      <c r="AS301" s="132" t="n">
        <f aca="false">CHOOSE($G$3,AH301-AI301,AI301-AH301)</f>
        <v>0</v>
      </c>
      <c r="AT301" s="148" t="n">
        <f aca="false">AQ301+AR301+AS301</f>
        <v>0</v>
      </c>
      <c r="AU301" s="148"/>
      <c r="AV301" s="133" t="n">
        <f aca="false">AT301+AO301</f>
        <v>0</v>
      </c>
      <c r="AX301" s="133" t="n">
        <f aca="false">AJ301+AG301+AD301</f>
        <v>0</v>
      </c>
      <c r="AY301" s="149"/>
      <c r="AZ301" s="76" t="n">
        <f aca="false">R301*E301</f>
        <v>0</v>
      </c>
    </row>
    <row r="302" customFormat="false" ht="12" hidden="false" customHeight="true" outlineLevel="0" collapsed="false">
      <c r="A302" s="138" t="n">
        <f aca="false">EDATE(A301,1)</f>
        <v>45870</v>
      </c>
      <c r="B302" s="139" t="n">
        <f aca="false">VLOOKUP($A302,Table2,MATCH(I$3,Curves2,0))</f>
        <v>0</v>
      </c>
      <c r="C302" s="140"/>
      <c r="D302" s="141" t="n">
        <f aca="false">B302+C302</f>
        <v>0</v>
      </c>
      <c r="E302" s="126" t="n">
        <f aca="false">IF(Y302=0,0,IF(AND(Y302=1,$H$3=1),D302*T302,IF($H$3=2,D302,"N/A")))</f>
        <v>0</v>
      </c>
      <c r="F302" s="126" t="n">
        <f aca="false">E302*X302</f>
        <v>0</v>
      </c>
      <c r="G302" s="142" t="n">
        <f aca="false">VLOOKUP($A302,Table,MATCH(G$4,Curves,0))</f>
        <v>3.987</v>
      </c>
      <c r="H302" s="143" t="n">
        <f aca="false">G302</f>
        <v>3.987</v>
      </c>
      <c r="I302" s="142" t="n">
        <f aca="false">VLOOKUP($A302,Table1,MATCH(I$3,Curves1,0))</f>
        <v>0</v>
      </c>
      <c r="J302" s="142" t="n">
        <f aca="false">VLOOKUP($A302,Table,MATCH(J$4,Curves,0))</f>
        <v>-0.061</v>
      </c>
      <c r="K302" s="143" t="n">
        <f aca="false">J302</f>
        <v>-0.061</v>
      </c>
      <c r="L302" s="144" t="n">
        <v>0</v>
      </c>
      <c r="M302" s="142" t="n">
        <f aca="false">VLOOKUP($A302,Table,MATCH(M$4,Curves,0))</f>
        <v>0.005</v>
      </c>
      <c r="N302" s="143" t="n">
        <f aca="false">M302</f>
        <v>0.005</v>
      </c>
      <c r="O302" s="144" t="n">
        <v>0</v>
      </c>
      <c r="P302" s="145"/>
      <c r="Q302" s="144" t="n">
        <f aca="false">M302+J302+G302</f>
        <v>3.931</v>
      </c>
      <c r="R302" s="144" t="n">
        <f aca="false">O302+L302+I302</f>
        <v>0</v>
      </c>
      <c r="S302" s="145"/>
      <c r="T302" s="71" t="n">
        <f aca="false">A303-A302</f>
        <v>31</v>
      </c>
      <c r="U302" s="146" t="n">
        <f aca="false">CHOOSE(F$3,A303+24,A302)</f>
        <v>45925</v>
      </c>
      <c r="V302" s="71" t="n">
        <f aca="false">U302-C$3</f>
        <v>9037</v>
      </c>
      <c r="W302" s="142" t="n">
        <f aca="false">VLOOKUP($A302,Table,MATCH(W$4,Curves,0))</f>
        <v>0.058966861357273</v>
      </c>
      <c r="X302" s="147" t="n">
        <f aca="false">1/(1+CHOOSE(F$3,(W303+($K$3/10000))/2,(W302+($K$3/10000))/2))^(2*V302/365.25)</f>
        <v>0.237434927115768</v>
      </c>
      <c r="Y302" s="71" t="n">
        <f aca="false">IF(AND(mthbeg&lt;=A302,mthend&gt;=A302),1,0)</f>
        <v>0</v>
      </c>
      <c r="Z302" s="71" t="n">
        <f aca="false">T302*Y302</f>
        <v>0</v>
      </c>
      <c r="AB302" s="132" t="n">
        <f aca="false">F302*G302</f>
        <v>0</v>
      </c>
      <c r="AC302" s="132" t="n">
        <f aca="false">$F302*H302</f>
        <v>0</v>
      </c>
      <c r="AD302" s="132" t="n">
        <f aca="false">$F302*I302</f>
        <v>0</v>
      </c>
      <c r="AE302" s="132" t="n">
        <f aca="false">$F302*J302</f>
        <v>-0</v>
      </c>
      <c r="AF302" s="132" t="n">
        <f aca="false">$F302*K302</f>
        <v>-0</v>
      </c>
      <c r="AG302" s="132" t="n">
        <f aca="false">$F302*L302</f>
        <v>0</v>
      </c>
      <c r="AH302" s="132" t="n">
        <f aca="false">$F302*M302</f>
        <v>0</v>
      </c>
      <c r="AI302" s="132" t="n">
        <f aca="false">$F302*N302</f>
        <v>0</v>
      </c>
      <c r="AJ302" s="132" t="n">
        <f aca="false">F302*O302</f>
        <v>0</v>
      </c>
      <c r="AK302" s="137"/>
      <c r="AL302" s="132" t="n">
        <f aca="false">CHOOSE($G$3,AC302-AD302,AD302-AC302)</f>
        <v>0</v>
      </c>
      <c r="AM302" s="132" t="n">
        <f aca="false">CHOOSE($G$3,AF302-AG302,AG302-AF302)</f>
        <v>0</v>
      </c>
      <c r="AN302" s="132" t="n">
        <f aca="false">CHOOSE($G$3,AI302-AJ302,AJ302-AI302)</f>
        <v>0</v>
      </c>
      <c r="AO302" s="148" t="n">
        <f aca="false">SUM(AL302:AN302)</f>
        <v>0</v>
      </c>
      <c r="AQ302" s="132" t="n">
        <f aca="false">CHOOSE($G$3,AB302-AC302,AC302-AB302)</f>
        <v>0</v>
      </c>
      <c r="AR302" s="132" t="n">
        <f aca="false">CHOOSE($G$3,AE302-AF302,AF302-AE302)</f>
        <v>0</v>
      </c>
      <c r="AS302" s="132" t="n">
        <f aca="false">CHOOSE($G$3,AH302-AI302,AI302-AH302)</f>
        <v>0</v>
      </c>
      <c r="AT302" s="148" t="n">
        <f aca="false">AQ302+AR302+AS302</f>
        <v>0</v>
      </c>
      <c r="AU302" s="148"/>
      <c r="AV302" s="133" t="n">
        <f aca="false">AT302+AO302</f>
        <v>0</v>
      </c>
      <c r="AX302" s="133" t="n">
        <f aca="false">AJ302+AG302+AD302</f>
        <v>0</v>
      </c>
      <c r="AY302" s="149"/>
      <c r="AZ302" s="76" t="n">
        <f aca="false">R302*E302</f>
        <v>0</v>
      </c>
    </row>
    <row r="303" customFormat="false" ht="12" hidden="false" customHeight="true" outlineLevel="0" collapsed="false">
      <c r="A303" s="138" t="n">
        <f aca="false">EDATE(A302,1)</f>
        <v>45901</v>
      </c>
      <c r="B303" s="139" t="n">
        <f aca="false">VLOOKUP($A303,Table2,MATCH(I$3,Curves2,0))</f>
        <v>0</v>
      </c>
      <c r="C303" s="140"/>
      <c r="D303" s="141" t="n">
        <f aca="false">B303+C303</f>
        <v>0</v>
      </c>
      <c r="E303" s="126" t="n">
        <f aca="false">IF(Y303=0,0,IF(AND(Y303=1,$H$3=1),D303*T303,IF($H$3=2,D303,"N/A")))</f>
        <v>0</v>
      </c>
      <c r="F303" s="126" t="n">
        <f aca="false">E303*X303</f>
        <v>0</v>
      </c>
      <c r="G303" s="142" t="n">
        <f aca="false">VLOOKUP($A303,Table,MATCH(G$4,Curves,0))</f>
        <v>3.987</v>
      </c>
      <c r="H303" s="143" t="n">
        <f aca="false">G303</f>
        <v>3.987</v>
      </c>
      <c r="I303" s="142" t="n">
        <f aca="false">VLOOKUP($A303,Table1,MATCH(I$3,Curves1,0))</f>
        <v>0</v>
      </c>
      <c r="J303" s="142" t="n">
        <f aca="false">VLOOKUP($A303,Table,MATCH(J$4,Curves,0))</f>
        <v>-0.061</v>
      </c>
      <c r="K303" s="143" t="n">
        <f aca="false">J303</f>
        <v>-0.061</v>
      </c>
      <c r="L303" s="144" t="n">
        <v>0</v>
      </c>
      <c r="M303" s="142" t="n">
        <f aca="false">VLOOKUP($A303,Table,MATCH(M$4,Curves,0))</f>
        <v>0.005</v>
      </c>
      <c r="N303" s="143" t="n">
        <f aca="false">M303</f>
        <v>0.005</v>
      </c>
      <c r="O303" s="144" t="n">
        <v>0</v>
      </c>
      <c r="P303" s="145"/>
      <c r="Q303" s="144" t="n">
        <f aca="false">M303+J303+G303</f>
        <v>3.931</v>
      </c>
      <c r="R303" s="144" t="n">
        <f aca="false">O303+L303+I303</f>
        <v>0</v>
      </c>
      <c r="S303" s="145"/>
      <c r="T303" s="71" t="n">
        <f aca="false">A304-A303</f>
        <v>30</v>
      </c>
      <c r="U303" s="146" t="n">
        <f aca="false">CHOOSE(F$3,A304+24,A303)</f>
        <v>45955</v>
      </c>
      <c r="V303" s="71" t="n">
        <f aca="false">U303-C$3</f>
        <v>9067</v>
      </c>
      <c r="W303" s="142" t="n">
        <f aca="false">VLOOKUP($A303,Table,MATCH(W$4,Curves,0))</f>
        <v>0.058966861357273</v>
      </c>
      <c r="X303" s="147" t="n">
        <f aca="false">1/(1+CHOOSE(F$3,(W304+($K$3/10000))/2,(W303+($K$3/10000))/2))^(2*V303/365.25)</f>
        <v>0.236304291654384</v>
      </c>
      <c r="Y303" s="71" t="n">
        <f aca="false">IF(AND(mthbeg&lt;=A303,mthend&gt;=A303),1,0)</f>
        <v>0</v>
      </c>
      <c r="Z303" s="71" t="n">
        <f aca="false">T303*Y303</f>
        <v>0</v>
      </c>
      <c r="AB303" s="132" t="n">
        <f aca="false">F303*G303</f>
        <v>0</v>
      </c>
      <c r="AC303" s="132" t="n">
        <f aca="false">$F303*H303</f>
        <v>0</v>
      </c>
      <c r="AD303" s="132" t="n">
        <f aca="false">$F303*I303</f>
        <v>0</v>
      </c>
      <c r="AE303" s="132" t="n">
        <f aca="false">$F303*J303</f>
        <v>-0</v>
      </c>
      <c r="AF303" s="132" t="n">
        <f aca="false">$F303*K303</f>
        <v>-0</v>
      </c>
      <c r="AG303" s="132" t="n">
        <f aca="false">$F303*L303</f>
        <v>0</v>
      </c>
      <c r="AH303" s="132" t="n">
        <f aca="false">$F303*M303</f>
        <v>0</v>
      </c>
      <c r="AI303" s="132" t="n">
        <f aca="false">$F303*N303</f>
        <v>0</v>
      </c>
      <c r="AJ303" s="132" t="n">
        <f aca="false">F303*O303</f>
        <v>0</v>
      </c>
      <c r="AK303" s="137"/>
      <c r="AL303" s="132" t="n">
        <f aca="false">CHOOSE($G$3,AC303-AD303,AD303-AC303)</f>
        <v>0</v>
      </c>
      <c r="AM303" s="132" t="n">
        <f aca="false">CHOOSE($G$3,AF303-AG303,AG303-AF303)</f>
        <v>0</v>
      </c>
      <c r="AN303" s="132" t="n">
        <f aca="false">CHOOSE($G$3,AI303-AJ303,AJ303-AI303)</f>
        <v>0</v>
      </c>
      <c r="AO303" s="148" t="n">
        <f aca="false">SUM(AL303:AN303)</f>
        <v>0</v>
      </c>
      <c r="AQ303" s="132" t="n">
        <f aca="false">CHOOSE($G$3,AB303-AC303,AC303-AB303)</f>
        <v>0</v>
      </c>
      <c r="AR303" s="132" t="n">
        <f aca="false">CHOOSE($G$3,AE303-AF303,AF303-AE303)</f>
        <v>0</v>
      </c>
      <c r="AS303" s="132" t="n">
        <f aca="false">CHOOSE($G$3,AH303-AI303,AI303-AH303)</f>
        <v>0</v>
      </c>
      <c r="AT303" s="148" t="n">
        <f aca="false">AQ303+AR303+AS303</f>
        <v>0</v>
      </c>
      <c r="AU303" s="148"/>
      <c r="AV303" s="133" t="n">
        <f aca="false">AT303+AO303</f>
        <v>0</v>
      </c>
      <c r="AX303" s="133" t="n">
        <f aca="false">AJ303+AG303+AD303</f>
        <v>0</v>
      </c>
      <c r="AY303" s="149"/>
      <c r="AZ303" s="76" t="n">
        <f aca="false">R303*E303</f>
        <v>0</v>
      </c>
    </row>
    <row r="304" customFormat="false" ht="12" hidden="false" customHeight="true" outlineLevel="0" collapsed="false">
      <c r="A304" s="138" t="n">
        <f aca="false">EDATE(A303,1)</f>
        <v>45931</v>
      </c>
      <c r="B304" s="139" t="n">
        <f aca="false">VLOOKUP($A304,Table2,MATCH(I$3,Curves2,0))</f>
        <v>0</v>
      </c>
      <c r="C304" s="140"/>
      <c r="D304" s="141" t="n">
        <f aca="false">B304+C304</f>
        <v>0</v>
      </c>
      <c r="E304" s="126" t="n">
        <f aca="false">IF(Y304=0,0,IF(AND(Y304=1,$H$3=1),D304*T304,IF($H$3=2,D304,"N/A")))</f>
        <v>0</v>
      </c>
      <c r="F304" s="126" t="n">
        <f aca="false">E304*X304</f>
        <v>0</v>
      </c>
      <c r="G304" s="142" t="n">
        <f aca="false">VLOOKUP($A304,Table,MATCH(G$4,Curves,0))</f>
        <v>3.987</v>
      </c>
      <c r="H304" s="143" t="n">
        <f aca="false">G304</f>
        <v>3.987</v>
      </c>
      <c r="I304" s="142" t="n">
        <f aca="false">VLOOKUP($A304,Table1,MATCH(I$3,Curves1,0))</f>
        <v>0</v>
      </c>
      <c r="J304" s="142" t="n">
        <f aca="false">VLOOKUP($A304,Table,MATCH(J$4,Curves,0))</f>
        <v>-0.061</v>
      </c>
      <c r="K304" s="143" t="n">
        <f aca="false">J304</f>
        <v>-0.061</v>
      </c>
      <c r="L304" s="144" t="n">
        <v>0</v>
      </c>
      <c r="M304" s="142" t="n">
        <f aca="false">VLOOKUP($A304,Table,MATCH(M$4,Curves,0))</f>
        <v>0.005</v>
      </c>
      <c r="N304" s="143" t="n">
        <f aca="false">M304</f>
        <v>0.005</v>
      </c>
      <c r="O304" s="144" t="n">
        <v>0</v>
      </c>
      <c r="P304" s="145"/>
      <c r="Q304" s="144" t="n">
        <f aca="false">M304+J304+G304</f>
        <v>3.931</v>
      </c>
      <c r="R304" s="144" t="n">
        <f aca="false">O304+L304+I304</f>
        <v>0</v>
      </c>
      <c r="S304" s="145"/>
      <c r="T304" s="71" t="n">
        <f aca="false">A305-A304</f>
        <v>31</v>
      </c>
      <c r="U304" s="146" t="n">
        <f aca="false">CHOOSE(F$3,A305+24,A304)</f>
        <v>45986</v>
      </c>
      <c r="V304" s="71" t="n">
        <f aca="false">U304-C$3</f>
        <v>9098</v>
      </c>
      <c r="W304" s="142" t="n">
        <f aca="false">VLOOKUP($A304,Table,MATCH(W$4,Curves,0))</f>
        <v>0.058966861357273</v>
      </c>
      <c r="X304" s="147" t="n">
        <f aca="false">1/(1+CHOOSE(F$3,(W305+($K$3/10000))/2,(W304+($K$3/10000))/2))^(2*V304/365.25)</f>
        <v>0.235141624177821</v>
      </c>
      <c r="Y304" s="71" t="n">
        <f aca="false">IF(AND(mthbeg&lt;=A304,mthend&gt;=A304),1,0)</f>
        <v>0</v>
      </c>
      <c r="Z304" s="71" t="n">
        <f aca="false">T304*Y304</f>
        <v>0</v>
      </c>
      <c r="AB304" s="132" t="n">
        <f aca="false">F304*G304</f>
        <v>0</v>
      </c>
      <c r="AC304" s="132" t="n">
        <f aca="false">$F304*H304</f>
        <v>0</v>
      </c>
      <c r="AD304" s="132" t="n">
        <f aca="false">$F304*I304</f>
        <v>0</v>
      </c>
      <c r="AE304" s="132" t="n">
        <f aca="false">$F304*J304</f>
        <v>-0</v>
      </c>
      <c r="AF304" s="132" t="n">
        <f aca="false">$F304*K304</f>
        <v>-0</v>
      </c>
      <c r="AG304" s="132" t="n">
        <f aca="false">$F304*L304</f>
        <v>0</v>
      </c>
      <c r="AH304" s="132" t="n">
        <f aca="false">$F304*M304</f>
        <v>0</v>
      </c>
      <c r="AI304" s="132" t="n">
        <f aca="false">$F304*N304</f>
        <v>0</v>
      </c>
      <c r="AJ304" s="132" t="n">
        <f aca="false">F304*O304</f>
        <v>0</v>
      </c>
      <c r="AK304" s="137"/>
      <c r="AL304" s="132" t="n">
        <f aca="false">CHOOSE($G$3,AC304-AD304,AD304-AC304)</f>
        <v>0</v>
      </c>
      <c r="AM304" s="132" t="n">
        <f aca="false">CHOOSE($G$3,AF304-AG304,AG304-AF304)</f>
        <v>0</v>
      </c>
      <c r="AN304" s="132" t="n">
        <f aca="false">CHOOSE($G$3,AI304-AJ304,AJ304-AI304)</f>
        <v>0</v>
      </c>
      <c r="AO304" s="148" t="n">
        <f aca="false">SUM(AL304:AN304)</f>
        <v>0</v>
      </c>
      <c r="AQ304" s="132" t="n">
        <f aca="false">CHOOSE($G$3,AB304-AC304,AC304-AB304)</f>
        <v>0</v>
      </c>
      <c r="AR304" s="132" t="n">
        <f aca="false">CHOOSE($G$3,AE304-AF304,AF304-AE304)</f>
        <v>0</v>
      </c>
      <c r="AS304" s="132" t="n">
        <f aca="false">CHOOSE($G$3,AH304-AI304,AI304-AH304)</f>
        <v>0</v>
      </c>
      <c r="AT304" s="148" t="n">
        <f aca="false">AQ304+AR304+AS304</f>
        <v>0</v>
      </c>
      <c r="AU304" s="148"/>
      <c r="AV304" s="133" t="n">
        <f aca="false">AT304+AO304</f>
        <v>0</v>
      </c>
      <c r="AX304" s="133" t="n">
        <f aca="false">AJ304+AG304+AD304</f>
        <v>0</v>
      </c>
      <c r="AY304" s="149"/>
      <c r="AZ304" s="76" t="n">
        <f aca="false">R304*E304</f>
        <v>0</v>
      </c>
    </row>
    <row r="305" customFormat="false" ht="12" hidden="false" customHeight="true" outlineLevel="0" collapsed="false">
      <c r="A305" s="138" t="n">
        <f aca="false">EDATE(A304,1)</f>
        <v>45962</v>
      </c>
      <c r="B305" s="139" t="n">
        <f aca="false">VLOOKUP($A305,Table2,MATCH(I$3,Curves2,0))</f>
        <v>0</v>
      </c>
      <c r="C305" s="140"/>
      <c r="D305" s="141" t="n">
        <f aca="false">B305+C305</f>
        <v>0</v>
      </c>
      <c r="E305" s="126" t="n">
        <f aca="false">IF(Y305=0,0,IF(AND(Y305=1,$H$3=1),D305*T305,IF($H$3=2,D305,"N/A")))</f>
        <v>0</v>
      </c>
      <c r="F305" s="126" t="n">
        <f aca="false">E305*X305</f>
        <v>0</v>
      </c>
      <c r="G305" s="142" t="n">
        <f aca="false">VLOOKUP($A305,Table,MATCH(G$4,Curves,0))</f>
        <v>3.987</v>
      </c>
      <c r="H305" s="143" t="n">
        <f aca="false">G305</f>
        <v>3.987</v>
      </c>
      <c r="I305" s="142" t="n">
        <f aca="false">VLOOKUP($A305,Table1,MATCH(I$3,Curves1,0))</f>
        <v>0</v>
      </c>
      <c r="J305" s="142" t="n">
        <f aca="false">VLOOKUP($A305,Table,MATCH(J$4,Curves,0))</f>
        <v>-0.061</v>
      </c>
      <c r="K305" s="143" t="n">
        <f aca="false">J305</f>
        <v>-0.061</v>
      </c>
      <c r="L305" s="144" t="n">
        <v>0</v>
      </c>
      <c r="M305" s="142" t="n">
        <f aca="false">VLOOKUP($A305,Table,MATCH(M$4,Curves,0))</f>
        <v>0.005</v>
      </c>
      <c r="N305" s="143" t="n">
        <f aca="false">M305</f>
        <v>0.005</v>
      </c>
      <c r="O305" s="144" t="n">
        <v>0</v>
      </c>
      <c r="P305" s="145"/>
      <c r="Q305" s="144" t="n">
        <f aca="false">M305+J305+G305</f>
        <v>3.931</v>
      </c>
      <c r="R305" s="144" t="n">
        <f aca="false">O305+L305+I305</f>
        <v>0</v>
      </c>
      <c r="S305" s="145"/>
      <c r="T305" s="71" t="n">
        <f aca="false">A306-A305</f>
        <v>30</v>
      </c>
      <c r="U305" s="146" t="n">
        <f aca="false">CHOOSE(F$3,A306+24,A305)</f>
        <v>46016</v>
      </c>
      <c r="V305" s="71" t="n">
        <f aca="false">U305-C$3</f>
        <v>9128</v>
      </c>
      <c r="W305" s="142" t="n">
        <f aca="false">VLOOKUP($A305,Table,MATCH(W$4,Curves,0))</f>
        <v>0.058966861357273</v>
      </c>
      <c r="X305" s="147" t="n">
        <f aca="false">1/(1+CHOOSE(F$3,(W306+($K$3/10000))/2,(W305+($K$3/10000))/2))^(2*V305/365.25)</f>
        <v>0.234021909138536</v>
      </c>
      <c r="Y305" s="71" t="n">
        <f aca="false">IF(AND(mthbeg&lt;=A305,mthend&gt;=A305),1,0)</f>
        <v>0</v>
      </c>
      <c r="Z305" s="71" t="n">
        <f aca="false">T305*Y305</f>
        <v>0</v>
      </c>
      <c r="AB305" s="132" t="n">
        <f aca="false">F305*G305</f>
        <v>0</v>
      </c>
      <c r="AC305" s="132" t="n">
        <f aca="false">$F305*H305</f>
        <v>0</v>
      </c>
      <c r="AD305" s="132" t="n">
        <f aca="false">$F305*I305</f>
        <v>0</v>
      </c>
      <c r="AE305" s="132" t="n">
        <f aca="false">$F305*J305</f>
        <v>-0</v>
      </c>
      <c r="AF305" s="132" t="n">
        <f aca="false">$F305*K305</f>
        <v>-0</v>
      </c>
      <c r="AG305" s="132" t="n">
        <f aca="false">$F305*L305</f>
        <v>0</v>
      </c>
      <c r="AH305" s="132" t="n">
        <f aca="false">$F305*M305</f>
        <v>0</v>
      </c>
      <c r="AI305" s="132" t="n">
        <f aca="false">$F305*N305</f>
        <v>0</v>
      </c>
      <c r="AJ305" s="132" t="n">
        <f aca="false">F305*O305</f>
        <v>0</v>
      </c>
      <c r="AK305" s="137"/>
      <c r="AL305" s="132" t="n">
        <f aca="false">CHOOSE($G$3,AC305-AD305,AD305-AC305)</f>
        <v>0</v>
      </c>
      <c r="AM305" s="132" t="n">
        <f aca="false">CHOOSE($G$3,AF305-AG305,AG305-AF305)</f>
        <v>0</v>
      </c>
      <c r="AN305" s="132" t="n">
        <f aca="false">CHOOSE($G$3,AI305-AJ305,AJ305-AI305)</f>
        <v>0</v>
      </c>
      <c r="AO305" s="148" t="n">
        <f aca="false">SUM(AL305:AN305)</f>
        <v>0</v>
      </c>
      <c r="AQ305" s="132" t="n">
        <f aca="false">CHOOSE($G$3,AB305-AC305,AC305-AB305)</f>
        <v>0</v>
      </c>
      <c r="AR305" s="132" t="n">
        <f aca="false">CHOOSE($G$3,AE305-AF305,AF305-AE305)</f>
        <v>0</v>
      </c>
      <c r="AS305" s="132" t="n">
        <f aca="false">CHOOSE($G$3,AH305-AI305,AI305-AH305)</f>
        <v>0</v>
      </c>
      <c r="AT305" s="148" t="n">
        <f aca="false">AQ305+AR305+AS305</f>
        <v>0</v>
      </c>
      <c r="AU305" s="148"/>
      <c r="AV305" s="133" t="n">
        <f aca="false">AT305+AO305</f>
        <v>0</v>
      </c>
      <c r="AX305" s="133" t="n">
        <f aca="false">AJ305+AG305+AD305</f>
        <v>0</v>
      </c>
      <c r="AY305" s="149"/>
      <c r="AZ305" s="76" t="n">
        <f aca="false">R305*E305</f>
        <v>0</v>
      </c>
    </row>
    <row r="306" customFormat="false" ht="12" hidden="false" customHeight="true" outlineLevel="0" collapsed="false">
      <c r="A306" s="138" t="n">
        <f aca="false">EDATE(A305,1)</f>
        <v>45992</v>
      </c>
      <c r="B306" s="139" t="n">
        <f aca="false">VLOOKUP($A306,Table2,MATCH(I$3,Curves2,0))</f>
        <v>0</v>
      </c>
      <c r="C306" s="140"/>
      <c r="D306" s="141" t="n">
        <f aca="false">B306+C306</f>
        <v>0</v>
      </c>
      <c r="E306" s="126" t="n">
        <f aca="false">IF(Y306=0,0,IF(AND(Y306=1,$H$3=1),D306*T306,IF($H$3=2,D306,"N/A")))</f>
        <v>0</v>
      </c>
      <c r="F306" s="126" t="n">
        <f aca="false">E306*X306</f>
        <v>0</v>
      </c>
      <c r="G306" s="142" t="n">
        <f aca="false">VLOOKUP($A306,Table,MATCH(G$4,Curves,0))</f>
        <v>3.987</v>
      </c>
      <c r="H306" s="143" t="n">
        <f aca="false">G306</f>
        <v>3.987</v>
      </c>
      <c r="I306" s="142" t="n">
        <f aca="false">VLOOKUP($A306,Table1,MATCH(I$3,Curves1,0))</f>
        <v>0</v>
      </c>
      <c r="J306" s="142" t="n">
        <f aca="false">VLOOKUP($A306,Table,MATCH(J$4,Curves,0))</f>
        <v>-0.061</v>
      </c>
      <c r="K306" s="143" t="n">
        <f aca="false">J306</f>
        <v>-0.061</v>
      </c>
      <c r="L306" s="144" t="n">
        <v>0</v>
      </c>
      <c r="M306" s="142" t="n">
        <f aca="false">VLOOKUP($A306,Table,MATCH(M$4,Curves,0))</f>
        <v>0.005</v>
      </c>
      <c r="N306" s="143" t="n">
        <f aca="false">M306</f>
        <v>0.005</v>
      </c>
      <c r="O306" s="144" t="n">
        <v>0</v>
      </c>
      <c r="P306" s="145"/>
      <c r="Q306" s="144" t="n">
        <f aca="false">M306+J306+G306</f>
        <v>3.931</v>
      </c>
      <c r="R306" s="144" t="n">
        <f aca="false">O306+L306+I306</f>
        <v>0</v>
      </c>
      <c r="S306" s="145"/>
      <c r="T306" s="71" t="n">
        <f aca="false">A307-A306</f>
        <v>31</v>
      </c>
      <c r="U306" s="146" t="n">
        <f aca="false">CHOOSE(F$3,A307+24,A306)</f>
        <v>46047</v>
      </c>
      <c r="V306" s="71" t="n">
        <f aca="false">U306-C$3</f>
        <v>9159</v>
      </c>
      <c r="W306" s="142" t="n">
        <f aca="false">VLOOKUP($A306,Table,MATCH(W$4,Curves,0))</f>
        <v>0.058966861357273</v>
      </c>
      <c r="X306" s="147" t="n">
        <f aca="false">1/(1+CHOOSE(F$3,(W307+($K$3/10000))/2,(W306+($K$3/10000))/2))^(2*V306/365.25)</f>
        <v>0.232870471470377</v>
      </c>
      <c r="Y306" s="71" t="n">
        <f aca="false">IF(AND(mthbeg&lt;=A306,mthend&gt;=A306),1,0)</f>
        <v>0</v>
      </c>
      <c r="Z306" s="71" t="n">
        <f aca="false">T306*Y306</f>
        <v>0</v>
      </c>
      <c r="AB306" s="132" t="n">
        <f aca="false">F306*G306</f>
        <v>0</v>
      </c>
      <c r="AC306" s="132" t="n">
        <f aca="false">$F306*H306</f>
        <v>0</v>
      </c>
      <c r="AD306" s="132" t="n">
        <f aca="false">$F306*I306</f>
        <v>0</v>
      </c>
      <c r="AE306" s="132" t="n">
        <f aca="false">$F306*J306</f>
        <v>-0</v>
      </c>
      <c r="AF306" s="132" t="n">
        <f aca="false">$F306*K306</f>
        <v>-0</v>
      </c>
      <c r="AG306" s="132" t="n">
        <f aca="false">$F306*L306</f>
        <v>0</v>
      </c>
      <c r="AH306" s="132" t="n">
        <f aca="false">$F306*M306</f>
        <v>0</v>
      </c>
      <c r="AI306" s="132" t="n">
        <f aca="false">$F306*N306</f>
        <v>0</v>
      </c>
      <c r="AJ306" s="132" t="n">
        <f aca="false">F306*O306</f>
        <v>0</v>
      </c>
      <c r="AK306" s="137"/>
      <c r="AL306" s="132" t="n">
        <f aca="false">CHOOSE($G$3,AC306-AD306,AD306-AC306)</f>
        <v>0</v>
      </c>
      <c r="AM306" s="132" t="n">
        <f aca="false">CHOOSE($G$3,AF306-AG306,AG306-AF306)</f>
        <v>0</v>
      </c>
      <c r="AN306" s="132" t="n">
        <f aca="false">CHOOSE($G$3,AI306-AJ306,AJ306-AI306)</f>
        <v>0</v>
      </c>
      <c r="AO306" s="148" t="n">
        <f aca="false">SUM(AL306:AN306)</f>
        <v>0</v>
      </c>
      <c r="AQ306" s="132" t="n">
        <f aca="false">CHOOSE($G$3,AB306-AC306,AC306-AB306)</f>
        <v>0</v>
      </c>
      <c r="AR306" s="132" t="n">
        <f aca="false">CHOOSE($G$3,AE306-AF306,AF306-AE306)</f>
        <v>0</v>
      </c>
      <c r="AS306" s="132" t="n">
        <f aca="false">CHOOSE($G$3,AH306-AI306,AI306-AH306)</f>
        <v>0</v>
      </c>
      <c r="AT306" s="148" t="n">
        <f aca="false">AQ306+AR306+AS306</f>
        <v>0</v>
      </c>
      <c r="AU306" s="148"/>
      <c r="AV306" s="133" t="n">
        <f aca="false">AT306+AO306</f>
        <v>0</v>
      </c>
      <c r="AX306" s="133" t="n">
        <f aca="false">AJ306+AG306+AD306</f>
        <v>0</v>
      </c>
      <c r="AY306" s="149"/>
      <c r="AZ306" s="76" t="n">
        <f aca="false">R306*E306</f>
        <v>0</v>
      </c>
    </row>
    <row r="307" customFormat="false" ht="12" hidden="false" customHeight="true" outlineLevel="0" collapsed="false">
      <c r="A307" s="138" t="n">
        <f aca="false">EDATE(A306,1)</f>
        <v>46023</v>
      </c>
      <c r="B307" s="139" t="n">
        <f aca="false">VLOOKUP($A307,Table2,MATCH(I$3,Curves2,0))</f>
        <v>0</v>
      </c>
      <c r="C307" s="140"/>
      <c r="D307" s="141" t="n">
        <f aca="false">B307+C307</f>
        <v>0</v>
      </c>
      <c r="E307" s="126" t="n">
        <f aca="false">IF(Y307=0,0,IF(AND(Y307=1,$H$3=1),D307*T307,IF($H$3=2,D307,"N/A")))</f>
        <v>0</v>
      </c>
      <c r="F307" s="126" t="n">
        <f aca="false">E307*X307</f>
        <v>0</v>
      </c>
      <c r="G307" s="142" t="n">
        <f aca="false">VLOOKUP($A307,Table,MATCH(G$4,Curves,0))</f>
        <v>3.987</v>
      </c>
      <c r="H307" s="143" t="n">
        <f aca="false">G307</f>
        <v>3.987</v>
      </c>
      <c r="I307" s="142" t="n">
        <f aca="false">VLOOKUP($A307,Table1,MATCH(I$3,Curves1,0))</f>
        <v>0</v>
      </c>
      <c r="J307" s="142" t="n">
        <f aca="false">VLOOKUP($A307,Table,MATCH(J$4,Curves,0))</f>
        <v>-0.061</v>
      </c>
      <c r="K307" s="143" t="n">
        <f aca="false">J307</f>
        <v>-0.061</v>
      </c>
      <c r="L307" s="144" t="n">
        <v>0</v>
      </c>
      <c r="M307" s="142" t="n">
        <f aca="false">VLOOKUP($A307,Table,MATCH(M$4,Curves,0))</f>
        <v>0.005</v>
      </c>
      <c r="N307" s="143" t="n">
        <f aca="false">M307</f>
        <v>0.005</v>
      </c>
      <c r="O307" s="144" t="n">
        <v>0</v>
      </c>
      <c r="P307" s="145"/>
      <c r="Q307" s="144" t="n">
        <f aca="false">M307+J307+G307</f>
        <v>3.931</v>
      </c>
      <c r="R307" s="144" t="n">
        <f aca="false">O307+L307+I307</f>
        <v>0</v>
      </c>
      <c r="S307" s="145"/>
      <c r="T307" s="71" t="n">
        <f aca="false">A308-A307</f>
        <v>31</v>
      </c>
      <c r="U307" s="146" t="n">
        <f aca="false">CHOOSE(F$3,A308+24,A307)</f>
        <v>46078</v>
      </c>
      <c r="V307" s="71" t="n">
        <f aca="false">U307-C$3</f>
        <v>9190</v>
      </c>
      <c r="W307" s="142" t="n">
        <f aca="false">VLOOKUP($A307,Table,MATCH(W$4,Curves,0))</f>
        <v>0.058966861357273</v>
      </c>
      <c r="X307" s="147" t="n">
        <f aca="false">1/(1+CHOOSE(F$3,(W308+($K$3/10000))/2,(W307+($K$3/10000))/2))^(2*V307/365.25)</f>
        <v>0.231724699120942</v>
      </c>
      <c r="Y307" s="71" t="n">
        <f aca="false">IF(AND(mthbeg&lt;=A307,mthend&gt;=A307),1,0)</f>
        <v>0</v>
      </c>
      <c r="Z307" s="71" t="n">
        <f aca="false">T307*Y307</f>
        <v>0</v>
      </c>
      <c r="AB307" s="132" t="n">
        <f aca="false">F307*G307</f>
        <v>0</v>
      </c>
      <c r="AC307" s="132" t="n">
        <f aca="false">$F307*H307</f>
        <v>0</v>
      </c>
      <c r="AD307" s="132" t="n">
        <f aca="false">$F307*I307</f>
        <v>0</v>
      </c>
      <c r="AE307" s="132" t="n">
        <f aca="false">$F307*J307</f>
        <v>-0</v>
      </c>
      <c r="AF307" s="132" t="n">
        <f aca="false">$F307*K307</f>
        <v>-0</v>
      </c>
      <c r="AG307" s="132" t="n">
        <f aca="false">$F307*L307</f>
        <v>0</v>
      </c>
      <c r="AH307" s="132" t="n">
        <f aca="false">$F307*M307</f>
        <v>0</v>
      </c>
      <c r="AI307" s="132" t="n">
        <f aca="false">$F307*N307</f>
        <v>0</v>
      </c>
      <c r="AJ307" s="132" t="n">
        <f aca="false">F307*O307</f>
        <v>0</v>
      </c>
      <c r="AK307" s="137"/>
      <c r="AL307" s="132" t="n">
        <f aca="false">CHOOSE($G$3,AC307-AD307,AD307-AC307)</f>
        <v>0</v>
      </c>
      <c r="AM307" s="132" t="n">
        <f aca="false">CHOOSE($G$3,AF307-AG307,AG307-AF307)</f>
        <v>0</v>
      </c>
      <c r="AN307" s="132" t="n">
        <f aca="false">CHOOSE($G$3,AI307-AJ307,AJ307-AI307)</f>
        <v>0</v>
      </c>
      <c r="AO307" s="148" t="n">
        <f aca="false">SUM(AL307:AN307)</f>
        <v>0</v>
      </c>
      <c r="AQ307" s="132" t="n">
        <f aca="false">CHOOSE($G$3,AB307-AC307,AC307-AB307)</f>
        <v>0</v>
      </c>
      <c r="AR307" s="132" t="n">
        <f aca="false">CHOOSE($G$3,AE307-AF307,AF307-AE307)</f>
        <v>0</v>
      </c>
      <c r="AS307" s="132" t="n">
        <f aca="false">CHOOSE($G$3,AH307-AI307,AI307-AH307)</f>
        <v>0</v>
      </c>
      <c r="AT307" s="148" t="n">
        <f aca="false">AQ307+AR307+AS307</f>
        <v>0</v>
      </c>
      <c r="AU307" s="148"/>
      <c r="AV307" s="133" t="n">
        <f aca="false">AT307+AO307</f>
        <v>0</v>
      </c>
      <c r="AX307" s="133" t="n">
        <f aca="false">AJ307+AG307+AD307</f>
        <v>0</v>
      </c>
      <c r="AY307" s="149"/>
      <c r="AZ307" s="76" t="n">
        <f aca="false">R307*E307</f>
        <v>0</v>
      </c>
    </row>
    <row r="308" customFormat="false" ht="12" hidden="false" customHeight="true" outlineLevel="0" collapsed="false">
      <c r="A308" s="138" t="n">
        <f aca="false">EDATE(A307,1)</f>
        <v>46054</v>
      </c>
      <c r="B308" s="139" t="n">
        <f aca="false">VLOOKUP($A308,Table2,MATCH(I$3,Curves2,0))</f>
        <v>0</v>
      </c>
      <c r="C308" s="140"/>
      <c r="D308" s="141" t="n">
        <f aca="false">B308+C308</f>
        <v>0</v>
      </c>
      <c r="E308" s="126" t="n">
        <f aca="false">IF(Y308=0,0,IF(AND(Y308=1,$H$3=1),D308*T308,IF($H$3=2,D308,"N/A")))</f>
        <v>0</v>
      </c>
      <c r="F308" s="126" t="n">
        <f aca="false">E308*X308</f>
        <v>0</v>
      </c>
      <c r="G308" s="142" t="n">
        <f aca="false">VLOOKUP($A308,Table,MATCH(G$4,Curves,0))</f>
        <v>3.987</v>
      </c>
      <c r="H308" s="143" t="n">
        <f aca="false">G308</f>
        <v>3.987</v>
      </c>
      <c r="I308" s="142" t="n">
        <f aca="false">VLOOKUP($A308,Table1,MATCH(I$3,Curves1,0))</f>
        <v>0</v>
      </c>
      <c r="J308" s="142" t="n">
        <f aca="false">VLOOKUP($A308,Table,MATCH(J$4,Curves,0))</f>
        <v>-0.061</v>
      </c>
      <c r="K308" s="143" t="n">
        <f aca="false">J308</f>
        <v>-0.061</v>
      </c>
      <c r="L308" s="144" t="n">
        <v>0</v>
      </c>
      <c r="M308" s="142" t="n">
        <f aca="false">VLOOKUP($A308,Table,MATCH(M$4,Curves,0))</f>
        <v>0.005</v>
      </c>
      <c r="N308" s="143" t="n">
        <f aca="false">M308</f>
        <v>0.005</v>
      </c>
      <c r="O308" s="144" t="n">
        <v>0</v>
      </c>
      <c r="P308" s="145"/>
      <c r="Q308" s="144" t="n">
        <f aca="false">M308+J308+G308</f>
        <v>3.931</v>
      </c>
      <c r="R308" s="144" t="n">
        <f aca="false">O308+L308+I308</f>
        <v>0</v>
      </c>
      <c r="S308" s="145"/>
      <c r="T308" s="71" t="n">
        <f aca="false">A309-A308</f>
        <v>28</v>
      </c>
      <c r="U308" s="146" t="n">
        <f aca="false">CHOOSE(F$3,A309+24,A308)</f>
        <v>46106</v>
      </c>
      <c r="V308" s="71" t="n">
        <f aca="false">U308-C$3</f>
        <v>9218</v>
      </c>
      <c r="W308" s="142" t="n">
        <f aca="false">VLOOKUP($A308,Table,MATCH(W$4,Curves,0))</f>
        <v>0.058966861357273</v>
      </c>
      <c r="X308" s="147" t="n">
        <f aca="false">1/(1+CHOOSE(F$3,(W309+($K$3/10000))/2,(W308+($K$3/10000))/2))^(2*V308/365.25)</f>
        <v>0.230694654240219</v>
      </c>
      <c r="Y308" s="71" t="n">
        <f aca="false">IF(AND(mthbeg&lt;=A308,mthend&gt;=A308),1,0)</f>
        <v>0</v>
      </c>
      <c r="Z308" s="71" t="n">
        <f aca="false">T308*Y308</f>
        <v>0</v>
      </c>
      <c r="AB308" s="132" t="n">
        <f aca="false">F308*G308</f>
        <v>0</v>
      </c>
      <c r="AC308" s="132" t="n">
        <f aca="false">$F308*H308</f>
        <v>0</v>
      </c>
      <c r="AD308" s="132" t="n">
        <f aca="false">$F308*I308</f>
        <v>0</v>
      </c>
      <c r="AE308" s="132" t="n">
        <f aca="false">$F308*J308</f>
        <v>-0</v>
      </c>
      <c r="AF308" s="132" t="n">
        <f aca="false">$F308*K308</f>
        <v>-0</v>
      </c>
      <c r="AG308" s="132" t="n">
        <f aca="false">$F308*L308</f>
        <v>0</v>
      </c>
      <c r="AH308" s="132" t="n">
        <f aca="false">$F308*M308</f>
        <v>0</v>
      </c>
      <c r="AI308" s="132" t="n">
        <f aca="false">$F308*N308</f>
        <v>0</v>
      </c>
      <c r="AJ308" s="132" t="n">
        <f aca="false">F308*O308</f>
        <v>0</v>
      </c>
      <c r="AK308" s="137"/>
      <c r="AL308" s="132" t="n">
        <f aca="false">CHOOSE($G$3,AC308-AD308,AD308-AC308)</f>
        <v>0</v>
      </c>
      <c r="AM308" s="132" t="n">
        <f aca="false">CHOOSE($G$3,AF308-AG308,AG308-AF308)</f>
        <v>0</v>
      </c>
      <c r="AN308" s="132" t="n">
        <f aca="false">CHOOSE($G$3,AI308-AJ308,AJ308-AI308)</f>
        <v>0</v>
      </c>
      <c r="AO308" s="148" t="n">
        <f aca="false">SUM(AL308:AN308)</f>
        <v>0</v>
      </c>
      <c r="AQ308" s="132" t="n">
        <f aca="false">CHOOSE($G$3,AB308-AC308,AC308-AB308)</f>
        <v>0</v>
      </c>
      <c r="AR308" s="132" t="n">
        <f aca="false">CHOOSE($G$3,AE308-AF308,AF308-AE308)</f>
        <v>0</v>
      </c>
      <c r="AS308" s="132" t="n">
        <f aca="false">CHOOSE($G$3,AH308-AI308,AI308-AH308)</f>
        <v>0</v>
      </c>
      <c r="AT308" s="148" t="n">
        <f aca="false">AQ308+AR308+AS308</f>
        <v>0</v>
      </c>
      <c r="AU308" s="148"/>
      <c r="AV308" s="133" t="n">
        <f aca="false">AT308+AO308</f>
        <v>0</v>
      </c>
      <c r="AX308" s="133" t="n">
        <f aca="false">AJ308+AG308+AD308</f>
        <v>0</v>
      </c>
      <c r="AY308" s="149"/>
      <c r="AZ308" s="76" t="n">
        <f aca="false">R308*E308</f>
        <v>0</v>
      </c>
    </row>
    <row r="309" customFormat="false" ht="12" hidden="false" customHeight="true" outlineLevel="0" collapsed="false">
      <c r="A309" s="138" t="n">
        <f aca="false">EDATE(A308,1)</f>
        <v>46082</v>
      </c>
      <c r="B309" s="139" t="n">
        <f aca="false">VLOOKUP($A309,Table2,MATCH(I$3,Curves2,0))</f>
        <v>0</v>
      </c>
      <c r="C309" s="140"/>
      <c r="D309" s="141" t="n">
        <f aca="false">B309+C309</f>
        <v>0</v>
      </c>
      <c r="E309" s="126" t="n">
        <f aca="false">IF(Y309=0,0,IF(AND(Y309=1,$H$3=1),D309*T309,IF($H$3=2,D309,"N/A")))</f>
        <v>0</v>
      </c>
      <c r="F309" s="126" t="n">
        <f aca="false">E309*X309</f>
        <v>0</v>
      </c>
      <c r="G309" s="142" t="n">
        <f aca="false">VLOOKUP($A309,Table,MATCH(G$4,Curves,0))</f>
        <v>3.987</v>
      </c>
      <c r="H309" s="143" t="n">
        <f aca="false">G309</f>
        <v>3.987</v>
      </c>
      <c r="I309" s="142" t="n">
        <f aca="false">VLOOKUP($A309,Table1,MATCH(I$3,Curves1,0))</f>
        <v>0</v>
      </c>
      <c r="J309" s="142" t="n">
        <f aca="false">VLOOKUP($A309,Table,MATCH(J$4,Curves,0))</f>
        <v>-0.061</v>
      </c>
      <c r="K309" s="143" t="n">
        <f aca="false">J309</f>
        <v>-0.061</v>
      </c>
      <c r="L309" s="144" t="n">
        <v>0</v>
      </c>
      <c r="M309" s="142" t="n">
        <f aca="false">VLOOKUP($A309,Table,MATCH(M$4,Curves,0))</f>
        <v>0.005</v>
      </c>
      <c r="N309" s="143" t="n">
        <f aca="false">M309</f>
        <v>0.005</v>
      </c>
      <c r="O309" s="144" t="n">
        <v>0</v>
      </c>
      <c r="P309" s="145"/>
      <c r="Q309" s="144" t="n">
        <f aca="false">M309+J309+G309</f>
        <v>3.931</v>
      </c>
      <c r="R309" s="144" t="n">
        <f aca="false">O309+L309+I309</f>
        <v>0</v>
      </c>
      <c r="S309" s="145"/>
      <c r="T309" s="71" t="n">
        <f aca="false">A310-A309</f>
        <v>31</v>
      </c>
      <c r="U309" s="146" t="n">
        <f aca="false">CHOOSE(F$3,A310+24,A309)</f>
        <v>46137</v>
      </c>
      <c r="V309" s="71" t="n">
        <f aca="false">U309-C$3</f>
        <v>9249</v>
      </c>
      <c r="W309" s="142" t="n">
        <f aca="false">VLOOKUP($A309,Table,MATCH(W$4,Curves,0))</f>
        <v>0.058966861357273</v>
      </c>
      <c r="X309" s="147" t="n">
        <f aca="false">1/(1+CHOOSE(F$3,(W310+($K$3/10000))/2,(W309+($K$3/10000))/2))^(2*V309/365.25)</f>
        <v>0.22955958737527</v>
      </c>
      <c r="Y309" s="71" t="n">
        <f aca="false">IF(AND(mthbeg&lt;=A309,mthend&gt;=A309),1,0)</f>
        <v>0</v>
      </c>
      <c r="Z309" s="71" t="n">
        <f aca="false">T309*Y309</f>
        <v>0</v>
      </c>
      <c r="AB309" s="132" t="n">
        <f aca="false">F309*G309</f>
        <v>0</v>
      </c>
      <c r="AC309" s="132" t="n">
        <f aca="false">$F309*H309</f>
        <v>0</v>
      </c>
      <c r="AD309" s="132" t="n">
        <f aca="false">$F309*I309</f>
        <v>0</v>
      </c>
      <c r="AE309" s="132" t="n">
        <f aca="false">$F309*J309</f>
        <v>-0</v>
      </c>
      <c r="AF309" s="132" t="n">
        <f aca="false">$F309*K309</f>
        <v>-0</v>
      </c>
      <c r="AG309" s="132" t="n">
        <f aca="false">$F309*L309</f>
        <v>0</v>
      </c>
      <c r="AH309" s="132" t="n">
        <f aca="false">$F309*M309</f>
        <v>0</v>
      </c>
      <c r="AI309" s="132" t="n">
        <f aca="false">$F309*N309</f>
        <v>0</v>
      </c>
      <c r="AJ309" s="132" t="n">
        <f aca="false">F309*O309</f>
        <v>0</v>
      </c>
      <c r="AK309" s="137"/>
      <c r="AL309" s="132" t="n">
        <f aca="false">CHOOSE($G$3,AC309-AD309,AD309-AC309)</f>
        <v>0</v>
      </c>
      <c r="AM309" s="132" t="n">
        <f aca="false">CHOOSE($G$3,AF309-AG309,AG309-AF309)</f>
        <v>0</v>
      </c>
      <c r="AN309" s="132" t="n">
        <f aca="false">CHOOSE($G$3,AI309-AJ309,AJ309-AI309)</f>
        <v>0</v>
      </c>
      <c r="AO309" s="148" t="n">
        <f aca="false">SUM(AL309:AN309)</f>
        <v>0</v>
      </c>
      <c r="AQ309" s="132" t="n">
        <f aca="false">CHOOSE($G$3,AB309-AC309,AC309-AB309)</f>
        <v>0</v>
      </c>
      <c r="AR309" s="132" t="n">
        <f aca="false">CHOOSE($G$3,AE309-AF309,AF309-AE309)</f>
        <v>0</v>
      </c>
      <c r="AS309" s="132" t="n">
        <f aca="false">CHOOSE($G$3,AH309-AI309,AI309-AH309)</f>
        <v>0</v>
      </c>
      <c r="AT309" s="148" t="n">
        <f aca="false">AQ309+AR309+AS309</f>
        <v>0</v>
      </c>
      <c r="AU309" s="148"/>
      <c r="AV309" s="133" t="n">
        <f aca="false">AT309+AO309</f>
        <v>0</v>
      </c>
      <c r="AX309" s="133" t="n">
        <f aca="false">AJ309+AG309+AD309</f>
        <v>0</v>
      </c>
      <c r="AY309" s="149"/>
      <c r="AZ309" s="76" t="n">
        <f aca="false">R309*E309</f>
        <v>0</v>
      </c>
    </row>
    <row r="310" customFormat="false" ht="12" hidden="false" customHeight="true" outlineLevel="0" collapsed="false">
      <c r="A310" s="138" t="n">
        <f aca="false">EDATE(A309,1)</f>
        <v>46113</v>
      </c>
      <c r="B310" s="139" t="n">
        <f aca="false">VLOOKUP($A310,Table2,MATCH(I$3,Curves2,0))</f>
        <v>0</v>
      </c>
      <c r="C310" s="140"/>
      <c r="D310" s="141" t="n">
        <f aca="false">B310+C310</f>
        <v>0</v>
      </c>
      <c r="E310" s="126" t="n">
        <f aca="false">IF(Y310=0,0,IF(AND(Y310=1,$H$3=1),D310*T310,IF($H$3=2,D310,"N/A")))</f>
        <v>0</v>
      </c>
      <c r="F310" s="126" t="n">
        <f aca="false">E310*X310</f>
        <v>0</v>
      </c>
      <c r="G310" s="142" t="n">
        <f aca="false">VLOOKUP($A310,Table,MATCH(G$4,Curves,0))</f>
        <v>3.987</v>
      </c>
      <c r="H310" s="143" t="n">
        <f aca="false">G310</f>
        <v>3.987</v>
      </c>
      <c r="I310" s="142" t="n">
        <f aca="false">VLOOKUP($A310,Table1,MATCH(I$3,Curves1,0))</f>
        <v>0</v>
      </c>
      <c r="J310" s="142" t="n">
        <f aca="false">VLOOKUP($A310,Table,MATCH(J$4,Curves,0))</f>
        <v>-0.061</v>
      </c>
      <c r="K310" s="143" t="n">
        <f aca="false">J310</f>
        <v>-0.061</v>
      </c>
      <c r="L310" s="144" t="n">
        <v>0</v>
      </c>
      <c r="M310" s="142" t="n">
        <f aca="false">VLOOKUP($A310,Table,MATCH(M$4,Curves,0))</f>
        <v>0.005</v>
      </c>
      <c r="N310" s="143" t="n">
        <f aca="false">M310</f>
        <v>0.005</v>
      </c>
      <c r="O310" s="144" t="n">
        <v>0</v>
      </c>
      <c r="P310" s="145"/>
      <c r="Q310" s="144" t="n">
        <f aca="false">M310+J310+G310</f>
        <v>3.931</v>
      </c>
      <c r="R310" s="144" t="n">
        <f aca="false">O310+L310+I310</f>
        <v>0</v>
      </c>
      <c r="S310" s="145"/>
      <c r="T310" s="71" t="n">
        <f aca="false">A311-A310</f>
        <v>30</v>
      </c>
      <c r="U310" s="146" t="n">
        <f aca="false">CHOOSE(F$3,A311+24,A310)</f>
        <v>46167</v>
      </c>
      <c r="V310" s="71" t="n">
        <f aca="false">U310-C$3</f>
        <v>9279</v>
      </c>
      <c r="W310" s="142" t="n">
        <f aca="false">VLOOKUP($A310,Table,MATCH(W$4,Curves,0))</f>
        <v>0.058966861357273</v>
      </c>
      <c r="X310" s="147" t="n">
        <f aca="false">1/(1+CHOOSE(F$3,(W311+($K$3/10000))/2,(W310+($K$3/10000))/2))^(2*V310/365.25)</f>
        <v>0.228466453297904</v>
      </c>
      <c r="Y310" s="71" t="n">
        <f aca="false">IF(AND(mthbeg&lt;=A310,mthend&gt;=A310),1,0)</f>
        <v>0</v>
      </c>
      <c r="Z310" s="71" t="n">
        <f aca="false">T310*Y310</f>
        <v>0</v>
      </c>
      <c r="AB310" s="132" t="n">
        <f aca="false">F310*G310</f>
        <v>0</v>
      </c>
      <c r="AC310" s="132" t="n">
        <f aca="false">$F310*H310</f>
        <v>0</v>
      </c>
      <c r="AD310" s="132" t="n">
        <f aca="false">$F310*I310</f>
        <v>0</v>
      </c>
      <c r="AE310" s="132" t="n">
        <f aca="false">$F310*J310</f>
        <v>-0</v>
      </c>
      <c r="AF310" s="132" t="n">
        <f aca="false">$F310*K310</f>
        <v>-0</v>
      </c>
      <c r="AG310" s="132" t="n">
        <f aca="false">$F310*L310</f>
        <v>0</v>
      </c>
      <c r="AH310" s="132" t="n">
        <f aca="false">$F310*M310</f>
        <v>0</v>
      </c>
      <c r="AI310" s="132" t="n">
        <f aca="false">$F310*N310</f>
        <v>0</v>
      </c>
      <c r="AJ310" s="132" t="n">
        <f aca="false">F310*O310</f>
        <v>0</v>
      </c>
      <c r="AK310" s="137"/>
      <c r="AL310" s="132" t="n">
        <f aca="false">CHOOSE($G$3,AC310-AD310,AD310-AC310)</f>
        <v>0</v>
      </c>
      <c r="AM310" s="132" t="n">
        <f aca="false">CHOOSE($G$3,AF310-AG310,AG310-AF310)</f>
        <v>0</v>
      </c>
      <c r="AN310" s="132" t="n">
        <f aca="false">CHOOSE($G$3,AI310-AJ310,AJ310-AI310)</f>
        <v>0</v>
      </c>
      <c r="AO310" s="148" t="n">
        <f aca="false">SUM(AL310:AN310)</f>
        <v>0</v>
      </c>
      <c r="AQ310" s="132" t="n">
        <f aca="false">CHOOSE($G$3,AB310-AC310,AC310-AB310)</f>
        <v>0</v>
      </c>
      <c r="AR310" s="132" t="n">
        <f aca="false">CHOOSE($G$3,AE310-AF310,AF310-AE310)</f>
        <v>0</v>
      </c>
      <c r="AS310" s="132" t="n">
        <f aca="false">CHOOSE($G$3,AH310-AI310,AI310-AH310)</f>
        <v>0</v>
      </c>
      <c r="AT310" s="148" t="n">
        <f aca="false">AQ310+AR310+AS310</f>
        <v>0</v>
      </c>
      <c r="AU310" s="148"/>
      <c r="AV310" s="133" t="n">
        <f aca="false">AT310+AO310</f>
        <v>0</v>
      </c>
      <c r="AX310" s="133" t="n">
        <f aca="false">AJ310+AG310+AD310</f>
        <v>0</v>
      </c>
      <c r="AY310" s="149"/>
      <c r="AZ310" s="76" t="n">
        <f aca="false">R310*E310</f>
        <v>0</v>
      </c>
    </row>
    <row r="311" customFormat="false" ht="12" hidden="false" customHeight="true" outlineLevel="0" collapsed="false">
      <c r="A311" s="138" t="n">
        <f aca="false">EDATE(A310,1)</f>
        <v>46143</v>
      </c>
      <c r="B311" s="139" t="n">
        <f aca="false">VLOOKUP($A311,Table2,MATCH(I$3,Curves2,0))</f>
        <v>0</v>
      </c>
      <c r="C311" s="140"/>
      <c r="D311" s="141" t="n">
        <f aca="false">B311+C311</f>
        <v>0</v>
      </c>
      <c r="E311" s="126" t="n">
        <f aca="false">IF(Y311=0,0,IF(AND(Y311=1,$H$3=1),D311*T311,IF($H$3=2,D311,"N/A")))</f>
        <v>0</v>
      </c>
      <c r="F311" s="126" t="n">
        <f aca="false">E311*X311</f>
        <v>0</v>
      </c>
      <c r="G311" s="142" t="n">
        <f aca="false">VLOOKUP($A311,Table,MATCH(G$4,Curves,0))</f>
        <v>3.987</v>
      </c>
      <c r="H311" s="143" t="n">
        <f aca="false">G311</f>
        <v>3.987</v>
      </c>
      <c r="I311" s="142" t="n">
        <f aca="false">VLOOKUP($A311,Table1,MATCH(I$3,Curves1,0))</f>
        <v>0</v>
      </c>
      <c r="J311" s="142" t="n">
        <f aca="false">VLOOKUP($A311,Table,MATCH(J$4,Curves,0))</f>
        <v>-0.061</v>
      </c>
      <c r="K311" s="143" t="n">
        <f aca="false">J311</f>
        <v>-0.061</v>
      </c>
      <c r="L311" s="144" t="n">
        <v>0</v>
      </c>
      <c r="M311" s="142" t="n">
        <f aca="false">VLOOKUP($A311,Table,MATCH(M$4,Curves,0))</f>
        <v>0.005</v>
      </c>
      <c r="N311" s="143" t="n">
        <f aca="false">M311</f>
        <v>0.005</v>
      </c>
      <c r="O311" s="144" t="n">
        <v>0</v>
      </c>
      <c r="P311" s="145"/>
      <c r="Q311" s="144" t="n">
        <f aca="false">M311+J311+G311</f>
        <v>3.931</v>
      </c>
      <c r="R311" s="144" t="n">
        <f aca="false">O311+L311+I311</f>
        <v>0</v>
      </c>
      <c r="S311" s="145"/>
      <c r="T311" s="71" t="n">
        <f aca="false">A312-A311</f>
        <v>31</v>
      </c>
      <c r="U311" s="146" t="n">
        <f aca="false">CHOOSE(F$3,A312+24,A311)</f>
        <v>46198</v>
      </c>
      <c r="V311" s="71" t="n">
        <f aca="false">U311-C$3</f>
        <v>9310</v>
      </c>
      <c r="W311" s="142" t="n">
        <f aca="false">VLOOKUP($A311,Table,MATCH(W$4,Curves,0))</f>
        <v>0.058966861357273</v>
      </c>
      <c r="X311" s="147" t="n">
        <f aca="false">1/(1+CHOOSE(F$3,(W312+($K$3/10000))/2,(W311+($K$3/10000))/2))^(2*V311/365.25)</f>
        <v>0.22734234965647</v>
      </c>
      <c r="Y311" s="71" t="n">
        <f aca="false">IF(AND(mthbeg&lt;=A311,mthend&gt;=A311),1,0)</f>
        <v>0</v>
      </c>
      <c r="Z311" s="71" t="n">
        <f aca="false">T311*Y311</f>
        <v>0</v>
      </c>
      <c r="AB311" s="132" t="n">
        <f aca="false">F311*G311</f>
        <v>0</v>
      </c>
      <c r="AC311" s="132" t="n">
        <f aca="false">$F311*H311</f>
        <v>0</v>
      </c>
      <c r="AD311" s="132" t="n">
        <f aca="false">$F311*I311</f>
        <v>0</v>
      </c>
      <c r="AE311" s="132" t="n">
        <f aca="false">$F311*J311</f>
        <v>-0</v>
      </c>
      <c r="AF311" s="132" t="n">
        <f aca="false">$F311*K311</f>
        <v>-0</v>
      </c>
      <c r="AG311" s="132" t="n">
        <f aca="false">$F311*L311</f>
        <v>0</v>
      </c>
      <c r="AH311" s="132" t="n">
        <f aca="false">$F311*M311</f>
        <v>0</v>
      </c>
      <c r="AI311" s="132" t="n">
        <f aca="false">$F311*N311</f>
        <v>0</v>
      </c>
      <c r="AJ311" s="132" t="n">
        <f aca="false">F311*O311</f>
        <v>0</v>
      </c>
      <c r="AK311" s="137"/>
      <c r="AL311" s="132" t="n">
        <f aca="false">CHOOSE($G$3,AC311-AD311,AD311-AC311)</f>
        <v>0</v>
      </c>
      <c r="AM311" s="132" t="n">
        <f aca="false">CHOOSE($G$3,AF311-AG311,AG311-AF311)</f>
        <v>0</v>
      </c>
      <c r="AN311" s="132" t="n">
        <f aca="false">CHOOSE($G$3,AI311-AJ311,AJ311-AI311)</f>
        <v>0</v>
      </c>
      <c r="AO311" s="148" t="n">
        <f aca="false">SUM(AL311:AN311)</f>
        <v>0</v>
      </c>
      <c r="AQ311" s="132" t="n">
        <f aca="false">CHOOSE($G$3,AB311-AC311,AC311-AB311)</f>
        <v>0</v>
      </c>
      <c r="AR311" s="132" t="n">
        <f aca="false">CHOOSE($G$3,AE311-AF311,AF311-AE311)</f>
        <v>0</v>
      </c>
      <c r="AS311" s="132" t="n">
        <f aca="false">CHOOSE($G$3,AH311-AI311,AI311-AH311)</f>
        <v>0</v>
      </c>
      <c r="AT311" s="148" t="n">
        <f aca="false">AQ311+AR311+AS311</f>
        <v>0</v>
      </c>
      <c r="AU311" s="148"/>
      <c r="AV311" s="133" t="n">
        <f aca="false">AT311+AO311</f>
        <v>0</v>
      </c>
      <c r="AX311" s="133" t="n">
        <f aca="false">AJ311+AG311+AD311</f>
        <v>0</v>
      </c>
      <c r="AY311" s="149"/>
      <c r="AZ311" s="76" t="n">
        <f aca="false">R311*E311</f>
        <v>0</v>
      </c>
    </row>
    <row r="312" customFormat="false" ht="12" hidden="false" customHeight="true" outlineLevel="0" collapsed="false">
      <c r="A312" s="138" t="n">
        <f aca="false">EDATE(A311,1)</f>
        <v>46174</v>
      </c>
      <c r="B312" s="139" t="n">
        <f aca="false">VLOOKUP($A312,Table2,MATCH(I$3,Curves2,0))</f>
        <v>0</v>
      </c>
      <c r="C312" s="140"/>
      <c r="D312" s="141" t="n">
        <f aca="false">B312+C312</f>
        <v>0</v>
      </c>
      <c r="E312" s="126" t="n">
        <f aca="false">IF(Y312=0,0,IF(AND(Y312=1,$H$3=1),D312*T312,IF($H$3=2,D312,"N/A")))</f>
        <v>0</v>
      </c>
      <c r="F312" s="126" t="n">
        <f aca="false">E312*X312</f>
        <v>0</v>
      </c>
      <c r="G312" s="142" t="n">
        <f aca="false">VLOOKUP($A312,Table,MATCH(G$4,Curves,0))</f>
        <v>3.987</v>
      </c>
      <c r="H312" s="143" t="n">
        <f aca="false">G312</f>
        <v>3.987</v>
      </c>
      <c r="I312" s="142" t="n">
        <f aca="false">VLOOKUP($A312,Table1,MATCH(I$3,Curves1,0))</f>
        <v>0</v>
      </c>
      <c r="J312" s="142" t="n">
        <f aca="false">VLOOKUP($A312,Table,MATCH(J$4,Curves,0))</f>
        <v>-0.061</v>
      </c>
      <c r="K312" s="143" t="n">
        <f aca="false">J312</f>
        <v>-0.061</v>
      </c>
      <c r="L312" s="144" t="n">
        <v>0</v>
      </c>
      <c r="M312" s="142" t="n">
        <f aca="false">VLOOKUP($A312,Table,MATCH(M$4,Curves,0))</f>
        <v>0.005</v>
      </c>
      <c r="N312" s="143" t="n">
        <f aca="false">M312</f>
        <v>0.005</v>
      </c>
      <c r="O312" s="144" t="n">
        <v>0</v>
      </c>
      <c r="P312" s="145"/>
      <c r="Q312" s="144" t="n">
        <f aca="false">M312+J312+G312</f>
        <v>3.931</v>
      </c>
      <c r="R312" s="144" t="n">
        <f aca="false">O312+L312+I312</f>
        <v>0</v>
      </c>
      <c r="S312" s="145"/>
      <c r="T312" s="71" t="n">
        <f aca="false">A313-A312</f>
        <v>30</v>
      </c>
      <c r="U312" s="146" t="n">
        <f aca="false">CHOOSE(F$3,A313+24,A312)</f>
        <v>46228</v>
      </c>
      <c r="V312" s="71" t="n">
        <f aca="false">U312-C$3</f>
        <v>9340</v>
      </c>
      <c r="W312" s="142" t="n">
        <f aca="false">VLOOKUP($A312,Table,MATCH(W$4,Curves,0))</f>
        <v>0.058966861357273</v>
      </c>
      <c r="X312" s="147" t="n">
        <f aca="false">1/(1+CHOOSE(F$3,(W313+($K$3/10000))/2,(W312+($K$3/10000))/2))^(2*V312/365.25)</f>
        <v>0.226259773788133</v>
      </c>
      <c r="Y312" s="71" t="n">
        <f aca="false">IF(AND(mthbeg&lt;=A312,mthend&gt;=A312),1,0)</f>
        <v>0</v>
      </c>
      <c r="Z312" s="71" t="n">
        <f aca="false">T312*Y312</f>
        <v>0</v>
      </c>
      <c r="AB312" s="132" t="n">
        <f aca="false">F312*G312</f>
        <v>0</v>
      </c>
      <c r="AC312" s="132" t="n">
        <f aca="false">$F312*H312</f>
        <v>0</v>
      </c>
      <c r="AD312" s="132" t="n">
        <f aca="false">$F312*I312</f>
        <v>0</v>
      </c>
      <c r="AE312" s="132" t="n">
        <f aca="false">$F312*J312</f>
        <v>-0</v>
      </c>
      <c r="AF312" s="132" t="n">
        <f aca="false">$F312*K312</f>
        <v>-0</v>
      </c>
      <c r="AG312" s="132" t="n">
        <f aca="false">$F312*L312</f>
        <v>0</v>
      </c>
      <c r="AH312" s="132" t="n">
        <f aca="false">$F312*M312</f>
        <v>0</v>
      </c>
      <c r="AI312" s="132" t="n">
        <f aca="false">$F312*N312</f>
        <v>0</v>
      </c>
      <c r="AJ312" s="132" t="n">
        <f aca="false">F312*O312</f>
        <v>0</v>
      </c>
      <c r="AK312" s="137"/>
      <c r="AL312" s="132" t="n">
        <f aca="false">CHOOSE($G$3,AC312-AD312,AD312-AC312)</f>
        <v>0</v>
      </c>
      <c r="AM312" s="132" t="n">
        <f aca="false">CHOOSE($G$3,AF312-AG312,AG312-AF312)</f>
        <v>0</v>
      </c>
      <c r="AN312" s="132" t="n">
        <f aca="false">CHOOSE($G$3,AI312-AJ312,AJ312-AI312)</f>
        <v>0</v>
      </c>
      <c r="AO312" s="148" t="n">
        <f aca="false">SUM(AL312:AN312)</f>
        <v>0</v>
      </c>
      <c r="AQ312" s="132" t="n">
        <f aca="false">CHOOSE($G$3,AB312-AC312,AC312-AB312)</f>
        <v>0</v>
      </c>
      <c r="AR312" s="132" t="n">
        <f aca="false">CHOOSE($G$3,AE312-AF312,AF312-AE312)</f>
        <v>0</v>
      </c>
      <c r="AS312" s="132" t="n">
        <f aca="false">CHOOSE($G$3,AH312-AI312,AI312-AH312)</f>
        <v>0</v>
      </c>
      <c r="AT312" s="148" t="n">
        <f aca="false">AQ312+AR312+AS312</f>
        <v>0</v>
      </c>
      <c r="AU312" s="148"/>
      <c r="AV312" s="133" t="n">
        <f aca="false">AT312+AO312</f>
        <v>0</v>
      </c>
      <c r="AX312" s="133" t="n">
        <f aca="false">AJ312+AG312+AD312</f>
        <v>0</v>
      </c>
      <c r="AY312" s="149"/>
      <c r="AZ312" s="76" t="n">
        <f aca="false">R312*E312</f>
        <v>0</v>
      </c>
    </row>
    <row r="313" customFormat="false" ht="12" hidden="false" customHeight="true" outlineLevel="0" collapsed="false">
      <c r="A313" s="138" t="n">
        <f aca="false">EDATE(A312,1)</f>
        <v>46204</v>
      </c>
      <c r="B313" s="139" t="n">
        <f aca="false">VLOOKUP($A313,Table2,MATCH(I$3,Curves2,0))</f>
        <v>0</v>
      </c>
      <c r="C313" s="140"/>
      <c r="D313" s="141" t="n">
        <f aca="false">B313+C313</f>
        <v>0</v>
      </c>
      <c r="E313" s="126" t="n">
        <f aca="false">IF(Y313=0,0,IF(AND(Y313=1,$H$3=1),D313*T313,IF($H$3=2,D313,"N/A")))</f>
        <v>0</v>
      </c>
      <c r="F313" s="126" t="n">
        <f aca="false">E313*X313</f>
        <v>0</v>
      </c>
      <c r="G313" s="142" t="n">
        <f aca="false">VLOOKUP($A313,Table,MATCH(G$4,Curves,0))</f>
        <v>3.987</v>
      </c>
      <c r="H313" s="143" t="n">
        <f aca="false">G313</f>
        <v>3.987</v>
      </c>
      <c r="I313" s="142" t="n">
        <f aca="false">VLOOKUP($A313,Table1,MATCH(I$3,Curves1,0))</f>
        <v>0</v>
      </c>
      <c r="J313" s="142" t="n">
        <f aca="false">VLOOKUP($A313,Table,MATCH(J$4,Curves,0))</f>
        <v>-0.061</v>
      </c>
      <c r="K313" s="143" t="n">
        <f aca="false">J313</f>
        <v>-0.061</v>
      </c>
      <c r="L313" s="144" t="n">
        <v>0</v>
      </c>
      <c r="M313" s="142" t="n">
        <f aca="false">VLOOKUP($A313,Table,MATCH(M$4,Curves,0))</f>
        <v>0.005</v>
      </c>
      <c r="N313" s="143" t="n">
        <f aca="false">M313</f>
        <v>0.005</v>
      </c>
      <c r="O313" s="144" t="n">
        <v>0</v>
      </c>
      <c r="P313" s="145"/>
      <c r="Q313" s="144" t="n">
        <f aca="false">M313+J313+G313</f>
        <v>3.931</v>
      </c>
      <c r="R313" s="144" t="n">
        <f aca="false">O313+L313+I313</f>
        <v>0</v>
      </c>
      <c r="S313" s="145"/>
      <c r="T313" s="71" t="n">
        <f aca="false">A314-A313</f>
        <v>31</v>
      </c>
      <c r="U313" s="146" t="n">
        <f aca="false">CHOOSE(F$3,A314+24,A313)</f>
        <v>46259</v>
      </c>
      <c r="V313" s="71" t="n">
        <f aca="false">U313-C$3</f>
        <v>9371</v>
      </c>
      <c r="W313" s="142" t="n">
        <f aca="false">VLOOKUP($A313,Table,MATCH(W$4,Curves,0))</f>
        <v>0.058966861357273</v>
      </c>
      <c r="X313" s="147" t="n">
        <f aca="false">1/(1+CHOOSE(F$3,(W314+($K$3/10000))/2,(W313+($K$3/10000))/2))^(2*V313/365.25)</f>
        <v>0.225146527480179</v>
      </c>
      <c r="Y313" s="71" t="n">
        <f aca="false">IF(AND(mthbeg&lt;=A313,mthend&gt;=A313),1,0)</f>
        <v>0</v>
      </c>
      <c r="Z313" s="71" t="n">
        <f aca="false">T313*Y313</f>
        <v>0</v>
      </c>
      <c r="AB313" s="132" t="n">
        <f aca="false">F313*G313</f>
        <v>0</v>
      </c>
      <c r="AC313" s="132" t="n">
        <f aca="false">$F313*H313</f>
        <v>0</v>
      </c>
      <c r="AD313" s="132" t="n">
        <f aca="false">$F313*I313</f>
        <v>0</v>
      </c>
      <c r="AE313" s="132" t="n">
        <f aca="false">$F313*J313</f>
        <v>-0</v>
      </c>
      <c r="AF313" s="132" t="n">
        <f aca="false">$F313*K313</f>
        <v>-0</v>
      </c>
      <c r="AG313" s="132" t="n">
        <f aca="false">$F313*L313</f>
        <v>0</v>
      </c>
      <c r="AH313" s="132" t="n">
        <f aca="false">$F313*M313</f>
        <v>0</v>
      </c>
      <c r="AI313" s="132" t="n">
        <f aca="false">$F313*N313</f>
        <v>0</v>
      </c>
      <c r="AJ313" s="132" t="n">
        <f aca="false">F313*O313</f>
        <v>0</v>
      </c>
      <c r="AK313" s="137"/>
      <c r="AL313" s="132" t="n">
        <f aca="false">CHOOSE($G$3,AC313-AD313,AD313-AC313)</f>
        <v>0</v>
      </c>
      <c r="AM313" s="132" t="n">
        <f aca="false">CHOOSE($G$3,AF313-AG313,AG313-AF313)</f>
        <v>0</v>
      </c>
      <c r="AN313" s="132" t="n">
        <f aca="false">CHOOSE($G$3,AI313-AJ313,AJ313-AI313)</f>
        <v>0</v>
      </c>
      <c r="AO313" s="148" t="n">
        <f aca="false">SUM(AL313:AN313)</f>
        <v>0</v>
      </c>
      <c r="AQ313" s="132" t="n">
        <f aca="false">CHOOSE($G$3,AB313-AC313,AC313-AB313)</f>
        <v>0</v>
      </c>
      <c r="AR313" s="132" t="n">
        <f aca="false">CHOOSE($G$3,AE313-AF313,AF313-AE313)</f>
        <v>0</v>
      </c>
      <c r="AS313" s="132" t="n">
        <f aca="false">CHOOSE($G$3,AH313-AI313,AI313-AH313)</f>
        <v>0</v>
      </c>
      <c r="AT313" s="148" t="n">
        <f aca="false">AQ313+AR313+AS313</f>
        <v>0</v>
      </c>
      <c r="AU313" s="148"/>
      <c r="AV313" s="133" t="n">
        <f aca="false">AT313+AO313</f>
        <v>0</v>
      </c>
      <c r="AX313" s="133" t="n">
        <f aca="false">AJ313+AG313+AD313</f>
        <v>0</v>
      </c>
      <c r="AY313" s="149"/>
      <c r="AZ313" s="76" t="n">
        <f aca="false">R313*E313</f>
        <v>0</v>
      </c>
    </row>
    <row r="314" customFormat="false" ht="12" hidden="false" customHeight="true" outlineLevel="0" collapsed="false">
      <c r="A314" s="138" t="n">
        <f aca="false">EDATE(A313,1)</f>
        <v>46235</v>
      </c>
      <c r="B314" s="139" t="n">
        <f aca="false">VLOOKUP($A314,Table2,MATCH(I$3,Curves2,0))</f>
        <v>0</v>
      </c>
      <c r="C314" s="140"/>
      <c r="D314" s="141" t="n">
        <f aca="false">B314+C314</f>
        <v>0</v>
      </c>
      <c r="E314" s="126" t="n">
        <f aca="false">IF(Y314=0,0,IF(AND(Y314=1,$H$3=1),D314*T314,IF($H$3=2,D314,"N/A")))</f>
        <v>0</v>
      </c>
      <c r="F314" s="126" t="n">
        <f aca="false">E314*X314</f>
        <v>0</v>
      </c>
      <c r="G314" s="142" t="n">
        <f aca="false">VLOOKUP($A314,Table,MATCH(G$4,Curves,0))</f>
        <v>3.987</v>
      </c>
      <c r="H314" s="143" t="n">
        <f aca="false">G314</f>
        <v>3.987</v>
      </c>
      <c r="I314" s="142" t="n">
        <f aca="false">VLOOKUP($A314,Table1,MATCH(I$3,Curves1,0))</f>
        <v>0</v>
      </c>
      <c r="J314" s="142" t="n">
        <f aca="false">VLOOKUP($A314,Table,MATCH(J$4,Curves,0))</f>
        <v>-0.061</v>
      </c>
      <c r="K314" s="143" t="n">
        <f aca="false">J314</f>
        <v>-0.061</v>
      </c>
      <c r="L314" s="144" t="n">
        <v>0</v>
      </c>
      <c r="M314" s="142" t="n">
        <f aca="false">VLOOKUP($A314,Table,MATCH(M$4,Curves,0))</f>
        <v>0.005</v>
      </c>
      <c r="N314" s="143" t="n">
        <f aca="false">M314</f>
        <v>0.005</v>
      </c>
      <c r="O314" s="144" t="n">
        <v>0</v>
      </c>
      <c r="P314" s="145"/>
      <c r="Q314" s="144" t="n">
        <f aca="false">M314+J314+G314</f>
        <v>3.931</v>
      </c>
      <c r="R314" s="144" t="n">
        <f aca="false">O314+L314+I314</f>
        <v>0</v>
      </c>
      <c r="S314" s="145"/>
      <c r="T314" s="71" t="n">
        <f aca="false">A315-A314</f>
        <v>31</v>
      </c>
      <c r="U314" s="146" t="n">
        <f aca="false">CHOOSE(F$3,A315+24,A314)</f>
        <v>46290</v>
      </c>
      <c r="V314" s="71" t="n">
        <f aca="false">U314-C$3</f>
        <v>9402</v>
      </c>
      <c r="W314" s="142" t="n">
        <f aca="false">VLOOKUP($A314,Table,MATCH(W$4,Curves,0))</f>
        <v>0.058966861357273</v>
      </c>
      <c r="X314" s="147" t="n">
        <f aca="false">1/(1+CHOOSE(F$3,(W315+($K$3/10000))/2,(W314+($K$3/10000))/2))^(2*V314/365.25)</f>
        <v>0.224038758581317</v>
      </c>
      <c r="Y314" s="71" t="n">
        <f aca="false">IF(AND(mthbeg&lt;=A314,mthend&gt;=A314),1,0)</f>
        <v>0</v>
      </c>
      <c r="Z314" s="71" t="n">
        <f aca="false">T314*Y314</f>
        <v>0</v>
      </c>
      <c r="AB314" s="132" t="n">
        <f aca="false">F314*G314</f>
        <v>0</v>
      </c>
      <c r="AC314" s="132" t="n">
        <f aca="false">$F314*H314</f>
        <v>0</v>
      </c>
      <c r="AD314" s="132" t="n">
        <f aca="false">$F314*I314</f>
        <v>0</v>
      </c>
      <c r="AE314" s="132" t="n">
        <f aca="false">$F314*J314</f>
        <v>-0</v>
      </c>
      <c r="AF314" s="132" t="n">
        <f aca="false">$F314*K314</f>
        <v>-0</v>
      </c>
      <c r="AG314" s="132" t="n">
        <f aca="false">$F314*L314</f>
        <v>0</v>
      </c>
      <c r="AH314" s="132" t="n">
        <f aca="false">$F314*M314</f>
        <v>0</v>
      </c>
      <c r="AI314" s="132" t="n">
        <f aca="false">$F314*N314</f>
        <v>0</v>
      </c>
      <c r="AJ314" s="132" t="n">
        <f aca="false">F314*O314</f>
        <v>0</v>
      </c>
      <c r="AK314" s="137"/>
      <c r="AL314" s="132" t="n">
        <f aca="false">CHOOSE($G$3,AC314-AD314,AD314-AC314)</f>
        <v>0</v>
      </c>
      <c r="AM314" s="132" t="n">
        <f aca="false">CHOOSE($G$3,AF314-AG314,AG314-AF314)</f>
        <v>0</v>
      </c>
      <c r="AN314" s="132" t="n">
        <f aca="false">CHOOSE($G$3,AI314-AJ314,AJ314-AI314)</f>
        <v>0</v>
      </c>
      <c r="AO314" s="148" t="n">
        <f aca="false">SUM(AL314:AN314)</f>
        <v>0</v>
      </c>
      <c r="AQ314" s="132" t="n">
        <f aca="false">CHOOSE($G$3,AB314-AC314,AC314-AB314)</f>
        <v>0</v>
      </c>
      <c r="AR314" s="132" t="n">
        <f aca="false">CHOOSE($G$3,AE314-AF314,AF314-AE314)</f>
        <v>0</v>
      </c>
      <c r="AS314" s="132" t="n">
        <f aca="false">CHOOSE($G$3,AH314-AI314,AI314-AH314)</f>
        <v>0</v>
      </c>
      <c r="AT314" s="148" t="n">
        <f aca="false">AQ314+AR314+AS314</f>
        <v>0</v>
      </c>
      <c r="AU314" s="148"/>
      <c r="AV314" s="133" t="n">
        <f aca="false">AT314+AO314</f>
        <v>0</v>
      </c>
      <c r="AX314" s="133" t="n">
        <f aca="false">AJ314+AG314+AD314</f>
        <v>0</v>
      </c>
      <c r="AY314" s="149"/>
      <c r="AZ314" s="76" t="n">
        <f aca="false">R314*E314</f>
        <v>0</v>
      </c>
    </row>
    <row r="315" customFormat="false" ht="12" hidden="false" customHeight="true" outlineLevel="0" collapsed="false">
      <c r="A315" s="138" t="n">
        <f aca="false">EDATE(A314,1)</f>
        <v>46266</v>
      </c>
      <c r="B315" s="139" t="n">
        <f aca="false">VLOOKUP($A315,Table2,MATCH(I$3,Curves2,0))</f>
        <v>0</v>
      </c>
      <c r="C315" s="140"/>
      <c r="D315" s="141" t="n">
        <f aca="false">B315+C315</f>
        <v>0</v>
      </c>
      <c r="E315" s="126" t="n">
        <f aca="false">IF(Y315=0,0,IF(AND(Y315=1,$H$3=1),D315*T315,IF($H$3=2,D315,"N/A")))</f>
        <v>0</v>
      </c>
      <c r="F315" s="126" t="n">
        <f aca="false">E315*X315</f>
        <v>0</v>
      </c>
      <c r="G315" s="142" t="n">
        <f aca="false">VLOOKUP($A315,Table,MATCH(G$4,Curves,0))</f>
        <v>3.987</v>
      </c>
      <c r="H315" s="143" t="n">
        <f aca="false">G315</f>
        <v>3.987</v>
      </c>
      <c r="I315" s="142" t="n">
        <f aca="false">VLOOKUP($A315,Table1,MATCH(I$3,Curves1,0))</f>
        <v>0</v>
      </c>
      <c r="J315" s="142" t="n">
        <f aca="false">VLOOKUP($A315,Table,MATCH(J$4,Curves,0))</f>
        <v>-0.061</v>
      </c>
      <c r="K315" s="143" t="n">
        <f aca="false">J315</f>
        <v>-0.061</v>
      </c>
      <c r="L315" s="144" t="n">
        <v>0</v>
      </c>
      <c r="M315" s="142" t="n">
        <f aca="false">VLOOKUP($A315,Table,MATCH(M$4,Curves,0))</f>
        <v>0.005</v>
      </c>
      <c r="N315" s="143" t="n">
        <f aca="false">M315</f>
        <v>0.005</v>
      </c>
      <c r="O315" s="144" t="n">
        <v>0</v>
      </c>
      <c r="P315" s="145"/>
      <c r="Q315" s="144" t="n">
        <f aca="false">M315+J315+G315</f>
        <v>3.931</v>
      </c>
      <c r="R315" s="144" t="n">
        <f aca="false">O315+L315+I315</f>
        <v>0</v>
      </c>
      <c r="S315" s="145"/>
      <c r="T315" s="71" t="n">
        <f aca="false">A316-A315</f>
        <v>30</v>
      </c>
      <c r="U315" s="146" t="n">
        <f aca="false">CHOOSE(F$3,A316+24,A315)</f>
        <v>46320</v>
      </c>
      <c r="V315" s="71" t="n">
        <f aca="false">U315-C$3</f>
        <v>9432</v>
      </c>
      <c r="W315" s="142" t="n">
        <f aca="false">VLOOKUP($A315,Table,MATCH(W$4,Curves,0))</f>
        <v>0.058966861357273</v>
      </c>
      <c r="X315" s="147" t="n">
        <f aca="false">1/(1+CHOOSE(F$3,(W316+($K$3/10000))/2,(W315+($K$3/10000))/2))^(2*V315/365.25)</f>
        <v>0.222971914000979</v>
      </c>
      <c r="Y315" s="71" t="n">
        <f aca="false">IF(AND(mthbeg&lt;=A315,mthend&gt;=A315),1,0)</f>
        <v>0</v>
      </c>
      <c r="Z315" s="71" t="n">
        <f aca="false">T315*Y315</f>
        <v>0</v>
      </c>
      <c r="AB315" s="132" t="n">
        <f aca="false">F315*G315</f>
        <v>0</v>
      </c>
      <c r="AC315" s="132" t="n">
        <f aca="false">$F315*H315</f>
        <v>0</v>
      </c>
      <c r="AD315" s="132" t="n">
        <f aca="false">$F315*I315</f>
        <v>0</v>
      </c>
      <c r="AE315" s="132" t="n">
        <f aca="false">$F315*J315</f>
        <v>-0</v>
      </c>
      <c r="AF315" s="132" t="n">
        <f aca="false">$F315*K315</f>
        <v>-0</v>
      </c>
      <c r="AG315" s="132" t="n">
        <f aca="false">$F315*L315</f>
        <v>0</v>
      </c>
      <c r="AH315" s="132" t="n">
        <f aca="false">$F315*M315</f>
        <v>0</v>
      </c>
      <c r="AI315" s="132" t="n">
        <f aca="false">$F315*N315</f>
        <v>0</v>
      </c>
      <c r="AJ315" s="132" t="n">
        <f aca="false">F315*O315</f>
        <v>0</v>
      </c>
      <c r="AK315" s="137"/>
      <c r="AL315" s="132" t="n">
        <f aca="false">CHOOSE($G$3,AC315-AD315,AD315-AC315)</f>
        <v>0</v>
      </c>
      <c r="AM315" s="132" t="n">
        <f aca="false">CHOOSE($G$3,AF315-AG315,AG315-AF315)</f>
        <v>0</v>
      </c>
      <c r="AN315" s="132" t="n">
        <f aca="false">CHOOSE($G$3,AI315-AJ315,AJ315-AI315)</f>
        <v>0</v>
      </c>
      <c r="AO315" s="148" t="n">
        <f aca="false">SUM(AL315:AN315)</f>
        <v>0</v>
      </c>
      <c r="AQ315" s="132" t="n">
        <f aca="false">CHOOSE($G$3,AB315-AC315,AC315-AB315)</f>
        <v>0</v>
      </c>
      <c r="AR315" s="132" t="n">
        <f aca="false">CHOOSE($G$3,AE315-AF315,AF315-AE315)</f>
        <v>0</v>
      </c>
      <c r="AS315" s="132" t="n">
        <f aca="false">CHOOSE($G$3,AH315-AI315,AI315-AH315)</f>
        <v>0</v>
      </c>
      <c r="AT315" s="148" t="n">
        <f aca="false">AQ315+AR315+AS315</f>
        <v>0</v>
      </c>
      <c r="AU315" s="148"/>
      <c r="AV315" s="133" t="n">
        <f aca="false">AT315+AO315</f>
        <v>0</v>
      </c>
      <c r="AX315" s="133" t="n">
        <f aca="false">AJ315+AG315+AD315</f>
        <v>0</v>
      </c>
      <c r="AY315" s="149"/>
      <c r="AZ315" s="76" t="n">
        <f aca="false">R315*E315</f>
        <v>0</v>
      </c>
    </row>
    <row r="316" customFormat="false" ht="12" hidden="false" customHeight="true" outlineLevel="0" collapsed="false">
      <c r="A316" s="138" t="n">
        <f aca="false">EDATE(A315,1)</f>
        <v>46296</v>
      </c>
      <c r="B316" s="139" t="n">
        <f aca="false">VLOOKUP($A316,Table2,MATCH(I$3,Curves2,0))</f>
        <v>0</v>
      </c>
      <c r="C316" s="140"/>
      <c r="D316" s="141" t="n">
        <f aca="false">B316+C316</f>
        <v>0</v>
      </c>
      <c r="E316" s="126" t="n">
        <f aca="false">IF(Y316=0,0,IF(AND(Y316=1,$H$3=1),D316*T316,IF($H$3=2,D316,"N/A")))</f>
        <v>0</v>
      </c>
      <c r="F316" s="126" t="n">
        <f aca="false">E316*X316</f>
        <v>0</v>
      </c>
      <c r="G316" s="142" t="n">
        <f aca="false">VLOOKUP($A316,Table,MATCH(G$4,Curves,0))</f>
        <v>3.987</v>
      </c>
      <c r="H316" s="143" t="n">
        <f aca="false">G316</f>
        <v>3.987</v>
      </c>
      <c r="I316" s="142" t="n">
        <f aca="false">VLOOKUP($A316,Table1,MATCH(I$3,Curves1,0))</f>
        <v>0</v>
      </c>
      <c r="J316" s="142" t="n">
        <f aca="false">VLOOKUP($A316,Table,MATCH(J$4,Curves,0))</f>
        <v>-0.061</v>
      </c>
      <c r="K316" s="143" t="n">
        <f aca="false">J316</f>
        <v>-0.061</v>
      </c>
      <c r="L316" s="144" t="n">
        <v>0</v>
      </c>
      <c r="M316" s="142" t="n">
        <f aca="false">VLOOKUP($A316,Table,MATCH(M$4,Curves,0))</f>
        <v>0.005</v>
      </c>
      <c r="N316" s="143" t="n">
        <f aca="false">M316</f>
        <v>0.005</v>
      </c>
      <c r="O316" s="144" t="n">
        <v>0</v>
      </c>
      <c r="P316" s="145"/>
      <c r="Q316" s="144" t="n">
        <f aca="false">M316+J316+G316</f>
        <v>3.931</v>
      </c>
      <c r="R316" s="144" t="n">
        <f aca="false">O316+L316+I316</f>
        <v>0</v>
      </c>
      <c r="S316" s="145"/>
      <c r="T316" s="71" t="n">
        <f aca="false">A317-A316</f>
        <v>31</v>
      </c>
      <c r="U316" s="146" t="n">
        <f aca="false">CHOOSE(F$3,A317+24,A316)</f>
        <v>46351</v>
      </c>
      <c r="V316" s="71" t="n">
        <f aca="false">U316-C$3</f>
        <v>9463</v>
      </c>
      <c r="W316" s="142" t="n">
        <f aca="false">VLOOKUP($A316,Table,MATCH(W$4,Curves,0))</f>
        <v>0.058966861357273</v>
      </c>
      <c r="X316" s="147" t="n">
        <f aca="false">1/(1+CHOOSE(F$3,(W317+($K$3/10000))/2,(W316+($K$3/10000))/2))^(2*V316/365.25)</f>
        <v>0.221874844663893</v>
      </c>
      <c r="Y316" s="71" t="n">
        <f aca="false">IF(AND(mthbeg&lt;=A316,mthend&gt;=A316),1,0)</f>
        <v>0</v>
      </c>
      <c r="Z316" s="71" t="n">
        <f aca="false">T316*Y316</f>
        <v>0</v>
      </c>
      <c r="AB316" s="132" t="n">
        <f aca="false">F316*G316</f>
        <v>0</v>
      </c>
      <c r="AC316" s="132" t="n">
        <f aca="false">$F316*H316</f>
        <v>0</v>
      </c>
      <c r="AD316" s="132" t="n">
        <f aca="false">$F316*I316</f>
        <v>0</v>
      </c>
      <c r="AE316" s="132" t="n">
        <f aca="false">$F316*J316</f>
        <v>-0</v>
      </c>
      <c r="AF316" s="132" t="n">
        <f aca="false">$F316*K316</f>
        <v>-0</v>
      </c>
      <c r="AG316" s="132" t="n">
        <f aca="false">$F316*L316</f>
        <v>0</v>
      </c>
      <c r="AH316" s="132" t="n">
        <f aca="false">$F316*M316</f>
        <v>0</v>
      </c>
      <c r="AI316" s="132" t="n">
        <f aca="false">$F316*N316</f>
        <v>0</v>
      </c>
      <c r="AJ316" s="132" t="n">
        <f aca="false">F316*O316</f>
        <v>0</v>
      </c>
      <c r="AK316" s="137"/>
      <c r="AL316" s="132" t="n">
        <f aca="false">CHOOSE($G$3,AC316-AD316,AD316-AC316)</f>
        <v>0</v>
      </c>
      <c r="AM316" s="132" t="n">
        <f aca="false">CHOOSE($G$3,AF316-AG316,AG316-AF316)</f>
        <v>0</v>
      </c>
      <c r="AN316" s="132" t="n">
        <f aca="false">CHOOSE($G$3,AI316-AJ316,AJ316-AI316)</f>
        <v>0</v>
      </c>
      <c r="AO316" s="148" t="n">
        <f aca="false">SUM(AL316:AN316)</f>
        <v>0</v>
      </c>
      <c r="AQ316" s="132" t="n">
        <f aca="false">CHOOSE($G$3,AB316-AC316,AC316-AB316)</f>
        <v>0</v>
      </c>
      <c r="AR316" s="132" t="n">
        <f aca="false">CHOOSE($G$3,AE316-AF316,AF316-AE316)</f>
        <v>0</v>
      </c>
      <c r="AS316" s="132" t="n">
        <f aca="false">CHOOSE($G$3,AH316-AI316,AI316-AH316)</f>
        <v>0</v>
      </c>
      <c r="AT316" s="148" t="n">
        <f aca="false">AQ316+AR316+AS316</f>
        <v>0</v>
      </c>
      <c r="AU316" s="148"/>
      <c r="AV316" s="133" t="n">
        <f aca="false">AT316+AO316</f>
        <v>0</v>
      </c>
      <c r="AX316" s="133" t="n">
        <f aca="false">AJ316+AG316+AD316</f>
        <v>0</v>
      </c>
      <c r="AY316" s="149"/>
      <c r="AZ316" s="76" t="n">
        <f aca="false">R316*E316</f>
        <v>0</v>
      </c>
    </row>
    <row r="317" customFormat="false" ht="12" hidden="false" customHeight="true" outlineLevel="0" collapsed="false">
      <c r="A317" s="138" t="n">
        <f aca="false">EDATE(A316,1)</f>
        <v>46327</v>
      </c>
      <c r="B317" s="139" t="n">
        <f aca="false">VLOOKUP($A317,Table2,MATCH(I$3,Curves2,0))</f>
        <v>0</v>
      </c>
      <c r="C317" s="140"/>
      <c r="D317" s="141" t="n">
        <f aca="false">B317+C317</f>
        <v>0</v>
      </c>
      <c r="E317" s="126" t="n">
        <f aca="false">IF(Y317=0,0,IF(AND(Y317=1,$H$3=1),D317*T317,IF($H$3=2,D317,"N/A")))</f>
        <v>0</v>
      </c>
      <c r="F317" s="126" t="n">
        <f aca="false">E317*X317</f>
        <v>0</v>
      </c>
      <c r="G317" s="142" t="n">
        <f aca="false">VLOOKUP($A317,Table,MATCH(G$4,Curves,0))</f>
        <v>3.987</v>
      </c>
      <c r="H317" s="143" t="n">
        <f aca="false">G317</f>
        <v>3.987</v>
      </c>
      <c r="I317" s="142" t="n">
        <f aca="false">VLOOKUP($A317,Table1,MATCH(I$3,Curves1,0))</f>
        <v>0</v>
      </c>
      <c r="J317" s="142" t="n">
        <f aca="false">VLOOKUP($A317,Table,MATCH(J$4,Curves,0))</f>
        <v>-0.061</v>
      </c>
      <c r="K317" s="143" t="n">
        <f aca="false">J317</f>
        <v>-0.061</v>
      </c>
      <c r="L317" s="144" t="n">
        <v>0</v>
      </c>
      <c r="M317" s="142" t="n">
        <f aca="false">VLOOKUP($A317,Table,MATCH(M$4,Curves,0))</f>
        <v>0.005</v>
      </c>
      <c r="N317" s="143" t="n">
        <f aca="false">M317</f>
        <v>0.005</v>
      </c>
      <c r="O317" s="144" t="n">
        <v>0</v>
      </c>
      <c r="P317" s="145"/>
      <c r="Q317" s="144" t="n">
        <f aca="false">M317+J317+G317</f>
        <v>3.931</v>
      </c>
      <c r="R317" s="144" t="n">
        <f aca="false">O317+L317+I317</f>
        <v>0</v>
      </c>
      <c r="S317" s="145"/>
      <c r="T317" s="71" t="n">
        <f aca="false">A318-A317</f>
        <v>30</v>
      </c>
      <c r="U317" s="146" t="n">
        <f aca="false">CHOOSE(F$3,A318+24,A317)</f>
        <v>46381</v>
      </c>
      <c r="V317" s="71" t="n">
        <f aca="false">U317-C$3</f>
        <v>9493</v>
      </c>
      <c r="W317" s="142" t="n">
        <f aca="false">VLOOKUP($A317,Table,MATCH(W$4,Curves,0))</f>
        <v>0.058966861357273</v>
      </c>
      <c r="X317" s="147" t="n">
        <f aca="false">1/(1+CHOOSE(F$3,(W318+($K$3/10000))/2,(W317+($K$3/10000))/2))^(2*V317/365.25)</f>
        <v>0.220818304371302</v>
      </c>
      <c r="Y317" s="71" t="n">
        <f aca="false">IF(AND(mthbeg&lt;=A317,mthend&gt;=A317),1,0)</f>
        <v>0</v>
      </c>
      <c r="Z317" s="71" t="n">
        <f aca="false">T317*Y317</f>
        <v>0</v>
      </c>
      <c r="AB317" s="132" t="n">
        <f aca="false">F317*G317</f>
        <v>0</v>
      </c>
      <c r="AC317" s="132" t="n">
        <f aca="false">$F317*H317</f>
        <v>0</v>
      </c>
      <c r="AD317" s="132" t="n">
        <f aca="false">$F317*I317</f>
        <v>0</v>
      </c>
      <c r="AE317" s="132" t="n">
        <f aca="false">$F317*J317</f>
        <v>-0</v>
      </c>
      <c r="AF317" s="132" t="n">
        <f aca="false">$F317*K317</f>
        <v>-0</v>
      </c>
      <c r="AG317" s="132" t="n">
        <f aca="false">$F317*L317</f>
        <v>0</v>
      </c>
      <c r="AH317" s="132" t="n">
        <f aca="false">$F317*M317</f>
        <v>0</v>
      </c>
      <c r="AI317" s="132" t="n">
        <f aca="false">$F317*N317</f>
        <v>0</v>
      </c>
      <c r="AJ317" s="132" t="n">
        <f aca="false">F317*O317</f>
        <v>0</v>
      </c>
      <c r="AK317" s="137"/>
      <c r="AL317" s="132" t="n">
        <f aca="false">CHOOSE($G$3,AC317-AD317,AD317-AC317)</f>
        <v>0</v>
      </c>
      <c r="AM317" s="132" t="n">
        <f aca="false">CHOOSE($G$3,AF317-AG317,AG317-AF317)</f>
        <v>0</v>
      </c>
      <c r="AN317" s="132" t="n">
        <f aca="false">CHOOSE($G$3,AI317-AJ317,AJ317-AI317)</f>
        <v>0</v>
      </c>
      <c r="AO317" s="148" t="n">
        <f aca="false">SUM(AL317:AN317)</f>
        <v>0</v>
      </c>
      <c r="AQ317" s="132" t="n">
        <f aca="false">CHOOSE($G$3,AB317-AC317,AC317-AB317)</f>
        <v>0</v>
      </c>
      <c r="AR317" s="132" t="n">
        <f aca="false">CHOOSE($G$3,AE317-AF317,AF317-AE317)</f>
        <v>0</v>
      </c>
      <c r="AS317" s="132" t="n">
        <f aca="false">CHOOSE($G$3,AH317-AI317,AI317-AH317)</f>
        <v>0</v>
      </c>
      <c r="AT317" s="148" t="n">
        <f aca="false">AQ317+AR317+AS317</f>
        <v>0</v>
      </c>
      <c r="AU317" s="148"/>
      <c r="AV317" s="133" t="n">
        <f aca="false">AT317+AO317</f>
        <v>0</v>
      </c>
      <c r="AX317" s="133" t="n">
        <f aca="false">AJ317+AG317+AD317</f>
        <v>0</v>
      </c>
      <c r="AY317" s="149"/>
      <c r="AZ317" s="76" t="n">
        <f aca="false">R317*E317</f>
        <v>0</v>
      </c>
    </row>
    <row r="318" customFormat="false" ht="12" hidden="false" customHeight="true" outlineLevel="0" collapsed="false">
      <c r="A318" s="138" t="n">
        <f aca="false">EDATE(A317,1)</f>
        <v>46357</v>
      </c>
      <c r="B318" s="139" t="n">
        <f aca="false">VLOOKUP($A318,Table2,MATCH(I$3,Curves2,0))</f>
        <v>0</v>
      </c>
      <c r="C318" s="140"/>
      <c r="D318" s="141" t="n">
        <f aca="false">B318+C318</f>
        <v>0</v>
      </c>
      <c r="E318" s="126" t="n">
        <f aca="false">IF(Y318=0,0,IF(AND(Y318=1,$H$3=1),D318*T318,IF($H$3=2,D318,"N/A")))</f>
        <v>0</v>
      </c>
      <c r="F318" s="126" t="n">
        <f aca="false">E318*X318</f>
        <v>0</v>
      </c>
      <c r="G318" s="142" t="n">
        <f aca="false">VLOOKUP($A318,Table,MATCH(G$4,Curves,0))</f>
        <v>3.987</v>
      </c>
      <c r="H318" s="143" t="n">
        <f aca="false">G318</f>
        <v>3.987</v>
      </c>
      <c r="I318" s="142" t="n">
        <f aca="false">VLOOKUP($A318,Table1,MATCH(I$3,Curves1,0))</f>
        <v>0</v>
      </c>
      <c r="J318" s="142" t="n">
        <f aca="false">VLOOKUP($A318,Table,MATCH(J$4,Curves,0))</f>
        <v>-0.061</v>
      </c>
      <c r="K318" s="143" t="n">
        <f aca="false">J318</f>
        <v>-0.061</v>
      </c>
      <c r="L318" s="144" t="n">
        <v>0</v>
      </c>
      <c r="M318" s="142" t="n">
        <f aca="false">VLOOKUP($A318,Table,MATCH(M$4,Curves,0))</f>
        <v>0.005</v>
      </c>
      <c r="N318" s="143" t="n">
        <f aca="false">M318</f>
        <v>0.005</v>
      </c>
      <c r="O318" s="144" t="n">
        <v>0</v>
      </c>
      <c r="P318" s="145"/>
      <c r="Q318" s="144" t="n">
        <f aca="false">M318+J318+G318</f>
        <v>3.931</v>
      </c>
      <c r="R318" s="144" t="n">
        <f aca="false">O318+L318+I318</f>
        <v>0</v>
      </c>
      <c r="S318" s="145"/>
      <c r="T318" s="71" t="n">
        <f aca="false">A319-A318</f>
        <v>31</v>
      </c>
      <c r="U318" s="146" t="n">
        <f aca="false">CHOOSE(F$3,A319+24,A318)</f>
        <v>46412</v>
      </c>
      <c r="V318" s="71" t="n">
        <f aca="false">U318-C$3</f>
        <v>9524</v>
      </c>
      <c r="W318" s="142" t="n">
        <f aca="false">VLOOKUP($A318,Table,MATCH(W$4,Curves,0))</f>
        <v>0.058966861357273</v>
      </c>
      <c r="X318" s="147" t="n">
        <f aca="false">1/(1+CHOOSE(F$3,(W319+($K$3/10000))/2,(W318+($K$3/10000))/2))^(2*V318/365.25)</f>
        <v>0.219731831252575</v>
      </c>
      <c r="Y318" s="71" t="n">
        <f aca="false">IF(AND(mthbeg&lt;=A318,mthend&gt;=A318),1,0)</f>
        <v>0</v>
      </c>
      <c r="Z318" s="71" t="n">
        <f aca="false">T318*Y318</f>
        <v>0</v>
      </c>
      <c r="AB318" s="132" t="n">
        <f aca="false">F318*G318</f>
        <v>0</v>
      </c>
      <c r="AC318" s="132" t="n">
        <f aca="false">$F318*H318</f>
        <v>0</v>
      </c>
      <c r="AD318" s="132" t="n">
        <f aca="false">$F318*I318</f>
        <v>0</v>
      </c>
      <c r="AE318" s="132" t="n">
        <f aca="false">$F318*J318</f>
        <v>-0</v>
      </c>
      <c r="AF318" s="132" t="n">
        <f aca="false">$F318*K318</f>
        <v>-0</v>
      </c>
      <c r="AG318" s="132" t="n">
        <f aca="false">$F318*L318</f>
        <v>0</v>
      </c>
      <c r="AH318" s="132" t="n">
        <f aca="false">$F318*M318</f>
        <v>0</v>
      </c>
      <c r="AI318" s="132" t="n">
        <f aca="false">$F318*N318</f>
        <v>0</v>
      </c>
      <c r="AJ318" s="132" t="n">
        <f aca="false">F318*O318</f>
        <v>0</v>
      </c>
      <c r="AK318" s="137"/>
      <c r="AL318" s="132" t="n">
        <f aca="false">CHOOSE($G$3,AC318-AD318,AD318-AC318)</f>
        <v>0</v>
      </c>
      <c r="AM318" s="132" t="n">
        <f aca="false">CHOOSE($G$3,AF318-AG318,AG318-AF318)</f>
        <v>0</v>
      </c>
      <c r="AN318" s="132" t="n">
        <f aca="false">CHOOSE($G$3,AI318-AJ318,AJ318-AI318)</f>
        <v>0</v>
      </c>
      <c r="AO318" s="148" t="n">
        <f aca="false">SUM(AL318:AN318)</f>
        <v>0</v>
      </c>
      <c r="AQ318" s="132" t="n">
        <f aca="false">CHOOSE($G$3,AB318-AC318,AC318-AB318)</f>
        <v>0</v>
      </c>
      <c r="AR318" s="132" t="n">
        <f aca="false">CHOOSE($G$3,AE318-AF318,AF318-AE318)</f>
        <v>0</v>
      </c>
      <c r="AS318" s="132" t="n">
        <f aca="false">CHOOSE($G$3,AH318-AI318,AI318-AH318)</f>
        <v>0</v>
      </c>
      <c r="AT318" s="148" t="n">
        <f aca="false">AQ318+AR318+AS318</f>
        <v>0</v>
      </c>
      <c r="AU318" s="148"/>
      <c r="AV318" s="133" t="n">
        <f aca="false">AT318+AO318</f>
        <v>0</v>
      </c>
      <c r="AX318" s="133" t="n">
        <f aca="false">AJ318+AG318+AD318</f>
        <v>0</v>
      </c>
      <c r="AY318" s="149"/>
      <c r="AZ318" s="76" t="n">
        <f aca="false">R318*E318</f>
        <v>0</v>
      </c>
    </row>
    <row r="319" customFormat="false" ht="12" hidden="false" customHeight="true" outlineLevel="0" collapsed="false">
      <c r="A319" s="138" t="n">
        <f aca="false">EDATE(A318,1)</f>
        <v>46388</v>
      </c>
      <c r="B319" s="139" t="n">
        <f aca="false">VLOOKUP($A319,Table2,MATCH(I$3,Curves2,0))</f>
        <v>0</v>
      </c>
      <c r="C319" s="140"/>
      <c r="D319" s="141" t="n">
        <f aca="false">B319+C319</f>
        <v>0</v>
      </c>
      <c r="E319" s="126" t="n">
        <f aca="false">IF(Y319=0,0,IF(AND(Y319=1,$H$3=1),D319*T319,IF($H$3=2,D319,"N/A")))</f>
        <v>0</v>
      </c>
      <c r="F319" s="126" t="n">
        <f aca="false">E319*X319</f>
        <v>0</v>
      </c>
      <c r="G319" s="142" t="n">
        <f aca="false">VLOOKUP($A319,Table,MATCH(G$4,Curves,0))</f>
        <v>3.987</v>
      </c>
      <c r="H319" s="143" t="n">
        <f aca="false">G319</f>
        <v>3.987</v>
      </c>
      <c r="I319" s="142" t="n">
        <f aca="false">VLOOKUP($A319,Table1,MATCH(I$3,Curves1,0))</f>
        <v>0</v>
      </c>
      <c r="J319" s="142" t="n">
        <f aca="false">VLOOKUP($A319,Table,MATCH(J$4,Curves,0))</f>
        <v>-0.061</v>
      </c>
      <c r="K319" s="143" t="n">
        <f aca="false">J319</f>
        <v>-0.061</v>
      </c>
      <c r="L319" s="144" t="n">
        <v>0</v>
      </c>
      <c r="M319" s="142" t="n">
        <f aca="false">VLOOKUP($A319,Table,MATCH(M$4,Curves,0))</f>
        <v>0.005</v>
      </c>
      <c r="N319" s="143" t="n">
        <f aca="false">M319</f>
        <v>0.005</v>
      </c>
      <c r="O319" s="144" t="n">
        <v>0</v>
      </c>
      <c r="P319" s="145"/>
      <c r="Q319" s="144" t="n">
        <f aca="false">M319+J319+G319</f>
        <v>3.931</v>
      </c>
      <c r="R319" s="144" t="n">
        <f aca="false">O319+L319+I319</f>
        <v>0</v>
      </c>
      <c r="S319" s="145"/>
      <c r="T319" s="71" t="n">
        <f aca="false">A320-A319</f>
        <v>31</v>
      </c>
      <c r="U319" s="146" t="n">
        <f aca="false">CHOOSE(F$3,A320+24,A319)</f>
        <v>46443</v>
      </c>
      <c r="V319" s="71" t="n">
        <f aca="false">U319-C$3</f>
        <v>9555</v>
      </c>
      <c r="W319" s="142" t="n">
        <f aca="false">VLOOKUP($A319,Table,MATCH(W$4,Curves,0))</f>
        <v>0.058966861357273</v>
      </c>
      <c r="X319" s="147" t="n">
        <f aca="false">1/(1+CHOOSE(F$3,(W320+($K$3/10000))/2,(W319+($K$3/10000))/2))^(2*V319/365.25)</f>
        <v>0.218650703813144</v>
      </c>
      <c r="Y319" s="71" t="n">
        <f aca="false">IF(AND(mthbeg&lt;=A319,mthend&gt;=A319),1,0)</f>
        <v>0</v>
      </c>
      <c r="Z319" s="71" t="n">
        <f aca="false">T319*Y319</f>
        <v>0</v>
      </c>
      <c r="AB319" s="132" t="n">
        <f aca="false">F319*G319</f>
        <v>0</v>
      </c>
      <c r="AC319" s="132" t="n">
        <f aca="false">$F319*H319</f>
        <v>0</v>
      </c>
      <c r="AD319" s="132" t="n">
        <f aca="false">$F319*I319</f>
        <v>0</v>
      </c>
      <c r="AE319" s="132" t="n">
        <f aca="false">$F319*J319</f>
        <v>-0</v>
      </c>
      <c r="AF319" s="132" t="n">
        <f aca="false">$F319*K319</f>
        <v>-0</v>
      </c>
      <c r="AG319" s="132" t="n">
        <f aca="false">$F319*L319</f>
        <v>0</v>
      </c>
      <c r="AH319" s="132" t="n">
        <f aca="false">$F319*M319</f>
        <v>0</v>
      </c>
      <c r="AI319" s="132" t="n">
        <f aca="false">$F319*N319</f>
        <v>0</v>
      </c>
      <c r="AJ319" s="132" t="n">
        <f aca="false">F319*O319</f>
        <v>0</v>
      </c>
      <c r="AK319" s="137"/>
      <c r="AL319" s="132" t="n">
        <f aca="false">CHOOSE($G$3,AC319-AD319,AD319-AC319)</f>
        <v>0</v>
      </c>
      <c r="AM319" s="132" t="n">
        <f aca="false">CHOOSE($G$3,AF319-AG319,AG319-AF319)</f>
        <v>0</v>
      </c>
      <c r="AN319" s="132" t="n">
        <f aca="false">CHOOSE($G$3,AI319-AJ319,AJ319-AI319)</f>
        <v>0</v>
      </c>
      <c r="AO319" s="148" t="n">
        <f aca="false">SUM(AL319:AN319)</f>
        <v>0</v>
      </c>
      <c r="AQ319" s="132" t="n">
        <f aca="false">CHOOSE($G$3,AB319-AC319,AC319-AB319)</f>
        <v>0</v>
      </c>
      <c r="AR319" s="132" t="n">
        <f aca="false">CHOOSE($G$3,AE319-AF319,AF319-AE319)</f>
        <v>0</v>
      </c>
      <c r="AS319" s="132" t="n">
        <f aca="false">CHOOSE($G$3,AH319-AI319,AI319-AH319)</f>
        <v>0</v>
      </c>
      <c r="AT319" s="148" t="n">
        <f aca="false">AQ319+AR319+AS319</f>
        <v>0</v>
      </c>
      <c r="AU319" s="148"/>
      <c r="AV319" s="133" t="n">
        <f aca="false">AT319+AO319</f>
        <v>0</v>
      </c>
      <c r="AX319" s="133" t="n">
        <f aca="false">AJ319+AG319+AD319</f>
        <v>0</v>
      </c>
      <c r="AY319" s="149"/>
      <c r="AZ319" s="76" t="n">
        <f aca="false">R319*E319</f>
        <v>0</v>
      </c>
    </row>
    <row r="320" customFormat="false" ht="12" hidden="false" customHeight="true" outlineLevel="0" collapsed="false">
      <c r="A320" s="138" t="n">
        <f aca="false">EDATE(A319,1)</f>
        <v>46419</v>
      </c>
      <c r="B320" s="139" t="n">
        <f aca="false">VLOOKUP($A320,Table2,MATCH(I$3,Curves2,0))</f>
        <v>0</v>
      </c>
      <c r="C320" s="140"/>
      <c r="D320" s="141" t="n">
        <f aca="false">B320+C320</f>
        <v>0</v>
      </c>
      <c r="E320" s="126" t="n">
        <f aca="false">IF(Y320=0,0,IF(AND(Y320=1,$H$3=1),D320*T320,IF($H$3=2,D320,"N/A")))</f>
        <v>0</v>
      </c>
      <c r="F320" s="126" t="n">
        <f aca="false">E320*X320</f>
        <v>0</v>
      </c>
      <c r="G320" s="142" t="n">
        <f aca="false">VLOOKUP($A320,Table,MATCH(G$4,Curves,0))</f>
        <v>3.987</v>
      </c>
      <c r="H320" s="143" t="n">
        <f aca="false">G320</f>
        <v>3.987</v>
      </c>
      <c r="I320" s="142" t="n">
        <f aca="false">VLOOKUP($A320,Table1,MATCH(I$3,Curves1,0))</f>
        <v>0</v>
      </c>
      <c r="J320" s="142" t="n">
        <f aca="false">VLOOKUP($A320,Table,MATCH(J$4,Curves,0))</f>
        <v>-0.061</v>
      </c>
      <c r="K320" s="143" t="n">
        <f aca="false">J320</f>
        <v>-0.061</v>
      </c>
      <c r="L320" s="144" t="n">
        <v>0</v>
      </c>
      <c r="M320" s="142" t="n">
        <f aca="false">VLOOKUP($A320,Table,MATCH(M$4,Curves,0))</f>
        <v>0.005</v>
      </c>
      <c r="N320" s="143" t="n">
        <f aca="false">M320</f>
        <v>0.005</v>
      </c>
      <c r="O320" s="144" t="n">
        <v>0</v>
      </c>
      <c r="P320" s="145"/>
      <c r="Q320" s="144" t="n">
        <f aca="false">M320+J320+G320</f>
        <v>3.931</v>
      </c>
      <c r="R320" s="144" t="n">
        <f aca="false">O320+L320+I320</f>
        <v>0</v>
      </c>
      <c r="S320" s="145"/>
      <c r="T320" s="71" t="n">
        <f aca="false">A321-A320</f>
        <v>28</v>
      </c>
      <c r="U320" s="146" t="n">
        <f aca="false">CHOOSE(F$3,A321+24,A320)</f>
        <v>46471</v>
      </c>
      <c r="V320" s="71" t="n">
        <f aca="false">U320-C$3</f>
        <v>9583</v>
      </c>
      <c r="W320" s="142" t="n">
        <f aca="false">VLOOKUP($A320,Table,MATCH(W$4,Curves,0))</f>
        <v>0.058966861357273</v>
      </c>
      <c r="X320" s="147" t="n">
        <f aca="false">1/(1+CHOOSE(F$3,(W321+($K$3/10000))/2,(W320+($K$3/10000))/2))^(2*V320/365.25)</f>
        <v>0.217678774454799</v>
      </c>
      <c r="Y320" s="71" t="n">
        <f aca="false">IF(AND(mthbeg&lt;=A320,mthend&gt;=A320),1,0)</f>
        <v>0</v>
      </c>
      <c r="Z320" s="71" t="n">
        <f aca="false">T320*Y320</f>
        <v>0</v>
      </c>
      <c r="AB320" s="132" t="n">
        <f aca="false">F320*G320</f>
        <v>0</v>
      </c>
      <c r="AC320" s="132" t="n">
        <f aca="false">$F320*H320</f>
        <v>0</v>
      </c>
      <c r="AD320" s="132" t="n">
        <f aca="false">$F320*I320</f>
        <v>0</v>
      </c>
      <c r="AE320" s="132" t="n">
        <f aca="false">$F320*J320</f>
        <v>-0</v>
      </c>
      <c r="AF320" s="132" t="n">
        <f aca="false">$F320*K320</f>
        <v>-0</v>
      </c>
      <c r="AG320" s="132" t="n">
        <f aca="false">$F320*L320</f>
        <v>0</v>
      </c>
      <c r="AH320" s="132" t="n">
        <f aca="false">$F320*M320</f>
        <v>0</v>
      </c>
      <c r="AI320" s="132" t="n">
        <f aca="false">$F320*N320</f>
        <v>0</v>
      </c>
      <c r="AJ320" s="132" t="n">
        <f aca="false">F320*O320</f>
        <v>0</v>
      </c>
      <c r="AK320" s="137"/>
      <c r="AL320" s="132" t="n">
        <f aca="false">CHOOSE($G$3,AC320-AD320,AD320-AC320)</f>
        <v>0</v>
      </c>
      <c r="AM320" s="132" t="n">
        <f aca="false">CHOOSE($G$3,AF320-AG320,AG320-AF320)</f>
        <v>0</v>
      </c>
      <c r="AN320" s="132" t="n">
        <f aca="false">CHOOSE($G$3,AI320-AJ320,AJ320-AI320)</f>
        <v>0</v>
      </c>
      <c r="AO320" s="148" t="n">
        <f aca="false">SUM(AL320:AN320)</f>
        <v>0</v>
      </c>
      <c r="AQ320" s="132" t="n">
        <f aca="false">CHOOSE($G$3,AB320-AC320,AC320-AB320)</f>
        <v>0</v>
      </c>
      <c r="AR320" s="132" t="n">
        <f aca="false">CHOOSE($G$3,AE320-AF320,AF320-AE320)</f>
        <v>0</v>
      </c>
      <c r="AS320" s="132" t="n">
        <f aca="false">CHOOSE($G$3,AH320-AI320,AI320-AH320)</f>
        <v>0</v>
      </c>
      <c r="AT320" s="148" t="n">
        <f aca="false">AQ320+AR320+AS320</f>
        <v>0</v>
      </c>
      <c r="AU320" s="148"/>
      <c r="AV320" s="133" t="n">
        <f aca="false">AT320+AO320</f>
        <v>0</v>
      </c>
      <c r="AX320" s="133" t="n">
        <f aca="false">AJ320+AG320+AD320</f>
        <v>0</v>
      </c>
      <c r="AY320" s="149"/>
      <c r="AZ320" s="76" t="n">
        <f aca="false">R320*E320</f>
        <v>0</v>
      </c>
    </row>
    <row r="321" customFormat="false" ht="12" hidden="false" customHeight="true" outlineLevel="0" collapsed="false">
      <c r="A321" s="138" t="n">
        <f aca="false">EDATE(A320,1)</f>
        <v>46447</v>
      </c>
      <c r="B321" s="139" t="n">
        <f aca="false">VLOOKUP($A321,Table2,MATCH(I$3,Curves2,0))</f>
        <v>0</v>
      </c>
      <c r="C321" s="140"/>
      <c r="D321" s="141" t="n">
        <f aca="false">B321+C321</f>
        <v>0</v>
      </c>
      <c r="E321" s="126" t="n">
        <f aca="false">IF(Y321=0,0,IF(AND(Y321=1,$H$3=1),D321*T321,IF($H$3=2,D321,"N/A")))</f>
        <v>0</v>
      </c>
      <c r="F321" s="126" t="n">
        <f aca="false">E321*X321</f>
        <v>0</v>
      </c>
      <c r="G321" s="142" t="n">
        <f aca="false">VLOOKUP($A321,Table,MATCH(G$4,Curves,0))</f>
        <v>3.987</v>
      </c>
      <c r="H321" s="143" t="n">
        <f aca="false">G321</f>
        <v>3.987</v>
      </c>
      <c r="I321" s="142" t="n">
        <f aca="false">VLOOKUP($A321,Table1,MATCH(I$3,Curves1,0))</f>
        <v>0</v>
      </c>
      <c r="J321" s="142" t="n">
        <f aca="false">VLOOKUP($A321,Table,MATCH(J$4,Curves,0))</f>
        <v>-0.061</v>
      </c>
      <c r="K321" s="143" t="n">
        <f aca="false">J321</f>
        <v>-0.061</v>
      </c>
      <c r="L321" s="144" t="n">
        <v>0</v>
      </c>
      <c r="M321" s="142" t="n">
        <f aca="false">VLOOKUP($A321,Table,MATCH(M$4,Curves,0))</f>
        <v>0.005</v>
      </c>
      <c r="N321" s="143" t="n">
        <f aca="false">M321</f>
        <v>0.005</v>
      </c>
      <c r="O321" s="144" t="n">
        <v>0</v>
      </c>
      <c r="P321" s="145"/>
      <c r="Q321" s="144" t="n">
        <f aca="false">M321+J321+G321</f>
        <v>3.931</v>
      </c>
      <c r="R321" s="144" t="n">
        <f aca="false">O321+L321+I321</f>
        <v>0</v>
      </c>
      <c r="S321" s="145"/>
      <c r="T321" s="71" t="n">
        <f aca="false">A322-A321</f>
        <v>31</v>
      </c>
      <c r="U321" s="146" t="n">
        <f aca="false">CHOOSE(F$3,A322+24,A321)</f>
        <v>46502</v>
      </c>
      <c r="V321" s="71" t="n">
        <f aca="false">U321-C$3</f>
        <v>9614</v>
      </c>
      <c r="W321" s="142" t="n">
        <f aca="false">VLOOKUP($A321,Table,MATCH(W$4,Curves,0))</f>
        <v>0.058966861357273</v>
      </c>
      <c r="X321" s="147" t="n">
        <f aca="false">1/(1+CHOOSE(F$3,(W322+($K$3/10000))/2,(W321+($K$3/10000))/2))^(2*V321/365.25)</f>
        <v>0.216607748492364</v>
      </c>
      <c r="Y321" s="71" t="n">
        <f aca="false">IF(AND(mthbeg&lt;=A321,mthend&gt;=A321),1,0)</f>
        <v>0</v>
      </c>
      <c r="Z321" s="71" t="n">
        <f aca="false">T321*Y321</f>
        <v>0</v>
      </c>
      <c r="AB321" s="132" t="n">
        <f aca="false">F321*G321</f>
        <v>0</v>
      </c>
      <c r="AC321" s="132" t="n">
        <f aca="false">$F321*H321</f>
        <v>0</v>
      </c>
      <c r="AD321" s="132" t="n">
        <f aca="false">$F321*I321</f>
        <v>0</v>
      </c>
      <c r="AE321" s="132" t="n">
        <f aca="false">$F321*J321</f>
        <v>-0</v>
      </c>
      <c r="AF321" s="132" t="n">
        <f aca="false">$F321*K321</f>
        <v>-0</v>
      </c>
      <c r="AG321" s="132" t="n">
        <f aca="false">$F321*L321</f>
        <v>0</v>
      </c>
      <c r="AH321" s="132" t="n">
        <f aca="false">$F321*M321</f>
        <v>0</v>
      </c>
      <c r="AI321" s="132" t="n">
        <f aca="false">$F321*N321</f>
        <v>0</v>
      </c>
      <c r="AJ321" s="132" t="n">
        <f aca="false">F321*O321</f>
        <v>0</v>
      </c>
      <c r="AK321" s="137"/>
      <c r="AL321" s="132" t="n">
        <f aca="false">CHOOSE($G$3,AC321-AD321,AD321-AC321)</f>
        <v>0</v>
      </c>
      <c r="AM321" s="132" t="n">
        <f aca="false">CHOOSE($G$3,AF321-AG321,AG321-AF321)</f>
        <v>0</v>
      </c>
      <c r="AN321" s="132" t="n">
        <f aca="false">CHOOSE($G$3,AI321-AJ321,AJ321-AI321)</f>
        <v>0</v>
      </c>
      <c r="AO321" s="148" t="n">
        <f aca="false">SUM(AL321:AN321)</f>
        <v>0</v>
      </c>
      <c r="AQ321" s="132" t="n">
        <f aca="false">CHOOSE($G$3,AB321-AC321,AC321-AB321)</f>
        <v>0</v>
      </c>
      <c r="AR321" s="132" t="n">
        <f aca="false">CHOOSE($G$3,AE321-AF321,AF321-AE321)</f>
        <v>0</v>
      </c>
      <c r="AS321" s="132" t="n">
        <f aca="false">CHOOSE($G$3,AH321-AI321,AI321-AH321)</f>
        <v>0</v>
      </c>
      <c r="AT321" s="148" t="n">
        <f aca="false">AQ321+AR321+AS321</f>
        <v>0</v>
      </c>
      <c r="AU321" s="148"/>
      <c r="AV321" s="133" t="n">
        <f aca="false">AT321+AO321</f>
        <v>0</v>
      </c>
      <c r="AX321" s="133" t="n">
        <f aca="false">AJ321+AG321+AD321</f>
        <v>0</v>
      </c>
      <c r="AY321" s="149"/>
      <c r="AZ321" s="76" t="n">
        <f aca="false">R321*E321</f>
        <v>0</v>
      </c>
    </row>
    <row r="322" customFormat="false" ht="12" hidden="false" customHeight="true" outlineLevel="0" collapsed="false">
      <c r="A322" s="138" t="n">
        <f aca="false">EDATE(A321,1)</f>
        <v>46478</v>
      </c>
      <c r="B322" s="139" t="n">
        <f aca="false">VLOOKUP($A322,Table2,MATCH(I$3,Curves2,0))</f>
        <v>0</v>
      </c>
      <c r="C322" s="140"/>
      <c r="D322" s="141" t="n">
        <f aca="false">B322+C322</f>
        <v>0</v>
      </c>
      <c r="E322" s="126" t="n">
        <f aca="false">IF(Y322=0,0,IF(AND(Y322=1,$H$3=1),D322*T322,IF($H$3=2,D322,"N/A")))</f>
        <v>0</v>
      </c>
      <c r="F322" s="126" t="n">
        <f aca="false">E322*X322</f>
        <v>0</v>
      </c>
      <c r="G322" s="142" t="n">
        <f aca="false">VLOOKUP($A322,Table,MATCH(G$4,Curves,0))</f>
        <v>3.987</v>
      </c>
      <c r="H322" s="143" t="n">
        <f aca="false">G322</f>
        <v>3.987</v>
      </c>
      <c r="I322" s="142" t="n">
        <f aca="false">VLOOKUP($A322,Table1,MATCH(I$3,Curves1,0))</f>
        <v>0</v>
      </c>
      <c r="J322" s="142" t="n">
        <f aca="false">VLOOKUP($A322,Table,MATCH(J$4,Curves,0))</f>
        <v>-0.061</v>
      </c>
      <c r="K322" s="143" t="n">
        <f aca="false">J322</f>
        <v>-0.061</v>
      </c>
      <c r="L322" s="144" t="n">
        <v>0</v>
      </c>
      <c r="M322" s="142" t="n">
        <f aca="false">VLOOKUP($A322,Table,MATCH(M$4,Curves,0))</f>
        <v>0.005</v>
      </c>
      <c r="N322" s="143" t="n">
        <f aca="false">M322</f>
        <v>0.005</v>
      </c>
      <c r="O322" s="144" t="n">
        <v>0</v>
      </c>
      <c r="P322" s="145"/>
      <c r="Q322" s="144" t="n">
        <f aca="false">M322+J322+G322</f>
        <v>3.931</v>
      </c>
      <c r="R322" s="144" t="n">
        <f aca="false">O322+L322+I322</f>
        <v>0</v>
      </c>
      <c r="S322" s="145"/>
      <c r="T322" s="71" t="n">
        <f aca="false">A323-A322</f>
        <v>30</v>
      </c>
      <c r="U322" s="146" t="n">
        <f aca="false">CHOOSE(F$3,A323+24,A322)</f>
        <v>46532</v>
      </c>
      <c r="V322" s="71" t="n">
        <f aca="false">U322-C$3</f>
        <v>9644</v>
      </c>
      <c r="W322" s="142" t="n">
        <f aca="false">VLOOKUP($A322,Table,MATCH(W$4,Curves,0))</f>
        <v>0.058966861357273</v>
      </c>
      <c r="X322" s="147" t="n">
        <f aca="false">1/(1+CHOOSE(F$3,(W323+($K$3/10000))/2,(W322+($K$3/10000))/2))^(2*V322/365.25)</f>
        <v>0.21557628945375</v>
      </c>
      <c r="Y322" s="71" t="n">
        <f aca="false">IF(AND(mthbeg&lt;=A322,mthend&gt;=A322),1,0)</f>
        <v>0</v>
      </c>
      <c r="Z322" s="71" t="n">
        <f aca="false">T322*Y322</f>
        <v>0</v>
      </c>
      <c r="AB322" s="132" t="n">
        <f aca="false">F322*G322</f>
        <v>0</v>
      </c>
      <c r="AC322" s="132" t="n">
        <f aca="false">$F322*H322</f>
        <v>0</v>
      </c>
      <c r="AD322" s="132" t="n">
        <f aca="false">$F322*I322</f>
        <v>0</v>
      </c>
      <c r="AE322" s="132" t="n">
        <f aca="false">$F322*J322</f>
        <v>-0</v>
      </c>
      <c r="AF322" s="132" t="n">
        <f aca="false">$F322*K322</f>
        <v>-0</v>
      </c>
      <c r="AG322" s="132" t="n">
        <f aca="false">$F322*L322</f>
        <v>0</v>
      </c>
      <c r="AH322" s="132" t="n">
        <f aca="false">$F322*M322</f>
        <v>0</v>
      </c>
      <c r="AI322" s="132" t="n">
        <f aca="false">$F322*N322</f>
        <v>0</v>
      </c>
      <c r="AJ322" s="132" t="n">
        <f aca="false">F322*O322</f>
        <v>0</v>
      </c>
      <c r="AK322" s="137"/>
      <c r="AL322" s="132" t="n">
        <f aca="false">CHOOSE($G$3,AC322-AD322,AD322-AC322)</f>
        <v>0</v>
      </c>
      <c r="AM322" s="132" t="n">
        <f aca="false">CHOOSE($G$3,AF322-AG322,AG322-AF322)</f>
        <v>0</v>
      </c>
      <c r="AN322" s="132" t="n">
        <f aca="false">CHOOSE($G$3,AI322-AJ322,AJ322-AI322)</f>
        <v>0</v>
      </c>
      <c r="AO322" s="148" t="n">
        <f aca="false">SUM(AL322:AN322)</f>
        <v>0</v>
      </c>
      <c r="AQ322" s="132" t="n">
        <f aca="false">CHOOSE($G$3,AB322-AC322,AC322-AB322)</f>
        <v>0</v>
      </c>
      <c r="AR322" s="132" t="n">
        <f aca="false">CHOOSE($G$3,AE322-AF322,AF322-AE322)</f>
        <v>0</v>
      </c>
      <c r="AS322" s="132" t="n">
        <f aca="false">CHOOSE($G$3,AH322-AI322,AI322-AH322)</f>
        <v>0</v>
      </c>
      <c r="AT322" s="148" t="n">
        <f aca="false">AQ322+AR322+AS322</f>
        <v>0</v>
      </c>
      <c r="AU322" s="148"/>
      <c r="AV322" s="133" t="n">
        <f aca="false">AT322+AO322</f>
        <v>0</v>
      </c>
      <c r="AX322" s="133" t="n">
        <f aca="false">AJ322+AG322+AD322</f>
        <v>0</v>
      </c>
      <c r="AY322" s="149"/>
      <c r="AZ322" s="76" t="n">
        <f aca="false">R322*E322</f>
        <v>0</v>
      </c>
    </row>
    <row r="323" customFormat="false" ht="12" hidden="false" customHeight="true" outlineLevel="0" collapsed="false">
      <c r="A323" s="138" t="n">
        <f aca="false">EDATE(A322,1)</f>
        <v>46508</v>
      </c>
      <c r="B323" s="139" t="n">
        <f aca="false">VLOOKUP($A323,Table2,MATCH(I$3,Curves2,0))</f>
        <v>0</v>
      </c>
      <c r="C323" s="140"/>
      <c r="D323" s="141" t="n">
        <f aca="false">B323+C323</f>
        <v>0</v>
      </c>
      <c r="E323" s="126" t="n">
        <f aca="false">IF(Y323=0,0,IF(AND(Y323=1,$H$3=1),D323*T323,IF($H$3=2,D323,"N/A")))</f>
        <v>0</v>
      </c>
      <c r="F323" s="126" t="n">
        <f aca="false">E323*X323</f>
        <v>0</v>
      </c>
      <c r="G323" s="142" t="n">
        <f aca="false">VLOOKUP($A323,Table,MATCH(G$4,Curves,0))</f>
        <v>3.987</v>
      </c>
      <c r="H323" s="143" t="n">
        <f aca="false">G323</f>
        <v>3.987</v>
      </c>
      <c r="I323" s="142" t="n">
        <f aca="false">VLOOKUP($A323,Table1,MATCH(I$3,Curves1,0))</f>
        <v>0</v>
      </c>
      <c r="J323" s="142" t="n">
        <f aca="false">VLOOKUP($A323,Table,MATCH(J$4,Curves,0))</f>
        <v>-0.061</v>
      </c>
      <c r="K323" s="143" t="n">
        <f aca="false">J323</f>
        <v>-0.061</v>
      </c>
      <c r="L323" s="144" t="n">
        <v>0</v>
      </c>
      <c r="M323" s="142" t="n">
        <f aca="false">VLOOKUP($A323,Table,MATCH(M$4,Curves,0))</f>
        <v>0.005</v>
      </c>
      <c r="N323" s="143" t="n">
        <f aca="false">M323</f>
        <v>0.005</v>
      </c>
      <c r="O323" s="144" t="n">
        <v>0</v>
      </c>
      <c r="P323" s="145"/>
      <c r="Q323" s="144" t="n">
        <f aca="false">M323+J323+G323</f>
        <v>3.931</v>
      </c>
      <c r="R323" s="144" t="n">
        <f aca="false">O323+L323+I323</f>
        <v>0</v>
      </c>
      <c r="S323" s="145"/>
      <c r="T323" s="71" t="n">
        <f aca="false">A324-A323</f>
        <v>31</v>
      </c>
      <c r="U323" s="146" t="n">
        <f aca="false">CHOOSE(F$3,A324+24,A323)</f>
        <v>46563</v>
      </c>
      <c r="V323" s="71" t="n">
        <f aca="false">U323-C$3</f>
        <v>9675</v>
      </c>
      <c r="W323" s="142" t="n">
        <f aca="false">VLOOKUP($A323,Table,MATCH(W$4,Curves,0))</f>
        <v>0.058966861357273</v>
      </c>
      <c r="X323" s="147" t="n">
        <f aca="false">1/(1+CHOOSE(F$3,(W324+($K$3/10000))/2,(W323+($K$3/10000))/2))^(2*V323/365.25)</f>
        <v>0.214515608165606</v>
      </c>
      <c r="Y323" s="71" t="n">
        <f aca="false">IF(AND(mthbeg&lt;=A323,mthend&gt;=A323),1,0)</f>
        <v>0</v>
      </c>
      <c r="Z323" s="71" t="n">
        <f aca="false">T323*Y323</f>
        <v>0</v>
      </c>
      <c r="AB323" s="132" t="n">
        <f aca="false">F323*G323</f>
        <v>0</v>
      </c>
      <c r="AC323" s="132" t="n">
        <f aca="false">$F323*H323</f>
        <v>0</v>
      </c>
      <c r="AD323" s="132" t="n">
        <f aca="false">$F323*I323</f>
        <v>0</v>
      </c>
      <c r="AE323" s="132" t="n">
        <f aca="false">$F323*J323</f>
        <v>-0</v>
      </c>
      <c r="AF323" s="132" t="n">
        <f aca="false">$F323*K323</f>
        <v>-0</v>
      </c>
      <c r="AG323" s="132" t="n">
        <f aca="false">$F323*L323</f>
        <v>0</v>
      </c>
      <c r="AH323" s="132" t="n">
        <f aca="false">$F323*M323</f>
        <v>0</v>
      </c>
      <c r="AI323" s="132" t="n">
        <f aca="false">$F323*N323</f>
        <v>0</v>
      </c>
      <c r="AJ323" s="132" t="n">
        <f aca="false">F323*O323</f>
        <v>0</v>
      </c>
      <c r="AK323" s="137"/>
      <c r="AL323" s="132" t="n">
        <f aca="false">CHOOSE($G$3,AC323-AD323,AD323-AC323)</f>
        <v>0</v>
      </c>
      <c r="AM323" s="132" t="n">
        <f aca="false">CHOOSE($G$3,AF323-AG323,AG323-AF323)</f>
        <v>0</v>
      </c>
      <c r="AN323" s="132" t="n">
        <f aca="false">CHOOSE($G$3,AI323-AJ323,AJ323-AI323)</f>
        <v>0</v>
      </c>
      <c r="AO323" s="148" t="n">
        <f aca="false">SUM(AL323:AN323)</f>
        <v>0</v>
      </c>
      <c r="AQ323" s="132" t="n">
        <f aca="false">CHOOSE($G$3,AB323-AC323,AC323-AB323)</f>
        <v>0</v>
      </c>
      <c r="AR323" s="132" t="n">
        <f aca="false">CHOOSE($G$3,AE323-AF323,AF323-AE323)</f>
        <v>0</v>
      </c>
      <c r="AS323" s="132" t="n">
        <f aca="false">CHOOSE($G$3,AH323-AI323,AI323-AH323)</f>
        <v>0</v>
      </c>
      <c r="AT323" s="148" t="n">
        <f aca="false">AQ323+AR323+AS323</f>
        <v>0</v>
      </c>
      <c r="AU323" s="148"/>
      <c r="AV323" s="133" t="n">
        <f aca="false">AT323+AO323</f>
        <v>0</v>
      </c>
      <c r="AX323" s="133" t="n">
        <f aca="false">AJ323+AG323+AD323</f>
        <v>0</v>
      </c>
      <c r="AY323" s="149"/>
      <c r="AZ323" s="76" t="n">
        <f aca="false">R323*E323</f>
        <v>0</v>
      </c>
    </row>
    <row r="324" customFormat="false" ht="12" hidden="false" customHeight="true" outlineLevel="0" collapsed="false">
      <c r="A324" s="138" t="n">
        <f aca="false">EDATE(A323,1)</f>
        <v>46539</v>
      </c>
      <c r="B324" s="139" t="n">
        <f aca="false">VLOOKUP($A324,Table2,MATCH(I$3,Curves2,0))</f>
        <v>0</v>
      </c>
      <c r="C324" s="140"/>
      <c r="D324" s="141" t="n">
        <f aca="false">B324+C324</f>
        <v>0</v>
      </c>
      <c r="E324" s="126" t="n">
        <f aca="false">IF(Y324=0,0,IF(AND(Y324=1,$H$3=1),D324*T324,IF($H$3=2,D324,"N/A")))</f>
        <v>0</v>
      </c>
      <c r="F324" s="126" t="n">
        <f aca="false">E324*X324</f>
        <v>0</v>
      </c>
      <c r="G324" s="142" t="n">
        <f aca="false">VLOOKUP($A324,Table,MATCH(G$4,Curves,0))</f>
        <v>3.987</v>
      </c>
      <c r="H324" s="143" t="n">
        <f aca="false">G324</f>
        <v>3.987</v>
      </c>
      <c r="I324" s="142" t="n">
        <f aca="false">VLOOKUP($A324,Table1,MATCH(I$3,Curves1,0))</f>
        <v>0</v>
      </c>
      <c r="J324" s="142" t="n">
        <f aca="false">VLOOKUP($A324,Table,MATCH(J$4,Curves,0))</f>
        <v>-0.061</v>
      </c>
      <c r="K324" s="143" t="n">
        <f aca="false">J324</f>
        <v>-0.061</v>
      </c>
      <c r="L324" s="144" t="n">
        <v>0</v>
      </c>
      <c r="M324" s="142" t="n">
        <f aca="false">VLOOKUP($A324,Table,MATCH(M$4,Curves,0))</f>
        <v>0.005</v>
      </c>
      <c r="N324" s="143" t="n">
        <f aca="false">M324</f>
        <v>0.005</v>
      </c>
      <c r="O324" s="144" t="n">
        <v>0</v>
      </c>
      <c r="P324" s="145"/>
      <c r="Q324" s="144" t="n">
        <f aca="false">M324+J324+G324</f>
        <v>3.931</v>
      </c>
      <c r="R324" s="144" t="n">
        <f aca="false">O324+L324+I324</f>
        <v>0</v>
      </c>
      <c r="S324" s="145"/>
      <c r="T324" s="71" t="n">
        <f aca="false">A325-A324</f>
        <v>30</v>
      </c>
      <c r="U324" s="146" t="n">
        <f aca="false">CHOOSE(F$3,A325+24,A324)</f>
        <v>46593</v>
      </c>
      <c r="V324" s="71" t="n">
        <f aca="false">U324-C$3</f>
        <v>9705</v>
      </c>
      <c r="W324" s="142" t="n">
        <f aca="false">VLOOKUP($A324,Table,MATCH(W$4,Curves,0))</f>
        <v>0.058966861357273</v>
      </c>
      <c r="X324" s="147" t="n">
        <f aca="false">1/(1+CHOOSE(F$3,(W325+($K$3/10000))/2,(W324+($K$3/10000))/2))^(2*V324/365.25)</f>
        <v>0.213494111637868</v>
      </c>
      <c r="Y324" s="71" t="n">
        <f aca="false">IF(AND(mthbeg&lt;=A324,mthend&gt;=A324),1,0)</f>
        <v>0</v>
      </c>
      <c r="Z324" s="71" t="n">
        <f aca="false">T324*Y324</f>
        <v>0</v>
      </c>
      <c r="AB324" s="132" t="n">
        <f aca="false">F324*G324</f>
        <v>0</v>
      </c>
      <c r="AC324" s="132" t="n">
        <f aca="false">$F324*H324</f>
        <v>0</v>
      </c>
      <c r="AD324" s="132" t="n">
        <f aca="false">$F324*I324</f>
        <v>0</v>
      </c>
      <c r="AE324" s="132" t="n">
        <f aca="false">$F324*J324</f>
        <v>-0</v>
      </c>
      <c r="AF324" s="132" t="n">
        <f aca="false">$F324*K324</f>
        <v>-0</v>
      </c>
      <c r="AG324" s="132" t="n">
        <f aca="false">$F324*L324</f>
        <v>0</v>
      </c>
      <c r="AH324" s="132" t="n">
        <f aca="false">$F324*M324</f>
        <v>0</v>
      </c>
      <c r="AI324" s="132" t="n">
        <f aca="false">$F324*N324</f>
        <v>0</v>
      </c>
      <c r="AJ324" s="132" t="n">
        <f aca="false">F324*O324</f>
        <v>0</v>
      </c>
      <c r="AK324" s="137"/>
      <c r="AL324" s="132" t="n">
        <f aca="false">CHOOSE($G$3,AC324-AD324,AD324-AC324)</f>
        <v>0</v>
      </c>
      <c r="AM324" s="132" t="n">
        <f aca="false">CHOOSE($G$3,AF324-AG324,AG324-AF324)</f>
        <v>0</v>
      </c>
      <c r="AN324" s="132" t="n">
        <f aca="false">CHOOSE($G$3,AI324-AJ324,AJ324-AI324)</f>
        <v>0</v>
      </c>
      <c r="AO324" s="148" t="n">
        <f aca="false">SUM(AL324:AN324)</f>
        <v>0</v>
      </c>
      <c r="AQ324" s="132" t="n">
        <f aca="false">CHOOSE($G$3,AB324-AC324,AC324-AB324)</f>
        <v>0</v>
      </c>
      <c r="AR324" s="132" t="n">
        <f aca="false">CHOOSE($G$3,AE324-AF324,AF324-AE324)</f>
        <v>0</v>
      </c>
      <c r="AS324" s="132" t="n">
        <f aca="false">CHOOSE($G$3,AH324-AI324,AI324-AH324)</f>
        <v>0</v>
      </c>
      <c r="AT324" s="148" t="n">
        <f aca="false">AQ324+AR324+AS324</f>
        <v>0</v>
      </c>
      <c r="AU324" s="148"/>
      <c r="AV324" s="133" t="n">
        <f aca="false">AT324+AO324</f>
        <v>0</v>
      </c>
      <c r="AX324" s="133" t="n">
        <f aca="false">AJ324+AG324+AD324</f>
        <v>0</v>
      </c>
      <c r="AY324" s="149"/>
      <c r="AZ324" s="76" t="n">
        <f aca="false">R324*E324</f>
        <v>0</v>
      </c>
    </row>
    <row r="325" customFormat="false" ht="12" hidden="false" customHeight="true" outlineLevel="0" collapsed="false">
      <c r="A325" s="138" t="n">
        <f aca="false">EDATE(A324,1)</f>
        <v>46569</v>
      </c>
      <c r="B325" s="139" t="n">
        <f aca="false">VLOOKUP($A325,Table2,MATCH(I$3,Curves2,0))</f>
        <v>0</v>
      </c>
      <c r="C325" s="140"/>
      <c r="D325" s="141" t="n">
        <f aca="false">B325+C325</f>
        <v>0</v>
      </c>
      <c r="E325" s="126" t="n">
        <f aca="false">IF(Y325=0,0,IF(AND(Y325=1,$H$3=1),D325*T325,IF($H$3=2,D325,"N/A")))</f>
        <v>0</v>
      </c>
      <c r="F325" s="126" t="n">
        <f aca="false">E325*X325</f>
        <v>0</v>
      </c>
      <c r="G325" s="142" t="n">
        <f aca="false">VLOOKUP($A325,Table,MATCH(G$4,Curves,0))</f>
        <v>3.987</v>
      </c>
      <c r="H325" s="143" t="n">
        <f aca="false">G325</f>
        <v>3.987</v>
      </c>
      <c r="I325" s="142" t="n">
        <f aca="false">VLOOKUP($A325,Table1,MATCH(I$3,Curves1,0))</f>
        <v>0</v>
      </c>
      <c r="J325" s="142" t="n">
        <f aca="false">VLOOKUP($A325,Table,MATCH(J$4,Curves,0))</f>
        <v>-0.061</v>
      </c>
      <c r="K325" s="143" t="n">
        <f aca="false">J325</f>
        <v>-0.061</v>
      </c>
      <c r="L325" s="144" t="n">
        <v>0</v>
      </c>
      <c r="M325" s="142" t="n">
        <f aca="false">VLOOKUP($A325,Table,MATCH(M$4,Curves,0))</f>
        <v>0.005</v>
      </c>
      <c r="N325" s="143" t="n">
        <f aca="false">M325</f>
        <v>0.005</v>
      </c>
      <c r="O325" s="144" t="n">
        <v>0</v>
      </c>
      <c r="P325" s="145"/>
      <c r="Q325" s="144" t="n">
        <f aca="false">M325+J325+G325</f>
        <v>3.931</v>
      </c>
      <c r="R325" s="144" t="n">
        <f aca="false">O325+L325+I325</f>
        <v>0</v>
      </c>
      <c r="S325" s="145"/>
      <c r="T325" s="71" t="n">
        <f aca="false">A326-A325</f>
        <v>31</v>
      </c>
      <c r="U325" s="146" t="n">
        <f aca="false">CHOOSE(F$3,A326+24,A325)</f>
        <v>46624</v>
      </c>
      <c r="V325" s="71" t="n">
        <f aca="false">U325-C$3</f>
        <v>9736</v>
      </c>
      <c r="W325" s="142" t="n">
        <f aca="false">VLOOKUP($A325,Table,MATCH(W$4,Curves,0))</f>
        <v>0.058966861357273</v>
      </c>
      <c r="X325" s="147" t="n">
        <f aca="false">1/(1+CHOOSE(F$3,(W326+($K$3/10000))/2,(W325+($K$3/10000))/2))^(2*V325/365.25)</f>
        <v>0.212443675108336</v>
      </c>
      <c r="Y325" s="71" t="n">
        <f aca="false">IF(AND(mthbeg&lt;=A325,mthend&gt;=A325),1,0)</f>
        <v>0</v>
      </c>
      <c r="Z325" s="71" t="n">
        <f aca="false">T325*Y325</f>
        <v>0</v>
      </c>
      <c r="AB325" s="132" t="n">
        <f aca="false">F325*G325</f>
        <v>0</v>
      </c>
      <c r="AC325" s="132" t="n">
        <f aca="false">$F325*H325</f>
        <v>0</v>
      </c>
      <c r="AD325" s="132" t="n">
        <f aca="false">$F325*I325</f>
        <v>0</v>
      </c>
      <c r="AE325" s="132" t="n">
        <f aca="false">$F325*J325</f>
        <v>-0</v>
      </c>
      <c r="AF325" s="132" t="n">
        <f aca="false">$F325*K325</f>
        <v>-0</v>
      </c>
      <c r="AG325" s="132" t="n">
        <f aca="false">$F325*L325</f>
        <v>0</v>
      </c>
      <c r="AH325" s="132" t="n">
        <f aca="false">$F325*M325</f>
        <v>0</v>
      </c>
      <c r="AI325" s="132" t="n">
        <f aca="false">$F325*N325</f>
        <v>0</v>
      </c>
      <c r="AJ325" s="132" t="n">
        <f aca="false">F325*O325</f>
        <v>0</v>
      </c>
      <c r="AK325" s="137"/>
      <c r="AL325" s="132" t="n">
        <f aca="false">CHOOSE($G$3,AC325-AD325,AD325-AC325)</f>
        <v>0</v>
      </c>
      <c r="AM325" s="132" t="n">
        <f aca="false">CHOOSE($G$3,AF325-AG325,AG325-AF325)</f>
        <v>0</v>
      </c>
      <c r="AN325" s="132" t="n">
        <f aca="false">CHOOSE($G$3,AI325-AJ325,AJ325-AI325)</f>
        <v>0</v>
      </c>
      <c r="AO325" s="148" t="n">
        <f aca="false">SUM(AL325:AN325)</f>
        <v>0</v>
      </c>
      <c r="AQ325" s="132" t="n">
        <f aca="false">CHOOSE($G$3,AB325-AC325,AC325-AB325)</f>
        <v>0</v>
      </c>
      <c r="AR325" s="132" t="n">
        <f aca="false">CHOOSE($G$3,AE325-AF325,AF325-AE325)</f>
        <v>0</v>
      </c>
      <c r="AS325" s="132" t="n">
        <f aca="false">CHOOSE($G$3,AH325-AI325,AI325-AH325)</f>
        <v>0</v>
      </c>
      <c r="AT325" s="148" t="n">
        <f aca="false">AQ325+AR325+AS325</f>
        <v>0</v>
      </c>
      <c r="AU325" s="148"/>
      <c r="AV325" s="133" t="n">
        <f aca="false">AT325+AO325</f>
        <v>0</v>
      </c>
      <c r="AX325" s="133" t="n">
        <f aca="false">AJ325+AG325+AD325</f>
        <v>0</v>
      </c>
      <c r="AY325" s="149"/>
      <c r="AZ325" s="76" t="n">
        <f aca="false">R325*E325</f>
        <v>0</v>
      </c>
    </row>
    <row r="326" customFormat="false" ht="12" hidden="false" customHeight="true" outlineLevel="0" collapsed="false">
      <c r="A326" s="138" t="n">
        <f aca="false">EDATE(A325,1)</f>
        <v>46600</v>
      </c>
      <c r="B326" s="139" t="n">
        <f aca="false">VLOOKUP($A326,Table2,MATCH(I$3,Curves2,0))</f>
        <v>0</v>
      </c>
      <c r="C326" s="140"/>
      <c r="D326" s="141" t="n">
        <f aca="false">B326+C326</f>
        <v>0</v>
      </c>
      <c r="E326" s="126" t="n">
        <f aca="false">IF(Y326=0,0,IF(AND(Y326=1,$H$3=1),D326*T326,IF($H$3=2,D326,"N/A")))</f>
        <v>0</v>
      </c>
      <c r="F326" s="126" t="n">
        <f aca="false">E326*X326</f>
        <v>0</v>
      </c>
      <c r="G326" s="142" t="n">
        <f aca="false">VLOOKUP($A326,Table,MATCH(G$4,Curves,0))</f>
        <v>3.987</v>
      </c>
      <c r="H326" s="143" t="n">
        <f aca="false">G326</f>
        <v>3.987</v>
      </c>
      <c r="I326" s="142" t="n">
        <f aca="false">VLOOKUP($A326,Table1,MATCH(I$3,Curves1,0))</f>
        <v>0</v>
      </c>
      <c r="J326" s="142" t="n">
        <f aca="false">VLOOKUP($A326,Table,MATCH(J$4,Curves,0))</f>
        <v>-0.061</v>
      </c>
      <c r="K326" s="143" t="n">
        <f aca="false">J326</f>
        <v>-0.061</v>
      </c>
      <c r="L326" s="144" t="n">
        <v>0</v>
      </c>
      <c r="M326" s="142" t="n">
        <f aca="false">VLOOKUP($A326,Table,MATCH(M$4,Curves,0))</f>
        <v>0.005</v>
      </c>
      <c r="N326" s="143" t="n">
        <f aca="false">M326</f>
        <v>0.005</v>
      </c>
      <c r="O326" s="144" t="n">
        <v>0</v>
      </c>
      <c r="P326" s="145"/>
      <c r="Q326" s="144" t="n">
        <f aca="false">M326+J326+G326</f>
        <v>3.931</v>
      </c>
      <c r="R326" s="144" t="n">
        <f aca="false">O326+L326+I326</f>
        <v>0</v>
      </c>
      <c r="S326" s="145"/>
      <c r="T326" s="71" t="n">
        <f aca="false">A327-A326</f>
        <v>31</v>
      </c>
      <c r="U326" s="146" t="n">
        <f aca="false">CHOOSE(F$3,A327+24,A326)</f>
        <v>46655</v>
      </c>
      <c r="V326" s="71" t="n">
        <f aca="false">U326-C$3</f>
        <v>9767</v>
      </c>
      <c r="W326" s="142" t="n">
        <f aca="false">VLOOKUP($A326,Table,MATCH(W$4,Curves,0))</f>
        <v>0.058966861357273</v>
      </c>
      <c r="X326" s="147" t="n">
        <f aca="false">1/(1+CHOOSE(F$3,(W327+($K$3/10000))/2,(W326+($K$3/10000))/2))^(2*V326/365.25)</f>
        <v>0.211398406950401</v>
      </c>
      <c r="Y326" s="71" t="n">
        <f aca="false">IF(AND(mthbeg&lt;=A326,mthend&gt;=A326),1,0)</f>
        <v>0</v>
      </c>
      <c r="Z326" s="71" t="n">
        <f aca="false">T326*Y326</f>
        <v>0</v>
      </c>
      <c r="AB326" s="132" t="n">
        <f aca="false">F326*G326</f>
        <v>0</v>
      </c>
      <c r="AC326" s="132" t="n">
        <f aca="false">$F326*H326</f>
        <v>0</v>
      </c>
      <c r="AD326" s="132" t="n">
        <f aca="false">$F326*I326</f>
        <v>0</v>
      </c>
      <c r="AE326" s="132" t="n">
        <f aca="false">$F326*J326</f>
        <v>-0</v>
      </c>
      <c r="AF326" s="132" t="n">
        <f aca="false">$F326*K326</f>
        <v>-0</v>
      </c>
      <c r="AG326" s="132" t="n">
        <f aca="false">$F326*L326</f>
        <v>0</v>
      </c>
      <c r="AH326" s="132" t="n">
        <f aca="false">$F326*M326</f>
        <v>0</v>
      </c>
      <c r="AI326" s="132" t="n">
        <f aca="false">$F326*N326</f>
        <v>0</v>
      </c>
      <c r="AJ326" s="132" t="n">
        <f aca="false">F326*O326</f>
        <v>0</v>
      </c>
      <c r="AK326" s="137"/>
      <c r="AL326" s="132" t="n">
        <f aca="false">CHOOSE($G$3,AC326-AD326,AD326-AC326)</f>
        <v>0</v>
      </c>
      <c r="AM326" s="132" t="n">
        <f aca="false">CHOOSE($G$3,AF326-AG326,AG326-AF326)</f>
        <v>0</v>
      </c>
      <c r="AN326" s="132" t="n">
        <f aca="false">CHOOSE($G$3,AI326-AJ326,AJ326-AI326)</f>
        <v>0</v>
      </c>
      <c r="AO326" s="148" t="n">
        <f aca="false">SUM(AL326:AN326)</f>
        <v>0</v>
      </c>
      <c r="AQ326" s="132" t="n">
        <f aca="false">CHOOSE($G$3,AB326-AC326,AC326-AB326)</f>
        <v>0</v>
      </c>
      <c r="AR326" s="132" t="n">
        <f aca="false">CHOOSE($G$3,AE326-AF326,AF326-AE326)</f>
        <v>0</v>
      </c>
      <c r="AS326" s="132" t="n">
        <f aca="false">CHOOSE($G$3,AH326-AI326,AI326-AH326)</f>
        <v>0</v>
      </c>
      <c r="AT326" s="148" t="n">
        <f aca="false">AQ326+AR326+AS326</f>
        <v>0</v>
      </c>
      <c r="AU326" s="148"/>
      <c r="AV326" s="133" t="n">
        <f aca="false">AT326+AO326</f>
        <v>0</v>
      </c>
      <c r="AX326" s="133" t="n">
        <f aca="false">AJ326+AG326+AD326</f>
        <v>0</v>
      </c>
      <c r="AY326" s="149"/>
      <c r="AZ326" s="76" t="n">
        <f aca="false">R326*E326</f>
        <v>0</v>
      </c>
    </row>
    <row r="327" customFormat="false" ht="12" hidden="false" customHeight="true" outlineLevel="0" collapsed="false">
      <c r="A327" s="138" t="n">
        <f aca="false">EDATE(A326,1)</f>
        <v>46631</v>
      </c>
      <c r="B327" s="139" t="n">
        <f aca="false">VLOOKUP($A327,Table2,MATCH(I$3,Curves2,0))</f>
        <v>0</v>
      </c>
      <c r="C327" s="140"/>
      <c r="D327" s="141" t="n">
        <f aca="false">B327+C327</f>
        <v>0</v>
      </c>
      <c r="E327" s="126" t="n">
        <f aca="false">IF(Y327=0,0,IF(AND(Y327=1,$H$3=1),D327*T327,IF($H$3=2,D327,"N/A")))</f>
        <v>0</v>
      </c>
      <c r="F327" s="126" t="n">
        <f aca="false">E327*X327</f>
        <v>0</v>
      </c>
      <c r="G327" s="142" t="n">
        <f aca="false">VLOOKUP($A327,Table,MATCH(G$4,Curves,0))</f>
        <v>3.987</v>
      </c>
      <c r="H327" s="143" t="n">
        <f aca="false">G327</f>
        <v>3.987</v>
      </c>
      <c r="I327" s="142" t="n">
        <f aca="false">VLOOKUP($A327,Table1,MATCH(I$3,Curves1,0))</f>
        <v>0</v>
      </c>
      <c r="J327" s="142" t="n">
        <f aca="false">VLOOKUP($A327,Table,MATCH(J$4,Curves,0))</f>
        <v>-0.061</v>
      </c>
      <c r="K327" s="143" t="n">
        <f aca="false">J327</f>
        <v>-0.061</v>
      </c>
      <c r="L327" s="144" t="n">
        <v>0</v>
      </c>
      <c r="M327" s="142" t="n">
        <f aca="false">VLOOKUP($A327,Table,MATCH(M$4,Curves,0))</f>
        <v>0.005</v>
      </c>
      <c r="N327" s="143" t="n">
        <f aca="false">M327</f>
        <v>0.005</v>
      </c>
      <c r="O327" s="144" t="n">
        <v>0</v>
      </c>
      <c r="P327" s="145"/>
      <c r="Q327" s="144" t="n">
        <f aca="false">M327+J327+G327</f>
        <v>3.931</v>
      </c>
      <c r="R327" s="144" t="n">
        <f aca="false">O327+L327+I327</f>
        <v>0</v>
      </c>
      <c r="S327" s="145"/>
      <c r="T327" s="71" t="n">
        <f aca="false">A328-A327</f>
        <v>30</v>
      </c>
      <c r="U327" s="146" t="n">
        <f aca="false">CHOOSE(F$3,A328+24,A327)</f>
        <v>46685</v>
      </c>
      <c r="V327" s="71" t="n">
        <f aca="false">U327-C$3</f>
        <v>9797</v>
      </c>
      <c r="W327" s="142" t="n">
        <f aca="false">VLOOKUP($A327,Table,MATCH(W$4,Curves,0))</f>
        <v>0.058966861357273</v>
      </c>
      <c r="X327" s="147" t="n">
        <f aca="false">1/(1+CHOOSE(F$3,(W328+($K$3/10000))/2,(W327+($K$3/10000))/2))^(2*V327/365.25)</f>
        <v>0.210391754145433</v>
      </c>
      <c r="Y327" s="71" t="n">
        <f aca="false">IF(AND(mthbeg&lt;=A327,mthend&gt;=A327),1,0)</f>
        <v>0</v>
      </c>
      <c r="Z327" s="71" t="n">
        <f aca="false">T327*Y327</f>
        <v>0</v>
      </c>
      <c r="AB327" s="132" t="n">
        <f aca="false">F327*G327</f>
        <v>0</v>
      </c>
      <c r="AC327" s="132" t="n">
        <f aca="false">$F327*H327</f>
        <v>0</v>
      </c>
      <c r="AD327" s="132" t="n">
        <f aca="false">$F327*I327</f>
        <v>0</v>
      </c>
      <c r="AE327" s="132" t="n">
        <f aca="false">$F327*J327</f>
        <v>-0</v>
      </c>
      <c r="AF327" s="132" t="n">
        <f aca="false">$F327*K327</f>
        <v>-0</v>
      </c>
      <c r="AG327" s="132" t="n">
        <f aca="false">$F327*L327</f>
        <v>0</v>
      </c>
      <c r="AH327" s="132" t="n">
        <f aca="false">$F327*M327</f>
        <v>0</v>
      </c>
      <c r="AI327" s="132" t="n">
        <f aca="false">$F327*N327</f>
        <v>0</v>
      </c>
      <c r="AJ327" s="132" t="n">
        <f aca="false">F327*O327</f>
        <v>0</v>
      </c>
      <c r="AK327" s="137"/>
      <c r="AL327" s="132" t="n">
        <f aca="false">CHOOSE($G$3,AC327-AD327,AD327-AC327)</f>
        <v>0</v>
      </c>
      <c r="AM327" s="132" t="n">
        <f aca="false">CHOOSE($G$3,AF327-AG327,AG327-AF327)</f>
        <v>0</v>
      </c>
      <c r="AN327" s="132" t="n">
        <f aca="false">CHOOSE($G$3,AI327-AJ327,AJ327-AI327)</f>
        <v>0</v>
      </c>
      <c r="AO327" s="148" t="n">
        <f aca="false">SUM(AL327:AN327)</f>
        <v>0</v>
      </c>
      <c r="AQ327" s="132" t="n">
        <f aca="false">CHOOSE($G$3,AB327-AC327,AC327-AB327)</f>
        <v>0</v>
      </c>
      <c r="AR327" s="132" t="n">
        <f aca="false">CHOOSE($G$3,AE327-AF327,AF327-AE327)</f>
        <v>0</v>
      </c>
      <c r="AS327" s="132" t="n">
        <f aca="false">CHOOSE($G$3,AH327-AI327,AI327-AH327)</f>
        <v>0</v>
      </c>
      <c r="AT327" s="148" t="n">
        <f aca="false">AQ327+AR327+AS327</f>
        <v>0</v>
      </c>
      <c r="AU327" s="148"/>
      <c r="AV327" s="133" t="n">
        <f aca="false">AT327+AO327</f>
        <v>0</v>
      </c>
      <c r="AX327" s="133" t="n">
        <f aca="false">AJ327+AG327+AD327</f>
        <v>0</v>
      </c>
      <c r="AY327" s="149"/>
      <c r="AZ327" s="76" t="n">
        <f aca="false">R327*E327</f>
        <v>0</v>
      </c>
    </row>
    <row r="328" customFormat="false" ht="12" hidden="false" customHeight="true" outlineLevel="0" collapsed="false">
      <c r="A328" s="138" t="n">
        <f aca="false">EDATE(A327,1)</f>
        <v>46661</v>
      </c>
      <c r="B328" s="139" t="n">
        <f aca="false">VLOOKUP($A328,Table2,MATCH(I$3,Curves2,0))</f>
        <v>0</v>
      </c>
      <c r="C328" s="140"/>
      <c r="D328" s="141" t="n">
        <f aca="false">B328+C328</f>
        <v>0</v>
      </c>
      <c r="E328" s="126" t="n">
        <f aca="false">IF(Y328=0,0,IF(AND(Y328=1,$H$3=1),D328*T328,IF($H$3=2,D328,"N/A")))</f>
        <v>0</v>
      </c>
      <c r="F328" s="126" t="n">
        <f aca="false">E328*X328</f>
        <v>0</v>
      </c>
      <c r="G328" s="142" t="n">
        <f aca="false">VLOOKUP($A328,Table,MATCH(G$4,Curves,0))</f>
        <v>3.987</v>
      </c>
      <c r="H328" s="143" t="n">
        <f aca="false">G328</f>
        <v>3.987</v>
      </c>
      <c r="I328" s="142" t="n">
        <f aca="false">VLOOKUP($A328,Table1,MATCH(I$3,Curves1,0))</f>
        <v>0</v>
      </c>
      <c r="J328" s="142" t="n">
        <f aca="false">VLOOKUP($A328,Table,MATCH(J$4,Curves,0))</f>
        <v>-0.061</v>
      </c>
      <c r="K328" s="143" t="n">
        <f aca="false">J328</f>
        <v>-0.061</v>
      </c>
      <c r="L328" s="144" t="n">
        <v>0</v>
      </c>
      <c r="M328" s="142" t="n">
        <f aca="false">VLOOKUP($A328,Table,MATCH(M$4,Curves,0))</f>
        <v>0.005</v>
      </c>
      <c r="N328" s="143" t="n">
        <f aca="false">M328</f>
        <v>0.005</v>
      </c>
      <c r="O328" s="144" t="n">
        <v>0</v>
      </c>
      <c r="P328" s="145"/>
      <c r="Q328" s="144" t="n">
        <f aca="false">M328+J328+G328</f>
        <v>3.931</v>
      </c>
      <c r="R328" s="144" t="n">
        <f aca="false">O328+L328+I328</f>
        <v>0</v>
      </c>
      <c r="S328" s="145"/>
      <c r="T328" s="71" t="n">
        <f aca="false">A329-A328</f>
        <v>31</v>
      </c>
      <c r="U328" s="146" t="n">
        <f aca="false">CHOOSE(F$3,A329+24,A328)</f>
        <v>46716</v>
      </c>
      <c r="V328" s="71" t="n">
        <f aca="false">U328-C$3</f>
        <v>9828</v>
      </c>
      <c r="W328" s="142" t="n">
        <f aca="false">VLOOKUP($A328,Table,MATCH(W$4,Curves,0))</f>
        <v>0.058966861357273</v>
      </c>
      <c r="X328" s="147" t="n">
        <f aca="false">1/(1+CHOOSE(F$3,(W329+($K$3/10000))/2,(W328+($K$3/10000))/2))^(2*V328/365.25)</f>
        <v>0.209356581875944</v>
      </c>
      <c r="Y328" s="71" t="n">
        <f aca="false">IF(AND(mthbeg&lt;=A328,mthend&gt;=A328),1,0)</f>
        <v>0</v>
      </c>
      <c r="Z328" s="71" t="n">
        <f aca="false">T328*Y328</f>
        <v>0</v>
      </c>
      <c r="AB328" s="132" t="n">
        <f aca="false">F328*G328</f>
        <v>0</v>
      </c>
      <c r="AC328" s="132" t="n">
        <f aca="false">$F328*H328</f>
        <v>0</v>
      </c>
      <c r="AD328" s="132" t="n">
        <f aca="false">$F328*I328</f>
        <v>0</v>
      </c>
      <c r="AE328" s="132" t="n">
        <f aca="false">$F328*J328</f>
        <v>-0</v>
      </c>
      <c r="AF328" s="132" t="n">
        <f aca="false">$F328*K328</f>
        <v>-0</v>
      </c>
      <c r="AG328" s="132" t="n">
        <f aca="false">$F328*L328</f>
        <v>0</v>
      </c>
      <c r="AH328" s="132" t="n">
        <f aca="false">$F328*M328</f>
        <v>0</v>
      </c>
      <c r="AI328" s="132" t="n">
        <f aca="false">$F328*N328</f>
        <v>0</v>
      </c>
      <c r="AJ328" s="132" t="n">
        <f aca="false">F328*O328</f>
        <v>0</v>
      </c>
      <c r="AK328" s="137"/>
      <c r="AL328" s="132" t="n">
        <f aca="false">CHOOSE($G$3,AC328-AD328,AD328-AC328)</f>
        <v>0</v>
      </c>
      <c r="AM328" s="132" t="n">
        <f aca="false">CHOOSE($G$3,AF328-AG328,AG328-AF328)</f>
        <v>0</v>
      </c>
      <c r="AN328" s="132" t="n">
        <f aca="false">CHOOSE($G$3,AI328-AJ328,AJ328-AI328)</f>
        <v>0</v>
      </c>
      <c r="AO328" s="148" t="n">
        <f aca="false">SUM(AL328:AN328)</f>
        <v>0</v>
      </c>
      <c r="AQ328" s="132" t="n">
        <f aca="false">CHOOSE($G$3,AB328-AC328,AC328-AB328)</f>
        <v>0</v>
      </c>
      <c r="AR328" s="132" t="n">
        <f aca="false">CHOOSE($G$3,AE328-AF328,AF328-AE328)</f>
        <v>0</v>
      </c>
      <c r="AS328" s="132" t="n">
        <f aca="false">CHOOSE($G$3,AH328-AI328,AI328-AH328)</f>
        <v>0</v>
      </c>
      <c r="AT328" s="148" t="n">
        <f aca="false">AQ328+AR328+AS328</f>
        <v>0</v>
      </c>
      <c r="AU328" s="148"/>
      <c r="AV328" s="133" t="n">
        <f aca="false">AT328+AO328</f>
        <v>0</v>
      </c>
      <c r="AX328" s="133" t="n">
        <f aca="false">AJ328+AG328+AD328</f>
        <v>0</v>
      </c>
      <c r="AY328" s="149"/>
      <c r="AZ328" s="76" t="n">
        <f aca="false">R328*E328</f>
        <v>0</v>
      </c>
    </row>
    <row r="329" customFormat="false" ht="12" hidden="false" customHeight="true" outlineLevel="0" collapsed="false">
      <c r="A329" s="138" t="n">
        <f aca="false">EDATE(A328,1)</f>
        <v>46692</v>
      </c>
      <c r="B329" s="139" t="n">
        <f aca="false">VLOOKUP($A329,Table2,MATCH(I$3,Curves2,0))</f>
        <v>0</v>
      </c>
      <c r="C329" s="140"/>
      <c r="D329" s="141" t="n">
        <f aca="false">B329+C329</f>
        <v>0</v>
      </c>
      <c r="E329" s="126" t="n">
        <f aca="false">IF(Y329=0,0,IF(AND(Y329=1,$H$3=1),D329*T329,IF($H$3=2,D329,"N/A")))</f>
        <v>0</v>
      </c>
      <c r="F329" s="126" t="n">
        <f aca="false">E329*X329</f>
        <v>0</v>
      </c>
      <c r="G329" s="142" t="n">
        <f aca="false">VLOOKUP($A329,Table,MATCH(G$4,Curves,0))</f>
        <v>3.987</v>
      </c>
      <c r="H329" s="143" t="n">
        <f aca="false">G329</f>
        <v>3.987</v>
      </c>
      <c r="I329" s="142" t="n">
        <f aca="false">VLOOKUP($A329,Table1,MATCH(I$3,Curves1,0))</f>
        <v>0</v>
      </c>
      <c r="J329" s="142" t="n">
        <f aca="false">VLOOKUP($A329,Table,MATCH(J$4,Curves,0))</f>
        <v>-0.061</v>
      </c>
      <c r="K329" s="143" t="n">
        <f aca="false">J329</f>
        <v>-0.061</v>
      </c>
      <c r="L329" s="144" t="n">
        <v>0</v>
      </c>
      <c r="M329" s="142" t="n">
        <f aca="false">VLOOKUP($A329,Table,MATCH(M$4,Curves,0))</f>
        <v>0.005</v>
      </c>
      <c r="N329" s="143" t="n">
        <f aca="false">M329</f>
        <v>0.005</v>
      </c>
      <c r="O329" s="144" t="n">
        <v>0</v>
      </c>
      <c r="P329" s="145"/>
      <c r="Q329" s="144" t="n">
        <f aca="false">M329+J329+G329</f>
        <v>3.931</v>
      </c>
      <c r="R329" s="144" t="n">
        <f aca="false">O329+L329+I329</f>
        <v>0</v>
      </c>
      <c r="S329" s="145"/>
      <c r="T329" s="71" t="n">
        <f aca="false">A330-A329</f>
        <v>30</v>
      </c>
      <c r="U329" s="146" t="n">
        <f aca="false">CHOOSE(F$3,A330+24,A329)</f>
        <v>46746</v>
      </c>
      <c r="V329" s="71" t="n">
        <f aca="false">U329-C$3</f>
        <v>9858</v>
      </c>
      <c r="W329" s="142" t="n">
        <f aca="false">VLOOKUP($A329,Table,MATCH(W$4,Curves,0))</f>
        <v>0.058966861357273</v>
      </c>
      <c r="X329" s="147" t="n">
        <f aca="false">1/(1+CHOOSE(F$3,(W330+($K$3/10000))/2,(W329+($K$3/10000))/2))^(2*V329/365.25)</f>
        <v>0.208359651986907</v>
      </c>
      <c r="Y329" s="71" t="n">
        <f aca="false">IF(AND(mthbeg&lt;=A329,mthend&gt;=A329),1,0)</f>
        <v>0</v>
      </c>
      <c r="Z329" s="71" t="n">
        <f aca="false">T329*Y329</f>
        <v>0</v>
      </c>
      <c r="AB329" s="132" t="n">
        <f aca="false">F329*G329</f>
        <v>0</v>
      </c>
      <c r="AC329" s="132" t="n">
        <f aca="false">$F329*H329</f>
        <v>0</v>
      </c>
      <c r="AD329" s="132" t="n">
        <f aca="false">$F329*I329</f>
        <v>0</v>
      </c>
      <c r="AE329" s="132" t="n">
        <f aca="false">$F329*J329</f>
        <v>-0</v>
      </c>
      <c r="AF329" s="132" t="n">
        <f aca="false">$F329*K329</f>
        <v>-0</v>
      </c>
      <c r="AG329" s="132" t="n">
        <f aca="false">$F329*L329</f>
        <v>0</v>
      </c>
      <c r="AH329" s="132" t="n">
        <f aca="false">$F329*M329</f>
        <v>0</v>
      </c>
      <c r="AI329" s="132" t="n">
        <f aca="false">$F329*N329</f>
        <v>0</v>
      </c>
      <c r="AJ329" s="132" t="n">
        <f aca="false">F329*O329</f>
        <v>0</v>
      </c>
      <c r="AK329" s="137"/>
      <c r="AL329" s="132" t="n">
        <f aca="false">CHOOSE($G$3,AC329-AD329,AD329-AC329)</f>
        <v>0</v>
      </c>
      <c r="AM329" s="132" t="n">
        <f aca="false">CHOOSE($G$3,AF329-AG329,AG329-AF329)</f>
        <v>0</v>
      </c>
      <c r="AN329" s="132" t="n">
        <f aca="false">CHOOSE($G$3,AI329-AJ329,AJ329-AI329)</f>
        <v>0</v>
      </c>
      <c r="AO329" s="148" t="n">
        <f aca="false">SUM(AL329:AN329)</f>
        <v>0</v>
      </c>
      <c r="AQ329" s="132" t="n">
        <f aca="false">CHOOSE($G$3,AB329-AC329,AC329-AB329)</f>
        <v>0</v>
      </c>
      <c r="AR329" s="132" t="n">
        <f aca="false">CHOOSE($G$3,AE329-AF329,AF329-AE329)</f>
        <v>0</v>
      </c>
      <c r="AS329" s="132" t="n">
        <f aca="false">CHOOSE($G$3,AH329-AI329,AI329-AH329)</f>
        <v>0</v>
      </c>
      <c r="AT329" s="148" t="n">
        <f aca="false">AQ329+AR329+AS329</f>
        <v>0</v>
      </c>
      <c r="AU329" s="148"/>
      <c r="AV329" s="133" t="n">
        <f aca="false">AT329+AO329</f>
        <v>0</v>
      </c>
      <c r="AX329" s="133" t="n">
        <f aca="false">AJ329+AG329+AD329</f>
        <v>0</v>
      </c>
      <c r="AY329" s="149"/>
      <c r="AZ329" s="76" t="n">
        <f aca="false">R329*E329</f>
        <v>0</v>
      </c>
    </row>
    <row r="330" customFormat="false" ht="12" hidden="false" customHeight="true" outlineLevel="0" collapsed="false">
      <c r="A330" s="138" t="n">
        <f aca="false">EDATE(A329,1)</f>
        <v>46722</v>
      </c>
      <c r="B330" s="139" t="n">
        <f aca="false">VLOOKUP($A330,Table2,MATCH(I$3,Curves2,0))</f>
        <v>0</v>
      </c>
      <c r="C330" s="140"/>
      <c r="D330" s="141" t="n">
        <f aca="false">B330+C330</f>
        <v>0</v>
      </c>
      <c r="E330" s="126" t="n">
        <f aca="false">IF(Y330=0,0,IF(AND(Y330=1,$H$3=1),D330*T330,IF($H$3=2,D330,"N/A")))</f>
        <v>0</v>
      </c>
      <c r="F330" s="126" t="n">
        <f aca="false">E330*X330</f>
        <v>0</v>
      </c>
      <c r="G330" s="142" t="n">
        <f aca="false">VLOOKUP($A330,Table,MATCH(G$4,Curves,0))</f>
        <v>3.987</v>
      </c>
      <c r="H330" s="143" t="n">
        <f aca="false">G330</f>
        <v>3.987</v>
      </c>
      <c r="I330" s="142" t="n">
        <f aca="false">VLOOKUP($A330,Table1,MATCH(I$3,Curves1,0))</f>
        <v>0</v>
      </c>
      <c r="J330" s="142" t="n">
        <f aca="false">VLOOKUP($A330,Table,MATCH(J$4,Curves,0))</f>
        <v>-0.061</v>
      </c>
      <c r="K330" s="143" t="n">
        <f aca="false">J330</f>
        <v>-0.061</v>
      </c>
      <c r="L330" s="144" t="n">
        <v>0</v>
      </c>
      <c r="M330" s="142" t="n">
        <f aca="false">VLOOKUP($A330,Table,MATCH(M$4,Curves,0))</f>
        <v>0.005</v>
      </c>
      <c r="N330" s="143" t="n">
        <f aca="false">M330</f>
        <v>0.005</v>
      </c>
      <c r="O330" s="144" t="n">
        <v>0</v>
      </c>
      <c r="P330" s="145"/>
      <c r="Q330" s="144" t="n">
        <f aca="false">M330+J330+G330</f>
        <v>3.931</v>
      </c>
      <c r="R330" s="144" t="n">
        <f aca="false">O330+L330+I330</f>
        <v>0</v>
      </c>
      <c r="S330" s="145"/>
      <c r="T330" s="71" t="n">
        <f aca="false">A331-A330</f>
        <v>31</v>
      </c>
      <c r="U330" s="146" t="n">
        <f aca="false">CHOOSE(F$3,A331+24,A330)</f>
        <v>46777</v>
      </c>
      <c r="V330" s="71" t="n">
        <f aca="false">U330-C$3</f>
        <v>9889</v>
      </c>
      <c r="W330" s="142" t="n">
        <f aca="false">VLOOKUP($A330,Table,MATCH(W$4,Curves,0))</f>
        <v>0.058966861357273</v>
      </c>
      <c r="X330" s="147" t="n">
        <f aca="false">1/(1+CHOOSE(F$3,(W331+($K$3/10000))/2,(W330+($K$3/10000))/2))^(2*V330/365.25)</f>
        <v>0.207334478093123</v>
      </c>
      <c r="Y330" s="71" t="n">
        <f aca="false">IF(AND(mthbeg&lt;=A330,mthend&gt;=A330),1,0)</f>
        <v>0</v>
      </c>
      <c r="Z330" s="71" t="n">
        <f aca="false">T330*Y330</f>
        <v>0</v>
      </c>
      <c r="AB330" s="132" t="n">
        <f aca="false">F330*G330</f>
        <v>0</v>
      </c>
      <c r="AC330" s="132" t="n">
        <f aca="false">$F330*H330</f>
        <v>0</v>
      </c>
      <c r="AD330" s="132" t="n">
        <f aca="false">$F330*I330</f>
        <v>0</v>
      </c>
      <c r="AE330" s="132" t="n">
        <f aca="false">$F330*J330</f>
        <v>-0</v>
      </c>
      <c r="AF330" s="132" t="n">
        <f aca="false">$F330*K330</f>
        <v>-0</v>
      </c>
      <c r="AG330" s="132" t="n">
        <f aca="false">$F330*L330</f>
        <v>0</v>
      </c>
      <c r="AH330" s="132" t="n">
        <f aca="false">$F330*M330</f>
        <v>0</v>
      </c>
      <c r="AI330" s="132" t="n">
        <f aca="false">$F330*N330</f>
        <v>0</v>
      </c>
      <c r="AJ330" s="132" t="n">
        <f aca="false">F330*O330</f>
        <v>0</v>
      </c>
      <c r="AK330" s="137"/>
      <c r="AL330" s="132" t="n">
        <f aca="false">CHOOSE($G$3,AC330-AD330,AD330-AC330)</f>
        <v>0</v>
      </c>
      <c r="AM330" s="132" t="n">
        <f aca="false">CHOOSE($G$3,AF330-AG330,AG330-AF330)</f>
        <v>0</v>
      </c>
      <c r="AN330" s="132" t="n">
        <f aca="false">CHOOSE($G$3,AI330-AJ330,AJ330-AI330)</f>
        <v>0</v>
      </c>
      <c r="AO330" s="148" t="n">
        <f aca="false">SUM(AL330:AN330)</f>
        <v>0</v>
      </c>
      <c r="AQ330" s="132" t="n">
        <f aca="false">CHOOSE($G$3,AB330-AC330,AC330-AB330)</f>
        <v>0</v>
      </c>
      <c r="AR330" s="132" t="n">
        <f aca="false">CHOOSE($G$3,AE330-AF330,AF330-AE330)</f>
        <v>0</v>
      </c>
      <c r="AS330" s="132" t="n">
        <f aca="false">CHOOSE($G$3,AH330-AI330,AI330-AH330)</f>
        <v>0</v>
      </c>
      <c r="AT330" s="148" t="n">
        <f aca="false">AQ330+AR330+AS330</f>
        <v>0</v>
      </c>
      <c r="AU330" s="148"/>
      <c r="AV330" s="133" t="n">
        <f aca="false">AT330+AO330</f>
        <v>0</v>
      </c>
      <c r="AX330" s="133" t="n">
        <f aca="false">AJ330+AG330+AD330</f>
        <v>0</v>
      </c>
      <c r="AY330" s="149"/>
      <c r="AZ330" s="76" t="n">
        <f aca="false">R330*E330</f>
        <v>0</v>
      </c>
    </row>
    <row r="331" customFormat="false" ht="12" hidden="false" customHeight="true" outlineLevel="0" collapsed="false">
      <c r="A331" s="138" t="n">
        <f aca="false">EDATE(A330,1)</f>
        <v>46753</v>
      </c>
      <c r="B331" s="139" t="n">
        <f aca="false">VLOOKUP($A331,Table2,MATCH(I$3,Curves2,0))</f>
        <v>0</v>
      </c>
      <c r="C331" s="140"/>
      <c r="D331" s="141" t="n">
        <f aca="false">B331+C331</f>
        <v>0</v>
      </c>
      <c r="E331" s="126" t="n">
        <f aca="false">IF(Y331=0,0,IF(AND(Y331=1,$H$3=1),D331*T331,IF($H$3=2,D331,"N/A")))</f>
        <v>0</v>
      </c>
      <c r="F331" s="126" t="n">
        <f aca="false">E331*X331</f>
        <v>0</v>
      </c>
      <c r="G331" s="142" t="n">
        <f aca="false">VLOOKUP($A331,Table,MATCH(G$4,Curves,0))</f>
        <v>3.987</v>
      </c>
      <c r="H331" s="143" t="n">
        <f aca="false">G331</f>
        <v>3.987</v>
      </c>
      <c r="I331" s="142" t="n">
        <f aca="false">VLOOKUP($A331,Table1,MATCH(I$3,Curves1,0))</f>
        <v>0</v>
      </c>
      <c r="J331" s="142" t="n">
        <f aca="false">VLOOKUP($A331,Table,MATCH(J$4,Curves,0))</f>
        <v>-0.061</v>
      </c>
      <c r="K331" s="143" t="n">
        <f aca="false">J331</f>
        <v>-0.061</v>
      </c>
      <c r="L331" s="144" t="n">
        <v>0</v>
      </c>
      <c r="M331" s="142" t="n">
        <f aca="false">VLOOKUP($A331,Table,MATCH(M$4,Curves,0))</f>
        <v>0.005</v>
      </c>
      <c r="N331" s="143" t="n">
        <f aca="false">M331</f>
        <v>0.005</v>
      </c>
      <c r="O331" s="144" t="n">
        <v>0</v>
      </c>
      <c r="P331" s="145"/>
      <c r="Q331" s="144" t="n">
        <f aca="false">M331+J331+G331</f>
        <v>3.931</v>
      </c>
      <c r="R331" s="144" t="n">
        <f aca="false">O331+L331+I331</f>
        <v>0</v>
      </c>
      <c r="S331" s="145"/>
      <c r="T331" s="71" t="n">
        <f aca="false">A332-A331</f>
        <v>31</v>
      </c>
      <c r="U331" s="146" t="n">
        <f aca="false">CHOOSE(F$3,A332+24,A331)</f>
        <v>46808</v>
      </c>
      <c r="V331" s="71" t="n">
        <f aca="false">U331-C$3</f>
        <v>9920</v>
      </c>
      <c r="W331" s="142" t="n">
        <f aca="false">VLOOKUP($A331,Table,MATCH(W$4,Curves,0))</f>
        <v>0.058966861357273</v>
      </c>
      <c r="X331" s="147" t="n">
        <f aca="false">1/(1+CHOOSE(F$3,(W332+($K$3/10000))/2,(W331+($K$3/10000))/2))^(2*V331/365.25)</f>
        <v>0.206314348273384</v>
      </c>
      <c r="Y331" s="71" t="n">
        <f aca="false">IF(AND(mthbeg&lt;=A331,mthend&gt;=A331),1,0)</f>
        <v>0</v>
      </c>
      <c r="Z331" s="71" t="n">
        <f aca="false">T331*Y331</f>
        <v>0</v>
      </c>
      <c r="AB331" s="132" t="n">
        <f aca="false">F331*G331</f>
        <v>0</v>
      </c>
      <c r="AC331" s="132" t="n">
        <f aca="false">$F331*H331</f>
        <v>0</v>
      </c>
      <c r="AD331" s="132" t="n">
        <f aca="false">$F331*I331</f>
        <v>0</v>
      </c>
      <c r="AE331" s="132" t="n">
        <f aca="false">$F331*J331</f>
        <v>-0</v>
      </c>
      <c r="AF331" s="132" t="n">
        <f aca="false">$F331*K331</f>
        <v>-0</v>
      </c>
      <c r="AG331" s="132" t="n">
        <f aca="false">$F331*L331</f>
        <v>0</v>
      </c>
      <c r="AH331" s="132" t="n">
        <f aca="false">$F331*M331</f>
        <v>0</v>
      </c>
      <c r="AI331" s="132" t="n">
        <f aca="false">$F331*N331</f>
        <v>0</v>
      </c>
      <c r="AJ331" s="132" t="n">
        <f aca="false">F331*O331</f>
        <v>0</v>
      </c>
      <c r="AK331" s="137"/>
      <c r="AL331" s="132" t="n">
        <f aca="false">CHOOSE($G$3,AC331-AD331,AD331-AC331)</f>
        <v>0</v>
      </c>
      <c r="AM331" s="132" t="n">
        <f aca="false">CHOOSE($G$3,AF331-AG331,AG331-AF331)</f>
        <v>0</v>
      </c>
      <c r="AN331" s="132" t="n">
        <f aca="false">CHOOSE($G$3,AI331-AJ331,AJ331-AI331)</f>
        <v>0</v>
      </c>
      <c r="AO331" s="148" t="n">
        <f aca="false">SUM(AL331:AN331)</f>
        <v>0</v>
      </c>
      <c r="AQ331" s="132" t="n">
        <f aca="false">CHOOSE($G$3,AB331-AC331,AC331-AB331)</f>
        <v>0</v>
      </c>
      <c r="AR331" s="132" t="n">
        <f aca="false">CHOOSE($G$3,AE331-AF331,AF331-AE331)</f>
        <v>0</v>
      </c>
      <c r="AS331" s="132" t="n">
        <f aca="false">CHOOSE($G$3,AH331-AI331,AI331-AH331)</f>
        <v>0</v>
      </c>
      <c r="AT331" s="148" t="n">
        <f aca="false">AQ331+AR331+AS331</f>
        <v>0</v>
      </c>
      <c r="AU331" s="148"/>
      <c r="AV331" s="133" t="n">
        <f aca="false">AT331+AO331</f>
        <v>0</v>
      </c>
      <c r="AX331" s="133" t="n">
        <f aca="false">AJ331+AG331+AD331</f>
        <v>0</v>
      </c>
      <c r="AY331" s="149"/>
      <c r="AZ331" s="76" t="n">
        <f aca="false">R331*E331</f>
        <v>0</v>
      </c>
    </row>
    <row r="332" customFormat="false" ht="12" hidden="false" customHeight="true" outlineLevel="0" collapsed="false">
      <c r="A332" s="138" t="n">
        <f aca="false">EDATE(A331,1)</f>
        <v>46784</v>
      </c>
      <c r="B332" s="139" t="n">
        <f aca="false">VLOOKUP($A332,Table2,MATCH(I$3,Curves2,0))</f>
        <v>0</v>
      </c>
      <c r="C332" s="140"/>
      <c r="D332" s="141" t="n">
        <f aca="false">B332+C332</f>
        <v>0</v>
      </c>
      <c r="E332" s="126" t="n">
        <f aca="false">IF(Y332=0,0,IF(AND(Y332=1,$H$3=1),D332*T332,IF($H$3=2,D332,"N/A")))</f>
        <v>0</v>
      </c>
      <c r="F332" s="126" t="n">
        <f aca="false">E332*X332</f>
        <v>0</v>
      </c>
      <c r="G332" s="142" t="n">
        <f aca="false">VLOOKUP($A332,Table,MATCH(G$4,Curves,0))</f>
        <v>3.987</v>
      </c>
      <c r="H332" s="143" t="n">
        <f aca="false">G332</f>
        <v>3.987</v>
      </c>
      <c r="I332" s="142" t="n">
        <f aca="false">VLOOKUP($A332,Table1,MATCH(I$3,Curves1,0))</f>
        <v>0</v>
      </c>
      <c r="J332" s="142" t="n">
        <f aca="false">VLOOKUP($A332,Table,MATCH(J$4,Curves,0))</f>
        <v>-0.061</v>
      </c>
      <c r="K332" s="143" t="n">
        <f aca="false">J332</f>
        <v>-0.061</v>
      </c>
      <c r="L332" s="144" t="n">
        <v>0</v>
      </c>
      <c r="M332" s="142" t="n">
        <f aca="false">VLOOKUP($A332,Table,MATCH(M$4,Curves,0))</f>
        <v>0.005</v>
      </c>
      <c r="N332" s="143" t="n">
        <f aca="false">M332</f>
        <v>0.005</v>
      </c>
      <c r="O332" s="144" t="n">
        <v>0</v>
      </c>
      <c r="P332" s="145"/>
      <c r="Q332" s="144" t="n">
        <f aca="false">M332+J332+G332</f>
        <v>3.931</v>
      </c>
      <c r="R332" s="144" t="n">
        <f aca="false">O332+L332+I332</f>
        <v>0</v>
      </c>
      <c r="S332" s="145"/>
      <c r="T332" s="71" t="n">
        <f aca="false">A333-A332</f>
        <v>29</v>
      </c>
      <c r="U332" s="146" t="n">
        <f aca="false">CHOOSE(F$3,A333+24,A332)</f>
        <v>46837</v>
      </c>
      <c r="V332" s="71" t="n">
        <f aca="false">U332-C$3</f>
        <v>9949</v>
      </c>
      <c r="W332" s="142" t="n">
        <f aca="false">VLOOKUP($A332,Table,MATCH(W$4,Curves,0))</f>
        <v>0.058966861357273</v>
      </c>
      <c r="X332" s="147" t="n">
        <f aca="false">1/(1+CHOOSE(F$3,(W333+($K$3/10000))/2,(W332+($K$3/10000))/2))^(2*V332/365.25)</f>
        <v>0.205364577729721</v>
      </c>
      <c r="Y332" s="71" t="n">
        <f aca="false">IF(AND(mthbeg&lt;=A332,mthend&gt;=A332),1,0)</f>
        <v>0</v>
      </c>
      <c r="Z332" s="71" t="n">
        <f aca="false">T332*Y332</f>
        <v>0</v>
      </c>
      <c r="AB332" s="132" t="n">
        <f aca="false">F332*G332</f>
        <v>0</v>
      </c>
      <c r="AC332" s="132" t="n">
        <f aca="false">$F332*H332</f>
        <v>0</v>
      </c>
      <c r="AD332" s="132" t="n">
        <f aca="false">$F332*I332</f>
        <v>0</v>
      </c>
      <c r="AE332" s="132" t="n">
        <f aca="false">$F332*J332</f>
        <v>-0</v>
      </c>
      <c r="AF332" s="132" t="n">
        <f aca="false">$F332*K332</f>
        <v>-0</v>
      </c>
      <c r="AG332" s="132" t="n">
        <f aca="false">$F332*L332</f>
        <v>0</v>
      </c>
      <c r="AH332" s="132" t="n">
        <f aca="false">$F332*M332</f>
        <v>0</v>
      </c>
      <c r="AI332" s="132" t="n">
        <f aca="false">$F332*N332</f>
        <v>0</v>
      </c>
      <c r="AJ332" s="132" t="n">
        <f aca="false">F332*O332</f>
        <v>0</v>
      </c>
      <c r="AK332" s="137"/>
      <c r="AL332" s="132" t="n">
        <f aca="false">CHOOSE($G$3,AC332-AD332,AD332-AC332)</f>
        <v>0</v>
      </c>
      <c r="AM332" s="132" t="n">
        <f aca="false">CHOOSE($G$3,AF332-AG332,AG332-AF332)</f>
        <v>0</v>
      </c>
      <c r="AN332" s="132" t="n">
        <f aca="false">CHOOSE($G$3,AI332-AJ332,AJ332-AI332)</f>
        <v>0</v>
      </c>
      <c r="AO332" s="148" t="n">
        <f aca="false">SUM(AL332:AN332)</f>
        <v>0</v>
      </c>
      <c r="AQ332" s="132" t="n">
        <f aca="false">CHOOSE($G$3,AB332-AC332,AC332-AB332)</f>
        <v>0</v>
      </c>
      <c r="AR332" s="132" t="n">
        <f aca="false">CHOOSE($G$3,AE332-AF332,AF332-AE332)</f>
        <v>0</v>
      </c>
      <c r="AS332" s="132" t="n">
        <f aca="false">CHOOSE($G$3,AH332-AI332,AI332-AH332)</f>
        <v>0</v>
      </c>
      <c r="AT332" s="148" t="n">
        <f aca="false">AQ332+AR332+AS332</f>
        <v>0</v>
      </c>
      <c r="AU332" s="148"/>
      <c r="AV332" s="133" t="n">
        <f aca="false">AT332+AO332</f>
        <v>0</v>
      </c>
      <c r="AX332" s="133" t="n">
        <f aca="false">AJ332+AG332+AD332</f>
        <v>0</v>
      </c>
      <c r="AY332" s="149"/>
      <c r="AZ332" s="76" t="n">
        <f aca="false">R332*E332</f>
        <v>0</v>
      </c>
    </row>
    <row r="333" customFormat="false" ht="12" hidden="false" customHeight="true" outlineLevel="0" collapsed="false">
      <c r="A333" s="138" t="n">
        <f aca="false">EDATE(A332,1)</f>
        <v>46813</v>
      </c>
      <c r="B333" s="139" t="n">
        <f aca="false">VLOOKUP($A333,Table2,MATCH(I$3,Curves2,0))</f>
        <v>0</v>
      </c>
      <c r="C333" s="140"/>
      <c r="D333" s="141" t="n">
        <f aca="false">B333+C333</f>
        <v>0</v>
      </c>
      <c r="E333" s="126" t="n">
        <f aca="false">IF(Y333=0,0,IF(AND(Y333=1,$H$3=1),D333*T333,IF($H$3=2,D333,"N/A")))</f>
        <v>0</v>
      </c>
      <c r="F333" s="126" t="n">
        <f aca="false">E333*X333</f>
        <v>0</v>
      </c>
      <c r="G333" s="142" t="n">
        <f aca="false">VLOOKUP($A333,Table,MATCH(G$4,Curves,0))</f>
        <v>3.987</v>
      </c>
      <c r="H333" s="143" t="n">
        <f aca="false">G333</f>
        <v>3.987</v>
      </c>
      <c r="I333" s="142" t="n">
        <f aca="false">VLOOKUP($A333,Table1,MATCH(I$3,Curves1,0))</f>
        <v>0</v>
      </c>
      <c r="J333" s="142" t="n">
        <f aca="false">VLOOKUP($A333,Table,MATCH(J$4,Curves,0))</f>
        <v>-0.061</v>
      </c>
      <c r="K333" s="143" t="n">
        <f aca="false">J333</f>
        <v>-0.061</v>
      </c>
      <c r="L333" s="144" t="n">
        <v>0</v>
      </c>
      <c r="M333" s="142" t="n">
        <f aca="false">VLOOKUP($A333,Table,MATCH(M$4,Curves,0))</f>
        <v>0.005</v>
      </c>
      <c r="N333" s="143" t="n">
        <f aca="false">M333</f>
        <v>0.005</v>
      </c>
      <c r="O333" s="144" t="n">
        <v>0</v>
      </c>
      <c r="P333" s="145"/>
      <c r="Q333" s="144" t="n">
        <f aca="false">M333+J333+G333</f>
        <v>3.931</v>
      </c>
      <c r="R333" s="144" t="n">
        <f aca="false">O333+L333+I333</f>
        <v>0</v>
      </c>
      <c r="S333" s="145"/>
      <c r="T333" s="71" t="n">
        <f aca="false">A334-A333</f>
        <v>31</v>
      </c>
      <c r="U333" s="146" t="n">
        <f aca="false">CHOOSE(F$3,A334+24,A333)</f>
        <v>46868</v>
      </c>
      <c r="V333" s="71" t="n">
        <f aca="false">U333-C$3</f>
        <v>9980</v>
      </c>
      <c r="W333" s="142" t="n">
        <f aca="false">VLOOKUP($A333,Table,MATCH(W$4,Curves,0))</f>
        <v>0.058966861357273</v>
      </c>
      <c r="X333" s="147" t="n">
        <f aca="false">1/(1+CHOOSE(F$3,(W334+($K$3/10000))/2,(W333+($K$3/10000))/2))^(2*V333/365.25)</f>
        <v>0.204354140239599</v>
      </c>
      <c r="Y333" s="71" t="n">
        <f aca="false">IF(AND(mthbeg&lt;=A333,mthend&gt;=A333),1,0)</f>
        <v>0</v>
      </c>
      <c r="Z333" s="71" t="n">
        <f aca="false">T333*Y333</f>
        <v>0</v>
      </c>
      <c r="AB333" s="132" t="n">
        <f aca="false">F333*G333</f>
        <v>0</v>
      </c>
      <c r="AC333" s="132" t="n">
        <f aca="false">$F333*H333</f>
        <v>0</v>
      </c>
      <c r="AD333" s="132" t="n">
        <f aca="false">$F333*I333</f>
        <v>0</v>
      </c>
      <c r="AE333" s="132" t="n">
        <f aca="false">$F333*J333</f>
        <v>-0</v>
      </c>
      <c r="AF333" s="132" t="n">
        <f aca="false">$F333*K333</f>
        <v>-0</v>
      </c>
      <c r="AG333" s="132" t="n">
        <f aca="false">$F333*L333</f>
        <v>0</v>
      </c>
      <c r="AH333" s="132" t="n">
        <f aca="false">$F333*M333</f>
        <v>0</v>
      </c>
      <c r="AI333" s="132" t="n">
        <f aca="false">$F333*N333</f>
        <v>0</v>
      </c>
      <c r="AJ333" s="132" t="n">
        <f aca="false">F333*O333</f>
        <v>0</v>
      </c>
      <c r="AK333" s="137"/>
      <c r="AL333" s="132" t="n">
        <f aca="false">CHOOSE($G$3,AC333-AD333,AD333-AC333)</f>
        <v>0</v>
      </c>
      <c r="AM333" s="132" t="n">
        <f aca="false">CHOOSE($G$3,AF333-AG333,AG333-AF333)</f>
        <v>0</v>
      </c>
      <c r="AN333" s="132" t="n">
        <f aca="false">CHOOSE($G$3,AI333-AJ333,AJ333-AI333)</f>
        <v>0</v>
      </c>
      <c r="AO333" s="148" t="n">
        <f aca="false">SUM(AL333:AN333)</f>
        <v>0</v>
      </c>
      <c r="AQ333" s="132" t="n">
        <f aca="false">CHOOSE($G$3,AB333-AC333,AC333-AB333)</f>
        <v>0</v>
      </c>
      <c r="AR333" s="132" t="n">
        <f aca="false">CHOOSE($G$3,AE333-AF333,AF333-AE333)</f>
        <v>0</v>
      </c>
      <c r="AS333" s="132" t="n">
        <f aca="false">CHOOSE($G$3,AH333-AI333,AI333-AH333)</f>
        <v>0</v>
      </c>
      <c r="AT333" s="148" t="n">
        <f aca="false">AQ333+AR333+AS333</f>
        <v>0</v>
      </c>
      <c r="AU333" s="148"/>
      <c r="AV333" s="133" t="n">
        <f aca="false">AT333+AO333</f>
        <v>0</v>
      </c>
      <c r="AX333" s="133" t="n">
        <f aca="false">AJ333+AG333+AD333</f>
        <v>0</v>
      </c>
      <c r="AY333" s="149"/>
      <c r="AZ333" s="76" t="n">
        <f aca="false">R333*E333</f>
        <v>0</v>
      </c>
    </row>
    <row r="334" customFormat="false" ht="12" hidden="false" customHeight="true" outlineLevel="0" collapsed="false">
      <c r="A334" s="138" t="n">
        <f aca="false">EDATE(A333,1)</f>
        <v>46844</v>
      </c>
      <c r="B334" s="139" t="n">
        <f aca="false">VLOOKUP($A334,Table2,MATCH(I$3,Curves2,0))</f>
        <v>0</v>
      </c>
      <c r="C334" s="140"/>
      <c r="D334" s="141" t="n">
        <f aca="false">B334+C334</f>
        <v>0</v>
      </c>
      <c r="E334" s="126" t="n">
        <f aca="false">IF(Y334=0,0,IF(AND(Y334=1,$H$3=1),D334*T334,IF($H$3=2,D334,"N/A")))</f>
        <v>0</v>
      </c>
      <c r="F334" s="126" t="n">
        <f aca="false">E334*X334</f>
        <v>0</v>
      </c>
      <c r="G334" s="142" t="n">
        <f aca="false">VLOOKUP($A334,Table,MATCH(G$4,Curves,0))</f>
        <v>3.987</v>
      </c>
      <c r="H334" s="143" t="n">
        <f aca="false">G334</f>
        <v>3.987</v>
      </c>
      <c r="I334" s="142" t="n">
        <f aca="false">VLOOKUP($A334,Table1,MATCH(I$3,Curves1,0))</f>
        <v>0</v>
      </c>
      <c r="J334" s="142" t="n">
        <f aca="false">VLOOKUP($A334,Table,MATCH(J$4,Curves,0))</f>
        <v>-0.061</v>
      </c>
      <c r="K334" s="143" t="n">
        <f aca="false">J334</f>
        <v>-0.061</v>
      </c>
      <c r="L334" s="144" t="n">
        <v>0</v>
      </c>
      <c r="M334" s="142" t="n">
        <f aca="false">VLOOKUP($A334,Table,MATCH(M$4,Curves,0))</f>
        <v>0.005</v>
      </c>
      <c r="N334" s="143" t="n">
        <f aca="false">M334</f>
        <v>0.005</v>
      </c>
      <c r="O334" s="144" t="n">
        <v>0</v>
      </c>
      <c r="P334" s="145"/>
      <c r="Q334" s="144" t="n">
        <f aca="false">M334+J334+G334</f>
        <v>3.931</v>
      </c>
      <c r="R334" s="144" t="n">
        <f aca="false">O334+L334+I334</f>
        <v>0</v>
      </c>
      <c r="S334" s="145"/>
      <c r="T334" s="71" t="n">
        <f aca="false">A335-A334</f>
        <v>30</v>
      </c>
      <c r="U334" s="146" t="n">
        <f aca="false">CHOOSE(F$3,A335+24,A334)</f>
        <v>46898</v>
      </c>
      <c r="V334" s="71" t="n">
        <f aca="false">U334-C$3</f>
        <v>10010</v>
      </c>
      <c r="W334" s="142" t="n">
        <f aca="false">VLOOKUP($A334,Table,MATCH(W$4,Curves,0))</f>
        <v>0.058966861357273</v>
      </c>
      <c r="X334" s="147" t="n">
        <f aca="false">1/(1+CHOOSE(F$3,(W335+($K$3/10000))/2,(W334+($K$3/10000))/2))^(2*V334/365.25)</f>
        <v>0.203381031352704</v>
      </c>
      <c r="Y334" s="71" t="n">
        <f aca="false">IF(AND(mthbeg&lt;=A334,mthend&gt;=A334),1,0)</f>
        <v>0</v>
      </c>
      <c r="Z334" s="71" t="n">
        <f aca="false">T334*Y334</f>
        <v>0</v>
      </c>
      <c r="AB334" s="132" t="n">
        <f aca="false">F334*G334</f>
        <v>0</v>
      </c>
      <c r="AC334" s="132" t="n">
        <f aca="false">$F334*H334</f>
        <v>0</v>
      </c>
      <c r="AD334" s="132" t="n">
        <f aca="false">$F334*I334</f>
        <v>0</v>
      </c>
      <c r="AE334" s="132" t="n">
        <f aca="false">$F334*J334</f>
        <v>-0</v>
      </c>
      <c r="AF334" s="132" t="n">
        <f aca="false">$F334*K334</f>
        <v>-0</v>
      </c>
      <c r="AG334" s="132" t="n">
        <f aca="false">$F334*L334</f>
        <v>0</v>
      </c>
      <c r="AH334" s="132" t="n">
        <f aca="false">$F334*M334</f>
        <v>0</v>
      </c>
      <c r="AI334" s="132" t="n">
        <f aca="false">$F334*N334</f>
        <v>0</v>
      </c>
      <c r="AJ334" s="132" t="n">
        <f aca="false">F334*O334</f>
        <v>0</v>
      </c>
      <c r="AK334" s="137"/>
      <c r="AL334" s="132" t="n">
        <f aca="false">CHOOSE($G$3,AC334-AD334,AD334-AC334)</f>
        <v>0</v>
      </c>
      <c r="AM334" s="132" t="n">
        <f aca="false">CHOOSE($G$3,AF334-AG334,AG334-AF334)</f>
        <v>0</v>
      </c>
      <c r="AN334" s="132" t="n">
        <f aca="false">CHOOSE($G$3,AI334-AJ334,AJ334-AI334)</f>
        <v>0</v>
      </c>
      <c r="AO334" s="148" t="n">
        <f aca="false">SUM(AL334:AN334)</f>
        <v>0</v>
      </c>
      <c r="AQ334" s="132" t="n">
        <f aca="false">CHOOSE($G$3,AB334-AC334,AC334-AB334)</f>
        <v>0</v>
      </c>
      <c r="AR334" s="132" t="n">
        <f aca="false">CHOOSE($G$3,AE334-AF334,AF334-AE334)</f>
        <v>0</v>
      </c>
      <c r="AS334" s="132" t="n">
        <f aca="false">CHOOSE($G$3,AH334-AI334,AI334-AH334)</f>
        <v>0</v>
      </c>
      <c r="AT334" s="148" t="n">
        <f aca="false">AQ334+AR334+AS334</f>
        <v>0</v>
      </c>
      <c r="AU334" s="148"/>
      <c r="AV334" s="133" t="n">
        <f aca="false">AT334+AO334</f>
        <v>0</v>
      </c>
      <c r="AX334" s="133" t="n">
        <f aca="false">AJ334+AG334+AD334</f>
        <v>0</v>
      </c>
      <c r="AY334" s="149"/>
      <c r="AZ334" s="76" t="n">
        <f aca="false">R334*E334</f>
        <v>0</v>
      </c>
    </row>
    <row r="335" customFormat="false" ht="12" hidden="false" customHeight="true" outlineLevel="0" collapsed="false">
      <c r="A335" s="138" t="n">
        <f aca="false">EDATE(A334,1)</f>
        <v>46874</v>
      </c>
      <c r="B335" s="139" t="n">
        <f aca="false">VLOOKUP($A335,Table2,MATCH(I$3,Curves2,0))</f>
        <v>0</v>
      </c>
      <c r="C335" s="140"/>
      <c r="D335" s="141" t="n">
        <f aca="false">B335+C335</f>
        <v>0</v>
      </c>
      <c r="E335" s="126" t="n">
        <f aca="false">IF(Y335=0,0,IF(AND(Y335=1,$H$3=1),D335*T335,IF($H$3=2,D335,"N/A")))</f>
        <v>0</v>
      </c>
      <c r="F335" s="126" t="n">
        <f aca="false">E335*X335</f>
        <v>0</v>
      </c>
      <c r="G335" s="142" t="n">
        <f aca="false">VLOOKUP($A335,Table,MATCH(G$4,Curves,0))</f>
        <v>3.987</v>
      </c>
      <c r="H335" s="143" t="n">
        <f aca="false">G335</f>
        <v>3.987</v>
      </c>
      <c r="I335" s="142" t="n">
        <f aca="false">VLOOKUP($A335,Table1,MATCH(I$3,Curves1,0))</f>
        <v>0</v>
      </c>
      <c r="J335" s="142" t="n">
        <f aca="false">VLOOKUP($A335,Table,MATCH(J$4,Curves,0))</f>
        <v>-0.061</v>
      </c>
      <c r="K335" s="143" t="n">
        <f aca="false">J335</f>
        <v>-0.061</v>
      </c>
      <c r="L335" s="144" t="n">
        <v>0</v>
      </c>
      <c r="M335" s="142" t="n">
        <f aca="false">VLOOKUP($A335,Table,MATCH(M$4,Curves,0))</f>
        <v>0.005</v>
      </c>
      <c r="N335" s="143" t="n">
        <f aca="false">M335</f>
        <v>0.005</v>
      </c>
      <c r="O335" s="144" t="n">
        <v>0</v>
      </c>
      <c r="P335" s="145"/>
      <c r="Q335" s="144" t="n">
        <f aca="false">M335+J335+G335</f>
        <v>3.931</v>
      </c>
      <c r="R335" s="144" t="n">
        <f aca="false">O335+L335+I335</f>
        <v>0</v>
      </c>
      <c r="S335" s="145"/>
      <c r="T335" s="71" t="n">
        <f aca="false">A336-A335</f>
        <v>31</v>
      </c>
      <c r="U335" s="146" t="n">
        <f aca="false">CHOOSE(F$3,A336+24,A335)</f>
        <v>46929</v>
      </c>
      <c r="V335" s="71" t="n">
        <f aca="false">U335-C$3</f>
        <v>10041</v>
      </c>
      <c r="W335" s="142" t="n">
        <f aca="false">VLOOKUP($A335,Table,MATCH(W$4,Curves,0))</f>
        <v>0.058966861357273</v>
      </c>
      <c r="X335" s="147" t="n">
        <f aca="false">1/(1+CHOOSE(F$3,(W336+($K$3/10000))/2,(W335+($K$3/10000))/2))^(2*V335/365.25)</f>
        <v>0.202380353333494</v>
      </c>
      <c r="Y335" s="71" t="n">
        <f aca="false">IF(AND(mthbeg&lt;=A335,mthend&gt;=A335),1,0)</f>
        <v>0</v>
      </c>
      <c r="Z335" s="71" t="n">
        <f aca="false">T335*Y335</f>
        <v>0</v>
      </c>
      <c r="AB335" s="132" t="n">
        <f aca="false">F335*G335</f>
        <v>0</v>
      </c>
      <c r="AC335" s="132" t="n">
        <f aca="false">$F335*H335</f>
        <v>0</v>
      </c>
      <c r="AD335" s="132" t="n">
        <f aca="false">$F335*I335</f>
        <v>0</v>
      </c>
      <c r="AE335" s="132" t="n">
        <f aca="false">$F335*J335</f>
        <v>-0</v>
      </c>
      <c r="AF335" s="132" t="n">
        <f aca="false">$F335*K335</f>
        <v>-0</v>
      </c>
      <c r="AG335" s="132" t="n">
        <f aca="false">$F335*L335</f>
        <v>0</v>
      </c>
      <c r="AH335" s="132" t="n">
        <f aca="false">$F335*M335</f>
        <v>0</v>
      </c>
      <c r="AI335" s="132" t="n">
        <f aca="false">$F335*N335</f>
        <v>0</v>
      </c>
      <c r="AJ335" s="132" t="n">
        <f aca="false">F335*O335</f>
        <v>0</v>
      </c>
      <c r="AK335" s="137"/>
      <c r="AL335" s="132" t="n">
        <f aca="false">CHOOSE($G$3,AC335-AD335,AD335-AC335)</f>
        <v>0</v>
      </c>
      <c r="AM335" s="132" t="n">
        <f aca="false">CHOOSE($G$3,AF335-AG335,AG335-AF335)</f>
        <v>0</v>
      </c>
      <c r="AN335" s="132" t="n">
        <f aca="false">CHOOSE($G$3,AI335-AJ335,AJ335-AI335)</f>
        <v>0</v>
      </c>
      <c r="AO335" s="148" t="n">
        <f aca="false">SUM(AL335:AN335)</f>
        <v>0</v>
      </c>
      <c r="AQ335" s="132" t="n">
        <f aca="false">CHOOSE($G$3,AB335-AC335,AC335-AB335)</f>
        <v>0</v>
      </c>
      <c r="AR335" s="132" t="n">
        <f aca="false">CHOOSE($G$3,AE335-AF335,AF335-AE335)</f>
        <v>0</v>
      </c>
      <c r="AS335" s="132" t="n">
        <f aca="false">CHOOSE($G$3,AH335-AI335,AI335-AH335)</f>
        <v>0</v>
      </c>
      <c r="AT335" s="148" t="n">
        <f aca="false">AQ335+AR335+AS335</f>
        <v>0</v>
      </c>
      <c r="AU335" s="148"/>
      <c r="AV335" s="133" t="n">
        <f aca="false">AT335+AO335</f>
        <v>0</v>
      </c>
      <c r="AX335" s="133" t="n">
        <f aca="false">AJ335+AG335+AD335</f>
        <v>0</v>
      </c>
      <c r="AY335" s="149"/>
      <c r="AZ335" s="76" t="n">
        <f aca="false">R335*E335</f>
        <v>0</v>
      </c>
    </row>
    <row r="336" customFormat="false" ht="12" hidden="false" customHeight="true" outlineLevel="0" collapsed="false">
      <c r="A336" s="138" t="n">
        <f aca="false">EDATE(A335,1)</f>
        <v>46905</v>
      </c>
      <c r="B336" s="139" t="n">
        <f aca="false">VLOOKUP($A336,Table2,MATCH(I$3,Curves2,0))</f>
        <v>0</v>
      </c>
      <c r="C336" s="140"/>
      <c r="D336" s="141" t="n">
        <f aca="false">B336+C336</f>
        <v>0</v>
      </c>
      <c r="E336" s="126" t="n">
        <f aca="false">IF(Y336=0,0,IF(AND(Y336=1,$H$3=1),D336*T336,IF($H$3=2,D336,"N/A")))</f>
        <v>0</v>
      </c>
      <c r="F336" s="126" t="n">
        <f aca="false">E336*X336</f>
        <v>0</v>
      </c>
      <c r="G336" s="142" t="n">
        <f aca="false">VLOOKUP($A336,Table,MATCH(G$4,Curves,0))</f>
        <v>3.987</v>
      </c>
      <c r="H336" s="143" t="n">
        <f aca="false">G336</f>
        <v>3.987</v>
      </c>
      <c r="I336" s="142" t="n">
        <f aca="false">VLOOKUP($A336,Table1,MATCH(I$3,Curves1,0))</f>
        <v>0</v>
      </c>
      <c r="J336" s="142" t="n">
        <f aca="false">VLOOKUP($A336,Table,MATCH(J$4,Curves,0))</f>
        <v>-0.061</v>
      </c>
      <c r="K336" s="143" t="n">
        <f aca="false">J336</f>
        <v>-0.061</v>
      </c>
      <c r="L336" s="144" t="n">
        <v>0</v>
      </c>
      <c r="M336" s="142" t="n">
        <f aca="false">VLOOKUP($A336,Table,MATCH(M$4,Curves,0))</f>
        <v>0.005</v>
      </c>
      <c r="N336" s="143" t="n">
        <f aca="false">M336</f>
        <v>0.005</v>
      </c>
      <c r="O336" s="144" t="n">
        <v>0</v>
      </c>
      <c r="P336" s="145"/>
      <c r="Q336" s="144" t="n">
        <f aca="false">M336+J336+G336</f>
        <v>3.931</v>
      </c>
      <c r="R336" s="144" t="n">
        <f aca="false">O336+L336+I336</f>
        <v>0</v>
      </c>
      <c r="S336" s="145"/>
      <c r="T336" s="71" t="n">
        <f aca="false">A337-A336</f>
        <v>30</v>
      </c>
      <c r="U336" s="146" t="n">
        <f aca="false">CHOOSE(F$3,A337+24,A336)</f>
        <v>46959</v>
      </c>
      <c r="V336" s="71" t="n">
        <f aca="false">U336-C$3</f>
        <v>10071</v>
      </c>
      <c r="W336" s="142" t="n">
        <f aca="false">VLOOKUP($A336,Table,MATCH(W$4,Curves,0))</f>
        <v>0.058966861357273</v>
      </c>
      <c r="X336" s="147" t="n">
        <f aca="false">1/(1+CHOOSE(F$3,(W337+($K$3/10000))/2,(W336+($K$3/10000))/2))^(2*V336/365.25)</f>
        <v>0.201416643373271</v>
      </c>
      <c r="Y336" s="71" t="n">
        <f aca="false">IF(AND(mthbeg&lt;=A336,mthend&gt;=A336),1,0)</f>
        <v>0</v>
      </c>
      <c r="Z336" s="71" t="n">
        <f aca="false">T336*Y336</f>
        <v>0</v>
      </c>
      <c r="AB336" s="132" t="n">
        <f aca="false">F336*G336</f>
        <v>0</v>
      </c>
      <c r="AC336" s="132" t="n">
        <f aca="false">$F336*H336</f>
        <v>0</v>
      </c>
      <c r="AD336" s="132" t="n">
        <f aca="false">$F336*I336</f>
        <v>0</v>
      </c>
      <c r="AE336" s="132" t="n">
        <f aca="false">$F336*J336</f>
        <v>-0</v>
      </c>
      <c r="AF336" s="132" t="n">
        <f aca="false">$F336*K336</f>
        <v>-0</v>
      </c>
      <c r="AG336" s="132" t="n">
        <f aca="false">$F336*L336</f>
        <v>0</v>
      </c>
      <c r="AH336" s="132" t="n">
        <f aca="false">$F336*M336</f>
        <v>0</v>
      </c>
      <c r="AI336" s="132" t="n">
        <f aca="false">$F336*N336</f>
        <v>0</v>
      </c>
      <c r="AJ336" s="132" t="n">
        <f aca="false">F336*O336</f>
        <v>0</v>
      </c>
      <c r="AK336" s="137"/>
      <c r="AL336" s="132" t="n">
        <f aca="false">CHOOSE($G$3,AC336-AD336,AD336-AC336)</f>
        <v>0</v>
      </c>
      <c r="AM336" s="132" t="n">
        <f aca="false">CHOOSE($G$3,AF336-AG336,AG336-AF336)</f>
        <v>0</v>
      </c>
      <c r="AN336" s="132" t="n">
        <f aca="false">CHOOSE($G$3,AI336-AJ336,AJ336-AI336)</f>
        <v>0</v>
      </c>
      <c r="AO336" s="148" t="n">
        <f aca="false">SUM(AL336:AN336)</f>
        <v>0</v>
      </c>
      <c r="AQ336" s="132" t="n">
        <f aca="false">CHOOSE($G$3,AB336-AC336,AC336-AB336)</f>
        <v>0</v>
      </c>
      <c r="AR336" s="132" t="n">
        <f aca="false">CHOOSE($G$3,AE336-AF336,AF336-AE336)</f>
        <v>0</v>
      </c>
      <c r="AS336" s="132" t="n">
        <f aca="false">CHOOSE($G$3,AH336-AI336,AI336-AH336)</f>
        <v>0</v>
      </c>
      <c r="AT336" s="148" t="n">
        <f aca="false">AQ336+AR336+AS336</f>
        <v>0</v>
      </c>
      <c r="AU336" s="148"/>
      <c r="AV336" s="133" t="n">
        <f aca="false">AT336+AO336</f>
        <v>0</v>
      </c>
      <c r="AX336" s="133" t="n">
        <f aca="false">AJ336+AG336+AD336</f>
        <v>0</v>
      </c>
      <c r="AY336" s="149"/>
      <c r="AZ336" s="76" t="n">
        <f aca="false">R336*E336</f>
        <v>0</v>
      </c>
    </row>
    <row r="337" customFormat="false" ht="12" hidden="false" customHeight="true" outlineLevel="0" collapsed="false">
      <c r="A337" s="138" t="n">
        <f aca="false">EDATE(A336,1)</f>
        <v>46935</v>
      </c>
      <c r="B337" s="139" t="n">
        <f aca="false">VLOOKUP($A337,Table2,MATCH(I$3,Curves2,0))</f>
        <v>0</v>
      </c>
      <c r="C337" s="140"/>
      <c r="D337" s="141" t="n">
        <f aca="false">B337+C337</f>
        <v>0</v>
      </c>
      <c r="E337" s="126" t="n">
        <f aca="false">IF(Y337=0,0,IF(AND(Y337=1,$H$3=1),D337*T337,IF($H$3=2,D337,"N/A")))</f>
        <v>0</v>
      </c>
      <c r="F337" s="126" t="n">
        <f aca="false">E337*X337</f>
        <v>0</v>
      </c>
      <c r="G337" s="142" t="n">
        <f aca="false">VLOOKUP($A337,Table,MATCH(G$4,Curves,0))</f>
        <v>3.987</v>
      </c>
      <c r="H337" s="143" t="n">
        <f aca="false">G337</f>
        <v>3.987</v>
      </c>
      <c r="I337" s="142" t="n">
        <f aca="false">VLOOKUP($A337,Table1,MATCH(I$3,Curves1,0))</f>
        <v>0</v>
      </c>
      <c r="J337" s="142" t="n">
        <f aca="false">VLOOKUP($A337,Table,MATCH(J$4,Curves,0))</f>
        <v>-0.061</v>
      </c>
      <c r="K337" s="143" t="n">
        <f aca="false">J337</f>
        <v>-0.061</v>
      </c>
      <c r="L337" s="144" t="n">
        <v>0</v>
      </c>
      <c r="M337" s="142" t="n">
        <f aca="false">VLOOKUP($A337,Table,MATCH(M$4,Curves,0))</f>
        <v>0.005</v>
      </c>
      <c r="N337" s="143" t="n">
        <f aca="false">M337</f>
        <v>0.005</v>
      </c>
      <c r="O337" s="144" t="n">
        <v>0</v>
      </c>
      <c r="P337" s="145"/>
      <c r="Q337" s="144" t="n">
        <f aca="false">M337+J337+G337</f>
        <v>3.931</v>
      </c>
      <c r="R337" s="144" t="n">
        <f aca="false">O337+L337+I337</f>
        <v>0</v>
      </c>
      <c r="S337" s="145"/>
      <c r="T337" s="71" t="n">
        <f aca="false">A338-A337</f>
        <v>31</v>
      </c>
      <c r="U337" s="146" t="n">
        <f aca="false">CHOOSE(F$3,A338+24,A337)</f>
        <v>46990</v>
      </c>
      <c r="V337" s="71" t="n">
        <f aca="false">U337-C$3</f>
        <v>10102</v>
      </c>
      <c r="W337" s="142" t="n">
        <f aca="false">VLOOKUP($A337,Table,MATCH(W$4,Curves,0))</f>
        <v>0.058966861357273</v>
      </c>
      <c r="X337" s="147" t="n">
        <f aca="false">1/(1+CHOOSE(F$3,(W338+($K$3/10000))/2,(W337+($K$3/10000))/2))^(2*V337/365.25)</f>
        <v>0.200425630561574</v>
      </c>
      <c r="Y337" s="71" t="n">
        <f aca="false">IF(AND(mthbeg&lt;=A337,mthend&gt;=A337),1,0)</f>
        <v>0</v>
      </c>
      <c r="Z337" s="71" t="n">
        <f aca="false">T337*Y337</f>
        <v>0</v>
      </c>
      <c r="AB337" s="132" t="n">
        <f aca="false">F337*G337</f>
        <v>0</v>
      </c>
      <c r="AC337" s="132" t="n">
        <f aca="false">$F337*H337</f>
        <v>0</v>
      </c>
      <c r="AD337" s="132" t="n">
        <f aca="false">$F337*I337</f>
        <v>0</v>
      </c>
      <c r="AE337" s="132" t="n">
        <f aca="false">$F337*J337</f>
        <v>-0</v>
      </c>
      <c r="AF337" s="132" t="n">
        <f aca="false">$F337*K337</f>
        <v>-0</v>
      </c>
      <c r="AG337" s="132" t="n">
        <f aca="false">$F337*L337</f>
        <v>0</v>
      </c>
      <c r="AH337" s="132" t="n">
        <f aca="false">$F337*M337</f>
        <v>0</v>
      </c>
      <c r="AI337" s="132" t="n">
        <f aca="false">$F337*N337</f>
        <v>0</v>
      </c>
      <c r="AJ337" s="132" t="n">
        <f aca="false">F337*O337</f>
        <v>0</v>
      </c>
      <c r="AK337" s="137"/>
      <c r="AL337" s="132" t="n">
        <f aca="false">CHOOSE($G$3,AC337-AD337,AD337-AC337)</f>
        <v>0</v>
      </c>
      <c r="AM337" s="132" t="n">
        <f aca="false">CHOOSE($G$3,AF337-AG337,AG337-AF337)</f>
        <v>0</v>
      </c>
      <c r="AN337" s="132" t="n">
        <f aca="false">CHOOSE($G$3,AI337-AJ337,AJ337-AI337)</f>
        <v>0</v>
      </c>
      <c r="AO337" s="148" t="n">
        <f aca="false">SUM(AL337:AN337)</f>
        <v>0</v>
      </c>
      <c r="AQ337" s="132" t="n">
        <f aca="false">CHOOSE($G$3,AB337-AC337,AC337-AB337)</f>
        <v>0</v>
      </c>
      <c r="AR337" s="132" t="n">
        <f aca="false">CHOOSE($G$3,AE337-AF337,AF337-AE337)</f>
        <v>0</v>
      </c>
      <c r="AS337" s="132" t="n">
        <f aca="false">CHOOSE($G$3,AH337-AI337,AI337-AH337)</f>
        <v>0</v>
      </c>
      <c r="AT337" s="148" t="n">
        <f aca="false">AQ337+AR337+AS337</f>
        <v>0</v>
      </c>
      <c r="AU337" s="148"/>
      <c r="AV337" s="133" t="n">
        <f aca="false">AT337+AO337</f>
        <v>0</v>
      </c>
      <c r="AX337" s="133" t="n">
        <f aca="false">AJ337+AG337+AD337</f>
        <v>0</v>
      </c>
      <c r="AY337" s="149"/>
      <c r="AZ337" s="76" t="n">
        <f aca="false">R337*E337</f>
        <v>0</v>
      </c>
    </row>
    <row r="338" customFormat="false" ht="12" hidden="false" customHeight="true" outlineLevel="0" collapsed="false">
      <c r="A338" s="138" t="n">
        <f aca="false">EDATE(A337,1)</f>
        <v>46966</v>
      </c>
      <c r="B338" s="139" t="n">
        <f aca="false">VLOOKUP($A338,Table2,MATCH(I$3,Curves2,0))</f>
        <v>0</v>
      </c>
      <c r="C338" s="140"/>
      <c r="D338" s="141" t="n">
        <f aca="false">B338+C338</f>
        <v>0</v>
      </c>
      <c r="E338" s="126" t="n">
        <f aca="false">IF(Y338=0,0,IF(AND(Y338=1,$H$3=1),D338*T338,IF($H$3=2,D338,"N/A")))</f>
        <v>0</v>
      </c>
      <c r="F338" s="126" t="n">
        <f aca="false">E338*X338</f>
        <v>0</v>
      </c>
      <c r="G338" s="142" t="n">
        <f aca="false">VLOOKUP($A338,Table,MATCH(G$4,Curves,0))</f>
        <v>3.987</v>
      </c>
      <c r="H338" s="143" t="n">
        <f aca="false">G338</f>
        <v>3.987</v>
      </c>
      <c r="I338" s="142" t="n">
        <f aca="false">VLOOKUP($A338,Table1,MATCH(I$3,Curves1,0))</f>
        <v>0</v>
      </c>
      <c r="J338" s="142" t="n">
        <f aca="false">VLOOKUP($A338,Table,MATCH(J$4,Curves,0))</f>
        <v>-0.061</v>
      </c>
      <c r="K338" s="143" t="n">
        <f aca="false">J338</f>
        <v>-0.061</v>
      </c>
      <c r="L338" s="144" t="n">
        <v>0</v>
      </c>
      <c r="M338" s="142" t="n">
        <f aca="false">VLOOKUP($A338,Table,MATCH(M$4,Curves,0))</f>
        <v>0.005</v>
      </c>
      <c r="N338" s="143" t="n">
        <f aca="false">M338</f>
        <v>0.005</v>
      </c>
      <c r="O338" s="144" t="n">
        <v>0</v>
      </c>
      <c r="P338" s="145"/>
      <c r="Q338" s="144" t="n">
        <f aca="false">M338+J338+G338</f>
        <v>3.931</v>
      </c>
      <c r="R338" s="144" t="n">
        <f aca="false">O338+L338+I338</f>
        <v>0</v>
      </c>
      <c r="S338" s="145"/>
      <c r="T338" s="71" t="n">
        <f aca="false">A339-A338</f>
        <v>31</v>
      </c>
      <c r="U338" s="146" t="n">
        <f aca="false">CHOOSE(F$3,A339+24,A338)</f>
        <v>47021</v>
      </c>
      <c r="V338" s="71" t="n">
        <f aca="false">U338-C$3</f>
        <v>10133</v>
      </c>
      <c r="W338" s="142" t="n">
        <f aca="false">VLOOKUP($A338,Table,MATCH(W$4,Curves,0))</f>
        <v>0.058966861357273</v>
      </c>
      <c r="X338" s="147" t="n">
        <f aca="false">1/(1+CHOOSE(F$3,(W339+($K$3/10000))/2,(W338+($K$3/10000))/2))^(2*V338/365.25)</f>
        <v>0.199439493744117</v>
      </c>
      <c r="Y338" s="71" t="n">
        <f aca="false">IF(AND(mthbeg&lt;=A338,mthend&gt;=A338),1,0)</f>
        <v>0</v>
      </c>
      <c r="Z338" s="71" t="n">
        <f aca="false">T338*Y338</f>
        <v>0</v>
      </c>
      <c r="AB338" s="132" t="n">
        <f aca="false">F338*G338</f>
        <v>0</v>
      </c>
      <c r="AC338" s="132" t="n">
        <f aca="false">$F338*H338</f>
        <v>0</v>
      </c>
      <c r="AD338" s="132" t="n">
        <f aca="false">$F338*I338</f>
        <v>0</v>
      </c>
      <c r="AE338" s="132" t="n">
        <f aca="false">$F338*J338</f>
        <v>-0</v>
      </c>
      <c r="AF338" s="132" t="n">
        <f aca="false">$F338*K338</f>
        <v>-0</v>
      </c>
      <c r="AG338" s="132" t="n">
        <f aca="false">$F338*L338</f>
        <v>0</v>
      </c>
      <c r="AH338" s="132" t="n">
        <f aca="false">$F338*M338</f>
        <v>0</v>
      </c>
      <c r="AI338" s="132" t="n">
        <f aca="false">$F338*N338</f>
        <v>0</v>
      </c>
      <c r="AJ338" s="132" t="n">
        <f aca="false">F338*O338</f>
        <v>0</v>
      </c>
      <c r="AK338" s="137"/>
      <c r="AL338" s="132" t="n">
        <f aca="false">CHOOSE($G$3,AC338-AD338,AD338-AC338)</f>
        <v>0</v>
      </c>
      <c r="AM338" s="132" t="n">
        <f aca="false">CHOOSE($G$3,AF338-AG338,AG338-AF338)</f>
        <v>0</v>
      </c>
      <c r="AN338" s="132" t="n">
        <f aca="false">CHOOSE($G$3,AI338-AJ338,AJ338-AI338)</f>
        <v>0</v>
      </c>
      <c r="AO338" s="148" t="n">
        <f aca="false">SUM(AL338:AN338)</f>
        <v>0</v>
      </c>
      <c r="AQ338" s="132" t="n">
        <f aca="false">CHOOSE($G$3,AB338-AC338,AC338-AB338)</f>
        <v>0</v>
      </c>
      <c r="AR338" s="132" t="n">
        <f aca="false">CHOOSE($G$3,AE338-AF338,AF338-AE338)</f>
        <v>0</v>
      </c>
      <c r="AS338" s="132" t="n">
        <f aca="false">CHOOSE($G$3,AH338-AI338,AI338-AH338)</f>
        <v>0</v>
      </c>
      <c r="AT338" s="148" t="n">
        <f aca="false">AQ338+AR338+AS338</f>
        <v>0</v>
      </c>
      <c r="AU338" s="148"/>
      <c r="AV338" s="133" t="n">
        <f aca="false">AT338+AO338</f>
        <v>0</v>
      </c>
      <c r="AX338" s="133" t="n">
        <f aca="false">AJ338+AG338+AD338</f>
        <v>0</v>
      </c>
      <c r="AY338" s="149"/>
      <c r="AZ338" s="76" t="n">
        <f aca="false">R338*E338</f>
        <v>0</v>
      </c>
    </row>
    <row r="339" customFormat="false" ht="12" hidden="false" customHeight="true" outlineLevel="0" collapsed="false">
      <c r="A339" s="138" t="n">
        <f aca="false">EDATE(A338,1)</f>
        <v>46997</v>
      </c>
      <c r="B339" s="139" t="n">
        <f aca="false">VLOOKUP($A339,Table2,MATCH(I$3,Curves2,0))</f>
        <v>0</v>
      </c>
      <c r="C339" s="140"/>
      <c r="D339" s="141" t="n">
        <f aca="false">B339+C339</f>
        <v>0</v>
      </c>
      <c r="E339" s="126" t="n">
        <f aca="false">IF(Y339=0,0,IF(AND(Y339=1,$H$3=1),D339*T339,IF($H$3=2,D339,"N/A")))</f>
        <v>0</v>
      </c>
      <c r="F339" s="126" t="n">
        <f aca="false">E339*X339</f>
        <v>0</v>
      </c>
      <c r="G339" s="142" t="n">
        <f aca="false">VLOOKUP($A339,Table,MATCH(G$4,Curves,0))</f>
        <v>3.987</v>
      </c>
      <c r="H339" s="143" t="n">
        <f aca="false">G339</f>
        <v>3.987</v>
      </c>
      <c r="I339" s="142" t="n">
        <f aca="false">VLOOKUP($A339,Table1,MATCH(I$3,Curves1,0))</f>
        <v>0</v>
      </c>
      <c r="J339" s="142" t="n">
        <f aca="false">VLOOKUP($A339,Table,MATCH(J$4,Curves,0))</f>
        <v>-0.061</v>
      </c>
      <c r="K339" s="143" t="n">
        <f aca="false">J339</f>
        <v>-0.061</v>
      </c>
      <c r="L339" s="144" t="n">
        <v>0</v>
      </c>
      <c r="M339" s="142" t="n">
        <f aca="false">VLOOKUP($A339,Table,MATCH(M$4,Curves,0))</f>
        <v>0.005</v>
      </c>
      <c r="N339" s="143" t="n">
        <f aca="false">M339</f>
        <v>0.005</v>
      </c>
      <c r="O339" s="144" t="n">
        <v>0</v>
      </c>
      <c r="P339" s="145"/>
      <c r="Q339" s="144" t="n">
        <f aca="false">M339+J339+G339</f>
        <v>3.931</v>
      </c>
      <c r="R339" s="144" t="n">
        <f aca="false">O339+L339+I339</f>
        <v>0</v>
      </c>
      <c r="S339" s="145"/>
      <c r="T339" s="71" t="n">
        <f aca="false">A340-A339</f>
        <v>30</v>
      </c>
      <c r="U339" s="146" t="n">
        <f aca="false">CHOOSE(F$3,A340+24,A339)</f>
        <v>47051</v>
      </c>
      <c r="V339" s="71" t="n">
        <f aca="false">U339-C$3</f>
        <v>10163</v>
      </c>
      <c r="W339" s="142" t="n">
        <f aca="false">VLOOKUP($A339,Table,MATCH(W$4,Curves,0))</f>
        <v>0.058966861357273</v>
      </c>
      <c r="X339" s="147" t="n">
        <f aca="false">1/(1+CHOOSE(F$3,(W340+($K$3/10000))/2,(W339+($K$3/10000))/2))^(2*V339/365.25)</f>
        <v>0.198489787789871</v>
      </c>
      <c r="Y339" s="71" t="n">
        <f aca="false">IF(AND(mthbeg&lt;=A339,mthend&gt;=A339),1,0)</f>
        <v>0</v>
      </c>
      <c r="Z339" s="71" t="n">
        <f aca="false">T339*Y339</f>
        <v>0</v>
      </c>
      <c r="AB339" s="132" t="n">
        <f aca="false">F339*G339</f>
        <v>0</v>
      </c>
      <c r="AC339" s="132" t="n">
        <f aca="false">$F339*H339</f>
        <v>0</v>
      </c>
      <c r="AD339" s="132" t="n">
        <f aca="false">$F339*I339</f>
        <v>0</v>
      </c>
      <c r="AE339" s="132" t="n">
        <f aca="false">$F339*J339</f>
        <v>-0</v>
      </c>
      <c r="AF339" s="132" t="n">
        <f aca="false">$F339*K339</f>
        <v>-0</v>
      </c>
      <c r="AG339" s="132" t="n">
        <f aca="false">$F339*L339</f>
        <v>0</v>
      </c>
      <c r="AH339" s="132" t="n">
        <f aca="false">$F339*M339</f>
        <v>0</v>
      </c>
      <c r="AI339" s="132" t="n">
        <f aca="false">$F339*N339</f>
        <v>0</v>
      </c>
      <c r="AJ339" s="132" t="n">
        <f aca="false">F339*O339</f>
        <v>0</v>
      </c>
      <c r="AK339" s="137"/>
      <c r="AL339" s="132" t="n">
        <f aca="false">CHOOSE($G$3,AC339-AD339,AD339-AC339)</f>
        <v>0</v>
      </c>
      <c r="AM339" s="132" t="n">
        <f aca="false">CHOOSE($G$3,AF339-AG339,AG339-AF339)</f>
        <v>0</v>
      </c>
      <c r="AN339" s="132" t="n">
        <f aca="false">CHOOSE($G$3,AI339-AJ339,AJ339-AI339)</f>
        <v>0</v>
      </c>
      <c r="AO339" s="148" t="n">
        <f aca="false">SUM(AL339:AN339)</f>
        <v>0</v>
      </c>
      <c r="AQ339" s="132" t="n">
        <f aca="false">CHOOSE($G$3,AB339-AC339,AC339-AB339)</f>
        <v>0</v>
      </c>
      <c r="AR339" s="132" t="n">
        <f aca="false">CHOOSE($G$3,AE339-AF339,AF339-AE339)</f>
        <v>0</v>
      </c>
      <c r="AS339" s="132" t="n">
        <f aca="false">CHOOSE($G$3,AH339-AI339,AI339-AH339)</f>
        <v>0</v>
      </c>
      <c r="AT339" s="148" t="n">
        <f aca="false">AQ339+AR339+AS339</f>
        <v>0</v>
      </c>
      <c r="AU339" s="148"/>
      <c r="AV339" s="133" t="n">
        <f aca="false">AT339+AO339</f>
        <v>0</v>
      </c>
      <c r="AX339" s="133" t="n">
        <f aca="false">AJ339+AG339+AD339</f>
        <v>0</v>
      </c>
      <c r="AY339" s="149"/>
      <c r="AZ339" s="76" t="n">
        <f aca="false">R339*E339</f>
        <v>0</v>
      </c>
    </row>
    <row r="340" customFormat="false" ht="12" hidden="false" customHeight="true" outlineLevel="0" collapsed="false">
      <c r="A340" s="138" t="n">
        <f aca="false">EDATE(A339,1)</f>
        <v>47027</v>
      </c>
      <c r="B340" s="139" t="n">
        <f aca="false">VLOOKUP($A340,Table2,MATCH(I$3,Curves2,0))</f>
        <v>0</v>
      </c>
      <c r="C340" s="140"/>
      <c r="D340" s="141" t="n">
        <f aca="false">B340+C340</f>
        <v>0</v>
      </c>
      <c r="E340" s="126" t="n">
        <f aca="false">IF(Y340=0,0,IF(AND(Y340=1,$H$3=1),D340*T340,IF($H$3=2,D340,"N/A")))</f>
        <v>0</v>
      </c>
      <c r="F340" s="126" t="n">
        <f aca="false">E340*X340</f>
        <v>0</v>
      </c>
      <c r="G340" s="142" t="n">
        <f aca="false">VLOOKUP($A340,Table,MATCH(G$4,Curves,0))</f>
        <v>3.987</v>
      </c>
      <c r="H340" s="143" t="n">
        <f aca="false">G340</f>
        <v>3.987</v>
      </c>
      <c r="I340" s="142" t="n">
        <f aca="false">VLOOKUP($A340,Table1,MATCH(I$3,Curves1,0))</f>
        <v>0</v>
      </c>
      <c r="J340" s="142" t="n">
        <f aca="false">VLOOKUP($A340,Table,MATCH(J$4,Curves,0))</f>
        <v>-0.061</v>
      </c>
      <c r="K340" s="143" t="n">
        <f aca="false">J340</f>
        <v>-0.061</v>
      </c>
      <c r="L340" s="144" t="n">
        <v>0</v>
      </c>
      <c r="M340" s="142" t="n">
        <f aca="false">VLOOKUP($A340,Table,MATCH(M$4,Curves,0))</f>
        <v>0.005</v>
      </c>
      <c r="N340" s="143" t="n">
        <f aca="false">M340</f>
        <v>0.005</v>
      </c>
      <c r="O340" s="144" t="n">
        <v>0</v>
      </c>
      <c r="P340" s="145"/>
      <c r="Q340" s="144" t="n">
        <f aca="false">M340+J340+G340</f>
        <v>3.931</v>
      </c>
      <c r="R340" s="144" t="n">
        <f aca="false">O340+L340+I340</f>
        <v>0</v>
      </c>
      <c r="S340" s="145"/>
      <c r="T340" s="71" t="n">
        <f aca="false">A341-A340</f>
        <v>31</v>
      </c>
      <c r="U340" s="146" t="n">
        <f aca="false">CHOOSE(F$3,A341+24,A340)</f>
        <v>47082</v>
      </c>
      <c r="V340" s="71" t="n">
        <f aca="false">U340-C$3</f>
        <v>10194</v>
      </c>
      <c r="W340" s="142" t="n">
        <f aca="false">VLOOKUP($A340,Table,MATCH(W$4,Curves,0))</f>
        <v>0.058966861357273</v>
      </c>
      <c r="X340" s="147" t="n">
        <f aca="false">1/(1+CHOOSE(F$3,(W341+($K$3/10000))/2,(W340+($K$3/10000))/2))^(2*V340/365.25)</f>
        <v>0.197513175731422</v>
      </c>
      <c r="Y340" s="71" t="n">
        <f aca="false">IF(AND(mthbeg&lt;=A340,mthend&gt;=A340),1,0)</f>
        <v>0</v>
      </c>
      <c r="Z340" s="71" t="n">
        <f aca="false">T340*Y340</f>
        <v>0</v>
      </c>
      <c r="AB340" s="132" t="n">
        <f aca="false">F340*G340</f>
        <v>0</v>
      </c>
      <c r="AC340" s="132" t="n">
        <f aca="false">$F340*H340</f>
        <v>0</v>
      </c>
      <c r="AD340" s="132" t="n">
        <f aca="false">$F340*I340</f>
        <v>0</v>
      </c>
      <c r="AE340" s="132" t="n">
        <f aca="false">$F340*J340</f>
        <v>-0</v>
      </c>
      <c r="AF340" s="132" t="n">
        <f aca="false">$F340*K340</f>
        <v>-0</v>
      </c>
      <c r="AG340" s="132" t="n">
        <f aca="false">$F340*L340</f>
        <v>0</v>
      </c>
      <c r="AH340" s="132" t="n">
        <f aca="false">$F340*M340</f>
        <v>0</v>
      </c>
      <c r="AI340" s="132" t="n">
        <f aca="false">$F340*N340</f>
        <v>0</v>
      </c>
      <c r="AJ340" s="132" t="n">
        <f aca="false">F340*O340</f>
        <v>0</v>
      </c>
      <c r="AK340" s="137"/>
      <c r="AL340" s="132" t="n">
        <f aca="false">CHOOSE($G$3,AC340-AD340,AD340-AC340)</f>
        <v>0</v>
      </c>
      <c r="AM340" s="132" t="n">
        <f aca="false">CHOOSE($G$3,AF340-AG340,AG340-AF340)</f>
        <v>0</v>
      </c>
      <c r="AN340" s="132" t="n">
        <f aca="false">CHOOSE($G$3,AI340-AJ340,AJ340-AI340)</f>
        <v>0</v>
      </c>
      <c r="AO340" s="148" t="n">
        <f aca="false">SUM(AL340:AN340)</f>
        <v>0</v>
      </c>
      <c r="AQ340" s="132" t="n">
        <f aca="false">CHOOSE($G$3,AB340-AC340,AC340-AB340)</f>
        <v>0</v>
      </c>
      <c r="AR340" s="132" t="n">
        <f aca="false">CHOOSE($G$3,AE340-AF340,AF340-AE340)</f>
        <v>0</v>
      </c>
      <c r="AS340" s="132" t="n">
        <f aca="false">CHOOSE($G$3,AH340-AI340,AI340-AH340)</f>
        <v>0</v>
      </c>
      <c r="AT340" s="148" t="n">
        <f aca="false">AQ340+AR340+AS340</f>
        <v>0</v>
      </c>
      <c r="AU340" s="148"/>
      <c r="AV340" s="133" t="n">
        <f aca="false">AT340+AO340</f>
        <v>0</v>
      </c>
      <c r="AX340" s="133" t="n">
        <f aca="false">AJ340+AG340+AD340</f>
        <v>0</v>
      </c>
      <c r="AY340" s="149"/>
      <c r="AZ340" s="76" t="n">
        <f aca="false">R340*E340</f>
        <v>0</v>
      </c>
    </row>
    <row r="341" customFormat="false" ht="12" hidden="false" customHeight="true" outlineLevel="0" collapsed="false">
      <c r="A341" s="138" t="n">
        <f aca="false">EDATE(A340,1)</f>
        <v>47058</v>
      </c>
      <c r="B341" s="139" t="n">
        <f aca="false">VLOOKUP($A341,Table2,MATCH(I$3,Curves2,0))</f>
        <v>0</v>
      </c>
      <c r="C341" s="140"/>
      <c r="D341" s="141" t="n">
        <f aca="false">B341+C341</f>
        <v>0</v>
      </c>
      <c r="E341" s="126" t="n">
        <f aca="false">IF(Y341=0,0,IF(AND(Y341=1,$H$3=1),D341*T341,IF($H$3=2,D341,"N/A")))</f>
        <v>0</v>
      </c>
      <c r="F341" s="126" t="n">
        <f aca="false">E341*X341</f>
        <v>0</v>
      </c>
      <c r="G341" s="142" t="n">
        <f aca="false">VLOOKUP($A341,Table,MATCH(G$4,Curves,0))</f>
        <v>3.987</v>
      </c>
      <c r="H341" s="143" t="n">
        <f aca="false">G341</f>
        <v>3.987</v>
      </c>
      <c r="I341" s="142" t="n">
        <f aca="false">VLOOKUP($A341,Table1,MATCH(I$3,Curves1,0))</f>
        <v>0</v>
      </c>
      <c r="J341" s="142" t="n">
        <f aca="false">VLOOKUP($A341,Table,MATCH(J$4,Curves,0))</f>
        <v>-0.061</v>
      </c>
      <c r="K341" s="143" t="n">
        <f aca="false">J341</f>
        <v>-0.061</v>
      </c>
      <c r="L341" s="144" t="n">
        <v>0</v>
      </c>
      <c r="M341" s="142" t="n">
        <f aca="false">VLOOKUP($A341,Table,MATCH(M$4,Curves,0))</f>
        <v>0.005</v>
      </c>
      <c r="N341" s="143" t="n">
        <f aca="false">M341</f>
        <v>0.005</v>
      </c>
      <c r="O341" s="144" t="n">
        <v>0</v>
      </c>
      <c r="P341" s="145"/>
      <c r="Q341" s="144" t="n">
        <f aca="false">M341+J341+G341</f>
        <v>3.931</v>
      </c>
      <c r="R341" s="144" t="n">
        <f aca="false">O341+L341+I341</f>
        <v>0</v>
      </c>
      <c r="S341" s="145"/>
      <c r="T341" s="71" t="n">
        <f aca="false">A342-A341</f>
        <v>30</v>
      </c>
      <c r="U341" s="146" t="n">
        <f aca="false">CHOOSE(F$3,A342+24,A341)</f>
        <v>47112</v>
      </c>
      <c r="V341" s="71" t="n">
        <f aca="false">U341-C$3</f>
        <v>10224</v>
      </c>
      <c r="W341" s="142" t="n">
        <f aca="false">VLOOKUP($A341,Table,MATCH(W$4,Curves,0))</f>
        <v>0.058966861357273</v>
      </c>
      <c r="X341" s="147" t="n">
        <f aca="false">1/(1+CHOOSE(F$3,(W342+($K$3/10000))/2,(W341+($K$3/10000))/2))^(2*V341/365.25)</f>
        <v>0.196572642662908</v>
      </c>
      <c r="Y341" s="71" t="n">
        <f aca="false">IF(AND(mthbeg&lt;=A341,mthend&gt;=A341),1,0)</f>
        <v>0</v>
      </c>
      <c r="Z341" s="71" t="n">
        <f aca="false">T341*Y341</f>
        <v>0</v>
      </c>
      <c r="AB341" s="132" t="n">
        <f aca="false">F341*G341</f>
        <v>0</v>
      </c>
      <c r="AC341" s="132" t="n">
        <f aca="false">$F341*H341</f>
        <v>0</v>
      </c>
      <c r="AD341" s="132" t="n">
        <f aca="false">$F341*I341</f>
        <v>0</v>
      </c>
      <c r="AE341" s="132" t="n">
        <f aca="false">$F341*J341</f>
        <v>-0</v>
      </c>
      <c r="AF341" s="132" t="n">
        <f aca="false">$F341*K341</f>
        <v>-0</v>
      </c>
      <c r="AG341" s="132" t="n">
        <f aca="false">$F341*L341</f>
        <v>0</v>
      </c>
      <c r="AH341" s="132" t="n">
        <f aca="false">$F341*M341</f>
        <v>0</v>
      </c>
      <c r="AI341" s="132" t="n">
        <f aca="false">$F341*N341</f>
        <v>0</v>
      </c>
      <c r="AJ341" s="132" t="n">
        <f aca="false">F341*O341</f>
        <v>0</v>
      </c>
      <c r="AK341" s="137"/>
      <c r="AL341" s="132" t="n">
        <f aca="false">CHOOSE($G$3,AC341-AD341,AD341-AC341)</f>
        <v>0</v>
      </c>
      <c r="AM341" s="132" t="n">
        <f aca="false">CHOOSE($G$3,AF341-AG341,AG341-AF341)</f>
        <v>0</v>
      </c>
      <c r="AN341" s="132" t="n">
        <f aca="false">CHOOSE($G$3,AI341-AJ341,AJ341-AI341)</f>
        <v>0</v>
      </c>
      <c r="AO341" s="148" t="n">
        <f aca="false">SUM(AL341:AN341)</f>
        <v>0</v>
      </c>
      <c r="AQ341" s="132" t="n">
        <f aca="false">CHOOSE($G$3,AB341-AC341,AC341-AB341)</f>
        <v>0</v>
      </c>
      <c r="AR341" s="132" t="n">
        <f aca="false">CHOOSE($G$3,AE341-AF341,AF341-AE341)</f>
        <v>0</v>
      </c>
      <c r="AS341" s="132" t="n">
        <f aca="false">CHOOSE($G$3,AH341-AI341,AI341-AH341)</f>
        <v>0</v>
      </c>
      <c r="AT341" s="148" t="n">
        <f aca="false">AQ341+AR341+AS341</f>
        <v>0</v>
      </c>
      <c r="AU341" s="148"/>
      <c r="AV341" s="133" t="n">
        <f aca="false">AT341+AO341</f>
        <v>0</v>
      </c>
      <c r="AX341" s="133" t="n">
        <f aca="false">AJ341+AG341+AD341</f>
        <v>0</v>
      </c>
      <c r="AY341" s="149"/>
      <c r="AZ341" s="76" t="n">
        <f aca="false">R341*E341</f>
        <v>0</v>
      </c>
    </row>
    <row r="342" customFormat="false" ht="12" hidden="false" customHeight="true" outlineLevel="0" collapsed="false">
      <c r="A342" s="138" t="n">
        <f aca="false">EDATE(A341,1)</f>
        <v>47088</v>
      </c>
      <c r="B342" s="139" t="n">
        <f aca="false">VLOOKUP($A342,Table2,MATCH(I$3,Curves2,0))</f>
        <v>0</v>
      </c>
      <c r="C342" s="140"/>
      <c r="D342" s="141" t="n">
        <f aca="false">B342+C342</f>
        <v>0</v>
      </c>
      <c r="E342" s="126" t="n">
        <f aca="false">IF(Y342=0,0,IF(AND(Y342=1,$H$3=1),D342*T342,IF($H$3=2,D342,"N/A")))</f>
        <v>0</v>
      </c>
      <c r="F342" s="126" t="n">
        <f aca="false">E342*X342</f>
        <v>0</v>
      </c>
      <c r="G342" s="142" t="n">
        <f aca="false">VLOOKUP($A342,Table,MATCH(G$4,Curves,0))</f>
        <v>3.987</v>
      </c>
      <c r="H342" s="143" t="n">
        <f aca="false">G342</f>
        <v>3.987</v>
      </c>
      <c r="I342" s="142" t="n">
        <f aca="false">VLOOKUP($A342,Table1,MATCH(I$3,Curves1,0))</f>
        <v>0</v>
      </c>
      <c r="J342" s="142" t="n">
        <f aca="false">VLOOKUP($A342,Table,MATCH(J$4,Curves,0))</f>
        <v>-0.061</v>
      </c>
      <c r="K342" s="143" t="n">
        <f aca="false">J342</f>
        <v>-0.061</v>
      </c>
      <c r="L342" s="144" t="n">
        <v>0</v>
      </c>
      <c r="M342" s="142" t="n">
        <f aca="false">VLOOKUP($A342,Table,MATCH(M$4,Curves,0))</f>
        <v>0.005</v>
      </c>
      <c r="N342" s="143" t="n">
        <f aca="false">M342</f>
        <v>0.005</v>
      </c>
      <c r="O342" s="144" t="n">
        <v>0</v>
      </c>
      <c r="P342" s="145"/>
      <c r="Q342" s="144" t="n">
        <f aca="false">M342+J342+G342</f>
        <v>3.931</v>
      </c>
      <c r="R342" s="144" t="n">
        <f aca="false">O342+L342+I342</f>
        <v>0</v>
      </c>
      <c r="S342" s="145"/>
      <c r="T342" s="71" t="n">
        <f aca="false">A343-A342</f>
        <v>31</v>
      </c>
      <c r="U342" s="146" t="n">
        <f aca="false">CHOOSE(F$3,A343+24,A342)</f>
        <v>47143</v>
      </c>
      <c r="V342" s="71" t="n">
        <f aca="false">U342-C$3</f>
        <v>10255</v>
      </c>
      <c r="W342" s="142" t="n">
        <f aca="false">VLOOKUP($A342,Table,MATCH(W$4,Curves,0))</f>
        <v>0.058966861357273</v>
      </c>
      <c r="X342" s="147" t="n">
        <f aca="false">1/(1+CHOOSE(F$3,(W343+($K$3/10000))/2,(W342+($K$3/10000))/2))^(2*V342/365.25)</f>
        <v>0.195605463367068</v>
      </c>
      <c r="Y342" s="71" t="n">
        <f aca="false">IF(AND(mthbeg&lt;=A342,mthend&gt;=A342),1,0)</f>
        <v>0</v>
      </c>
      <c r="Z342" s="71" t="n">
        <f aca="false">T342*Y342</f>
        <v>0</v>
      </c>
      <c r="AB342" s="132" t="n">
        <f aca="false">F342*G342</f>
        <v>0</v>
      </c>
      <c r="AC342" s="132" t="n">
        <f aca="false">$F342*H342</f>
        <v>0</v>
      </c>
      <c r="AD342" s="132" t="n">
        <f aca="false">$F342*I342</f>
        <v>0</v>
      </c>
      <c r="AE342" s="132" t="n">
        <f aca="false">$F342*J342</f>
        <v>-0</v>
      </c>
      <c r="AF342" s="132" t="n">
        <f aca="false">$F342*K342</f>
        <v>-0</v>
      </c>
      <c r="AG342" s="132" t="n">
        <f aca="false">$F342*L342</f>
        <v>0</v>
      </c>
      <c r="AH342" s="132" t="n">
        <f aca="false">$F342*M342</f>
        <v>0</v>
      </c>
      <c r="AI342" s="132" t="n">
        <f aca="false">$F342*N342</f>
        <v>0</v>
      </c>
      <c r="AJ342" s="132" t="n">
        <f aca="false">F342*O342</f>
        <v>0</v>
      </c>
      <c r="AK342" s="137"/>
      <c r="AL342" s="132" t="n">
        <f aca="false">CHOOSE($G$3,AC342-AD342,AD342-AC342)</f>
        <v>0</v>
      </c>
      <c r="AM342" s="132" t="n">
        <f aca="false">CHOOSE($G$3,AF342-AG342,AG342-AF342)</f>
        <v>0</v>
      </c>
      <c r="AN342" s="132" t="n">
        <f aca="false">CHOOSE($G$3,AI342-AJ342,AJ342-AI342)</f>
        <v>0</v>
      </c>
      <c r="AO342" s="148" t="n">
        <f aca="false">SUM(AL342:AN342)</f>
        <v>0</v>
      </c>
      <c r="AQ342" s="132" t="n">
        <f aca="false">CHOOSE($G$3,AB342-AC342,AC342-AB342)</f>
        <v>0</v>
      </c>
      <c r="AR342" s="132" t="n">
        <f aca="false">CHOOSE($G$3,AE342-AF342,AF342-AE342)</f>
        <v>0</v>
      </c>
      <c r="AS342" s="132" t="n">
        <f aca="false">CHOOSE($G$3,AH342-AI342,AI342-AH342)</f>
        <v>0</v>
      </c>
      <c r="AT342" s="148" t="n">
        <f aca="false">AQ342+AR342+AS342</f>
        <v>0</v>
      </c>
      <c r="AU342" s="148"/>
      <c r="AV342" s="133" t="n">
        <f aca="false">AT342+AO342</f>
        <v>0</v>
      </c>
      <c r="AX342" s="133" t="n">
        <f aca="false">AJ342+AG342+AD342</f>
        <v>0</v>
      </c>
      <c r="AY342" s="149"/>
      <c r="AZ342" s="76" t="n">
        <f aca="false">R342*E342</f>
        <v>0</v>
      </c>
    </row>
    <row r="343" customFormat="false" ht="12" hidden="false" customHeight="true" outlineLevel="0" collapsed="false">
      <c r="A343" s="138" t="n">
        <f aca="false">EDATE(A342,1)</f>
        <v>47119</v>
      </c>
      <c r="B343" s="139" t="n">
        <f aca="false">VLOOKUP($A343,Table2,MATCH(I$3,Curves2,0))</f>
        <v>0</v>
      </c>
      <c r="C343" s="140"/>
      <c r="D343" s="141" t="n">
        <f aca="false">B343+C343</f>
        <v>0</v>
      </c>
      <c r="E343" s="126" t="n">
        <f aca="false">IF(Y343=0,0,IF(AND(Y343=1,$H$3=1),D343*T343,IF($H$3=2,D343,"N/A")))</f>
        <v>0</v>
      </c>
      <c r="F343" s="126" t="n">
        <f aca="false">E343*X343</f>
        <v>0</v>
      </c>
      <c r="G343" s="142" t="n">
        <f aca="false">VLOOKUP($A343,Table,MATCH(G$4,Curves,0))</f>
        <v>3.987</v>
      </c>
      <c r="H343" s="143" t="n">
        <f aca="false">G343</f>
        <v>3.987</v>
      </c>
      <c r="I343" s="142" t="n">
        <f aca="false">VLOOKUP($A343,Table1,MATCH(I$3,Curves1,0))</f>
        <v>0</v>
      </c>
      <c r="J343" s="142" t="n">
        <f aca="false">VLOOKUP($A343,Table,MATCH(J$4,Curves,0))</f>
        <v>-0.061</v>
      </c>
      <c r="K343" s="143" t="n">
        <f aca="false">J343</f>
        <v>-0.061</v>
      </c>
      <c r="L343" s="144" t="n">
        <v>0</v>
      </c>
      <c r="M343" s="142" t="n">
        <f aca="false">VLOOKUP($A343,Table,MATCH(M$4,Curves,0))</f>
        <v>0.005</v>
      </c>
      <c r="N343" s="143" t="n">
        <f aca="false">M343</f>
        <v>0.005</v>
      </c>
      <c r="O343" s="144" t="n">
        <v>0</v>
      </c>
      <c r="P343" s="145"/>
      <c r="Q343" s="144" t="n">
        <f aca="false">M343+J343+G343</f>
        <v>3.931</v>
      </c>
      <c r="R343" s="144" t="n">
        <f aca="false">O343+L343+I343</f>
        <v>0</v>
      </c>
      <c r="S343" s="145"/>
      <c r="T343" s="71" t="n">
        <f aca="false">A344-A343</f>
        <v>31</v>
      </c>
      <c r="U343" s="146" t="n">
        <f aca="false">CHOOSE(F$3,A344+24,A343)</f>
        <v>47174</v>
      </c>
      <c r="V343" s="71" t="n">
        <f aca="false">U343-C$3</f>
        <v>10286</v>
      </c>
      <c r="W343" s="142" t="n">
        <f aca="false">VLOOKUP($A343,Table,MATCH(W$4,Curves,0))</f>
        <v>0.058966861357273</v>
      </c>
      <c r="X343" s="147" t="n">
        <f aca="false">1/(1+CHOOSE(F$3,(W344+($K$3/10000))/2,(W343+($K$3/10000))/2))^(2*V343/365.25)</f>
        <v>0.194643042799491</v>
      </c>
      <c r="Y343" s="71" t="n">
        <f aca="false">IF(AND(mthbeg&lt;=A343,mthend&gt;=A343),1,0)</f>
        <v>0</v>
      </c>
      <c r="Z343" s="71" t="n">
        <f aca="false">T343*Y343</f>
        <v>0</v>
      </c>
      <c r="AB343" s="132" t="n">
        <f aca="false">F343*G343</f>
        <v>0</v>
      </c>
      <c r="AC343" s="132" t="n">
        <f aca="false">$F343*H343</f>
        <v>0</v>
      </c>
      <c r="AD343" s="132" t="n">
        <f aca="false">$F343*I343</f>
        <v>0</v>
      </c>
      <c r="AE343" s="132" t="n">
        <f aca="false">$F343*J343</f>
        <v>-0</v>
      </c>
      <c r="AF343" s="132" t="n">
        <f aca="false">$F343*K343</f>
        <v>-0</v>
      </c>
      <c r="AG343" s="132" t="n">
        <f aca="false">$F343*L343</f>
        <v>0</v>
      </c>
      <c r="AH343" s="132" t="n">
        <f aca="false">$F343*M343</f>
        <v>0</v>
      </c>
      <c r="AI343" s="132" t="n">
        <f aca="false">$F343*N343</f>
        <v>0</v>
      </c>
      <c r="AJ343" s="132" t="n">
        <f aca="false">F343*O343</f>
        <v>0</v>
      </c>
      <c r="AK343" s="137"/>
      <c r="AL343" s="132" t="n">
        <f aca="false">CHOOSE($G$3,AC343-AD343,AD343-AC343)</f>
        <v>0</v>
      </c>
      <c r="AM343" s="132" t="n">
        <f aca="false">CHOOSE($G$3,AF343-AG343,AG343-AF343)</f>
        <v>0</v>
      </c>
      <c r="AN343" s="132" t="n">
        <f aca="false">CHOOSE($G$3,AI343-AJ343,AJ343-AI343)</f>
        <v>0</v>
      </c>
      <c r="AO343" s="148" t="n">
        <f aca="false">SUM(AL343:AN343)</f>
        <v>0</v>
      </c>
      <c r="AQ343" s="132" t="n">
        <f aca="false">CHOOSE($G$3,AB343-AC343,AC343-AB343)</f>
        <v>0</v>
      </c>
      <c r="AR343" s="132" t="n">
        <f aca="false">CHOOSE($G$3,AE343-AF343,AF343-AE343)</f>
        <v>0</v>
      </c>
      <c r="AS343" s="132" t="n">
        <f aca="false">CHOOSE($G$3,AH343-AI343,AI343-AH343)</f>
        <v>0</v>
      </c>
      <c r="AT343" s="148" t="n">
        <f aca="false">AQ343+AR343+AS343</f>
        <v>0</v>
      </c>
      <c r="AU343" s="148"/>
      <c r="AV343" s="133" t="n">
        <f aca="false">AT343+AO343</f>
        <v>0</v>
      </c>
      <c r="AX343" s="133" t="n">
        <f aca="false">AJ343+AG343+AD343</f>
        <v>0</v>
      </c>
      <c r="AY343" s="149"/>
      <c r="AZ343" s="76" t="n">
        <f aca="false">R343*E343</f>
        <v>0</v>
      </c>
    </row>
    <row r="344" customFormat="false" ht="12" hidden="false" customHeight="true" outlineLevel="0" collapsed="false">
      <c r="A344" s="138" t="n">
        <f aca="false">EDATE(A343,1)</f>
        <v>47150</v>
      </c>
      <c r="B344" s="139" t="n">
        <f aca="false">VLOOKUP($A344,Table2,MATCH(I$3,Curves2,0))</f>
        <v>0</v>
      </c>
      <c r="C344" s="140"/>
      <c r="D344" s="141" t="n">
        <f aca="false">B344+C344</f>
        <v>0</v>
      </c>
      <c r="E344" s="126" t="n">
        <f aca="false">IF(Y344=0,0,IF(AND(Y344=1,$H$3=1),D344*T344,IF($H$3=2,D344,"N/A")))</f>
        <v>0</v>
      </c>
      <c r="F344" s="126" t="n">
        <f aca="false">E344*X344</f>
        <v>0</v>
      </c>
      <c r="G344" s="142" t="n">
        <f aca="false">VLOOKUP($A344,Table,MATCH(G$4,Curves,0))</f>
        <v>3.987</v>
      </c>
      <c r="H344" s="143" t="n">
        <f aca="false">G344</f>
        <v>3.987</v>
      </c>
      <c r="I344" s="142" t="n">
        <f aca="false">VLOOKUP($A344,Table1,MATCH(I$3,Curves1,0))</f>
        <v>0</v>
      </c>
      <c r="J344" s="142" t="n">
        <f aca="false">VLOOKUP($A344,Table,MATCH(J$4,Curves,0))</f>
        <v>-0.061</v>
      </c>
      <c r="K344" s="143" t="n">
        <f aca="false">J344</f>
        <v>-0.061</v>
      </c>
      <c r="L344" s="144" t="n">
        <v>0</v>
      </c>
      <c r="M344" s="142" t="n">
        <f aca="false">VLOOKUP($A344,Table,MATCH(M$4,Curves,0))</f>
        <v>0.005</v>
      </c>
      <c r="N344" s="143" t="n">
        <f aca="false">M344</f>
        <v>0.005</v>
      </c>
      <c r="O344" s="144" t="n">
        <v>0</v>
      </c>
      <c r="P344" s="145"/>
      <c r="Q344" s="144" t="n">
        <f aca="false">M344+J344+G344</f>
        <v>3.931</v>
      </c>
      <c r="R344" s="144" t="n">
        <f aca="false">O344+L344+I344</f>
        <v>0</v>
      </c>
      <c r="S344" s="145"/>
      <c r="T344" s="71" t="n">
        <f aca="false">A345-A344</f>
        <v>28</v>
      </c>
      <c r="U344" s="146" t="n">
        <f aca="false">CHOOSE(F$3,A345+24,A344)</f>
        <v>47202</v>
      </c>
      <c r="V344" s="71" t="n">
        <f aca="false">U344-C$3</f>
        <v>10314</v>
      </c>
      <c r="W344" s="142" t="n">
        <f aca="false">VLOOKUP($A344,Table,MATCH(W$4,Curves,0))</f>
        <v>0.058966861357273</v>
      </c>
      <c r="X344" s="147" t="n">
        <f aca="false">1/(1+CHOOSE(F$3,(W345+($K$3/10000))/2,(W344+($K$3/10000))/2))^(2*V344/365.25)</f>
        <v>0.193777830456721</v>
      </c>
      <c r="Y344" s="71" t="n">
        <f aca="false">IF(AND(mthbeg&lt;=A344,mthend&gt;=A344),1,0)</f>
        <v>0</v>
      </c>
      <c r="Z344" s="71" t="n">
        <f aca="false">T344*Y344</f>
        <v>0</v>
      </c>
      <c r="AB344" s="132" t="n">
        <f aca="false">F344*G344</f>
        <v>0</v>
      </c>
      <c r="AC344" s="132" t="n">
        <f aca="false">$F344*H344</f>
        <v>0</v>
      </c>
      <c r="AD344" s="132" t="n">
        <f aca="false">$F344*I344</f>
        <v>0</v>
      </c>
      <c r="AE344" s="132" t="n">
        <f aca="false">$F344*J344</f>
        <v>-0</v>
      </c>
      <c r="AF344" s="132" t="n">
        <f aca="false">$F344*K344</f>
        <v>-0</v>
      </c>
      <c r="AG344" s="132" t="n">
        <f aca="false">$F344*L344</f>
        <v>0</v>
      </c>
      <c r="AH344" s="132" t="n">
        <f aca="false">$F344*M344</f>
        <v>0</v>
      </c>
      <c r="AI344" s="132" t="n">
        <f aca="false">$F344*N344</f>
        <v>0</v>
      </c>
      <c r="AJ344" s="132" t="n">
        <f aca="false">F344*O344</f>
        <v>0</v>
      </c>
      <c r="AK344" s="137"/>
      <c r="AL344" s="132" t="n">
        <f aca="false">CHOOSE($G$3,AC344-AD344,AD344-AC344)</f>
        <v>0</v>
      </c>
      <c r="AM344" s="132" t="n">
        <f aca="false">CHOOSE($G$3,AF344-AG344,AG344-AF344)</f>
        <v>0</v>
      </c>
      <c r="AN344" s="132" t="n">
        <f aca="false">CHOOSE($G$3,AI344-AJ344,AJ344-AI344)</f>
        <v>0</v>
      </c>
      <c r="AO344" s="148" t="n">
        <f aca="false">SUM(AL344:AN344)</f>
        <v>0</v>
      </c>
      <c r="AQ344" s="132" t="n">
        <f aca="false">CHOOSE($G$3,AB344-AC344,AC344-AB344)</f>
        <v>0</v>
      </c>
      <c r="AR344" s="132" t="n">
        <f aca="false">CHOOSE($G$3,AE344-AF344,AF344-AE344)</f>
        <v>0</v>
      </c>
      <c r="AS344" s="132" t="n">
        <f aca="false">CHOOSE($G$3,AH344-AI344,AI344-AH344)</f>
        <v>0</v>
      </c>
      <c r="AT344" s="148" t="n">
        <f aca="false">AQ344+AR344+AS344</f>
        <v>0</v>
      </c>
      <c r="AU344" s="148"/>
      <c r="AV344" s="133" t="n">
        <f aca="false">AT344+AO344</f>
        <v>0</v>
      </c>
      <c r="AX344" s="133" t="n">
        <f aca="false">AJ344+AG344+AD344</f>
        <v>0</v>
      </c>
      <c r="AY344" s="149"/>
      <c r="AZ344" s="76" t="n">
        <f aca="false">R344*E344</f>
        <v>0</v>
      </c>
    </row>
    <row r="345" customFormat="false" ht="12" hidden="false" customHeight="true" outlineLevel="0" collapsed="false">
      <c r="A345" s="138" t="n">
        <f aca="false">EDATE(A344,1)</f>
        <v>47178</v>
      </c>
      <c r="B345" s="139" t="n">
        <f aca="false">VLOOKUP($A345,Table2,MATCH(I$3,Curves2,0))</f>
        <v>0</v>
      </c>
      <c r="C345" s="140"/>
      <c r="D345" s="141" t="n">
        <f aca="false">B345+C345</f>
        <v>0</v>
      </c>
      <c r="E345" s="126" t="n">
        <f aca="false">IF(Y345=0,0,IF(AND(Y345=1,$H$3=1),D345*T345,IF($H$3=2,D345,"N/A")))</f>
        <v>0</v>
      </c>
      <c r="F345" s="126" t="n">
        <f aca="false">E345*X345</f>
        <v>0</v>
      </c>
      <c r="G345" s="142" t="n">
        <f aca="false">VLOOKUP($A345,Table,MATCH(G$4,Curves,0))</f>
        <v>3.987</v>
      </c>
      <c r="H345" s="143" t="n">
        <f aca="false">G345</f>
        <v>3.987</v>
      </c>
      <c r="I345" s="142" t="n">
        <f aca="false">VLOOKUP($A345,Table1,MATCH(I$3,Curves1,0))</f>
        <v>0</v>
      </c>
      <c r="J345" s="142" t="n">
        <f aca="false">VLOOKUP($A345,Table,MATCH(J$4,Curves,0))</f>
        <v>-0.061</v>
      </c>
      <c r="K345" s="143" t="n">
        <f aca="false">J345</f>
        <v>-0.061</v>
      </c>
      <c r="L345" s="144" t="n">
        <v>0</v>
      </c>
      <c r="M345" s="142" t="n">
        <f aca="false">VLOOKUP($A345,Table,MATCH(M$4,Curves,0))</f>
        <v>0.005</v>
      </c>
      <c r="N345" s="143" t="n">
        <f aca="false">M345</f>
        <v>0.005</v>
      </c>
      <c r="O345" s="144" t="n">
        <v>0</v>
      </c>
      <c r="P345" s="145"/>
      <c r="Q345" s="144" t="n">
        <f aca="false">M345+J345+G345</f>
        <v>3.931</v>
      </c>
      <c r="R345" s="144" t="n">
        <f aca="false">O345+L345+I345</f>
        <v>0</v>
      </c>
      <c r="S345" s="145"/>
      <c r="T345" s="71" t="n">
        <f aca="false">A346-A345</f>
        <v>31</v>
      </c>
      <c r="U345" s="146" t="n">
        <f aca="false">CHOOSE(F$3,A346+24,A345)</f>
        <v>47233</v>
      </c>
      <c r="V345" s="71" t="n">
        <f aca="false">U345-C$3</f>
        <v>10345</v>
      </c>
      <c r="W345" s="142" t="n">
        <f aca="false">VLOOKUP($A345,Table,MATCH(W$4,Curves,0))</f>
        <v>0.058966861357273</v>
      </c>
      <c r="X345" s="147" t="n">
        <f aca="false">1/(1+CHOOSE(F$3,(W346+($K$3/10000))/2,(W345+($K$3/10000))/2))^(2*V345/365.25)</f>
        <v>0.192824402232572</v>
      </c>
      <c r="Y345" s="71" t="n">
        <f aca="false">IF(AND(mthbeg&lt;=A345,mthend&gt;=A345),1,0)</f>
        <v>0</v>
      </c>
      <c r="Z345" s="71" t="n">
        <f aca="false">T345*Y345</f>
        <v>0</v>
      </c>
      <c r="AB345" s="132" t="n">
        <f aca="false">F345*G345</f>
        <v>0</v>
      </c>
      <c r="AC345" s="132" t="n">
        <f aca="false">$F345*H345</f>
        <v>0</v>
      </c>
      <c r="AD345" s="132" t="n">
        <f aca="false">$F345*I345</f>
        <v>0</v>
      </c>
      <c r="AE345" s="132" t="n">
        <f aca="false">$F345*J345</f>
        <v>-0</v>
      </c>
      <c r="AF345" s="132" t="n">
        <f aca="false">$F345*K345</f>
        <v>-0</v>
      </c>
      <c r="AG345" s="132" t="n">
        <f aca="false">$F345*L345</f>
        <v>0</v>
      </c>
      <c r="AH345" s="132" t="n">
        <f aca="false">$F345*M345</f>
        <v>0</v>
      </c>
      <c r="AI345" s="132" t="n">
        <f aca="false">$F345*N345</f>
        <v>0</v>
      </c>
      <c r="AJ345" s="132" t="n">
        <f aca="false">F345*O345</f>
        <v>0</v>
      </c>
      <c r="AK345" s="137"/>
      <c r="AL345" s="132" t="n">
        <f aca="false">CHOOSE($G$3,AC345-AD345,AD345-AC345)</f>
        <v>0</v>
      </c>
      <c r="AM345" s="132" t="n">
        <f aca="false">CHOOSE($G$3,AF345-AG345,AG345-AF345)</f>
        <v>0</v>
      </c>
      <c r="AN345" s="132" t="n">
        <f aca="false">CHOOSE($G$3,AI345-AJ345,AJ345-AI345)</f>
        <v>0</v>
      </c>
      <c r="AO345" s="148" t="n">
        <f aca="false">SUM(AL345:AN345)</f>
        <v>0</v>
      </c>
      <c r="AQ345" s="132" t="n">
        <f aca="false">CHOOSE($G$3,AB345-AC345,AC345-AB345)</f>
        <v>0</v>
      </c>
      <c r="AR345" s="132" t="n">
        <f aca="false">CHOOSE($G$3,AE345-AF345,AF345-AE345)</f>
        <v>0</v>
      </c>
      <c r="AS345" s="132" t="n">
        <f aca="false">CHOOSE($G$3,AH345-AI345,AI345-AH345)</f>
        <v>0</v>
      </c>
      <c r="AT345" s="148" t="n">
        <f aca="false">AQ345+AR345+AS345</f>
        <v>0</v>
      </c>
      <c r="AU345" s="148"/>
      <c r="AV345" s="133" t="n">
        <f aca="false">AT345+AO345</f>
        <v>0</v>
      </c>
      <c r="AX345" s="133" t="n">
        <f aca="false">AJ345+AG345+AD345</f>
        <v>0</v>
      </c>
      <c r="AY345" s="149"/>
      <c r="AZ345" s="76" t="n">
        <f aca="false">R345*E345</f>
        <v>0</v>
      </c>
    </row>
    <row r="346" customFormat="false" ht="12" hidden="false" customHeight="true" outlineLevel="0" collapsed="false">
      <c r="A346" s="138" t="n">
        <f aca="false">EDATE(A345,1)</f>
        <v>47209</v>
      </c>
      <c r="B346" s="139" t="n">
        <f aca="false">VLOOKUP($A346,Table2,MATCH(I$3,Curves2,0))</f>
        <v>0</v>
      </c>
      <c r="C346" s="140"/>
      <c r="D346" s="141" t="n">
        <f aca="false">B346+C346</f>
        <v>0</v>
      </c>
      <c r="E346" s="126" t="n">
        <f aca="false">IF(Y346=0,0,IF(AND(Y346=1,$H$3=1),D346*T346,IF($H$3=2,D346,"N/A")))</f>
        <v>0</v>
      </c>
      <c r="F346" s="126" t="n">
        <f aca="false">E346*X346</f>
        <v>0</v>
      </c>
      <c r="G346" s="142" t="n">
        <f aca="false">VLOOKUP($A346,Table,MATCH(G$4,Curves,0))</f>
        <v>3.987</v>
      </c>
      <c r="H346" s="143" t="n">
        <f aca="false">G346</f>
        <v>3.987</v>
      </c>
      <c r="I346" s="142" t="n">
        <f aca="false">VLOOKUP($A346,Table1,MATCH(I$3,Curves1,0))</f>
        <v>0</v>
      </c>
      <c r="J346" s="142" t="n">
        <f aca="false">VLOOKUP($A346,Table,MATCH(J$4,Curves,0))</f>
        <v>-0.061</v>
      </c>
      <c r="K346" s="143" t="n">
        <f aca="false">J346</f>
        <v>-0.061</v>
      </c>
      <c r="L346" s="144" t="n">
        <v>0</v>
      </c>
      <c r="M346" s="142" t="n">
        <f aca="false">VLOOKUP($A346,Table,MATCH(M$4,Curves,0))</f>
        <v>0.005</v>
      </c>
      <c r="N346" s="143" t="n">
        <f aca="false">M346</f>
        <v>0.005</v>
      </c>
      <c r="O346" s="144" t="n">
        <v>0</v>
      </c>
      <c r="P346" s="145"/>
      <c r="Q346" s="144" t="n">
        <f aca="false">M346+J346+G346</f>
        <v>3.931</v>
      </c>
      <c r="R346" s="144" t="n">
        <f aca="false">O346+L346+I346</f>
        <v>0</v>
      </c>
      <c r="S346" s="145"/>
      <c r="T346" s="71" t="n">
        <f aca="false">A347-A346</f>
        <v>30</v>
      </c>
      <c r="U346" s="146" t="n">
        <f aca="false">CHOOSE(F$3,A347+24,A346)</f>
        <v>47263</v>
      </c>
      <c r="V346" s="71" t="n">
        <f aca="false">U346-C$3</f>
        <v>10375</v>
      </c>
      <c r="W346" s="142" t="n">
        <f aca="false">VLOOKUP($A346,Table,MATCH(W$4,Curves,0))</f>
        <v>0.058966861357273</v>
      </c>
      <c r="X346" s="147" t="n">
        <f aca="false">1/(1+CHOOSE(F$3,(W347+($K$3/10000))/2,(W346+($K$3/10000))/2))^(2*V346/365.25)</f>
        <v>0.191906196517715</v>
      </c>
      <c r="Y346" s="71" t="n">
        <f aca="false">IF(AND(mthbeg&lt;=A346,mthend&gt;=A346),1,0)</f>
        <v>0</v>
      </c>
      <c r="Z346" s="71" t="n">
        <f aca="false">T346*Y346</f>
        <v>0</v>
      </c>
      <c r="AB346" s="132" t="n">
        <f aca="false">F346*G346</f>
        <v>0</v>
      </c>
      <c r="AC346" s="132" t="n">
        <f aca="false">$F346*H346</f>
        <v>0</v>
      </c>
      <c r="AD346" s="132" t="n">
        <f aca="false">$F346*I346</f>
        <v>0</v>
      </c>
      <c r="AE346" s="132" t="n">
        <f aca="false">$F346*J346</f>
        <v>-0</v>
      </c>
      <c r="AF346" s="132" t="n">
        <f aca="false">$F346*K346</f>
        <v>-0</v>
      </c>
      <c r="AG346" s="132" t="n">
        <f aca="false">$F346*L346</f>
        <v>0</v>
      </c>
      <c r="AH346" s="132" t="n">
        <f aca="false">$F346*M346</f>
        <v>0</v>
      </c>
      <c r="AI346" s="132" t="n">
        <f aca="false">$F346*N346</f>
        <v>0</v>
      </c>
      <c r="AJ346" s="132" t="n">
        <f aca="false">F346*O346</f>
        <v>0</v>
      </c>
      <c r="AK346" s="137"/>
      <c r="AL346" s="132" t="n">
        <f aca="false">CHOOSE($G$3,AC346-AD346,AD346-AC346)</f>
        <v>0</v>
      </c>
      <c r="AM346" s="132" t="n">
        <f aca="false">CHOOSE($G$3,AF346-AG346,AG346-AF346)</f>
        <v>0</v>
      </c>
      <c r="AN346" s="132" t="n">
        <f aca="false">CHOOSE($G$3,AI346-AJ346,AJ346-AI346)</f>
        <v>0</v>
      </c>
      <c r="AO346" s="148" t="n">
        <f aca="false">SUM(AL346:AN346)</f>
        <v>0</v>
      </c>
      <c r="AQ346" s="132" t="n">
        <f aca="false">CHOOSE($G$3,AB346-AC346,AC346-AB346)</f>
        <v>0</v>
      </c>
      <c r="AR346" s="132" t="n">
        <f aca="false">CHOOSE($G$3,AE346-AF346,AF346-AE346)</f>
        <v>0</v>
      </c>
      <c r="AS346" s="132" t="n">
        <f aca="false">CHOOSE($G$3,AH346-AI346,AI346-AH346)</f>
        <v>0</v>
      </c>
      <c r="AT346" s="148" t="n">
        <f aca="false">AQ346+AR346+AS346</f>
        <v>0</v>
      </c>
      <c r="AU346" s="148"/>
      <c r="AV346" s="133" t="n">
        <f aca="false">AT346+AO346</f>
        <v>0</v>
      </c>
      <c r="AX346" s="133" t="n">
        <f aca="false">AJ346+AG346+AD346</f>
        <v>0</v>
      </c>
      <c r="AY346" s="149"/>
      <c r="AZ346" s="76" t="n">
        <f aca="false">R346*E346</f>
        <v>0</v>
      </c>
    </row>
    <row r="347" customFormat="false" ht="12" hidden="false" customHeight="true" outlineLevel="0" collapsed="false">
      <c r="A347" s="138" t="n">
        <f aca="false">EDATE(A346,1)</f>
        <v>47239</v>
      </c>
      <c r="B347" s="139" t="n">
        <f aca="false">VLOOKUP($A347,Table2,MATCH(I$3,Curves2,0))</f>
        <v>0</v>
      </c>
      <c r="C347" s="140"/>
      <c r="D347" s="141" t="n">
        <f aca="false">B347+C347</f>
        <v>0</v>
      </c>
      <c r="E347" s="126" t="n">
        <f aca="false">IF(Y347=0,0,IF(AND(Y347=1,$H$3=1),D347*T347,IF($H$3=2,D347,"N/A")))</f>
        <v>0</v>
      </c>
      <c r="F347" s="126" t="n">
        <f aca="false">E347*X347</f>
        <v>0</v>
      </c>
      <c r="G347" s="142" t="n">
        <f aca="false">VLOOKUP($A347,Table,MATCH(G$4,Curves,0))</f>
        <v>3.987</v>
      </c>
      <c r="H347" s="143" t="n">
        <f aca="false">G347</f>
        <v>3.987</v>
      </c>
      <c r="I347" s="142" t="n">
        <f aca="false">VLOOKUP($A347,Table1,MATCH(I$3,Curves1,0))</f>
        <v>0</v>
      </c>
      <c r="J347" s="142" t="n">
        <f aca="false">VLOOKUP($A347,Table,MATCH(J$4,Curves,0))</f>
        <v>-0.061</v>
      </c>
      <c r="K347" s="143" t="n">
        <f aca="false">J347</f>
        <v>-0.061</v>
      </c>
      <c r="L347" s="144" t="n">
        <v>0</v>
      </c>
      <c r="M347" s="142" t="n">
        <f aca="false">VLOOKUP($A347,Table,MATCH(M$4,Curves,0))</f>
        <v>0.005</v>
      </c>
      <c r="N347" s="143" t="n">
        <f aca="false">M347</f>
        <v>0.005</v>
      </c>
      <c r="O347" s="144" t="n">
        <v>0</v>
      </c>
      <c r="P347" s="145"/>
      <c r="Q347" s="144" t="n">
        <f aca="false">M347+J347+G347</f>
        <v>3.931</v>
      </c>
      <c r="R347" s="144" t="n">
        <f aca="false">O347+L347+I347</f>
        <v>0</v>
      </c>
      <c r="S347" s="145"/>
      <c r="T347" s="71" t="n">
        <f aca="false">A348-A347</f>
        <v>31</v>
      </c>
      <c r="U347" s="146" t="n">
        <f aca="false">CHOOSE(F$3,A348+24,A347)</f>
        <v>47294</v>
      </c>
      <c r="V347" s="71" t="n">
        <f aca="false">U347-C$3</f>
        <v>10406</v>
      </c>
      <c r="W347" s="142" t="n">
        <f aca="false">VLOOKUP($A347,Table,MATCH(W$4,Curves,0))</f>
        <v>0.058966861357273</v>
      </c>
      <c r="X347" s="147" t="n">
        <f aca="false">1/(1+CHOOSE(F$3,(W348+($K$3/10000))/2,(W347+($K$3/10000))/2))^(2*V347/365.25)</f>
        <v>0.190961977131432</v>
      </c>
      <c r="Y347" s="71" t="n">
        <f aca="false">IF(AND(mthbeg&lt;=A347,mthend&gt;=A347),1,0)</f>
        <v>0</v>
      </c>
      <c r="Z347" s="71" t="n">
        <f aca="false">T347*Y347</f>
        <v>0</v>
      </c>
      <c r="AB347" s="132" t="n">
        <f aca="false">F347*G347</f>
        <v>0</v>
      </c>
      <c r="AC347" s="132" t="n">
        <f aca="false">$F347*H347</f>
        <v>0</v>
      </c>
      <c r="AD347" s="132" t="n">
        <f aca="false">$F347*I347</f>
        <v>0</v>
      </c>
      <c r="AE347" s="132" t="n">
        <f aca="false">$F347*J347</f>
        <v>-0</v>
      </c>
      <c r="AF347" s="132" t="n">
        <f aca="false">$F347*K347</f>
        <v>-0</v>
      </c>
      <c r="AG347" s="132" t="n">
        <f aca="false">$F347*L347</f>
        <v>0</v>
      </c>
      <c r="AH347" s="132" t="n">
        <f aca="false">$F347*M347</f>
        <v>0</v>
      </c>
      <c r="AI347" s="132" t="n">
        <f aca="false">$F347*N347</f>
        <v>0</v>
      </c>
      <c r="AJ347" s="132" t="n">
        <f aca="false">F347*O347</f>
        <v>0</v>
      </c>
      <c r="AK347" s="137"/>
      <c r="AL347" s="132" t="n">
        <f aca="false">CHOOSE($G$3,AC347-AD347,AD347-AC347)</f>
        <v>0</v>
      </c>
      <c r="AM347" s="132" t="n">
        <f aca="false">CHOOSE($G$3,AF347-AG347,AG347-AF347)</f>
        <v>0</v>
      </c>
      <c r="AN347" s="132" t="n">
        <f aca="false">CHOOSE($G$3,AI347-AJ347,AJ347-AI347)</f>
        <v>0</v>
      </c>
      <c r="AO347" s="148" t="n">
        <f aca="false">SUM(AL347:AN347)</f>
        <v>0</v>
      </c>
      <c r="AQ347" s="132" t="n">
        <f aca="false">CHOOSE($G$3,AB347-AC347,AC347-AB347)</f>
        <v>0</v>
      </c>
      <c r="AR347" s="132" t="n">
        <f aca="false">CHOOSE($G$3,AE347-AF347,AF347-AE347)</f>
        <v>0</v>
      </c>
      <c r="AS347" s="132" t="n">
        <f aca="false">CHOOSE($G$3,AH347-AI347,AI347-AH347)</f>
        <v>0</v>
      </c>
      <c r="AT347" s="148" t="n">
        <f aca="false">AQ347+AR347+AS347</f>
        <v>0</v>
      </c>
      <c r="AU347" s="148"/>
      <c r="AV347" s="133" t="n">
        <f aca="false">AT347+AO347</f>
        <v>0</v>
      </c>
      <c r="AX347" s="133" t="n">
        <f aca="false">AJ347+AG347+AD347</f>
        <v>0</v>
      </c>
      <c r="AY347" s="149"/>
      <c r="AZ347" s="76" t="n">
        <f aca="false">R347*E347</f>
        <v>0</v>
      </c>
    </row>
    <row r="348" customFormat="false" ht="12" hidden="false" customHeight="true" outlineLevel="0" collapsed="false">
      <c r="A348" s="138" t="n">
        <f aca="false">EDATE(A347,1)</f>
        <v>47270</v>
      </c>
      <c r="B348" s="139" t="n">
        <f aca="false">VLOOKUP($A348,Table2,MATCH(I$3,Curves2,0))</f>
        <v>0</v>
      </c>
      <c r="C348" s="140"/>
      <c r="D348" s="141" t="n">
        <f aca="false">B348+C348</f>
        <v>0</v>
      </c>
      <c r="E348" s="126" t="n">
        <f aca="false">IF(Y348=0,0,IF(AND(Y348=1,$H$3=1),D348*T348,IF($H$3=2,D348,"N/A")))</f>
        <v>0</v>
      </c>
      <c r="F348" s="126" t="n">
        <f aca="false">E348*X348</f>
        <v>0</v>
      </c>
      <c r="G348" s="142" t="n">
        <f aca="false">VLOOKUP($A348,Table,MATCH(G$4,Curves,0))</f>
        <v>3.987</v>
      </c>
      <c r="H348" s="143" t="n">
        <f aca="false">G348</f>
        <v>3.987</v>
      </c>
      <c r="I348" s="142" t="n">
        <f aca="false">VLOOKUP($A348,Table1,MATCH(I$3,Curves1,0))</f>
        <v>0</v>
      </c>
      <c r="J348" s="142" t="n">
        <f aca="false">VLOOKUP($A348,Table,MATCH(J$4,Curves,0))</f>
        <v>-0.061</v>
      </c>
      <c r="K348" s="143" t="n">
        <f aca="false">J348</f>
        <v>-0.061</v>
      </c>
      <c r="L348" s="144" t="n">
        <v>0</v>
      </c>
      <c r="M348" s="142" t="n">
        <f aca="false">VLOOKUP($A348,Table,MATCH(M$4,Curves,0))</f>
        <v>0.005</v>
      </c>
      <c r="N348" s="143" t="n">
        <f aca="false">M348</f>
        <v>0.005</v>
      </c>
      <c r="O348" s="144" t="n">
        <v>0</v>
      </c>
      <c r="P348" s="145"/>
      <c r="Q348" s="144" t="n">
        <f aca="false">M348+J348+G348</f>
        <v>3.931</v>
      </c>
      <c r="R348" s="144" t="n">
        <f aca="false">O348+L348+I348</f>
        <v>0</v>
      </c>
      <c r="S348" s="145"/>
      <c r="T348" s="71" t="n">
        <f aca="false">A349-A348</f>
        <v>30</v>
      </c>
      <c r="U348" s="146" t="n">
        <f aca="false">CHOOSE(F$3,A349+24,A348)</f>
        <v>47324</v>
      </c>
      <c r="V348" s="71" t="n">
        <f aca="false">U348-C$3</f>
        <v>10436</v>
      </c>
      <c r="W348" s="142" t="n">
        <f aca="false">VLOOKUP($A348,Table,MATCH(W$4,Curves,0))</f>
        <v>0.058966861357273</v>
      </c>
      <c r="X348" s="147" t="n">
        <f aca="false">1/(1+CHOOSE(F$3,(W349+($K$3/10000))/2,(W348+($K$3/10000))/2))^(2*V348/365.25)</f>
        <v>0.190052640052243</v>
      </c>
      <c r="Y348" s="71" t="n">
        <f aca="false">IF(AND(mthbeg&lt;=A348,mthend&gt;=A348),1,0)</f>
        <v>0</v>
      </c>
      <c r="Z348" s="71" t="n">
        <f aca="false">T348*Y348</f>
        <v>0</v>
      </c>
      <c r="AB348" s="132" t="n">
        <f aca="false">F348*G348</f>
        <v>0</v>
      </c>
      <c r="AC348" s="132" t="n">
        <f aca="false">$F348*H348</f>
        <v>0</v>
      </c>
      <c r="AD348" s="132" t="n">
        <f aca="false">$F348*I348</f>
        <v>0</v>
      </c>
      <c r="AE348" s="132" t="n">
        <f aca="false">$F348*J348</f>
        <v>-0</v>
      </c>
      <c r="AF348" s="132" t="n">
        <f aca="false">$F348*K348</f>
        <v>-0</v>
      </c>
      <c r="AG348" s="132" t="n">
        <f aca="false">$F348*L348</f>
        <v>0</v>
      </c>
      <c r="AH348" s="132" t="n">
        <f aca="false">$F348*M348</f>
        <v>0</v>
      </c>
      <c r="AI348" s="132" t="n">
        <f aca="false">$F348*N348</f>
        <v>0</v>
      </c>
      <c r="AJ348" s="132" t="n">
        <f aca="false">F348*O348</f>
        <v>0</v>
      </c>
      <c r="AK348" s="137"/>
      <c r="AL348" s="132" t="n">
        <f aca="false">CHOOSE($G$3,AC348-AD348,AD348-AC348)</f>
        <v>0</v>
      </c>
      <c r="AM348" s="132" t="n">
        <f aca="false">CHOOSE($G$3,AF348-AG348,AG348-AF348)</f>
        <v>0</v>
      </c>
      <c r="AN348" s="132" t="n">
        <f aca="false">CHOOSE($G$3,AI348-AJ348,AJ348-AI348)</f>
        <v>0</v>
      </c>
      <c r="AO348" s="148" t="n">
        <f aca="false">SUM(AL348:AN348)</f>
        <v>0</v>
      </c>
      <c r="AQ348" s="132" t="n">
        <f aca="false">CHOOSE($G$3,AB348-AC348,AC348-AB348)</f>
        <v>0</v>
      </c>
      <c r="AR348" s="132" t="n">
        <f aca="false">CHOOSE($G$3,AE348-AF348,AF348-AE348)</f>
        <v>0</v>
      </c>
      <c r="AS348" s="132" t="n">
        <f aca="false">CHOOSE($G$3,AH348-AI348,AI348-AH348)</f>
        <v>0</v>
      </c>
      <c r="AT348" s="148" t="n">
        <f aca="false">AQ348+AR348+AS348</f>
        <v>0</v>
      </c>
      <c r="AU348" s="148"/>
      <c r="AV348" s="133" t="n">
        <f aca="false">AT348+AO348</f>
        <v>0</v>
      </c>
      <c r="AX348" s="133" t="n">
        <f aca="false">AJ348+AG348+AD348</f>
        <v>0</v>
      </c>
      <c r="AY348" s="149"/>
      <c r="AZ348" s="76" t="n">
        <f aca="false">R348*E348</f>
        <v>0</v>
      </c>
    </row>
    <row r="349" customFormat="false" ht="12" hidden="false" customHeight="true" outlineLevel="0" collapsed="false">
      <c r="A349" s="138" t="n">
        <f aca="false">EDATE(A348,1)</f>
        <v>47300</v>
      </c>
      <c r="B349" s="139" t="n">
        <f aca="false">VLOOKUP($A349,Table2,MATCH(I$3,Curves2,0))</f>
        <v>0</v>
      </c>
      <c r="C349" s="140"/>
      <c r="D349" s="141" t="n">
        <f aca="false">B349+C349</f>
        <v>0</v>
      </c>
      <c r="E349" s="126" t="n">
        <f aca="false">IF(Y349=0,0,IF(AND(Y349=1,$H$3=1),D349*T349,IF($H$3=2,D349,"N/A")))</f>
        <v>0</v>
      </c>
      <c r="F349" s="126" t="n">
        <f aca="false">E349*X349</f>
        <v>0</v>
      </c>
      <c r="G349" s="142" t="n">
        <f aca="false">VLOOKUP($A349,Table,MATCH(G$4,Curves,0))</f>
        <v>3.987</v>
      </c>
      <c r="H349" s="143" t="n">
        <f aca="false">G349</f>
        <v>3.987</v>
      </c>
      <c r="I349" s="142" t="n">
        <f aca="false">VLOOKUP($A349,Table1,MATCH(I$3,Curves1,0))</f>
        <v>0</v>
      </c>
      <c r="J349" s="142" t="n">
        <f aca="false">VLOOKUP($A349,Table,MATCH(J$4,Curves,0))</f>
        <v>-0.061</v>
      </c>
      <c r="K349" s="143" t="n">
        <f aca="false">J349</f>
        <v>-0.061</v>
      </c>
      <c r="L349" s="144" t="n">
        <v>0</v>
      </c>
      <c r="M349" s="142" t="n">
        <f aca="false">VLOOKUP($A349,Table,MATCH(M$4,Curves,0))</f>
        <v>0.005</v>
      </c>
      <c r="N349" s="143" t="n">
        <f aca="false">M349</f>
        <v>0.005</v>
      </c>
      <c r="O349" s="144" t="n">
        <v>0</v>
      </c>
      <c r="P349" s="145"/>
      <c r="Q349" s="144" t="n">
        <f aca="false">M349+J349+G349</f>
        <v>3.931</v>
      </c>
      <c r="R349" s="144" t="n">
        <f aca="false">O349+L349+I349</f>
        <v>0</v>
      </c>
      <c r="S349" s="145"/>
      <c r="T349" s="71" t="n">
        <f aca="false">A350-A349</f>
        <v>31</v>
      </c>
      <c r="U349" s="146" t="n">
        <f aca="false">CHOOSE(F$3,A350+24,A349)</f>
        <v>47355</v>
      </c>
      <c r="V349" s="71" t="n">
        <f aca="false">U349-C$3</f>
        <v>10467</v>
      </c>
      <c r="W349" s="142" t="n">
        <f aca="false">VLOOKUP($A349,Table,MATCH(W$4,Curves,0))</f>
        <v>0.058966861357273</v>
      </c>
      <c r="X349" s="147" t="n">
        <f aca="false">1/(1+CHOOSE(F$3,(W350+($K$3/10000))/2,(W349+($K$3/10000))/2))^(2*V349/365.25)</f>
        <v>0.189117540558803</v>
      </c>
      <c r="Y349" s="71" t="n">
        <f aca="false">IF(AND(mthbeg&lt;=A349,mthend&gt;=A349),1,0)</f>
        <v>0</v>
      </c>
      <c r="Z349" s="71" t="n">
        <f aca="false">T349*Y349</f>
        <v>0</v>
      </c>
      <c r="AB349" s="132" t="n">
        <f aca="false">F349*G349</f>
        <v>0</v>
      </c>
      <c r="AC349" s="132" t="n">
        <f aca="false">$F349*H349</f>
        <v>0</v>
      </c>
      <c r="AD349" s="132" t="n">
        <f aca="false">$F349*I349</f>
        <v>0</v>
      </c>
      <c r="AE349" s="132" t="n">
        <f aca="false">$F349*J349</f>
        <v>-0</v>
      </c>
      <c r="AF349" s="132" t="n">
        <f aca="false">$F349*K349</f>
        <v>-0</v>
      </c>
      <c r="AG349" s="132" t="n">
        <f aca="false">$F349*L349</f>
        <v>0</v>
      </c>
      <c r="AH349" s="132" t="n">
        <f aca="false">$F349*M349</f>
        <v>0</v>
      </c>
      <c r="AI349" s="132" t="n">
        <f aca="false">$F349*N349</f>
        <v>0</v>
      </c>
      <c r="AJ349" s="132" t="n">
        <f aca="false">F349*O349</f>
        <v>0</v>
      </c>
      <c r="AK349" s="137"/>
      <c r="AL349" s="132" t="n">
        <f aca="false">CHOOSE($G$3,AC349-AD349,AD349-AC349)</f>
        <v>0</v>
      </c>
      <c r="AM349" s="132" t="n">
        <f aca="false">CHOOSE($G$3,AF349-AG349,AG349-AF349)</f>
        <v>0</v>
      </c>
      <c r="AN349" s="132" t="n">
        <f aca="false">CHOOSE($G$3,AI349-AJ349,AJ349-AI349)</f>
        <v>0</v>
      </c>
      <c r="AO349" s="148" t="n">
        <f aca="false">SUM(AL349:AN349)</f>
        <v>0</v>
      </c>
      <c r="AQ349" s="132" t="n">
        <f aca="false">CHOOSE($G$3,AB349-AC349,AC349-AB349)</f>
        <v>0</v>
      </c>
      <c r="AR349" s="132" t="n">
        <f aca="false">CHOOSE($G$3,AE349-AF349,AF349-AE349)</f>
        <v>0</v>
      </c>
      <c r="AS349" s="132" t="n">
        <f aca="false">CHOOSE($G$3,AH349-AI349,AI349-AH349)</f>
        <v>0</v>
      </c>
      <c r="AT349" s="148" t="n">
        <f aca="false">AQ349+AR349+AS349</f>
        <v>0</v>
      </c>
      <c r="AU349" s="148"/>
      <c r="AV349" s="133" t="n">
        <f aca="false">AT349+AO349</f>
        <v>0</v>
      </c>
      <c r="AX349" s="133" t="n">
        <f aca="false">AJ349+AG349+AD349</f>
        <v>0</v>
      </c>
      <c r="AY349" s="149"/>
      <c r="AZ349" s="76" t="n">
        <f aca="false">R349*E349</f>
        <v>0</v>
      </c>
    </row>
    <row r="350" customFormat="false" ht="12" hidden="false" customHeight="true" outlineLevel="0" collapsed="false">
      <c r="A350" s="138" t="n">
        <f aca="false">EDATE(A349,1)</f>
        <v>47331</v>
      </c>
      <c r="B350" s="139" t="n">
        <f aca="false">VLOOKUP($A350,Table2,MATCH(I$3,Curves2,0))</f>
        <v>0</v>
      </c>
      <c r="C350" s="140"/>
      <c r="D350" s="141" t="n">
        <f aca="false">B350+C350</f>
        <v>0</v>
      </c>
      <c r="E350" s="126" t="n">
        <f aca="false">IF(Y350=0,0,IF(AND(Y350=1,$H$3=1),D350*T350,IF($H$3=2,D350,"N/A")))</f>
        <v>0</v>
      </c>
      <c r="F350" s="126" t="n">
        <f aca="false">E350*X350</f>
        <v>0</v>
      </c>
      <c r="G350" s="142" t="n">
        <f aca="false">VLOOKUP($A350,Table,MATCH(G$4,Curves,0))</f>
        <v>3.987</v>
      </c>
      <c r="H350" s="143" t="n">
        <f aca="false">G350</f>
        <v>3.987</v>
      </c>
      <c r="I350" s="142" t="n">
        <f aca="false">VLOOKUP($A350,Table1,MATCH(I$3,Curves1,0))</f>
        <v>0</v>
      </c>
      <c r="J350" s="142" t="n">
        <f aca="false">VLOOKUP($A350,Table,MATCH(J$4,Curves,0))</f>
        <v>-0.061</v>
      </c>
      <c r="K350" s="143" t="n">
        <f aca="false">J350</f>
        <v>-0.061</v>
      </c>
      <c r="L350" s="144" t="n">
        <v>0</v>
      </c>
      <c r="M350" s="142" t="n">
        <f aca="false">VLOOKUP($A350,Table,MATCH(M$4,Curves,0))</f>
        <v>0.005</v>
      </c>
      <c r="N350" s="143" t="n">
        <f aca="false">M350</f>
        <v>0.005</v>
      </c>
      <c r="O350" s="144" t="n">
        <v>0</v>
      </c>
      <c r="P350" s="145"/>
      <c r="Q350" s="144" t="n">
        <f aca="false">M350+J350+G350</f>
        <v>3.931</v>
      </c>
      <c r="R350" s="144" t="n">
        <f aca="false">O350+L350+I350</f>
        <v>0</v>
      </c>
      <c r="S350" s="145"/>
      <c r="T350" s="71" t="n">
        <f aca="false">A351-A350</f>
        <v>31</v>
      </c>
      <c r="U350" s="146" t="n">
        <f aca="false">CHOOSE(F$3,A351+24,A350)</f>
        <v>47386</v>
      </c>
      <c r="V350" s="71" t="n">
        <f aca="false">U350-C$3</f>
        <v>10498</v>
      </c>
      <c r="W350" s="142" t="n">
        <f aca="false">VLOOKUP($A350,Table,MATCH(W$4,Curves,0))</f>
        <v>0.058966861357273</v>
      </c>
      <c r="X350" s="147" t="n">
        <f aca="false">1/(1+CHOOSE(F$3,(W351+($K$3/10000))/2,(W350+($K$3/10000))/2))^(2*V350/365.25)</f>
        <v>0.188187041954162</v>
      </c>
      <c r="Y350" s="71" t="n">
        <f aca="false">IF(AND(mthbeg&lt;=A350,mthend&gt;=A350),1,0)</f>
        <v>0</v>
      </c>
      <c r="Z350" s="71" t="n">
        <f aca="false">T350*Y350</f>
        <v>0</v>
      </c>
      <c r="AB350" s="132" t="n">
        <f aca="false">F350*G350</f>
        <v>0</v>
      </c>
      <c r="AC350" s="132" t="n">
        <f aca="false">$F350*H350</f>
        <v>0</v>
      </c>
      <c r="AD350" s="132" t="n">
        <f aca="false">$F350*I350</f>
        <v>0</v>
      </c>
      <c r="AE350" s="132" t="n">
        <f aca="false">$F350*J350</f>
        <v>-0</v>
      </c>
      <c r="AF350" s="132" t="n">
        <f aca="false">$F350*K350</f>
        <v>-0</v>
      </c>
      <c r="AG350" s="132" t="n">
        <f aca="false">$F350*L350</f>
        <v>0</v>
      </c>
      <c r="AH350" s="132" t="n">
        <f aca="false">$F350*M350</f>
        <v>0</v>
      </c>
      <c r="AI350" s="132" t="n">
        <f aca="false">$F350*N350</f>
        <v>0</v>
      </c>
      <c r="AJ350" s="132" t="n">
        <f aca="false">F350*O350</f>
        <v>0</v>
      </c>
      <c r="AK350" s="137"/>
      <c r="AL350" s="132" t="n">
        <f aca="false">CHOOSE($G$3,AC350-AD350,AD350-AC350)</f>
        <v>0</v>
      </c>
      <c r="AM350" s="132" t="n">
        <f aca="false">CHOOSE($G$3,AF350-AG350,AG350-AF350)</f>
        <v>0</v>
      </c>
      <c r="AN350" s="132" t="n">
        <f aca="false">CHOOSE($G$3,AI350-AJ350,AJ350-AI350)</f>
        <v>0</v>
      </c>
      <c r="AO350" s="148" t="n">
        <f aca="false">SUM(AL350:AN350)</f>
        <v>0</v>
      </c>
      <c r="AQ350" s="132" t="n">
        <f aca="false">CHOOSE($G$3,AB350-AC350,AC350-AB350)</f>
        <v>0</v>
      </c>
      <c r="AR350" s="132" t="n">
        <f aca="false">CHOOSE($G$3,AE350-AF350,AF350-AE350)</f>
        <v>0</v>
      </c>
      <c r="AS350" s="132" t="n">
        <f aca="false">CHOOSE($G$3,AH350-AI350,AI350-AH350)</f>
        <v>0</v>
      </c>
      <c r="AT350" s="148" t="n">
        <f aca="false">AQ350+AR350+AS350</f>
        <v>0</v>
      </c>
      <c r="AU350" s="148"/>
      <c r="AV350" s="133" t="n">
        <f aca="false">AT350+AO350</f>
        <v>0</v>
      </c>
      <c r="AX350" s="133" t="n">
        <f aca="false">AJ350+AG350+AD350</f>
        <v>0</v>
      </c>
      <c r="AY350" s="149"/>
      <c r="AZ350" s="76" t="n">
        <f aca="false">R350*E350</f>
        <v>0</v>
      </c>
    </row>
    <row r="351" customFormat="false" ht="12" hidden="false" customHeight="true" outlineLevel="0" collapsed="false">
      <c r="A351" s="138" t="n">
        <f aca="false">EDATE(A350,1)</f>
        <v>47362</v>
      </c>
      <c r="B351" s="139" t="n">
        <f aca="false">VLOOKUP($A351,Table2,MATCH(I$3,Curves2,0))</f>
        <v>0</v>
      </c>
      <c r="C351" s="140"/>
      <c r="D351" s="141" t="n">
        <f aca="false">B351+C351</f>
        <v>0</v>
      </c>
      <c r="E351" s="126" t="n">
        <f aca="false">IF(Y351=0,0,IF(AND(Y351=1,$H$3=1),D351*T351,IF($H$3=2,D351,"N/A")))</f>
        <v>0</v>
      </c>
      <c r="F351" s="126" t="n">
        <f aca="false">E351*X351</f>
        <v>0</v>
      </c>
      <c r="G351" s="142" t="n">
        <f aca="false">VLOOKUP($A351,Table,MATCH(G$4,Curves,0))</f>
        <v>3.987</v>
      </c>
      <c r="H351" s="143" t="n">
        <f aca="false">G351</f>
        <v>3.987</v>
      </c>
      <c r="I351" s="142" t="n">
        <f aca="false">VLOOKUP($A351,Table1,MATCH(I$3,Curves1,0))</f>
        <v>0</v>
      </c>
      <c r="J351" s="142" t="n">
        <f aca="false">VLOOKUP($A351,Table,MATCH(J$4,Curves,0))</f>
        <v>-0.061</v>
      </c>
      <c r="K351" s="143" t="n">
        <f aca="false">J351</f>
        <v>-0.061</v>
      </c>
      <c r="L351" s="144" t="n">
        <v>0</v>
      </c>
      <c r="M351" s="142" t="n">
        <f aca="false">VLOOKUP($A351,Table,MATCH(M$4,Curves,0))</f>
        <v>0.005</v>
      </c>
      <c r="N351" s="143" t="n">
        <f aca="false">M351</f>
        <v>0.005</v>
      </c>
      <c r="O351" s="144" t="n">
        <v>0</v>
      </c>
      <c r="P351" s="145"/>
      <c r="Q351" s="144" t="n">
        <f aca="false">M351+J351+G351</f>
        <v>3.931</v>
      </c>
      <c r="R351" s="144" t="n">
        <f aca="false">O351+L351+I351</f>
        <v>0</v>
      </c>
      <c r="S351" s="145"/>
      <c r="T351" s="71" t="n">
        <f aca="false">A352-A351</f>
        <v>30</v>
      </c>
      <c r="U351" s="146" t="n">
        <f aca="false">CHOOSE(F$3,A352+24,A351)</f>
        <v>47416</v>
      </c>
      <c r="V351" s="71" t="n">
        <f aca="false">U351-C$3</f>
        <v>10528</v>
      </c>
      <c r="W351" s="142" t="n">
        <f aca="false">VLOOKUP($A351,Table,MATCH(W$4,Curves,0))</f>
        <v>0.058966861357273</v>
      </c>
      <c r="X351" s="147" t="n">
        <f aca="false">1/(1+CHOOSE(F$3,(W352+($K$3/10000))/2,(W351+($K$3/10000))/2))^(2*V351/365.25)</f>
        <v>0.187290918769628</v>
      </c>
      <c r="Y351" s="71" t="n">
        <f aca="false">IF(AND(mthbeg&lt;=A351,mthend&gt;=A351),1,0)</f>
        <v>0</v>
      </c>
      <c r="Z351" s="71" t="n">
        <f aca="false">T351*Y351</f>
        <v>0</v>
      </c>
      <c r="AB351" s="132" t="n">
        <f aca="false">F351*G351</f>
        <v>0</v>
      </c>
      <c r="AC351" s="132" t="n">
        <f aca="false">$F351*H351</f>
        <v>0</v>
      </c>
      <c r="AD351" s="132" t="n">
        <f aca="false">$F351*I351</f>
        <v>0</v>
      </c>
      <c r="AE351" s="132" t="n">
        <f aca="false">$F351*J351</f>
        <v>-0</v>
      </c>
      <c r="AF351" s="132" t="n">
        <f aca="false">$F351*K351</f>
        <v>-0</v>
      </c>
      <c r="AG351" s="132" t="n">
        <f aca="false">$F351*L351</f>
        <v>0</v>
      </c>
      <c r="AH351" s="132" t="n">
        <f aca="false">$F351*M351</f>
        <v>0</v>
      </c>
      <c r="AI351" s="132" t="n">
        <f aca="false">$F351*N351</f>
        <v>0</v>
      </c>
      <c r="AJ351" s="132" t="n">
        <f aca="false">F351*O351</f>
        <v>0</v>
      </c>
      <c r="AK351" s="137"/>
      <c r="AL351" s="132" t="n">
        <f aca="false">CHOOSE($G$3,AC351-AD351,AD351-AC351)</f>
        <v>0</v>
      </c>
      <c r="AM351" s="132" t="n">
        <f aca="false">CHOOSE($G$3,AF351-AG351,AG351-AF351)</f>
        <v>0</v>
      </c>
      <c r="AN351" s="132" t="n">
        <f aca="false">CHOOSE($G$3,AI351-AJ351,AJ351-AI351)</f>
        <v>0</v>
      </c>
      <c r="AO351" s="148" t="n">
        <f aca="false">SUM(AL351:AN351)</f>
        <v>0</v>
      </c>
      <c r="AQ351" s="132" t="n">
        <f aca="false">CHOOSE($G$3,AB351-AC351,AC351-AB351)</f>
        <v>0</v>
      </c>
      <c r="AR351" s="132" t="n">
        <f aca="false">CHOOSE($G$3,AE351-AF351,AF351-AE351)</f>
        <v>0</v>
      </c>
      <c r="AS351" s="132" t="n">
        <f aca="false">CHOOSE($G$3,AH351-AI351,AI351-AH351)</f>
        <v>0</v>
      </c>
      <c r="AT351" s="148" t="n">
        <f aca="false">AQ351+AR351+AS351</f>
        <v>0</v>
      </c>
      <c r="AU351" s="148"/>
      <c r="AV351" s="133" t="n">
        <f aca="false">AT351+AO351</f>
        <v>0</v>
      </c>
      <c r="AX351" s="133" t="n">
        <f aca="false">AJ351+AG351+AD351</f>
        <v>0</v>
      </c>
      <c r="AY351" s="149"/>
      <c r="AZ351" s="76" t="n">
        <f aca="false">R351*E351</f>
        <v>0</v>
      </c>
    </row>
    <row r="352" customFormat="false" ht="12" hidden="false" customHeight="true" outlineLevel="0" collapsed="false">
      <c r="A352" s="138" t="n">
        <f aca="false">EDATE(A351,1)</f>
        <v>47392</v>
      </c>
      <c r="B352" s="139" t="n">
        <f aca="false">VLOOKUP($A352,Table2,MATCH(I$3,Curves2,0))</f>
        <v>0</v>
      </c>
      <c r="C352" s="140"/>
      <c r="D352" s="141" t="n">
        <f aca="false">B352+C352</f>
        <v>0</v>
      </c>
      <c r="E352" s="126" t="n">
        <f aca="false">IF(Y352=0,0,IF(AND(Y352=1,$H$3=1),D352*T352,IF($H$3=2,D352,"N/A")))</f>
        <v>0</v>
      </c>
      <c r="F352" s="126" t="n">
        <f aca="false">E352*X352</f>
        <v>0</v>
      </c>
      <c r="G352" s="142" t="n">
        <f aca="false">VLOOKUP($A352,Table,MATCH(G$4,Curves,0))</f>
        <v>3.987</v>
      </c>
      <c r="H352" s="143" t="n">
        <f aca="false">G352</f>
        <v>3.987</v>
      </c>
      <c r="I352" s="142" t="n">
        <f aca="false">VLOOKUP($A352,Table1,MATCH(I$3,Curves1,0))</f>
        <v>0</v>
      </c>
      <c r="J352" s="142" t="n">
        <f aca="false">VLOOKUP($A352,Table,MATCH(J$4,Curves,0))</f>
        <v>-0.061</v>
      </c>
      <c r="K352" s="143" t="n">
        <f aca="false">J352</f>
        <v>-0.061</v>
      </c>
      <c r="L352" s="144" t="n">
        <v>0</v>
      </c>
      <c r="M352" s="142" t="n">
        <f aca="false">VLOOKUP($A352,Table,MATCH(M$4,Curves,0))</f>
        <v>0.005</v>
      </c>
      <c r="N352" s="143" t="n">
        <f aca="false">M352</f>
        <v>0.005</v>
      </c>
      <c r="O352" s="144" t="n">
        <v>0</v>
      </c>
      <c r="P352" s="145"/>
      <c r="Q352" s="144" t="n">
        <f aca="false">M352+J352+G352</f>
        <v>3.931</v>
      </c>
      <c r="R352" s="144" t="n">
        <f aca="false">O352+L352+I352</f>
        <v>0</v>
      </c>
      <c r="S352" s="145"/>
      <c r="T352" s="71" t="n">
        <f aca="false">A353-A352</f>
        <v>31</v>
      </c>
      <c r="U352" s="146" t="n">
        <f aca="false">CHOOSE(F$3,A353+24,A352)</f>
        <v>47447</v>
      </c>
      <c r="V352" s="71" t="n">
        <f aca="false">U352-C$3</f>
        <v>10559</v>
      </c>
      <c r="W352" s="142" t="n">
        <f aca="false">VLOOKUP($A352,Table,MATCH(W$4,Curves,0))</f>
        <v>0.058966861357273</v>
      </c>
      <c r="X352" s="147" t="n">
        <f aca="false">1/(1+CHOOSE(F$3,(W353+($K$3/10000))/2,(W352+($K$3/10000))/2))^(2*V352/365.25)</f>
        <v>0.186369407533482</v>
      </c>
      <c r="Y352" s="71" t="n">
        <f aca="false">IF(AND(mthbeg&lt;=A352,mthend&gt;=A352),1,0)</f>
        <v>0</v>
      </c>
      <c r="Z352" s="71" t="n">
        <f aca="false">T352*Y352</f>
        <v>0</v>
      </c>
      <c r="AB352" s="132" t="n">
        <f aca="false">F352*G352</f>
        <v>0</v>
      </c>
      <c r="AC352" s="132" t="n">
        <f aca="false">$F352*H352</f>
        <v>0</v>
      </c>
      <c r="AD352" s="132" t="n">
        <f aca="false">$F352*I352</f>
        <v>0</v>
      </c>
      <c r="AE352" s="132" t="n">
        <f aca="false">$F352*J352</f>
        <v>-0</v>
      </c>
      <c r="AF352" s="132" t="n">
        <f aca="false">$F352*K352</f>
        <v>-0</v>
      </c>
      <c r="AG352" s="132" t="n">
        <f aca="false">$F352*L352</f>
        <v>0</v>
      </c>
      <c r="AH352" s="132" t="n">
        <f aca="false">$F352*M352</f>
        <v>0</v>
      </c>
      <c r="AI352" s="132" t="n">
        <f aca="false">$F352*N352</f>
        <v>0</v>
      </c>
      <c r="AJ352" s="132" t="n">
        <f aca="false">F352*O352</f>
        <v>0</v>
      </c>
      <c r="AK352" s="137"/>
      <c r="AL352" s="132" t="n">
        <f aca="false">CHOOSE($G$3,AC352-AD352,AD352-AC352)</f>
        <v>0</v>
      </c>
      <c r="AM352" s="132" t="n">
        <f aca="false">CHOOSE($G$3,AF352-AG352,AG352-AF352)</f>
        <v>0</v>
      </c>
      <c r="AN352" s="132" t="n">
        <f aca="false">CHOOSE($G$3,AI352-AJ352,AJ352-AI352)</f>
        <v>0</v>
      </c>
      <c r="AO352" s="148" t="n">
        <f aca="false">SUM(AL352:AN352)</f>
        <v>0</v>
      </c>
      <c r="AQ352" s="132" t="n">
        <f aca="false">CHOOSE($G$3,AB352-AC352,AC352-AB352)</f>
        <v>0</v>
      </c>
      <c r="AR352" s="132" t="n">
        <f aca="false">CHOOSE($G$3,AE352-AF352,AF352-AE352)</f>
        <v>0</v>
      </c>
      <c r="AS352" s="132" t="n">
        <f aca="false">CHOOSE($G$3,AH352-AI352,AI352-AH352)</f>
        <v>0</v>
      </c>
      <c r="AT352" s="148" t="n">
        <f aca="false">AQ352+AR352+AS352</f>
        <v>0</v>
      </c>
      <c r="AU352" s="148"/>
      <c r="AV352" s="133" t="n">
        <f aca="false">AT352+AO352</f>
        <v>0</v>
      </c>
      <c r="AX352" s="133" t="n">
        <f aca="false">AJ352+AG352+AD352</f>
        <v>0</v>
      </c>
      <c r="AY352" s="149"/>
      <c r="AZ352" s="76" t="n">
        <f aca="false">R352*E352</f>
        <v>0</v>
      </c>
    </row>
    <row r="353" customFormat="false" ht="12" hidden="false" customHeight="true" outlineLevel="0" collapsed="false">
      <c r="A353" s="138" t="n">
        <f aca="false">EDATE(A352,1)</f>
        <v>47423</v>
      </c>
      <c r="B353" s="139" t="n">
        <f aca="false">VLOOKUP($A353,Table2,MATCH(I$3,Curves2,0))</f>
        <v>0</v>
      </c>
      <c r="C353" s="140"/>
      <c r="D353" s="141" t="n">
        <f aca="false">B353+C353</f>
        <v>0</v>
      </c>
      <c r="E353" s="126" t="n">
        <f aca="false">IF(Y353=0,0,IF(AND(Y353=1,$H$3=1),D353*T353,IF($H$3=2,D353,"N/A")))</f>
        <v>0</v>
      </c>
      <c r="F353" s="126" t="n">
        <f aca="false">E353*X353</f>
        <v>0</v>
      </c>
      <c r="G353" s="142" t="n">
        <f aca="false">VLOOKUP($A353,Table,MATCH(G$4,Curves,0))</f>
        <v>3.987</v>
      </c>
      <c r="H353" s="143" t="n">
        <f aca="false">G353</f>
        <v>3.987</v>
      </c>
      <c r="I353" s="142" t="n">
        <f aca="false">VLOOKUP($A353,Table1,MATCH(I$3,Curves1,0))</f>
        <v>0</v>
      </c>
      <c r="J353" s="142" t="n">
        <f aca="false">VLOOKUP($A353,Table,MATCH(J$4,Curves,0))</f>
        <v>-0.061</v>
      </c>
      <c r="K353" s="143" t="n">
        <f aca="false">J353</f>
        <v>-0.061</v>
      </c>
      <c r="L353" s="144" t="n">
        <v>0</v>
      </c>
      <c r="M353" s="142" t="n">
        <f aca="false">VLOOKUP($A353,Table,MATCH(M$4,Curves,0))</f>
        <v>0.005</v>
      </c>
      <c r="N353" s="143" t="n">
        <f aca="false">M353</f>
        <v>0.005</v>
      </c>
      <c r="O353" s="144" t="n">
        <v>0</v>
      </c>
      <c r="P353" s="145"/>
      <c r="Q353" s="144" t="n">
        <f aca="false">M353+J353+G353</f>
        <v>3.931</v>
      </c>
      <c r="R353" s="144" t="n">
        <f aca="false">O353+L353+I353</f>
        <v>0</v>
      </c>
      <c r="S353" s="145"/>
      <c r="T353" s="71" t="n">
        <f aca="false">A354-A353</f>
        <v>30</v>
      </c>
      <c r="U353" s="146" t="n">
        <f aca="false">CHOOSE(F$3,A354+24,A353)</f>
        <v>47477</v>
      </c>
      <c r="V353" s="71" t="n">
        <f aca="false">U353-C$3</f>
        <v>10589</v>
      </c>
      <c r="W353" s="142" t="n">
        <f aca="false">VLOOKUP($A353,Table,MATCH(W$4,Curves,0))</f>
        <v>0.058966861357273</v>
      </c>
      <c r="X353" s="147" t="n">
        <f aca="false">1/(1+CHOOSE(F$3,(W354+($K$3/10000))/2,(W353+($K$3/10000))/2))^(2*V353/365.25)</f>
        <v>0.185481939696993</v>
      </c>
      <c r="Y353" s="71" t="n">
        <f aca="false">IF(AND(mthbeg&lt;=A353,mthend&gt;=A353),1,0)</f>
        <v>0</v>
      </c>
      <c r="Z353" s="71" t="n">
        <f aca="false">T353*Y353</f>
        <v>0</v>
      </c>
      <c r="AB353" s="132" t="n">
        <f aca="false">F353*G353</f>
        <v>0</v>
      </c>
      <c r="AC353" s="132" t="n">
        <f aca="false">$F353*H353</f>
        <v>0</v>
      </c>
      <c r="AD353" s="132" t="n">
        <f aca="false">$F353*I353</f>
        <v>0</v>
      </c>
      <c r="AE353" s="132" t="n">
        <f aca="false">$F353*J353</f>
        <v>-0</v>
      </c>
      <c r="AF353" s="132" t="n">
        <f aca="false">$F353*K353</f>
        <v>-0</v>
      </c>
      <c r="AG353" s="132" t="n">
        <f aca="false">$F353*L353</f>
        <v>0</v>
      </c>
      <c r="AH353" s="132" t="n">
        <f aca="false">$F353*M353</f>
        <v>0</v>
      </c>
      <c r="AI353" s="132" t="n">
        <f aca="false">$F353*N353</f>
        <v>0</v>
      </c>
      <c r="AJ353" s="132" t="n">
        <f aca="false">F353*O353</f>
        <v>0</v>
      </c>
      <c r="AK353" s="137"/>
      <c r="AL353" s="132" t="n">
        <f aca="false">CHOOSE($G$3,AC353-AD353,AD353-AC353)</f>
        <v>0</v>
      </c>
      <c r="AM353" s="132" t="n">
        <f aca="false">CHOOSE($G$3,AF353-AG353,AG353-AF353)</f>
        <v>0</v>
      </c>
      <c r="AN353" s="132" t="n">
        <f aca="false">CHOOSE($G$3,AI353-AJ353,AJ353-AI353)</f>
        <v>0</v>
      </c>
      <c r="AO353" s="148" t="n">
        <f aca="false">SUM(AL353:AN353)</f>
        <v>0</v>
      </c>
      <c r="AQ353" s="132" t="n">
        <f aca="false">CHOOSE($G$3,AB353-AC353,AC353-AB353)</f>
        <v>0</v>
      </c>
      <c r="AR353" s="132" t="n">
        <f aca="false">CHOOSE($G$3,AE353-AF353,AF353-AE353)</f>
        <v>0</v>
      </c>
      <c r="AS353" s="132" t="n">
        <f aca="false">CHOOSE($G$3,AH353-AI353,AI353-AH353)</f>
        <v>0</v>
      </c>
      <c r="AT353" s="148" t="n">
        <f aca="false">AQ353+AR353+AS353</f>
        <v>0</v>
      </c>
      <c r="AU353" s="148"/>
      <c r="AV353" s="133" t="n">
        <f aca="false">AT353+AO353</f>
        <v>0</v>
      </c>
      <c r="AX353" s="133" t="n">
        <f aca="false">AJ353+AG353+AD353</f>
        <v>0</v>
      </c>
      <c r="AY353" s="149"/>
      <c r="AZ353" s="76" t="n">
        <f aca="false">R353*E353</f>
        <v>0</v>
      </c>
    </row>
    <row r="354" customFormat="false" ht="12" hidden="false" customHeight="true" outlineLevel="0" collapsed="false">
      <c r="A354" s="138" t="n">
        <f aca="false">EDATE(A353,1)</f>
        <v>47453</v>
      </c>
      <c r="B354" s="139" t="n">
        <f aca="false">VLOOKUP($A354,Table2,MATCH(I$3,Curves2,0))</f>
        <v>0</v>
      </c>
      <c r="C354" s="140"/>
      <c r="D354" s="141" t="n">
        <f aca="false">B354+C354</f>
        <v>0</v>
      </c>
      <c r="E354" s="126" t="n">
        <f aca="false">IF(Y354=0,0,IF(AND(Y354=1,$H$3=1),D354*T354,IF($H$3=2,D354,"N/A")))</f>
        <v>0</v>
      </c>
      <c r="F354" s="126" t="n">
        <f aca="false">E354*X354</f>
        <v>0</v>
      </c>
      <c r="G354" s="142" t="n">
        <f aca="false">VLOOKUP($A354,Table,MATCH(G$4,Curves,0))</f>
        <v>3.987</v>
      </c>
      <c r="H354" s="143" t="n">
        <f aca="false">G354</f>
        <v>3.987</v>
      </c>
      <c r="I354" s="142" t="n">
        <f aca="false">VLOOKUP($A354,Table1,MATCH(I$3,Curves1,0))</f>
        <v>0</v>
      </c>
      <c r="J354" s="142" t="n">
        <f aca="false">VLOOKUP($A354,Table,MATCH(J$4,Curves,0))</f>
        <v>-0.061</v>
      </c>
      <c r="K354" s="143" t="n">
        <f aca="false">J354</f>
        <v>-0.061</v>
      </c>
      <c r="L354" s="144" t="n">
        <v>0</v>
      </c>
      <c r="M354" s="142" t="n">
        <f aca="false">VLOOKUP($A354,Table,MATCH(M$4,Curves,0))</f>
        <v>0.005</v>
      </c>
      <c r="N354" s="143" t="n">
        <f aca="false">M354</f>
        <v>0.005</v>
      </c>
      <c r="O354" s="144" t="n">
        <v>0</v>
      </c>
      <c r="P354" s="145"/>
      <c r="Q354" s="144" t="n">
        <f aca="false">M354+J354+G354</f>
        <v>3.931</v>
      </c>
      <c r="R354" s="144" t="n">
        <f aca="false">O354+L354+I354</f>
        <v>0</v>
      </c>
      <c r="S354" s="145"/>
      <c r="T354" s="71" t="n">
        <f aca="false">A355-A354</f>
        <v>31</v>
      </c>
      <c r="U354" s="146" t="n">
        <f aca="false">CHOOSE(F$3,A355+24,A354)</f>
        <v>47508</v>
      </c>
      <c r="V354" s="71" t="n">
        <f aca="false">U354-C$3</f>
        <v>10620</v>
      </c>
      <c r="W354" s="142" t="n">
        <f aca="false">VLOOKUP($A354,Table,MATCH(W$4,Curves,0))</f>
        <v>0.058966861357273</v>
      </c>
      <c r="X354" s="147" t="n">
        <f aca="false">1/(1+CHOOSE(F$3,(W355+($K$3/10000))/2,(W354+($K$3/10000))/2))^(2*V354/365.25)</f>
        <v>0.184569329023417</v>
      </c>
      <c r="Y354" s="71" t="n">
        <f aca="false">IF(AND(mthbeg&lt;=A354,mthend&gt;=A354),1,0)</f>
        <v>0</v>
      </c>
      <c r="Z354" s="71" t="n">
        <f aca="false">T354*Y354</f>
        <v>0</v>
      </c>
      <c r="AB354" s="132" t="n">
        <f aca="false">F354*G354</f>
        <v>0</v>
      </c>
      <c r="AC354" s="132" t="n">
        <f aca="false">$F354*H354</f>
        <v>0</v>
      </c>
      <c r="AD354" s="132" t="n">
        <f aca="false">$F354*I354</f>
        <v>0</v>
      </c>
      <c r="AE354" s="132" t="n">
        <f aca="false">$F354*J354</f>
        <v>-0</v>
      </c>
      <c r="AF354" s="132" t="n">
        <f aca="false">$F354*K354</f>
        <v>-0</v>
      </c>
      <c r="AG354" s="132" t="n">
        <f aca="false">$F354*L354</f>
        <v>0</v>
      </c>
      <c r="AH354" s="132" t="n">
        <f aca="false">$F354*M354</f>
        <v>0</v>
      </c>
      <c r="AI354" s="132" t="n">
        <f aca="false">$F354*N354</f>
        <v>0</v>
      </c>
      <c r="AJ354" s="132" t="n">
        <f aca="false">F354*O354</f>
        <v>0</v>
      </c>
      <c r="AK354" s="137"/>
      <c r="AL354" s="132" t="n">
        <f aca="false">CHOOSE($G$3,AC354-AD354,AD354-AC354)</f>
        <v>0</v>
      </c>
      <c r="AM354" s="132" t="n">
        <f aca="false">CHOOSE($G$3,AF354-AG354,AG354-AF354)</f>
        <v>0</v>
      </c>
      <c r="AN354" s="132" t="n">
        <f aca="false">CHOOSE($G$3,AI354-AJ354,AJ354-AI354)</f>
        <v>0</v>
      </c>
      <c r="AO354" s="148" t="n">
        <f aca="false">SUM(AL354:AN354)</f>
        <v>0</v>
      </c>
      <c r="AQ354" s="132" t="n">
        <f aca="false">CHOOSE($G$3,AB354-AC354,AC354-AB354)</f>
        <v>0</v>
      </c>
      <c r="AR354" s="132" t="n">
        <f aca="false">CHOOSE($G$3,AE354-AF354,AF354-AE354)</f>
        <v>0</v>
      </c>
      <c r="AS354" s="132" t="n">
        <f aca="false">CHOOSE($G$3,AH354-AI354,AI354-AH354)</f>
        <v>0</v>
      </c>
      <c r="AT354" s="148" t="n">
        <f aca="false">AQ354+AR354+AS354</f>
        <v>0</v>
      </c>
      <c r="AU354" s="148"/>
      <c r="AV354" s="133" t="n">
        <f aca="false">AT354+AO354</f>
        <v>0</v>
      </c>
      <c r="AX354" s="133" t="n">
        <f aca="false">AJ354+AG354+AD354</f>
        <v>0</v>
      </c>
      <c r="AY354" s="149"/>
      <c r="AZ354" s="76" t="n">
        <f aca="false">R354*E354</f>
        <v>0</v>
      </c>
    </row>
    <row r="355" customFormat="false" ht="12" hidden="false" customHeight="true" outlineLevel="0" collapsed="false">
      <c r="A355" s="138" t="n">
        <f aca="false">EDATE(A354,1)</f>
        <v>47484</v>
      </c>
      <c r="B355" s="139" t="n">
        <f aca="false">VLOOKUP($A355,Table2,MATCH(I$3,Curves2,0))</f>
        <v>0</v>
      </c>
      <c r="C355" s="140"/>
      <c r="D355" s="141" t="n">
        <f aca="false">B355+C355</f>
        <v>0</v>
      </c>
      <c r="E355" s="126" t="n">
        <f aca="false">IF(Y355=0,0,IF(AND(Y355=1,$H$3=1),D355*T355,IF($H$3=2,D355,"N/A")))</f>
        <v>0</v>
      </c>
      <c r="F355" s="126" t="n">
        <f aca="false">E355*X355</f>
        <v>0</v>
      </c>
      <c r="G355" s="142" t="n">
        <f aca="false">VLOOKUP($A355,Table,MATCH(G$4,Curves,0))</f>
        <v>3.987</v>
      </c>
      <c r="H355" s="143" t="n">
        <f aca="false">G355</f>
        <v>3.987</v>
      </c>
      <c r="I355" s="142" t="n">
        <f aca="false">VLOOKUP($A355,Table1,MATCH(I$3,Curves1,0))</f>
        <v>0</v>
      </c>
      <c r="J355" s="142" t="n">
        <f aca="false">VLOOKUP($A355,Table,MATCH(J$4,Curves,0))</f>
        <v>-0.061</v>
      </c>
      <c r="K355" s="143" t="n">
        <f aca="false">J355</f>
        <v>-0.061</v>
      </c>
      <c r="L355" s="144" t="n">
        <v>0</v>
      </c>
      <c r="M355" s="142" t="n">
        <f aca="false">VLOOKUP($A355,Table,MATCH(M$4,Curves,0))</f>
        <v>0.005</v>
      </c>
      <c r="N355" s="143" t="n">
        <f aca="false">M355</f>
        <v>0.005</v>
      </c>
      <c r="O355" s="144" t="n">
        <v>0</v>
      </c>
      <c r="P355" s="145"/>
      <c r="Q355" s="144" t="n">
        <f aca="false">M355+J355+G355</f>
        <v>3.931</v>
      </c>
      <c r="R355" s="144" t="n">
        <f aca="false">O355+L355+I355</f>
        <v>0</v>
      </c>
      <c r="S355" s="145"/>
      <c r="T355" s="71" t="n">
        <f aca="false">A356-A355</f>
        <v>31</v>
      </c>
      <c r="U355" s="146" t="n">
        <f aca="false">CHOOSE(F$3,A356+24,A355)</f>
        <v>47539</v>
      </c>
      <c r="V355" s="71" t="n">
        <f aca="false">U355-C$3</f>
        <v>10651</v>
      </c>
      <c r="W355" s="142" t="n">
        <f aca="false">VLOOKUP($A355,Table,MATCH(W$4,Curves,0))</f>
        <v>0.058966861357273</v>
      </c>
      <c r="X355" s="147" t="n">
        <f aca="false">1/(1+CHOOSE(F$3,(W356+($K$3/10000))/2,(W355+($K$3/10000))/2))^(2*V355/365.25)</f>
        <v>0.183661208588853</v>
      </c>
      <c r="Y355" s="71" t="n">
        <f aca="false">IF(AND(mthbeg&lt;=A355,mthend&gt;=A355),1,0)</f>
        <v>0</v>
      </c>
      <c r="Z355" s="71" t="n">
        <f aca="false">T355*Y355</f>
        <v>0</v>
      </c>
      <c r="AB355" s="132" t="n">
        <f aca="false">F355*G355</f>
        <v>0</v>
      </c>
      <c r="AC355" s="132" t="n">
        <f aca="false">$F355*H355</f>
        <v>0</v>
      </c>
      <c r="AD355" s="132" t="n">
        <f aca="false">$F355*I355</f>
        <v>0</v>
      </c>
      <c r="AE355" s="132" t="n">
        <f aca="false">$F355*J355</f>
        <v>-0</v>
      </c>
      <c r="AF355" s="132" t="n">
        <f aca="false">$F355*K355</f>
        <v>-0</v>
      </c>
      <c r="AG355" s="132" t="n">
        <f aca="false">$F355*L355</f>
        <v>0</v>
      </c>
      <c r="AH355" s="132" t="n">
        <f aca="false">$F355*M355</f>
        <v>0</v>
      </c>
      <c r="AI355" s="132" t="n">
        <f aca="false">$F355*N355</f>
        <v>0</v>
      </c>
      <c r="AJ355" s="132" t="n">
        <f aca="false">F355*O355</f>
        <v>0</v>
      </c>
      <c r="AK355" s="137"/>
      <c r="AL355" s="132" t="n">
        <f aca="false">CHOOSE($G$3,AC355-AD355,AD355-AC355)</f>
        <v>0</v>
      </c>
      <c r="AM355" s="132" t="n">
        <f aca="false">CHOOSE($G$3,AF355-AG355,AG355-AF355)</f>
        <v>0</v>
      </c>
      <c r="AN355" s="132" t="n">
        <f aca="false">CHOOSE($G$3,AI355-AJ355,AJ355-AI355)</f>
        <v>0</v>
      </c>
      <c r="AO355" s="148" t="n">
        <f aca="false">SUM(AL355:AN355)</f>
        <v>0</v>
      </c>
      <c r="AQ355" s="132" t="n">
        <f aca="false">CHOOSE($G$3,AB355-AC355,AC355-AB355)</f>
        <v>0</v>
      </c>
      <c r="AR355" s="132" t="n">
        <f aca="false">CHOOSE($G$3,AE355-AF355,AF355-AE355)</f>
        <v>0</v>
      </c>
      <c r="AS355" s="132" t="n">
        <f aca="false">CHOOSE($G$3,AH355-AI355,AI355-AH355)</f>
        <v>0</v>
      </c>
      <c r="AT355" s="148" t="n">
        <f aca="false">AQ355+AR355+AS355</f>
        <v>0</v>
      </c>
      <c r="AU355" s="148"/>
      <c r="AV355" s="133" t="n">
        <f aca="false">AT355+AO355</f>
        <v>0</v>
      </c>
      <c r="AX355" s="133" t="n">
        <f aca="false">AJ355+AG355+AD355</f>
        <v>0</v>
      </c>
      <c r="AY355" s="149"/>
      <c r="AZ355" s="76" t="n">
        <f aca="false">R355*E355</f>
        <v>0</v>
      </c>
    </row>
    <row r="356" customFormat="false" ht="12" hidden="false" customHeight="true" outlineLevel="0" collapsed="false">
      <c r="A356" s="138" t="n">
        <f aca="false">EDATE(A355,1)</f>
        <v>47515</v>
      </c>
      <c r="B356" s="139" t="n">
        <f aca="false">VLOOKUP($A356,Table2,MATCH(I$3,Curves2,0))</f>
        <v>0</v>
      </c>
      <c r="C356" s="140"/>
      <c r="D356" s="141" t="n">
        <f aca="false">B356+C356</f>
        <v>0</v>
      </c>
      <c r="E356" s="126" t="n">
        <f aca="false">IF(Y356=0,0,IF(AND(Y356=1,$H$3=1),D356*T356,IF($H$3=2,D356,"N/A")))</f>
        <v>0</v>
      </c>
      <c r="F356" s="126" t="n">
        <f aca="false">E356*X356</f>
        <v>0</v>
      </c>
      <c r="G356" s="142" t="n">
        <f aca="false">VLOOKUP($A356,Table,MATCH(G$4,Curves,0))</f>
        <v>3.987</v>
      </c>
      <c r="H356" s="143" t="n">
        <f aca="false">G356</f>
        <v>3.987</v>
      </c>
      <c r="I356" s="142" t="n">
        <f aca="false">VLOOKUP($A356,Table1,MATCH(I$3,Curves1,0))</f>
        <v>0</v>
      </c>
      <c r="J356" s="142" t="n">
        <f aca="false">VLOOKUP($A356,Table,MATCH(J$4,Curves,0))</f>
        <v>-0.061</v>
      </c>
      <c r="K356" s="143" t="n">
        <f aca="false">J356</f>
        <v>-0.061</v>
      </c>
      <c r="L356" s="144" t="n">
        <v>0</v>
      </c>
      <c r="M356" s="142" t="n">
        <f aca="false">VLOOKUP($A356,Table,MATCH(M$4,Curves,0))</f>
        <v>0.005</v>
      </c>
      <c r="N356" s="143" t="n">
        <f aca="false">M356</f>
        <v>0.005</v>
      </c>
      <c r="O356" s="144" t="n">
        <v>0</v>
      </c>
      <c r="P356" s="145"/>
      <c r="Q356" s="144" t="n">
        <f aca="false">M356+J356+G356</f>
        <v>3.931</v>
      </c>
      <c r="R356" s="144" t="n">
        <f aca="false">O356+L356+I356</f>
        <v>0</v>
      </c>
      <c r="S356" s="145"/>
      <c r="T356" s="71" t="n">
        <f aca="false">A357-A356</f>
        <v>28</v>
      </c>
      <c r="U356" s="146" t="n">
        <f aca="false">CHOOSE(F$3,A357+24,A356)</f>
        <v>47567</v>
      </c>
      <c r="V356" s="71" t="n">
        <f aca="false">U356-C$3</f>
        <v>10679</v>
      </c>
      <c r="W356" s="142" t="n">
        <f aca="false">VLOOKUP($A356,Table,MATCH(W$4,Curves,0))</f>
        <v>0.058966861357273</v>
      </c>
      <c r="X356" s="147" t="n">
        <f aca="false">1/(1+CHOOSE(F$3,(W357+($K$3/10000))/2,(W356+($K$3/10000))/2))^(2*V356/365.25)</f>
        <v>0.182844811854227</v>
      </c>
      <c r="Y356" s="71" t="n">
        <f aca="false">IF(AND(mthbeg&lt;=A356,mthend&gt;=A356),1,0)</f>
        <v>0</v>
      </c>
      <c r="Z356" s="71" t="n">
        <f aca="false">T356*Y356</f>
        <v>0</v>
      </c>
      <c r="AB356" s="132" t="n">
        <f aca="false">F356*G356</f>
        <v>0</v>
      </c>
      <c r="AC356" s="132" t="n">
        <f aca="false">$F356*H356</f>
        <v>0</v>
      </c>
      <c r="AD356" s="132" t="n">
        <f aca="false">$F356*I356</f>
        <v>0</v>
      </c>
      <c r="AE356" s="132" t="n">
        <f aca="false">$F356*J356</f>
        <v>-0</v>
      </c>
      <c r="AF356" s="132" t="n">
        <f aca="false">$F356*K356</f>
        <v>-0</v>
      </c>
      <c r="AG356" s="132" t="n">
        <f aca="false">$F356*L356</f>
        <v>0</v>
      </c>
      <c r="AH356" s="132" t="n">
        <f aca="false">$F356*M356</f>
        <v>0</v>
      </c>
      <c r="AI356" s="132" t="n">
        <f aca="false">$F356*N356</f>
        <v>0</v>
      </c>
      <c r="AJ356" s="132" t="n">
        <f aca="false">F356*O356</f>
        <v>0</v>
      </c>
      <c r="AK356" s="137"/>
      <c r="AL356" s="132" t="n">
        <f aca="false">CHOOSE($G$3,AC356-AD356,AD356-AC356)</f>
        <v>0</v>
      </c>
      <c r="AM356" s="132" t="n">
        <f aca="false">CHOOSE($G$3,AF356-AG356,AG356-AF356)</f>
        <v>0</v>
      </c>
      <c r="AN356" s="132" t="n">
        <f aca="false">CHOOSE($G$3,AI356-AJ356,AJ356-AI356)</f>
        <v>0</v>
      </c>
      <c r="AO356" s="148" t="n">
        <f aca="false">SUM(AL356:AN356)</f>
        <v>0</v>
      </c>
      <c r="AQ356" s="132" t="n">
        <f aca="false">CHOOSE($G$3,AB356-AC356,AC356-AB356)</f>
        <v>0</v>
      </c>
      <c r="AR356" s="132" t="n">
        <f aca="false">CHOOSE($G$3,AE356-AF356,AF356-AE356)</f>
        <v>0</v>
      </c>
      <c r="AS356" s="132" t="n">
        <f aca="false">CHOOSE($G$3,AH356-AI356,AI356-AH356)</f>
        <v>0</v>
      </c>
      <c r="AT356" s="148" t="n">
        <f aca="false">AQ356+AR356+AS356</f>
        <v>0</v>
      </c>
      <c r="AU356" s="148"/>
      <c r="AV356" s="133" t="n">
        <f aca="false">AT356+AO356</f>
        <v>0</v>
      </c>
      <c r="AX356" s="133" t="n">
        <f aca="false">AJ356+AG356+AD356</f>
        <v>0</v>
      </c>
      <c r="AY356" s="149"/>
      <c r="AZ356" s="76" t="n">
        <f aca="false">R356*E356</f>
        <v>0</v>
      </c>
    </row>
    <row r="357" customFormat="false" ht="12" hidden="false" customHeight="true" outlineLevel="0" collapsed="false">
      <c r="A357" s="138" t="n">
        <f aca="false">EDATE(A356,1)</f>
        <v>47543</v>
      </c>
      <c r="B357" s="139" t="n">
        <f aca="false">VLOOKUP($A357,Table2,MATCH(I$3,Curves2,0))</f>
        <v>0</v>
      </c>
      <c r="C357" s="140"/>
      <c r="D357" s="141" t="n">
        <f aca="false">B357+C357</f>
        <v>0</v>
      </c>
      <c r="E357" s="126" t="n">
        <f aca="false">IF(Y357=0,0,IF(AND(Y357=1,$H$3=1),D357*T357,IF($H$3=2,D357,"N/A")))</f>
        <v>0</v>
      </c>
      <c r="F357" s="126" t="n">
        <f aca="false">E357*X357</f>
        <v>0</v>
      </c>
      <c r="G357" s="142" t="n">
        <f aca="false">VLOOKUP($A357,Table,MATCH(G$4,Curves,0))</f>
        <v>3.987</v>
      </c>
      <c r="H357" s="143" t="n">
        <f aca="false">G357</f>
        <v>3.987</v>
      </c>
      <c r="I357" s="142" t="n">
        <f aca="false">VLOOKUP($A357,Table1,MATCH(I$3,Curves1,0))</f>
        <v>0</v>
      </c>
      <c r="J357" s="142" t="n">
        <f aca="false">VLOOKUP($A357,Table,MATCH(J$4,Curves,0))</f>
        <v>-0.061</v>
      </c>
      <c r="K357" s="143" t="n">
        <f aca="false">J357</f>
        <v>-0.061</v>
      </c>
      <c r="L357" s="144" t="n">
        <v>0</v>
      </c>
      <c r="M357" s="142" t="n">
        <f aca="false">VLOOKUP($A357,Table,MATCH(M$4,Curves,0))</f>
        <v>0.005</v>
      </c>
      <c r="N357" s="143" t="n">
        <f aca="false">M357</f>
        <v>0.005</v>
      </c>
      <c r="O357" s="144" t="n">
        <v>0</v>
      </c>
      <c r="P357" s="145"/>
      <c r="Q357" s="144" t="n">
        <f aca="false">M357+J357+G357</f>
        <v>3.931</v>
      </c>
      <c r="R357" s="144" t="n">
        <f aca="false">O357+L357+I357</f>
        <v>0</v>
      </c>
      <c r="S357" s="145"/>
      <c r="T357" s="71" t="n">
        <f aca="false">A358-A357</f>
        <v>31</v>
      </c>
      <c r="U357" s="146" t="n">
        <f aca="false">CHOOSE(F$3,A358+24,A357)</f>
        <v>47598</v>
      </c>
      <c r="V357" s="71" t="n">
        <f aca="false">U357-C$3</f>
        <v>10710</v>
      </c>
      <c r="W357" s="142" t="n">
        <f aca="false">VLOOKUP($A357,Table,MATCH(W$4,Curves,0))</f>
        <v>0.058966861357273</v>
      </c>
      <c r="X357" s="147" t="n">
        <f aca="false">1/(1+CHOOSE(F$3,(W358+($K$3/10000))/2,(W357+($K$3/10000))/2))^(2*V357/365.25)</f>
        <v>0.181945176411668</v>
      </c>
      <c r="Y357" s="71" t="n">
        <f aca="false">IF(AND(mthbeg&lt;=A357,mthend&gt;=A357),1,0)</f>
        <v>0</v>
      </c>
      <c r="Z357" s="71" t="n">
        <f aca="false">T357*Y357</f>
        <v>0</v>
      </c>
      <c r="AB357" s="132" t="n">
        <f aca="false">F357*G357</f>
        <v>0</v>
      </c>
      <c r="AC357" s="132" t="n">
        <f aca="false">$F357*H357</f>
        <v>0</v>
      </c>
      <c r="AD357" s="132" t="n">
        <f aca="false">$F357*I357</f>
        <v>0</v>
      </c>
      <c r="AE357" s="132" t="n">
        <f aca="false">$F357*J357</f>
        <v>-0</v>
      </c>
      <c r="AF357" s="132" t="n">
        <f aca="false">$F357*K357</f>
        <v>-0</v>
      </c>
      <c r="AG357" s="132" t="n">
        <f aca="false">$F357*L357</f>
        <v>0</v>
      </c>
      <c r="AH357" s="132" t="n">
        <f aca="false">$F357*M357</f>
        <v>0</v>
      </c>
      <c r="AI357" s="132" t="n">
        <f aca="false">$F357*N357</f>
        <v>0</v>
      </c>
      <c r="AJ357" s="132" t="n">
        <f aca="false">F357*O357</f>
        <v>0</v>
      </c>
      <c r="AK357" s="137"/>
      <c r="AL357" s="132" t="n">
        <f aca="false">CHOOSE($G$3,AC357-AD357,AD357-AC357)</f>
        <v>0</v>
      </c>
      <c r="AM357" s="132" t="n">
        <f aca="false">CHOOSE($G$3,AF357-AG357,AG357-AF357)</f>
        <v>0</v>
      </c>
      <c r="AN357" s="132" t="n">
        <f aca="false">CHOOSE($G$3,AI357-AJ357,AJ357-AI357)</f>
        <v>0</v>
      </c>
      <c r="AO357" s="148" t="n">
        <f aca="false">SUM(AL357:AN357)</f>
        <v>0</v>
      </c>
      <c r="AQ357" s="132" t="n">
        <f aca="false">CHOOSE($G$3,AB357-AC357,AC357-AB357)</f>
        <v>0</v>
      </c>
      <c r="AR357" s="132" t="n">
        <f aca="false">CHOOSE($G$3,AE357-AF357,AF357-AE357)</f>
        <v>0</v>
      </c>
      <c r="AS357" s="132" t="n">
        <f aca="false">CHOOSE($G$3,AH357-AI357,AI357-AH357)</f>
        <v>0</v>
      </c>
      <c r="AT357" s="148" t="n">
        <f aca="false">AQ357+AR357+AS357</f>
        <v>0</v>
      </c>
      <c r="AU357" s="148"/>
      <c r="AV357" s="133" t="n">
        <f aca="false">AT357+AO357</f>
        <v>0</v>
      </c>
      <c r="AX357" s="133" t="n">
        <f aca="false">AJ357+AG357+AD357</f>
        <v>0</v>
      </c>
      <c r="AY357" s="149"/>
      <c r="AZ357" s="76" t="n">
        <f aca="false">R357*E357</f>
        <v>0</v>
      </c>
    </row>
    <row r="358" customFormat="false" ht="12" hidden="false" customHeight="true" outlineLevel="0" collapsed="false">
      <c r="A358" s="138" t="n">
        <f aca="false">EDATE(A357,1)</f>
        <v>47574</v>
      </c>
      <c r="B358" s="139" t="n">
        <f aca="false">VLOOKUP($A358,Table2,MATCH(I$3,Curves2,0))</f>
        <v>0</v>
      </c>
      <c r="C358" s="140"/>
      <c r="D358" s="141" t="n">
        <f aca="false">B358+C358</f>
        <v>0</v>
      </c>
      <c r="E358" s="126" t="n">
        <f aca="false">IF(Y358=0,0,IF(AND(Y358=1,$H$3=1),D358*T358,IF($H$3=2,D358,"N/A")))</f>
        <v>0</v>
      </c>
      <c r="F358" s="126" t="n">
        <f aca="false">E358*X358</f>
        <v>0</v>
      </c>
      <c r="G358" s="142" t="n">
        <f aca="false">VLOOKUP($A358,Table,MATCH(G$4,Curves,0))</f>
        <v>3.987</v>
      </c>
      <c r="H358" s="143" t="n">
        <f aca="false">G358</f>
        <v>3.987</v>
      </c>
      <c r="I358" s="142" t="n">
        <f aca="false">VLOOKUP($A358,Table1,MATCH(I$3,Curves1,0))</f>
        <v>0</v>
      </c>
      <c r="J358" s="142" t="n">
        <f aca="false">VLOOKUP($A358,Table,MATCH(J$4,Curves,0))</f>
        <v>-0.061</v>
      </c>
      <c r="K358" s="143" t="n">
        <f aca="false">J358</f>
        <v>-0.061</v>
      </c>
      <c r="L358" s="144" t="n">
        <v>0</v>
      </c>
      <c r="M358" s="142" t="n">
        <f aca="false">VLOOKUP($A358,Table,MATCH(M$4,Curves,0))</f>
        <v>0.005</v>
      </c>
      <c r="N358" s="143" t="n">
        <f aca="false">M358</f>
        <v>0.005</v>
      </c>
      <c r="O358" s="144" t="n">
        <v>0</v>
      </c>
      <c r="P358" s="145"/>
      <c r="Q358" s="144" t="n">
        <f aca="false">M358+J358+G358</f>
        <v>3.931</v>
      </c>
      <c r="R358" s="144" t="n">
        <f aca="false">O358+L358+I358</f>
        <v>0</v>
      </c>
      <c r="S358" s="145"/>
      <c r="T358" s="71" t="n">
        <f aca="false">A359-A358</f>
        <v>30</v>
      </c>
      <c r="U358" s="146" t="n">
        <f aca="false">CHOOSE(F$3,A359+24,A358)</f>
        <v>47628</v>
      </c>
      <c r="V358" s="71" t="n">
        <f aca="false">U358-C$3</f>
        <v>10740</v>
      </c>
      <c r="W358" s="142" t="n">
        <f aca="false">VLOOKUP($A358,Table,MATCH(W$4,Curves,0))</f>
        <v>0.058966861357273</v>
      </c>
      <c r="X358" s="147" t="n">
        <f aca="false">1/(1+CHOOSE(F$3,(W359+($K$3/10000))/2,(W358+($K$3/10000))/2))^(2*V358/365.25)</f>
        <v>0.181078776211084</v>
      </c>
      <c r="Y358" s="71" t="n">
        <f aca="false">IF(AND(mthbeg&lt;=A358,mthend&gt;=A358),1,0)</f>
        <v>0</v>
      </c>
      <c r="Z358" s="71" t="n">
        <f aca="false">T358*Y358</f>
        <v>0</v>
      </c>
      <c r="AB358" s="132" t="n">
        <f aca="false">F358*G358</f>
        <v>0</v>
      </c>
      <c r="AC358" s="132" t="n">
        <f aca="false">$F358*H358</f>
        <v>0</v>
      </c>
      <c r="AD358" s="132" t="n">
        <f aca="false">$F358*I358</f>
        <v>0</v>
      </c>
      <c r="AE358" s="132" t="n">
        <f aca="false">$F358*J358</f>
        <v>-0</v>
      </c>
      <c r="AF358" s="132" t="n">
        <f aca="false">$F358*K358</f>
        <v>-0</v>
      </c>
      <c r="AG358" s="132" t="n">
        <f aca="false">$F358*L358</f>
        <v>0</v>
      </c>
      <c r="AH358" s="132" t="n">
        <f aca="false">$F358*M358</f>
        <v>0</v>
      </c>
      <c r="AI358" s="132" t="n">
        <f aca="false">$F358*N358</f>
        <v>0</v>
      </c>
      <c r="AJ358" s="132" t="n">
        <f aca="false">F358*O358</f>
        <v>0</v>
      </c>
      <c r="AK358" s="137"/>
      <c r="AL358" s="132" t="n">
        <f aca="false">CHOOSE($G$3,AC358-AD358,AD358-AC358)</f>
        <v>0</v>
      </c>
      <c r="AM358" s="132" t="n">
        <f aca="false">CHOOSE($G$3,AF358-AG358,AG358-AF358)</f>
        <v>0</v>
      </c>
      <c r="AN358" s="132" t="n">
        <f aca="false">CHOOSE($G$3,AI358-AJ358,AJ358-AI358)</f>
        <v>0</v>
      </c>
      <c r="AO358" s="148" t="n">
        <f aca="false">SUM(AL358:AN358)</f>
        <v>0</v>
      </c>
      <c r="AQ358" s="132" t="n">
        <f aca="false">CHOOSE($G$3,AB358-AC358,AC358-AB358)</f>
        <v>0</v>
      </c>
      <c r="AR358" s="132" t="n">
        <f aca="false">CHOOSE($G$3,AE358-AF358,AF358-AE358)</f>
        <v>0</v>
      </c>
      <c r="AS358" s="132" t="n">
        <f aca="false">CHOOSE($G$3,AH358-AI358,AI358-AH358)</f>
        <v>0</v>
      </c>
      <c r="AT358" s="148" t="n">
        <f aca="false">AQ358+AR358+AS358</f>
        <v>0</v>
      </c>
      <c r="AU358" s="148"/>
      <c r="AV358" s="133" t="n">
        <f aca="false">AT358+AO358</f>
        <v>0</v>
      </c>
      <c r="AX358" s="133" t="n">
        <f aca="false">AJ358+AG358+AD358</f>
        <v>0</v>
      </c>
      <c r="AY358" s="149"/>
      <c r="AZ358" s="76" t="n">
        <f aca="false">R358*E358</f>
        <v>0</v>
      </c>
    </row>
    <row r="359" customFormat="false" ht="12" hidden="false" customHeight="true" outlineLevel="0" collapsed="false">
      <c r="A359" s="138" t="n">
        <f aca="false">EDATE(A358,1)</f>
        <v>47604</v>
      </c>
      <c r="B359" s="139" t="n">
        <f aca="false">VLOOKUP($A359,Table2,MATCH(I$3,Curves2,0))</f>
        <v>0</v>
      </c>
      <c r="C359" s="140"/>
      <c r="D359" s="141" t="n">
        <f aca="false">B359+C359</f>
        <v>0</v>
      </c>
      <c r="E359" s="126" t="n">
        <f aca="false">IF(Y359=0,0,IF(AND(Y359=1,$H$3=1),D359*T359,IF($H$3=2,D359,"N/A")))</f>
        <v>0</v>
      </c>
      <c r="F359" s="126" t="n">
        <f aca="false">E359*X359</f>
        <v>0</v>
      </c>
      <c r="G359" s="142" t="n">
        <f aca="false">VLOOKUP($A359,Table,MATCH(G$4,Curves,0))</f>
        <v>3.987</v>
      </c>
      <c r="H359" s="143" t="n">
        <f aca="false">G359</f>
        <v>3.987</v>
      </c>
      <c r="I359" s="142" t="n">
        <f aca="false">VLOOKUP($A359,Table1,MATCH(I$3,Curves1,0))</f>
        <v>0</v>
      </c>
      <c r="J359" s="142" t="n">
        <f aca="false">VLOOKUP($A359,Table,MATCH(J$4,Curves,0))</f>
        <v>-0.061</v>
      </c>
      <c r="K359" s="143" t="n">
        <f aca="false">J359</f>
        <v>-0.061</v>
      </c>
      <c r="L359" s="144" t="n">
        <v>0</v>
      </c>
      <c r="M359" s="142" t="n">
        <f aca="false">VLOOKUP($A359,Table,MATCH(M$4,Curves,0))</f>
        <v>0.005</v>
      </c>
      <c r="N359" s="143" t="n">
        <f aca="false">M359</f>
        <v>0.005</v>
      </c>
      <c r="O359" s="144" t="n">
        <v>0</v>
      </c>
      <c r="P359" s="145"/>
      <c r="Q359" s="144" t="n">
        <f aca="false">M359+J359+G359</f>
        <v>3.931</v>
      </c>
      <c r="R359" s="144" t="n">
        <f aca="false">O359+L359+I359</f>
        <v>0</v>
      </c>
      <c r="S359" s="145"/>
      <c r="T359" s="71" t="n">
        <f aca="false">A360-A359</f>
        <v>31</v>
      </c>
      <c r="U359" s="146" t="n">
        <f aca="false">CHOOSE(F$3,A360+24,A359)</f>
        <v>47659</v>
      </c>
      <c r="V359" s="71" t="n">
        <f aca="false">U359-C$3</f>
        <v>10771</v>
      </c>
      <c r="W359" s="142" t="n">
        <f aca="false">VLOOKUP($A359,Table,MATCH(W$4,Curves,0))</f>
        <v>0.058966861357273</v>
      </c>
      <c r="X359" s="147" t="n">
        <f aca="false">1/(1+CHOOSE(F$3,(W360+($K$3/10000))/2,(W359+($K$3/10000))/2))^(2*V359/365.25)</f>
        <v>0.18018783004027</v>
      </c>
      <c r="Y359" s="71" t="n">
        <f aca="false">IF(AND(mthbeg&lt;=A359,mthend&gt;=A359),1,0)</f>
        <v>0</v>
      </c>
      <c r="Z359" s="71" t="n">
        <f aca="false">T359*Y359</f>
        <v>0</v>
      </c>
      <c r="AB359" s="132" t="n">
        <f aca="false">F359*G359</f>
        <v>0</v>
      </c>
      <c r="AC359" s="132" t="n">
        <f aca="false">$F359*H359</f>
        <v>0</v>
      </c>
      <c r="AD359" s="132" t="n">
        <f aca="false">$F359*I359</f>
        <v>0</v>
      </c>
      <c r="AE359" s="132" t="n">
        <f aca="false">$F359*J359</f>
        <v>-0</v>
      </c>
      <c r="AF359" s="132" t="n">
        <f aca="false">$F359*K359</f>
        <v>-0</v>
      </c>
      <c r="AG359" s="132" t="n">
        <f aca="false">$F359*L359</f>
        <v>0</v>
      </c>
      <c r="AH359" s="132" t="n">
        <f aca="false">$F359*M359</f>
        <v>0</v>
      </c>
      <c r="AI359" s="132" t="n">
        <f aca="false">$F359*N359</f>
        <v>0</v>
      </c>
      <c r="AJ359" s="132" t="n">
        <f aca="false">F359*O359</f>
        <v>0</v>
      </c>
      <c r="AK359" s="137"/>
      <c r="AL359" s="132" t="n">
        <f aca="false">CHOOSE($G$3,AC359-AD359,AD359-AC359)</f>
        <v>0</v>
      </c>
      <c r="AM359" s="132" t="n">
        <f aca="false">CHOOSE($G$3,AF359-AG359,AG359-AF359)</f>
        <v>0</v>
      </c>
      <c r="AN359" s="132" t="n">
        <f aca="false">CHOOSE($G$3,AI359-AJ359,AJ359-AI359)</f>
        <v>0</v>
      </c>
      <c r="AO359" s="148" t="n">
        <f aca="false">SUM(AL359:AN359)</f>
        <v>0</v>
      </c>
      <c r="AQ359" s="132" t="n">
        <f aca="false">CHOOSE($G$3,AB359-AC359,AC359-AB359)</f>
        <v>0</v>
      </c>
      <c r="AR359" s="132" t="n">
        <f aca="false">CHOOSE($G$3,AE359-AF359,AF359-AE359)</f>
        <v>0</v>
      </c>
      <c r="AS359" s="132" t="n">
        <f aca="false">CHOOSE($G$3,AH359-AI359,AI359-AH359)</f>
        <v>0</v>
      </c>
      <c r="AT359" s="148" t="n">
        <f aca="false">AQ359+AR359+AS359</f>
        <v>0</v>
      </c>
      <c r="AU359" s="148"/>
      <c r="AV359" s="133" t="n">
        <f aca="false">AT359+AO359</f>
        <v>0</v>
      </c>
      <c r="AX359" s="133" t="n">
        <f aca="false">AJ359+AG359+AD359</f>
        <v>0</v>
      </c>
      <c r="AY359" s="149"/>
      <c r="AZ359" s="76" t="n">
        <f aca="false">R359*E359</f>
        <v>0</v>
      </c>
    </row>
    <row r="360" customFormat="false" ht="12" hidden="false" customHeight="true" outlineLevel="0" collapsed="false">
      <c r="A360" s="138" t="n">
        <f aca="false">EDATE(A359,1)</f>
        <v>47635</v>
      </c>
      <c r="B360" s="139" t="n">
        <f aca="false">VLOOKUP($A360,Table2,MATCH(I$3,Curves2,0))</f>
        <v>0</v>
      </c>
      <c r="C360" s="140"/>
      <c r="D360" s="141" t="n">
        <f aca="false">B360+C360</f>
        <v>0</v>
      </c>
      <c r="E360" s="126" t="n">
        <f aca="false">IF(Y360=0,0,IF(AND(Y360=1,$H$3=1),D360*T360,IF($H$3=2,D360,"N/A")))</f>
        <v>0</v>
      </c>
      <c r="F360" s="126" t="n">
        <f aca="false">E360*X360</f>
        <v>0</v>
      </c>
      <c r="G360" s="142" t="n">
        <f aca="false">VLOOKUP($A360,Table,MATCH(G$4,Curves,0))</f>
        <v>3.987</v>
      </c>
      <c r="H360" s="143" t="n">
        <f aca="false">G360</f>
        <v>3.987</v>
      </c>
      <c r="I360" s="142" t="n">
        <f aca="false">VLOOKUP($A360,Table1,MATCH(I$3,Curves1,0))</f>
        <v>0</v>
      </c>
      <c r="J360" s="142" t="n">
        <f aca="false">VLOOKUP($A360,Table,MATCH(J$4,Curves,0))</f>
        <v>-0.061</v>
      </c>
      <c r="K360" s="143" t="n">
        <f aca="false">J360</f>
        <v>-0.061</v>
      </c>
      <c r="L360" s="144" t="n">
        <v>0</v>
      </c>
      <c r="M360" s="142" t="n">
        <f aca="false">VLOOKUP($A360,Table,MATCH(M$4,Curves,0))</f>
        <v>0.005</v>
      </c>
      <c r="N360" s="143" t="n">
        <f aca="false">M360</f>
        <v>0.005</v>
      </c>
      <c r="O360" s="144" t="n">
        <v>0</v>
      </c>
      <c r="P360" s="145"/>
      <c r="Q360" s="144" t="n">
        <f aca="false">M360+J360+G360</f>
        <v>3.931</v>
      </c>
      <c r="R360" s="144" t="n">
        <f aca="false">O360+L360+I360</f>
        <v>0</v>
      </c>
      <c r="S360" s="145"/>
      <c r="T360" s="71" t="n">
        <f aca="false">A361-A360</f>
        <v>30</v>
      </c>
      <c r="U360" s="146" t="n">
        <f aca="false">CHOOSE(F$3,A361+24,A360)</f>
        <v>47689</v>
      </c>
      <c r="V360" s="71" t="n">
        <f aca="false">U360-C$3</f>
        <v>10801</v>
      </c>
      <c r="W360" s="142" t="n">
        <f aca="false">VLOOKUP($A360,Table,MATCH(W$4,Curves,0))</f>
        <v>0.058966861357273</v>
      </c>
      <c r="X360" s="147" t="n">
        <f aca="false">1/(1+CHOOSE(F$3,(W361+($K$3/10000))/2,(W360+($K$3/10000))/2))^(2*V360/365.25)</f>
        <v>0.179329798103569</v>
      </c>
      <c r="Y360" s="71" t="n">
        <f aca="false">IF(AND(mthbeg&lt;=A360,mthend&gt;=A360),1,0)</f>
        <v>0</v>
      </c>
      <c r="Z360" s="71" t="n">
        <f aca="false">T360*Y360</f>
        <v>0</v>
      </c>
      <c r="AB360" s="132" t="n">
        <f aca="false">F360*G360</f>
        <v>0</v>
      </c>
      <c r="AC360" s="132" t="n">
        <f aca="false">$F360*H360</f>
        <v>0</v>
      </c>
      <c r="AD360" s="132" t="n">
        <f aca="false">$F360*I360</f>
        <v>0</v>
      </c>
      <c r="AE360" s="132" t="n">
        <f aca="false">$F360*J360</f>
        <v>-0</v>
      </c>
      <c r="AF360" s="132" t="n">
        <f aca="false">$F360*K360</f>
        <v>-0</v>
      </c>
      <c r="AG360" s="132" t="n">
        <f aca="false">$F360*L360</f>
        <v>0</v>
      </c>
      <c r="AH360" s="132" t="n">
        <f aca="false">$F360*M360</f>
        <v>0</v>
      </c>
      <c r="AI360" s="132" t="n">
        <f aca="false">$F360*N360</f>
        <v>0</v>
      </c>
      <c r="AJ360" s="132" t="n">
        <f aca="false">F360*O360</f>
        <v>0</v>
      </c>
      <c r="AK360" s="137"/>
      <c r="AL360" s="132" t="n">
        <f aca="false">CHOOSE($G$3,AC360-AD360,AD360-AC360)</f>
        <v>0</v>
      </c>
      <c r="AM360" s="132" t="n">
        <f aca="false">CHOOSE($G$3,AF360-AG360,AG360-AF360)</f>
        <v>0</v>
      </c>
      <c r="AN360" s="132" t="n">
        <f aca="false">CHOOSE($G$3,AI360-AJ360,AJ360-AI360)</f>
        <v>0</v>
      </c>
      <c r="AO360" s="148" t="n">
        <f aca="false">SUM(AL360:AN360)</f>
        <v>0</v>
      </c>
      <c r="AQ360" s="132" t="n">
        <f aca="false">CHOOSE($G$3,AB360-AC360,AC360-AB360)</f>
        <v>0</v>
      </c>
      <c r="AR360" s="132" t="n">
        <f aca="false">CHOOSE($G$3,AE360-AF360,AF360-AE360)</f>
        <v>0</v>
      </c>
      <c r="AS360" s="132" t="n">
        <f aca="false">CHOOSE($G$3,AH360-AI360,AI360-AH360)</f>
        <v>0</v>
      </c>
      <c r="AT360" s="148" t="n">
        <f aca="false">AQ360+AR360+AS360</f>
        <v>0</v>
      </c>
      <c r="AU360" s="148"/>
      <c r="AV360" s="133" t="n">
        <f aca="false">AT360+AO360</f>
        <v>0</v>
      </c>
      <c r="AX360" s="133" t="n">
        <f aca="false">AJ360+AG360+AD360</f>
        <v>0</v>
      </c>
      <c r="AY360" s="149"/>
      <c r="AZ360" s="76" t="n">
        <f aca="false">R360*E360</f>
        <v>0</v>
      </c>
    </row>
    <row r="361" customFormat="false" ht="12" hidden="false" customHeight="true" outlineLevel="0" collapsed="false">
      <c r="A361" s="138" t="n">
        <f aca="false">EDATE(A360,1)</f>
        <v>47665</v>
      </c>
      <c r="B361" s="139" t="n">
        <f aca="false">VLOOKUP($A361,Table2,MATCH(I$3,Curves2,0))</f>
        <v>0</v>
      </c>
      <c r="C361" s="140"/>
      <c r="D361" s="141" t="n">
        <f aca="false">B361+C361</f>
        <v>0</v>
      </c>
      <c r="E361" s="126" t="n">
        <f aca="false">IF(Y361=0,0,IF(AND(Y361=1,$H$3=1),D361*T361,IF($H$3=2,D361,"N/A")))</f>
        <v>0</v>
      </c>
      <c r="F361" s="126" t="n">
        <f aca="false">E361*X361</f>
        <v>0</v>
      </c>
      <c r="G361" s="142" t="n">
        <f aca="false">VLOOKUP($A361,Table,MATCH(G$4,Curves,0))</f>
        <v>3.987</v>
      </c>
      <c r="H361" s="143" t="n">
        <f aca="false">G361</f>
        <v>3.987</v>
      </c>
      <c r="I361" s="142" t="n">
        <f aca="false">VLOOKUP($A361,Table1,MATCH(I$3,Curves1,0))</f>
        <v>0</v>
      </c>
      <c r="J361" s="142" t="n">
        <f aca="false">VLOOKUP($A361,Table,MATCH(J$4,Curves,0))</f>
        <v>-0.061</v>
      </c>
      <c r="K361" s="143" t="n">
        <f aca="false">J361</f>
        <v>-0.061</v>
      </c>
      <c r="L361" s="144" t="n">
        <v>0</v>
      </c>
      <c r="M361" s="142" t="n">
        <f aca="false">VLOOKUP($A361,Table,MATCH(M$4,Curves,0))</f>
        <v>0.005</v>
      </c>
      <c r="N361" s="143" t="n">
        <f aca="false">M361</f>
        <v>0.005</v>
      </c>
      <c r="O361" s="144" t="n">
        <v>0</v>
      </c>
      <c r="P361" s="145"/>
      <c r="Q361" s="144" t="n">
        <f aca="false">M361+J361+G361</f>
        <v>3.931</v>
      </c>
      <c r="R361" s="144" t="n">
        <f aca="false">O361+L361+I361</f>
        <v>0</v>
      </c>
      <c r="S361" s="145"/>
      <c r="T361" s="71" t="n">
        <f aca="false">A362-A361</f>
        <v>31</v>
      </c>
      <c r="U361" s="146" t="n">
        <f aca="false">CHOOSE(F$3,A362+24,A361)</f>
        <v>47720</v>
      </c>
      <c r="V361" s="71" t="n">
        <f aca="false">U361-C$3</f>
        <v>10832</v>
      </c>
      <c r="W361" s="142" t="n">
        <f aca="false">VLOOKUP($A361,Table,MATCH(W$4,Curves,0))</f>
        <v>0.058966861357273</v>
      </c>
      <c r="X361" s="147" t="n">
        <f aca="false">1/(1+CHOOSE(F$3,(W362+($K$3/10000))/2,(W361+($K$3/10000))/2))^(2*V361/365.25)</f>
        <v>0.17844745727779</v>
      </c>
      <c r="Y361" s="71" t="n">
        <f aca="false">IF(AND(mthbeg&lt;=A361,mthend&gt;=A361),1,0)</f>
        <v>0</v>
      </c>
      <c r="Z361" s="71" t="n">
        <f aca="false">T361*Y361</f>
        <v>0</v>
      </c>
      <c r="AB361" s="132" t="n">
        <f aca="false">F361*G361</f>
        <v>0</v>
      </c>
      <c r="AC361" s="132" t="n">
        <f aca="false">$F361*H361</f>
        <v>0</v>
      </c>
      <c r="AD361" s="132" t="n">
        <f aca="false">$F361*I361</f>
        <v>0</v>
      </c>
      <c r="AE361" s="132" t="n">
        <f aca="false">$F361*J361</f>
        <v>-0</v>
      </c>
      <c r="AF361" s="132" t="n">
        <f aca="false">$F361*K361</f>
        <v>-0</v>
      </c>
      <c r="AG361" s="132" t="n">
        <f aca="false">$F361*L361</f>
        <v>0</v>
      </c>
      <c r="AH361" s="132" t="n">
        <f aca="false">$F361*M361</f>
        <v>0</v>
      </c>
      <c r="AI361" s="132" t="n">
        <f aca="false">$F361*N361</f>
        <v>0</v>
      </c>
      <c r="AJ361" s="132" t="n">
        <f aca="false">F361*O361</f>
        <v>0</v>
      </c>
      <c r="AK361" s="137"/>
      <c r="AL361" s="132" t="n">
        <f aca="false">CHOOSE($G$3,AC361-AD361,AD361-AC361)</f>
        <v>0</v>
      </c>
      <c r="AM361" s="132" t="n">
        <f aca="false">CHOOSE($G$3,AF361-AG361,AG361-AF361)</f>
        <v>0</v>
      </c>
      <c r="AN361" s="132" t="n">
        <f aca="false">CHOOSE($G$3,AI361-AJ361,AJ361-AI361)</f>
        <v>0</v>
      </c>
      <c r="AO361" s="148" t="n">
        <f aca="false">SUM(AL361:AN361)</f>
        <v>0</v>
      </c>
      <c r="AQ361" s="132" t="n">
        <f aca="false">CHOOSE($G$3,AB361-AC361,AC361-AB361)</f>
        <v>0</v>
      </c>
      <c r="AR361" s="132" t="n">
        <f aca="false">CHOOSE($G$3,AE361-AF361,AF361-AE361)</f>
        <v>0</v>
      </c>
      <c r="AS361" s="132" t="n">
        <f aca="false">CHOOSE($G$3,AH361-AI361,AI361-AH361)</f>
        <v>0</v>
      </c>
      <c r="AT361" s="148" t="n">
        <f aca="false">AQ361+AR361+AS361</f>
        <v>0</v>
      </c>
      <c r="AU361" s="148"/>
      <c r="AV361" s="133" t="n">
        <f aca="false">AT361+AO361</f>
        <v>0</v>
      </c>
      <c r="AX361" s="133" t="n">
        <f aca="false">AJ361+AG361+AD361</f>
        <v>0</v>
      </c>
      <c r="AY361" s="149"/>
      <c r="AZ361" s="76" t="n">
        <f aca="false">R361*E361</f>
        <v>0</v>
      </c>
    </row>
    <row r="362" customFormat="false" ht="12" hidden="false" customHeight="true" outlineLevel="0" collapsed="false">
      <c r="A362" s="138" t="n">
        <f aca="false">EDATE(A361,1)</f>
        <v>47696</v>
      </c>
      <c r="B362" s="139" t="n">
        <f aca="false">VLOOKUP($A362,Table2,MATCH(I$3,Curves2,0))</f>
        <v>0</v>
      </c>
      <c r="C362" s="140"/>
      <c r="D362" s="141" t="n">
        <f aca="false">B362+C362</f>
        <v>0</v>
      </c>
      <c r="E362" s="126" t="n">
        <f aca="false">IF(Y362=0,0,IF(AND(Y362=1,$H$3=1),D362*T362,IF($H$3=2,D362,"N/A")))</f>
        <v>0</v>
      </c>
      <c r="F362" s="126" t="n">
        <f aca="false">E362*X362</f>
        <v>0</v>
      </c>
      <c r="G362" s="142" t="n">
        <f aca="false">VLOOKUP($A362,Table,MATCH(G$4,Curves,0))</f>
        <v>3.987</v>
      </c>
      <c r="H362" s="143" t="n">
        <f aca="false">G362</f>
        <v>3.987</v>
      </c>
      <c r="I362" s="142" t="n">
        <f aca="false">VLOOKUP($A362,Table1,MATCH(I$3,Curves1,0))</f>
        <v>0</v>
      </c>
      <c r="J362" s="142" t="n">
        <f aca="false">VLOOKUP($A362,Table,MATCH(J$4,Curves,0))</f>
        <v>-0.061</v>
      </c>
      <c r="K362" s="143" t="n">
        <f aca="false">J362</f>
        <v>-0.061</v>
      </c>
      <c r="L362" s="144" t="n">
        <v>0</v>
      </c>
      <c r="M362" s="142" t="n">
        <f aca="false">VLOOKUP($A362,Table,MATCH(M$4,Curves,0))</f>
        <v>0.005</v>
      </c>
      <c r="N362" s="143" t="n">
        <f aca="false">M362</f>
        <v>0.005</v>
      </c>
      <c r="O362" s="144" t="n">
        <v>0</v>
      </c>
      <c r="P362" s="145"/>
      <c r="Q362" s="144" t="n">
        <f aca="false">M362+J362+G362</f>
        <v>3.931</v>
      </c>
      <c r="R362" s="144" t="n">
        <f aca="false">O362+L362+I362</f>
        <v>0</v>
      </c>
      <c r="S362" s="145"/>
      <c r="T362" s="71" t="n">
        <f aca="false">A363-A362</f>
        <v>31</v>
      </c>
      <c r="U362" s="146" t="n">
        <f aca="false">CHOOSE(F$3,A363+24,A362)</f>
        <v>47751</v>
      </c>
      <c r="V362" s="71" t="n">
        <f aca="false">U362-C$3</f>
        <v>10863</v>
      </c>
      <c r="W362" s="142" t="n">
        <f aca="false">VLOOKUP($A362,Table,MATCH(W$4,Curves,0))</f>
        <v>0.058966861357273</v>
      </c>
      <c r="X362" s="147" t="n">
        <f aca="false">1/(1+CHOOSE(F$3,(W363+($K$3/10000))/2,(W362+($K$3/10000))/2))^(2*V362/365.25)</f>
        <v>0.17756945775692</v>
      </c>
      <c r="Y362" s="71" t="n">
        <f aca="false">IF(AND(mthbeg&lt;=A362,mthend&gt;=A362),1,0)</f>
        <v>0</v>
      </c>
      <c r="Z362" s="71" t="n">
        <f aca="false">T362*Y362</f>
        <v>0</v>
      </c>
      <c r="AB362" s="132" t="n">
        <f aca="false">F362*G362</f>
        <v>0</v>
      </c>
      <c r="AC362" s="132" t="n">
        <f aca="false">$F362*H362</f>
        <v>0</v>
      </c>
      <c r="AD362" s="132" t="n">
        <f aca="false">$F362*I362</f>
        <v>0</v>
      </c>
      <c r="AE362" s="132" t="n">
        <f aca="false">$F362*J362</f>
        <v>-0</v>
      </c>
      <c r="AF362" s="132" t="n">
        <f aca="false">$F362*K362</f>
        <v>-0</v>
      </c>
      <c r="AG362" s="132" t="n">
        <f aca="false">$F362*L362</f>
        <v>0</v>
      </c>
      <c r="AH362" s="132" t="n">
        <f aca="false">$F362*M362</f>
        <v>0</v>
      </c>
      <c r="AI362" s="132" t="n">
        <f aca="false">$F362*N362</f>
        <v>0</v>
      </c>
      <c r="AJ362" s="132" t="n">
        <f aca="false">F362*O362</f>
        <v>0</v>
      </c>
      <c r="AK362" s="137"/>
      <c r="AL362" s="132" t="n">
        <f aca="false">CHOOSE($G$3,AC362-AD362,AD362-AC362)</f>
        <v>0</v>
      </c>
      <c r="AM362" s="132" t="n">
        <f aca="false">CHOOSE($G$3,AF362-AG362,AG362-AF362)</f>
        <v>0</v>
      </c>
      <c r="AN362" s="132" t="n">
        <f aca="false">CHOOSE($G$3,AI362-AJ362,AJ362-AI362)</f>
        <v>0</v>
      </c>
      <c r="AO362" s="148" t="n">
        <f aca="false">SUM(AL362:AN362)</f>
        <v>0</v>
      </c>
      <c r="AQ362" s="132" t="n">
        <f aca="false">CHOOSE($G$3,AB362-AC362,AC362-AB362)</f>
        <v>0</v>
      </c>
      <c r="AR362" s="132" t="n">
        <f aca="false">CHOOSE($G$3,AE362-AF362,AF362-AE362)</f>
        <v>0</v>
      </c>
      <c r="AS362" s="132" t="n">
        <f aca="false">CHOOSE($G$3,AH362-AI362,AI362-AH362)</f>
        <v>0</v>
      </c>
      <c r="AT362" s="148" t="n">
        <f aca="false">AQ362+AR362+AS362</f>
        <v>0</v>
      </c>
      <c r="AU362" s="148"/>
      <c r="AV362" s="133" t="n">
        <f aca="false">AT362+AO362</f>
        <v>0</v>
      </c>
      <c r="AX362" s="133" t="n">
        <f aca="false">AJ362+AG362+AD362</f>
        <v>0</v>
      </c>
      <c r="AY362" s="149"/>
      <c r="AZ362" s="76" t="n">
        <f aca="false">R362*E362</f>
        <v>0</v>
      </c>
    </row>
    <row r="363" customFormat="false" ht="12" hidden="false" customHeight="true" outlineLevel="0" collapsed="false">
      <c r="A363" s="138" t="n">
        <f aca="false">EDATE(A362,1)</f>
        <v>47727</v>
      </c>
      <c r="B363" s="139" t="n">
        <f aca="false">VLOOKUP($A363,Table2,MATCH(I$3,Curves2,0))</f>
        <v>0</v>
      </c>
      <c r="C363" s="140"/>
      <c r="D363" s="141" t="n">
        <f aca="false">B363+C363</f>
        <v>0</v>
      </c>
      <c r="E363" s="126" t="n">
        <f aca="false">IF(Y363=0,0,IF(AND(Y363=1,$H$3=1),D363*T363,IF($H$3=2,D363,"N/A")))</f>
        <v>0</v>
      </c>
      <c r="F363" s="126" t="n">
        <f aca="false">E363*X363</f>
        <v>0</v>
      </c>
      <c r="G363" s="142" t="n">
        <f aca="false">VLOOKUP($A363,Table,MATCH(G$4,Curves,0))</f>
        <v>3.987</v>
      </c>
      <c r="H363" s="143" t="n">
        <f aca="false">G363</f>
        <v>3.987</v>
      </c>
      <c r="I363" s="142" t="n">
        <f aca="false">VLOOKUP($A363,Table1,MATCH(I$3,Curves1,0))</f>
        <v>0</v>
      </c>
      <c r="J363" s="142" t="n">
        <f aca="false">VLOOKUP($A363,Table,MATCH(J$4,Curves,0))</f>
        <v>-0.061</v>
      </c>
      <c r="K363" s="143" t="n">
        <f aca="false">J363</f>
        <v>-0.061</v>
      </c>
      <c r="L363" s="144" t="n">
        <v>0</v>
      </c>
      <c r="M363" s="142" t="n">
        <f aca="false">VLOOKUP($A363,Table,MATCH(M$4,Curves,0))</f>
        <v>0.005</v>
      </c>
      <c r="N363" s="143" t="n">
        <f aca="false">M363</f>
        <v>0.005</v>
      </c>
      <c r="O363" s="144" t="n">
        <v>0</v>
      </c>
      <c r="P363" s="145"/>
      <c r="Q363" s="144" t="n">
        <f aca="false">M363+J363+G363</f>
        <v>3.931</v>
      </c>
      <c r="R363" s="144" t="n">
        <f aca="false">O363+L363+I363</f>
        <v>0</v>
      </c>
      <c r="S363" s="145"/>
      <c r="T363" s="71" t="n">
        <f aca="false">A364-A363</f>
        <v>30</v>
      </c>
      <c r="U363" s="146" t="n">
        <f aca="false">CHOOSE(F$3,A364+24,A363)</f>
        <v>47781</v>
      </c>
      <c r="V363" s="71" t="n">
        <f aca="false">U363-C$3</f>
        <v>10893</v>
      </c>
      <c r="W363" s="142" t="n">
        <f aca="false">VLOOKUP($A363,Table,MATCH(W$4,Curves,0))</f>
        <v>0.058966861357273</v>
      </c>
      <c r="X363" s="147" t="n">
        <f aca="false">1/(1+CHOOSE(F$3,(W364+($K$3/10000))/2,(W363+($K$3/10000))/2))^(2*V363/365.25)</f>
        <v>0.176723894181933</v>
      </c>
      <c r="Y363" s="71" t="n">
        <f aca="false">IF(AND(mthbeg&lt;=A363,mthend&gt;=A363),1,0)</f>
        <v>0</v>
      </c>
      <c r="Z363" s="71" t="n">
        <f aca="false">T363*Y363</f>
        <v>0</v>
      </c>
      <c r="AB363" s="132" t="n">
        <f aca="false">F363*G363</f>
        <v>0</v>
      </c>
      <c r="AC363" s="132" t="n">
        <f aca="false">$F363*H363</f>
        <v>0</v>
      </c>
      <c r="AD363" s="132" t="n">
        <f aca="false">$F363*I363</f>
        <v>0</v>
      </c>
      <c r="AE363" s="132" t="n">
        <f aca="false">$F363*J363</f>
        <v>-0</v>
      </c>
      <c r="AF363" s="132" t="n">
        <f aca="false">$F363*K363</f>
        <v>-0</v>
      </c>
      <c r="AG363" s="132" t="n">
        <f aca="false">$F363*L363</f>
        <v>0</v>
      </c>
      <c r="AH363" s="132" t="n">
        <f aca="false">$F363*M363</f>
        <v>0</v>
      </c>
      <c r="AI363" s="132" t="n">
        <f aca="false">$F363*N363</f>
        <v>0</v>
      </c>
      <c r="AJ363" s="132" t="n">
        <f aca="false">F363*O363</f>
        <v>0</v>
      </c>
      <c r="AK363" s="137"/>
      <c r="AL363" s="132" t="n">
        <f aca="false">CHOOSE($G$3,AC363-AD363,AD363-AC363)</f>
        <v>0</v>
      </c>
      <c r="AM363" s="132" t="n">
        <f aca="false">CHOOSE($G$3,AF363-AG363,AG363-AF363)</f>
        <v>0</v>
      </c>
      <c r="AN363" s="132" t="n">
        <f aca="false">CHOOSE($G$3,AI363-AJ363,AJ363-AI363)</f>
        <v>0</v>
      </c>
      <c r="AO363" s="148" t="n">
        <f aca="false">SUM(AL363:AN363)</f>
        <v>0</v>
      </c>
      <c r="AQ363" s="132" t="n">
        <f aca="false">CHOOSE($G$3,AB363-AC363,AC363-AB363)</f>
        <v>0</v>
      </c>
      <c r="AR363" s="132" t="n">
        <f aca="false">CHOOSE($G$3,AE363-AF363,AF363-AE363)</f>
        <v>0</v>
      </c>
      <c r="AS363" s="132" t="n">
        <f aca="false">CHOOSE($G$3,AH363-AI363,AI363-AH363)</f>
        <v>0</v>
      </c>
      <c r="AT363" s="148" t="n">
        <f aca="false">AQ363+AR363+AS363</f>
        <v>0</v>
      </c>
      <c r="AU363" s="148"/>
      <c r="AV363" s="133" t="n">
        <f aca="false">AT363+AO363</f>
        <v>0</v>
      </c>
      <c r="AX363" s="133" t="n">
        <f aca="false">AJ363+AG363+AD363</f>
        <v>0</v>
      </c>
      <c r="AY363" s="149"/>
      <c r="AZ363" s="76" t="n">
        <f aca="false">R363*E363</f>
        <v>0</v>
      </c>
    </row>
    <row r="364" customFormat="false" ht="12" hidden="false" customHeight="true" outlineLevel="0" collapsed="false">
      <c r="A364" s="138" t="n">
        <f aca="false">EDATE(A363,1)</f>
        <v>47757</v>
      </c>
      <c r="B364" s="139" t="n">
        <f aca="false">VLOOKUP($A364,Table2,MATCH(I$3,Curves2,0))</f>
        <v>0</v>
      </c>
      <c r="C364" s="140"/>
      <c r="D364" s="141" t="n">
        <f aca="false">B364+C364</f>
        <v>0</v>
      </c>
      <c r="E364" s="126" t="n">
        <f aca="false">IF(Y364=0,0,IF(AND(Y364=1,$H$3=1),D364*T364,IF($H$3=2,D364,"N/A")))</f>
        <v>0</v>
      </c>
      <c r="F364" s="126" t="n">
        <f aca="false">E364*X364</f>
        <v>0</v>
      </c>
      <c r="G364" s="142" t="n">
        <f aca="false">VLOOKUP($A364,Table,MATCH(G$4,Curves,0))</f>
        <v>3.987</v>
      </c>
      <c r="H364" s="143" t="n">
        <f aca="false">G364</f>
        <v>3.987</v>
      </c>
      <c r="I364" s="142" t="n">
        <f aca="false">VLOOKUP($A364,Table1,MATCH(I$3,Curves1,0))</f>
        <v>0</v>
      </c>
      <c r="J364" s="142" t="n">
        <f aca="false">VLOOKUP($A364,Table,MATCH(J$4,Curves,0))</f>
        <v>-0.061</v>
      </c>
      <c r="K364" s="143" t="n">
        <f aca="false">J364</f>
        <v>-0.061</v>
      </c>
      <c r="L364" s="144" t="n">
        <v>0</v>
      </c>
      <c r="M364" s="142" t="n">
        <f aca="false">VLOOKUP($A364,Table,MATCH(M$4,Curves,0))</f>
        <v>0.005</v>
      </c>
      <c r="N364" s="143" t="n">
        <f aca="false">M364</f>
        <v>0.005</v>
      </c>
      <c r="O364" s="144" t="n">
        <v>0</v>
      </c>
      <c r="P364" s="145"/>
      <c r="Q364" s="144" t="n">
        <f aca="false">M364+J364+G364</f>
        <v>3.931</v>
      </c>
      <c r="R364" s="144" t="n">
        <f aca="false">O364+L364+I364</f>
        <v>0</v>
      </c>
      <c r="S364" s="145"/>
      <c r="T364" s="71" t="n">
        <f aca="false">A365-A364</f>
        <v>31</v>
      </c>
      <c r="U364" s="146" t="n">
        <f aca="false">CHOOSE(F$3,A365+24,A364)</f>
        <v>47812</v>
      </c>
      <c r="V364" s="71" t="n">
        <f aca="false">U364-C$3</f>
        <v>10924</v>
      </c>
      <c r="W364" s="142" t="n">
        <f aca="false">VLOOKUP($A364,Table,MATCH(W$4,Curves,0))</f>
        <v>0.058966861357273</v>
      </c>
      <c r="X364" s="147" t="n">
        <f aca="false">1/(1+CHOOSE(F$3,(W365+($K$3/10000))/2,(W364+($K$3/10000))/2))^(2*V364/365.25)</f>
        <v>0.175854374958823</v>
      </c>
      <c r="Y364" s="71" t="n">
        <f aca="false">IF(AND(mthbeg&lt;=A364,mthend&gt;=A364),1,0)</f>
        <v>0</v>
      </c>
      <c r="Z364" s="71" t="n">
        <f aca="false">T364*Y364</f>
        <v>0</v>
      </c>
      <c r="AB364" s="132" t="n">
        <f aca="false">F364*G364</f>
        <v>0</v>
      </c>
      <c r="AC364" s="132" t="n">
        <f aca="false">$F364*H364</f>
        <v>0</v>
      </c>
      <c r="AD364" s="132" t="n">
        <f aca="false">$F364*I364</f>
        <v>0</v>
      </c>
      <c r="AE364" s="132" t="n">
        <f aca="false">$F364*J364</f>
        <v>-0</v>
      </c>
      <c r="AF364" s="132" t="n">
        <f aca="false">$F364*K364</f>
        <v>-0</v>
      </c>
      <c r="AG364" s="132" t="n">
        <f aca="false">$F364*L364</f>
        <v>0</v>
      </c>
      <c r="AH364" s="132" t="n">
        <f aca="false">$F364*M364</f>
        <v>0</v>
      </c>
      <c r="AI364" s="132" t="n">
        <f aca="false">$F364*N364</f>
        <v>0</v>
      </c>
      <c r="AJ364" s="132" t="n">
        <f aca="false">F364*O364</f>
        <v>0</v>
      </c>
      <c r="AK364" s="137"/>
      <c r="AL364" s="132" t="n">
        <f aca="false">CHOOSE($G$3,AC364-AD364,AD364-AC364)</f>
        <v>0</v>
      </c>
      <c r="AM364" s="132" t="n">
        <f aca="false">CHOOSE($G$3,AF364-AG364,AG364-AF364)</f>
        <v>0</v>
      </c>
      <c r="AN364" s="132" t="n">
        <f aca="false">CHOOSE($G$3,AI364-AJ364,AJ364-AI364)</f>
        <v>0</v>
      </c>
      <c r="AO364" s="148" t="n">
        <f aca="false">SUM(AL364:AN364)</f>
        <v>0</v>
      </c>
      <c r="AQ364" s="132" t="n">
        <f aca="false">CHOOSE($G$3,AB364-AC364,AC364-AB364)</f>
        <v>0</v>
      </c>
      <c r="AR364" s="132" t="n">
        <f aca="false">CHOOSE($G$3,AE364-AF364,AF364-AE364)</f>
        <v>0</v>
      </c>
      <c r="AS364" s="132" t="n">
        <f aca="false">CHOOSE($G$3,AH364-AI364,AI364-AH364)</f>
        <v>0</v>
      </c>
      <c r="AT364" s="148" t="n">
        <f aca="false">AQ364+AR364+AS364</f>
        <v>0</v>
      </c>
      <c r="AU364" s="148"/>
      <c r="AV364" s="133" t="n">
        <f aca="false">AT364+AO364</f>
        <v>0</v>
      </c>
      <c r="AX364" s="133" t="n">
        <f aca="false">AJ364+AG364+AD364</f>
        <v>0</v>
      </c>
      <c r="AY364" s="149"/>
      <c r="AZ364" s="76" t="n">
        <f aca="false">R364*E364</f>
        <v>0</v>
      </c>
    </row>
    <row r="365" customFormat="false" ht="12" hidden="false" customHeight="true" outlineLevel="0" collapsed="false">
      <c r="A365" s="138" t="n">
        <f aca="false">EDATE(A364,1)</f>
        <v>47788</v>
      </c>
      <c r="B365" s="139" t="n">
        <f aca="false">VLOOKUP($A365,Table2,MATCH(I$3,Curves2,0))</f>
        <v>0</v>
      </c>
      <c r="C365" s="140"/>
      <c r="D365" s="141" t="n">
        <f aca="false">B365+C365</f>
        <v>0</v>
      </c>
      <c r="E365" s="126" t="n">
        <f aca="false">IF(Y365=0,0,IF(AND(Y365=1,$H$3=1),D365*T365,IF($H$3=2,D365,"N/A")))</f>
        <v>0</v>
      </c>
      <c r="F365" s="126" t="n">
        <f aca="false">E365*X365</f>
        <v>0</v>
      </c>
      <c r="G365" s="142" t="n">
        <f aca="false">VLOOKUP($A365,Table,MATCH(G$4,Curves,0))</f>
        <v>3.987</v>
      </c>
      <c r="H365" s="143" t="n">
        <f aca="false">G365</f>
        <v>3.987</v>
      </c>
      <c r="I365" s="142" t="n">
        <f aca="false">VLOOKUP($A365,Table1,MATCH(I$3,Curves1,0))</f>
        <v>0</v>
      </c>
      <c r="J365" s="142" t="n">
        <f aca="false">VLOOKUP($A365,Table,MATCH(J$4,Curves,0))</f>
        <v>-0.061</v>
      </c>
      <c r="K365" s="143" t="n">
        <f aca="false">J365</f>
        <v>-0.061</v>
      </c>
      <c r="L365" s="144" t="n">
        <v>0</v>
      </c>
      <c r="M365" s="142" t="n">
        <f aca="false">VLOOKUP($A365,Table,MATCH(M$4,Curves,0))</f>
        <v>0.005</v>
      </c>
      <c r="N365" s="143" t="n">
        <f aca="false">M365</f>
        <v>0.005</v>
      </c>
      <c r="O365" s="144" t="n">
        <v>0</v>
      </c>
      <c r="P365" s="145"/>
      <c r="Q365" s="144" t="n">
        <f aca="false">M365+J365+G365</f>
        <v>3.931</v>
      </c>
      <c r="R365" s="144" t="n">
        <f aca="false">O365+L365+I365</f>
        <v>0</v>
      </c>
      <c r="S365" s="145"/>
      <c r="T365" s="71" t="n">
        <f aca="false">A366-A365</f>
        <v>30</v>
      </c>
      <c r="U365" s="146" t="n">
        <f aca="false">CHOOSE(F$3,A366+24,A365)</f>
        <v>47842</v>
      </c>
      <c r="V365" s="71" t="n">
        <f aca="false">U365-C$3</f>
        <v>10954</v>
      </c>
      <c r="W365" s="142" t="n">
        <f aca="false">VLOOKUP($A365,Table,MATCH(W$4,Curves,0))</f>
        <v>0.058966861357273</v>
      </c>
      <c r="X365" s="147" t="n">
        <f aca="false">1/(1+CHOOSE(F$3,(W366+($K$3/10000))/2,(W365+($K$3/10000))/2))^(2*V365/365.25)</f>
        <v>0.175016978393864</v>
      </c>
      <c r="Y365" s="71" t="n">
        <f aca="false">IF(AND(mthbeg&lt;=A365,mthend&gt;=A365),1,0)</f>
        <v>0</v>
      </c>
      <c r="Z365" s="71" t="n">
        <f aca="false">T365*Y365</f>
        <v>0</v>
      </c>
      <c r="AB365" s="132" t="n">
        <f aca="false">F365*G365</f>
        <v>0</v>
      </c>
      <c r="AC365" s="132" t="n">
        <f aca="false">$F365*H365</f>
        <v>0</v>
      </c>
      <c r="AD365" s="132" t="n">
        <f aca="false">$F365*I365</f>
        <v>0</v>
      </c>
      <c r="AE365" s="132" t="n">
        <f aca="false">$F365*J365</f>
        <v>-0</v>
      </c>
      <c r="AF365" s="132" t="n">
        <f aca="false">$F365*K365</f>
        <v>-0</v>
      </c>
      <c r="AG365" s="132" t="n">
        <f aca="false">$F365*L365</f>
        <v>0</v>
      </c>
      <c r="AH365" s="132" t="n">
        <f aca="false">$F365*M365</f>
        <v>0</v>
      </c>
      <c r="AI365" s="132" t="n">
        <f aca="false">$F365*N365</f>
        <v>0</v>
      </c>
      <c r="AJ365" s="132" t="n">
        <f aca="false">F365*O365</f>
        <v>0</v>
      </c>
      <c r="AK365" s="137"/>
      <c r="AL365" s="132" t="n">
        <f aca="false">CHOOSE($G$3,AC365-AD365,AD365-AC365)</f>
        <v>0</v>
      </c>
      <c r="AM365" s="132" t="n">
        <f aca="false">CHOOSE($G$3,AF365-AG365,AG365-AF365)</f>
        <v>0</v>
      </c>
      <c r="AN365" s="132" t="n">
        <f aca="false">CHOOSE($G$3,AI365-AJ365,AJ365-AI365)</f>
        <v>0</v>
      </c>
      <c r="AO365" s="148" t="n">
        <f aca="false">SUM(AL365:AN365)</f>
        <v>0</v>
      </c>
      <c r="AQ365" s="132" t="n">
        <f aca="false">CHOOSE($G$3,AB365-AC365,AC365-AB365)</f>
        <v>0</v>
      </c>
      <c r="AR365" s="132" t="n">
        <f aca="false">CHOOSE($G$3,AE365-AF365,AF365-AE365)</f>
        <v>0</v>
      </c>
      <c r="AS365" s="132" t="n">
        <f aca="false">CHOOSE($G$3,AH365-AI365,AI365-AH365)</f>
        <v>0</v>
      </c>
      <c r="AT365" s="148" t="n">
        <f aca="false">AQ365+AR365+AS365</f>
        <v>0</v>
      </c>
      <c r="AU365" s="148"/>
      <c r="AV365" s="133" t="n">
        <f aca="false">AT365+AO365</f>
        <v>0</v>
      </c>
      <c r="AX365" s="133" t="n">
        <f aca="false">AJ365+AG365+AD365</f>
        <v>0</v>
      </c>
      <c r="AY365" s="149"/>
      <c r="AZ365" s="76" t="n">
        <f aca="false">R365*E365</f>
        <v>0</v>
      </c>
    </row>
    <row r="366" customFormat="false" ht="12" hidden="false" customHeight="true" outlineLevel="0" collapsed="false">
      <c r="A366" s="138" t="n">
        <f aca="false">EDATE(A365,1)</f>
        <v>47818</v>
      </c>
      <c r="B366" s="139" t="n">
        <f aca="false">VLOOKUP($A366,Table2,MATCH(I$3,Curves2,0))</f>
        <v>0</v>
      </c>
      <c r="C366" s="140"/>
      <c r="D366" s="141" t="n">
        <f aca="false">B366+C366</f>
        <v>0</v>
      </c>
      <c r="E366" s="126" t="n">
        <f aca="false">IF(Y366=0,0,IF(AND(Y366=1,$H$3=1),D366*T366,IF($H$3=2,D366,"N/A")))</f>
        <v>0</v>
      </c>
      <c r="F366" s="126" t="n">
        <f aca="false">E366*X366</f>
        <v>0</v>
      </c>
      <c r="G366" s="142" t="n">
        <f aca="false">VLOOKUP($A366,Table,MATCH(G$4,Curves,0))</f>
        <v>3.987</v>
      </c>
      <c r="H366" s="143" t="n">
        <f aca="false">G366</f>
        <v>3.987</v>
      </c>
      <c r="I366" s="142" t="n">
        <f aca="false">VLOOKUP($A366,Table1,MATCH(I$3,Curves1,0))</f>
        <v>0</v>
      </c>
      <c r="J366" s="142" t="n">
        <f aca="false">VLOOKUP($A366,Table,MATCH(J$4,Curves,0))</f>
        <v>-0.061</v>
      </c>
      <c r="K366" s="143" t="n">
        <f aca="false">J366</f>
        <v>-0.061</v>
      </c>
      <c r="L366" s="144" t="n">
        <v>0</v>
      </c>
      <c r="M366" s="142" t="n">
        <f aca="false">VLOOKUP($A366,Table,MATCH(M$4,Curves,0))</f>
        <v>0.005</v>
      </c>
      <c r="N366" s="143" t="n">
        <f aca="false">M366</f>
        <v>0.005</v>
      </c>
      <c r="O366" s="144" t="n">
        <v>0</v>
      </c>
      <c r="P366" s="145"/>
      <c r="Q366" s="144" t="n">
        <f aca="false">M366+J366+G366</f>
        <v>3.931</v>
      </c>
      <c r="R366" s="144" t="n">
        <f aca="false">O366+L366+I366</f>
        <v>0</v>
      </c>
      <c r="S366" s="145"/>
      <c r="T366" s="71" t="n">
        <f aca="false">A367-A366</f>
        <v>31</v>
      </c>
      <c r="U366" s="146" t="n">
        <f aca="false">CHOOSE(F$3,A367+24,A366)</f>
        <v>47873</v>
      </c>
      <c r="V366" s="71" t="n">
        <f aca="false">U366-C$3</f>
        <v>10985</v>
      </c>
      <c r="W366" s="142" t="n">
        <f aca="false">VLOOKUP($A366,Table,MATCH(W$4,Curves,0))</f>
        <v>0.058966861357273</v>
      </c>
      <c r="X366" s="147" t="n">
        <f aca="false">1/(1+CHOOSE(F$3,(W367+($K$3/10000))/2,(W366+($K$3/10000))/2))^(2*V366/365.25)</f>
        <v>0.174155857560212</v>
      </c>
      <c r="Y366" s="71" t="n">
        <f aca="false">IF(AND(mthbeg&lt;=A366,mthend&gt;=A366),1,0)</f>
        <v>0</v>
      </c>
      <c r="Z366" s="71" t="n">
        <f aca="false">T366*Y366</f>
        <v>0</v>
      </c>
      <c r="AB366" s="132" t="n">
        <f aca="false">F366*G366</f>
        <v>0</v>
      </c>
      <c r="AC366" s="132" t="n">
        <f aca="false">$F366*H366</f>
        <v>0</v>
      </c>
      <c r="AD366" s="132" t="n">
        <f aca="false">$F366*I366</f>
        <v>0</v>
      </c>
      <c r="AE366" s="132" t="n">
        <f aca="false">$F366*J366</f>
        <v>-0</v>
      </c>
      <c r="AF366" s="132" t="n">
        <f aca="false">$F366*K366</f>
        <v>-0</v>
      </c>
      <c r="AG366" s="132" t="n">
        <f aca="false">$F366*L366</f>
        <v>0</v>
      </c>
      <c r="AH366" s="132" t="n">
        <f aca="false">$F366*M366</f>
        <v>0</v>
      </c>
      <c r="AI366" s="132" t="n">
        <f aca="false">$F366*N366</f>
        <v>0</v>
      </c>
      <c r="AJ366" s="132" t="n">
        <f aca="false">F366*O366</f>
        <v>0</v>
      </c>
      <c r="AK366" s="137"/>
      <c r="AL366" s="132" t="n">
        <f aca="false">CHOOSE($G$3,AC366-AD366,AD366-AC366)</f>
        <v>0</v>
      </c>
      <c r="AM366" s="132" t="n">
        <f aca="false">CHOOSE($G$3,AF366-AG366,AG366-AF366)</f>
        <v>0</v>
      </c>
      <c r="AN366" s="132" t="n">
        <f aca="false">CHOOSE($G$3,AI366-AJ366,AJ366-AI366)</f>
        <v>0</v>
      </c>
      <c r="AO366" s="148" t="n">
        <f aca="false">SUM(AL366:AN366)</f>
        <v>0</v>
      </c>
      <c r="AQ366" s="132" t="n">
        <f aca="false">CHOOSE($G$3,AB366-AC366,AC366-AB366)</f>
        <v>0</v>
      </c>
      <c r="AR366" s="132" t="n">
        <f aca="false">CHOOSE($G$3,AE366-AF366,AF366-AE366)</f>
        <v>0</v>
      </c>
      <c r="AS366" s="132" t="n">
        <f aca="false">CHOOSE($G$3,AH366-AI366,AI366-AH366)</f>
        <v>0</v>
      </c>
      <c r="AT366" s="148" t="n">
        <f aca="false">AQ366+AR366+AS366</f>
        <v>0</v>
      </c>
      <c r="AU366" s="148"/>
      <c r="AV366" s="133" t="n">
        <f aca="false">AT366+AO366</f>
        <v>0</v>
      </c>
      <c r="AX366" s="133" t="n">
        <f aca="false">AJ366+AG366+AD366</f>
        <v>0</v>
      </c>
      <c r="AY366" s="149"/>
      <c r="AZ366" s="76" t="n">
        <f aca="false">R366*E366</f>
        <v>0</v>
      </c>
    </row>
    <row r="367" customFormat="false" ht="12" hidden="false" customHeight="true" outlineLevel="0" collapsed="false">
      <c r="A367" s="138" t="n">
        <f aca="false">EDATE(A366,1)</f>
        <v>47849</v>
      </c>
      <c r="B367" s="139" t="n">
        <f aca="false">VLOOKUP($A367,Table2,MATCH(I$3,Curves2,0))</f>
        <v>0</v>
      </c>
      <c r="C367" s="140"/>
      <c r="D367" s="141" t="n">
        <f aca="false">B367+C367</f>
        <v>0</v>
      </c>
      <c r="E367" s="126" t="n">
        <f aca="false">IF(Y367=0,0,IF(AND(Y367=1,$H$3=1),D367*T367,IF($H$3=2,D367,"N/A")))</f>
        <v>0</v>
      </c>
      <c r="F367" s="126" t="n">
        <f aca="false">E367*X367</f>
        <v>0</v>
      </c>
      <c r="G367" s="142" t="n">
        <f aca="false">VLOOKUP($A367,Table,MATCH(G$4,Curves,0))</f>
        <v>3.987</v>
      </c>
      <c r="H367" s="143" t="n">
        <f aca="false">G367</f>
        <v>3.987</v>
      </c>
      <c r="I367" s="142" t="n">
        <f aca="false">VLOOKUP($A367,Table1,MATCH(I$3,Curves1,0))</f>
        <v>0</v>
      </c>
      <c r="J367" s="142" t="n">
        <f aca="false">VLOOKUP($A367,Table,MATCH(J$4,Curves,0))</f>
        <v>-0.061</v>
      </c>
      <c r="K367" s="143" t="n">
        <f aca="false">J367</f>
        <v>-0.061</v>
      </c>
      <c r="L367" s="144" t="n">
        <v>0</v>
      </c>
      <c r="M367" s="142" t="n">
        <f aca="false">VLOOKUP($A367,Table,MATCH(M$4,Curves,0))</f>
        <v>0.005</v>
      </c>
      <c r="N367" s="143" t="n">
        <f aca="false">M367</f>
        <v>0.005</v>
      </c>
      <c r="O367" s="144" t="n">
        <v>0</v>
      </c>
      <c r="P367" s="145"/>
      <c r="Q367" s="144" t="n">
        <f aca="false">M367+J367+G367</f>
        <v>3.931</v>
      </c>
      <c r="R367" s="144" t="n">
        <f aca="false">O367+L367+I367</f>
        <v>0</v>
      </c>
      <c r="S367" s="145"/>
      <c r="T367" s="71" t="n">
        <f aca="false">A368-A367</f>
        <v>31</v>
      </c>
      <c r="U367" s="146" t="n">
        <f aca="false">CHOOSE(F$3,A368+24,A367)</f>
        <v>47904</v>
      </c>
      <c r="V367" s="71" t="n">
        <f aca="false">U367-C$3</f>
        <v>11016</v>
      </c>
      <c r="W367" s="142" t="n">
        <f aca="false">VLOOKUP($A367,Table,MATCH(W$4,Curves,0))</f>
        <v>0.058966861357273</v>
      </c>
      <c r="X367" s="147" t="n">
        <f aca="false">1/(1+CHOOSE(F$3,(W368+($K$3/10000))/2,(W367+($K$3/10000))/2))^(2*V367/365.25)</f>
        <v>0.173298973624586</v>
      </c>
      <c r="Y367" s="71" t="n">
        <f aca="false">IF(AND(mthbeg&lt;=A367,mthend&gt;=A367),1,0)</f>
        <v>0</v>
      </c>
      <c r="Z367" s="71" t="n">
        <f aca="false">T367*Y367</f>
        <v>0</v>
      </c>
      <c r="AB367" s="132" t="n">
        <f aca="false">F367*G367</f>
        <v>0</v>
      </c>
      <c r="AC367" s="132" t="n">
        <f aca="false">$F367*H367</f>
        <v>0</v>
      </c>
      <c r="AD367" s="132" t="n">
        <f aca="false">$F367*I367</f>
        <v>0</v>
      </c>
      <c r="AE367" s="132" t="n">
        <f aca="false">$F367*J367</f>
        <v>-0</v>
      </c>
      <c r="AF367" s="132" t="n">
        <f aca="false">$F367*K367</f>
        <v>-0</v>
      </c>
      <c r="AG367" s="132" t="n">
        <f aca="false">$F367*L367</f>
        <v>0</v>
      </c>
      <c r="AH367" s="132" t="n">
        <f aca="false">$F367*M367</f>
        <v>0</v>
      </c>
      <c r="AI367" s="132" t="n">
        <f aca="false">$F367*N367</f>
        <v>0</v>
      </c>
      <c r="AJ367" s="132" t="n">
        <f aca="false">F367*O367</f>
        <v>0</v>
      </c>
      <c r="AK367" s="137"/>
      <c r="AL367" s="132" t="n">
        <f aca="false">CHOOSE($G$3,AC367-AD367,AD367-AC367)</f>
        <v>0</v>
      </c>
      <c r="AM367" s="132" t="n">
        <f aca="false">CHOOSE($G$3,AF367-AG367,AG367-AF367)</f>
        <v>0</v>
      </c>
      <c r="AN367" s="132" t="n">
        <f aca="false">CHOOSE($G$3,AI367-AJ367,AJ367-AI367)</f>
        <v>0</v>
      </c>
      <c r="AO367" s="148" t="n">
        <f aca="false">SUM(AL367:AN367)</f>
        <v>0</v>
      </c>
      <c r="AQ367" s="132" t="n">
        <f aca="false">CHOOSE($G$3,AB367-AC367,AC367-AB367)</f>
        <v>0</v>
      </c>
      <c r="AR367" s="132" t="n">
        <f aca="false">CHOOSE($G$3,AE367-AF367,AF367-AE367)</f>
        <v>0</v>
      </c>
      <c r="AS367" s="132" t="n">
        <f aca="false">CHOOSE($G$3,AH367-AI367,AI367-AH367)</f>
        <v>0</v>
      </c>
      <c r="AT367" s="148" t="n">
        <f aca="false">AQ367+AR367+AS367</f>
        <v>0</v>
      </c>
      <c r="AU367" s="148"/>
      <c r="AV367" s="133" t="n">
        <f aca="false">AT367+AO367</f>
        <v>0</v>
      </c>
      <c r="AX367" s="133" t="n">
        <f aca="false">AJ367+AG367+AD367</f>
        <v>0</v>
      </c>
      <c r="AY367" s="149"/>
      <c r="AZ367" s="76" t="n">
        <f aca="false">R367*E367</f>
        <v>0</v>
      </c>
    </row>
    <row r="368" customFormat="false" ht="12" hidden="false" customHeight="true" outlineLevel="0" collapsed="false">
      <c r="A368" s="138" t="n">
        <f aca="false">EDATE(A367,1)</f>
        <v>47880</v>
      </c>
      <c r="B368" s="139" t="n">
        <f aca="false">VLOOKUP($A368,Table2,MATCH(I$3,Curves2,0))</f>
        <v>0</v>
      </c>
      <c r="C368" s="140"/>
      <c r="D368" s="141" t="n">
        <f aca="false">B368+C368</f>
        <v>0</v>
      </c>
      <c r="E368" s="126" t="n">
        <f aca="false">IF(Y368=0,0,IF(AND(Y368=1,$H$3=1),D368*T368,IF($H$3=2,D368,"N/A")))</f>
        <v>0</v>
      </c>
      <c r="F368" s="126" t="n">
        <f aca="false">E368*X368</f>
        <v>0</v>
      </c>
      <c r="G368" s="142" t="n">
        <f aca="false">VLOOKUP($A368,Table,MATCH(G$4,Curves,0))</f>
        <v>3.987</v>
      </c>
      <c r="H368" s="143" t="n">
        <f aca="false">G368</f>
        <v>3.987</v>
      </c>
      <c r="I368" s="142" t="n">
        <f aca="false">VLOOKUP($A368,Table1,MATCH(I$3,Curves1,0))</f>
        <v>0</v>
      </c>
      <c r="J368" s="142" t="n">
        <f aca="false">VLOOKUP($A368,Table,MATCH(J$4,Curves,0))</f>
        <v>-0.061</v>
      </c>
      <c r="K368" s="143" t="n">
        <f aca="false">J368</f>
        <v>-0.061</v>
      </c>
      <c r="L368" s="144" t="n">
        <v>0</v>
      </c>
      <c r="M368" s="142" t="n">
        <f aca="false">VLOOKUP($A368,Table,MATCH(M$4,Curves,0))</f>
        <v>0.005</v>
      </c>
      <c r="N368" s="143" t="n">
        <f aca="false">M368</f>
        <v>0.005</v>
      </c>
      <c r="O368" s="144" t="n">
        <v>0</v>
      </c>
      <c r="P368" s="145"/>
      <c r="Q368" s="144" t="n">
        <f aca="false">M368+J368+G368</f>
        <v>3.931</v>
      </c>
      <c r="R368" s="144" t="n">
        <f aca="false">O368+L368+I368</f>
        <v>0</v>
      </c>
      <c r="S368" s="145"/>
      <c r="T368" s="71" t="n">
        <f aca="false">A369-A368</f>
        <v>28</v>
      </c>
      <c r="U368" s="146" t="n">
        <f aca="false">CHOOSE(F$3,A369+24,A368)</f>
        <v>47932</v>
      </c>
      <c r="V368" s="71" t="n">
        <f aca="false">U368-C$3</f>
        <v>11044</v>
      </c>
      <c r="W368" s="142" t="n">
        <f aca="false">VLOOKUP($A368,Table,MATCH(W$4,Curves,0))</f>
        <v>0.058966861357273</v>
      </c>
      <c r="X368" s="147" t="n">
        <f aca="false">1/(1+CHOOSE(F$3,(W369+($K$3/10000))/2,(W368+($K$3/10000))/2))^(2*V368/365.25)</f>
        <v>0.172528638303001</v>
      </c>
      <c r="Y368" s="71" t="n">
        <f aca="false">IF(AND(mthbeg&lt;=A368,mthend&gt;=A368),1,0)</f>
        <v>0</v>
      </c>
      <c r="Z368" s="71" t="n">
        <f aca="false">T368*Y368</f>
        <v>0</v>
      </c>
      <c r="AB368" s="132" t="n">
        <f aca="false">F368*G368</f>
        <v>0</v>
      </c>
      <c r="AC368" s="132" t="n">
        <f aca="false">$F368*H368</f>
        <v>0</v>
      </c>
      <c r="AD368" s="132" t="n">
        <f aca="false">$F368*I368</f>
        <v>0</v>
      </c>
      <c r="AE368" s="132" t="n">
        <f aca="false">$F368*J368</f>
        <v>-0</v>
      </c>
      <c r="AF368" s="132" t="n">
        <f aca="false">$F368*K368</f>
        <v>-0</v>
      </c>
      <c r="AG368" s="132" t="n">
        <f aca="false">$F368*L368</f>
        <v>0</v>
      </c>
      <c r="AH368" s="132" t="n">
        <f aca="false">$F368*M368</f>
        <v>0</v>
      </c>
      <c r="AI368" s="132" t="n">
        <f aca="false">$F368*N368</f>
        <v>0</v>
      </c>
      <c r="AJ368" s="132" t="n">
        <f aca="false">F368*O368</f>
        <v>0</v>
      </c>
      <c r="AK368" s="137"/>
      <c r="AL368" s="132" t="n">
        <f aca="false">CHOOSE($G$3,AC368-AD368,AD368-AC368)</f>
        <v>0</v>
      </c>
      <c r="AM368" s="132" t="n">
        <f aca="false">CHOOSE($G$3,AF368-AG368,AG368-AF368)</f>
        <v>0</v>
      </c>
      <c r="AN368" s="132" t="n">
        <f aca="false">CHOOSE($G$3,AI368-AJ368,AJ368-AI368)</f>
        <v>0</v>
      </c>
      <c r="AO368" s="148" t="n">
        <f aca="false">SUM(AL368:AN368)</f>
        <v>0</v>
      </c>
      <c r="AQ368" s="132" t="n">
        <f aca="false">CHOOSE($G$3,AB368-AC368,AC368-AB368)</f>
        <v>0</v>
      </c>
      <c r="AR368" s="132" t="n">
        <f aca="false">CHOOSE($G$3,AE368-AF368,AF368-AE368)</f>
        <v>0</v>
      </c>
      <c r="AS368" s="132" t="n">
        <f aca="false">CHOOSE($G$3,AH368-AI368,AI368-AH368)</f>
        <v>0</v>
      </c>
      <c r="AT368" s="148" t="n">
        <f aca="false">AQ368+AR368+AS368</f>
        <v>0</v>
      </c>
      <c r="AU368" s="148"/>
      <c r="AV368" s="133" t="n">
        <f aca="false">AT368+AO368</f>
        <v>0</v>
      </c>
      <c r="AX368" s="133" t="n">
        <f aca="false">AJ368+AG368+AD368</f>
        <v>0</v>
      </c>
      <c r="AY368" s="149"/>
      <c r="AZ368" s="76" t="n">
        <f aca="false">R368*E368</f>
        <v>0</v>
      </c>
    </row>
    <row r="369" customFormat="false" ht="12" hidden="false" customHeight="true" outlineLevel="0" collapsed="false">
      <c r="A369" s="138" t="n">
        <f aca="false">EDATE(A368,1)</f>
        <v>47908</v>
      </c>
      <c r="B369" s="139" t="n">
        <f aca="false">VLOOKUP($A369,Table2,MATCH(I$3,Curves2,0))</f>
        <v>0</v>
      </c>
      <c r="C369" s="140"/>
      <c r="D369" s="141" t="n">
        <f aca="false">B369+C369</f>
        <v>0</v>
      </c>
      <c r="E369" s="126" t="n">
        <f aca="false">IF(Y369=0,0,IF(AND(Y369=1,$H$3=1),D369*T369,IF($H$3=2,D369,"N/A")))</f>
        <v>0</v>
      </c>
      <c r="F369" s="126" t="n">
        <f aca="false">E369*X369</f>
        <v>0</v>
      </c>
      <c r="G369" s="142" t="n">
        <f aca="false">VLOOKUP($A369,Table,MATCH(G$4,Curves,0))</f>
        <v>3.987</v>
      </c>
      <c r="H369" s="143" t="n">
        <f aca="false">G369</f>
        <v>3.987</v>
      </c>
      <c r="I369" s="142" t="n">
        <f aca="false">VLOOKUP($A369,Table1,MATCH(I$3,Curves1,0))</f>
        <v>0</v>
      </c>
      <c r="J369" s="142" t="n">
        <f aca="false">VLOOKUP($A369,Table,MATCH(J$4,Curves,0))</f>
        <v>-0.061</v>
      </c>
      <c r="K369" s="143" t="n">
        <f aca="false">J369</f>
        <v>-0.061</v>
      </c>
      <c r="L369" s="144" t="n">
        <v>0</v>
      </c>
      <c r="M369" s="142" t="n">
        <f aca="false">VLOOKUP($A369,Table,MATCH(M$4,Curves,0))</f>
        <v>0.005</v>
      </c>
      <c r="N369" s="143" t="n">
        <f aca="false">M369</f>
        <v>0.005</v>
      </c>
      <c r="O369" s="144" t="n">
        <v>0</v>
      </c>
      <c r="P369" s="145"/>
      <c r="Q369" s="144" t="n">
        <f aca="false">M369+J369+G369</f>
        <v>3.931</v>
      </c>
      <c r="R369" s="144" t="n">
        <f aca="false">O369+L369+I369</f>
        <v>0</v>
      </c>
      <c r="S369" s="145"/>
      <c r="T369" s="71" t="n">
        <f aca="false">A370-A369</f>
        <v>31</v>
      </c>
      <c r="U369" s="146" t="n">
        <f aca="false">CHOOSE(F$3,A370+24,A369)</f>
        <v>47963</v>
      </c>
      <c r="V369" s="71" t="n">
        <f aca="false">U369-C$3</f>
        <v>11075</v>
      </c>
      <c r="W369" s="142" t="n">
        <f aca="false">VLOOKUP($A369,Table,MATCH(W$4,Curves,0))</f>
        <v>0.058966861357273</v>
      </c>
      <c r="X369" s="147" t="n">
        <f aca="false">1/(1+CHOOSE(F$3,(W370+($K$3/10000))/2,(W369+($K$3/10000))/2))^(2*V369/365.25)</f>
        <v>0.171679760632916</v>
      </c>
      <c r="Y369" s="71" t="n">
        <f aca="false">IF(AND(mthbeg&lt;=A369,mthend&gt;=A369),1,0)</f>
        <v>0</v>
      </c>
      <c r="Z369" s="71" t="n">
        <f aca="false">T369*Y369</f>
        <v>0</v>
      </c>
      <c r="AB369" s="132" t="n">
        <f aca="false">F369*G369</f>
        <v>0</v>
      </c>
      <c r="AC369" s="132" t="n">
        <f aca="false">$F369*H369</f>
        <v>0</v>
      </c>
      <c r="AD369" s="132" t="n">
        <f aca="false">$F369*I369</f>
        <v>0</v>
      </c>
      <c r="AE369" s="132" t="n">
        <f aca="false">$F369*J369</f>
        <v>-0</v>
      </c>
      <c r="AF369" s="132" t="n">
        <f aca="false">$F369*K369</f>
        <v>-0</v>
      </c>
      <c r="AG369" s="132" t="n">
        <f aca="false">$F369*L369</f>
        <v>0</v>
      </c>
      <c r="AH369" s="132" t="n">
        <f aca="false">$F369*M369</f>
        <v>0</v>
      </c>
      <c r="AI369" s="132" t="n">
        <f aca="false">$F369*N369</f>
        <v>0</v>
      </c>
      <c r="AJ369" s="132" t="n">
        <f aca="false">F369*O369</f>
        <v>0</v>
      </c>
      <c r="AK369" s="137"/>
      <c r="AL369" s="132" t="n">
        <f aca="false">CHOOSE($G$3,AC369-AD369,AD369-AC369)</f>
        <v>0</v>
      </c>
      <c r="AM369" s="132" t="n">
        <f aca="false">CHOOSE($G$3,AF369-AG369,AG369-AF369)</f>
        <v>0</v>
      </c>
      <c r="AN369" s="132" t="n">
        <f aca="false">CHOOSE($G$3,AI369-AJ369,AJ369-AI369)</f>
        <v>0</v>
      </c>
      <c r="AO369" s="148" t="n">
        <f aca="false">SUM(AL369:AN369)</f>
        <v>0</v>
      </c>
      <c r="AQ369" s="132" t="n">
        <f aca="false">CHOOSE($G$3,AB369-AC369,AC369-AB369)</f>
        <v>0</v>
      </c>
      <c r="AR369" s="132" t="n">
        <f aca="false">CHOOSE($G$3,AE369-AF369,AF369-AE369)</f>
        <v>0</v>
      </c>
      <c r="AS369" s="132" t="n">
        <f aca="false">CHOOSE($G$3,AH369-AI369,AI369-AH369)</f>
        <v>0</v>
      </c>
      <c r="AT369" s="148" t="n">
        <f aca="false">AQ369+AR369+AS369</f>
        <v>0</v>
      </c>
      <c r="AU369" s="148"/>
      <c r="AV369" s="151" t="n">
        <f aca="false">AT369+AO369</f>
        <v>0</v>
      </c>
      <c r="AX369" s="151" t="n">
        <f aca="false">AJ369+AG369+AD369</f>
        <v>0</v>
      </c>
      <c r="AY369" s="149"/>
      <c r="AZ369" s="76" t="n">
        <f aca="false">R369*E369</f>
        <v>0</v>
      </c>
    </row>
    <row r="370" customFormat="false" ht="12.75" hidden="false" customHeight="false" outlineLevel="0" collapsed="false">
      <c r="A370" s="138" t="n">
        <f aca="false">EDATE(A369,1)</f>
        <v>47939</v>
      </c>
      <c r="W370" s="142" t="n">
        <f aca="false">VLOOKUP($A370,Table,MATCH(W$4,Curves,0))</f>
        <v>0.058966861357273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74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41"/>
    <col collapsed="false" customWidth="true" hidden="false" outlineLevel="0" max="4" min="4" style="0" width="11.42"/>
    <col collapsed="false" customWidth="true" hidden="false" outlineLevel="0" max="6" min="6" style="0" width="10.85"/>
    <col collapsed="false" customWidth="true" hidden="false" outlineLevel="0" max="10" min="10" style="0" width="9.99"/>
    <col collapsed="false" customWidth="true" hidden="false" outlineLevel="0" max="11" min="11" style="0" width="11.13"/>
    <col collapsed="false" customWidth="true" hidden="false" outlineLevel="0" max="12" min="12" style="0" width="11.56"/>
    <col collapsed="false" customWidth="true" hidden="false" outlineLevel="0" max="14" min="14" style="0" width="14.28"/>
    <col collapsed="false" customWidth="true" hidden="false" outlineLevel="0" max="16" min="16" style="0" width="11.56"/>
    <col collapsed="false" customWidth="true" hidden="false" outlineLevel="0" max="17" min="17" style="0" width="11.99"/>
    <col collapsed="false" customWidth="true" hidden="false" outlineLevel="0" max="20" min="20" style="0" width="9.85"/>
    <col collapsed="false" customWidth="true" hidden="false" outlineLevel="0" max="21" min="21" style="0" width="10.71"/>
    <col collapsed="false" customWidth="true" hidden="false" outlineLevel="0" max="24" min="24" style="0" width="1.85"/>
  </cols>
  <sheetData>
    <row r="1" customFormat="false" ht="12.75" hidden="false" customHeight="false" outlineLevel="0" collapsed="false">
      <c r="A1" s="1" t="s">
        <v>205</v>
      </c>
    </row>
    <row r="3" customFormat="false" ht="12.75" hidden="false" customHeight="false" outlineLevel="0" collapsed="false">
      <c r="A3" s="2" t="s">
        <v>102</v>
      </c>
    </row>
    <row r="4" customFormat="false" ht="12.75" hidden="false" customHeight="false" outlineLevel="0" collapsed="false">
      <c r="B4" s="0" t="s">
        <v>173</v>
      </c>
      <c r="F4" s="152" t="n">
        <f aca="false">'Financing Assumptions'!E44</f>
        <v>0</v>
      </c>
      <c r="I4" s="0" t="s">
        <v>174</v>
      </c>
      <c r="L4" s="59" t="n">
        <f aca="false">SUM(I19:I74)</f>
        <v>0</v>
      </c>
      <c r="N4" s="0" t="s">
        <v>175</v>
      </c>
      <c r="Q4" s="59" t="n">
        <f aca="false">((Drawdown!H6/SUM(Drawdown!E6:H6))*'Financing Assumptions'!E9)</f>
        <v>0</v>
      </c>
    </row>
    <row r="5" customFormat="false" ht="12.75" hidden="false" customHeight="false" outlineLevel="0" collapsed="false">
      <c r="B5" s="0" t="s">
        <v>176</v>
      </c>
      <c r="F5" s="59" t="n">
        <f aca="false">L5</f>
        <v>0</v>
      </c>
      <c r="I5" s="0" t="s">
        <v>177</v>
      </c>
      <c r="L5" s="59" t="n">
        <f aca="false">SUM(J19:J74)</f>
        <v>0</v>
      </c>
      <c r="N5" s="0" t="s">
        <v>178</v>
      </c>
      <c r="Q5" s="153" t="n">
        <f aca="false">Q4/'Financing Assumptions'!E9</f>
        <v>0</v>
      </c>
    </row>
    <row r="6" customFormat="false" ht="12.75" hidden="false" customHeight="false" outlineLevel="0" collapsed="false">
      <c r="B6" s="0" t="s">
        <v>179</v>
      </c>
      <c r="F6" s="59" t="n">
        <f aca="false">Q74</f>
        <v>0</v>
      </c>
      <c r="I6" s="0" t="s">
        <v>180</v>
      </c>
      <c r="L6" s="157" t="n">
        <v>0</v>
      </c>
      <c r="N6" s="0" t="s">
        <v>181</v>
      </c>
      <c r="Q6" s="59" t="n">
        <f aca="false">Q74-Q4</f>
        <v>0</v>
      </c>
    </row>
    <row r="9" customFormat="false" ht="12.75" hidden="false" customHeight="false" outlineLevel="0" collapsed="false">
      <c r="H9" s="154" t="s">
        <v>182</v>
      </c>
      <c r="I9" s="154"/>
      <c r="J9" s="154"/>
      <c r="K9" s="154"/>
      <c r="L9" s="154"/>
      <c r="N9" s="154" t="s">
        <v>183</v>
      </c>
      <c r="O9" s="154"/>
      <c r="P9" s="154"/>
      <c r="Q9" s="154"/>
    </row>
    <row r="10" customFormat="false" ht="12.75" hidden="false" customHeight="false" outlineLevel="0" collapsed="false">
      <c r="H10" s="41" t="s">
        <v>90</v>
      </c>
      <c r="I10" s="41"/>
      <c r="J10" s="41"/>
      <c r="K10" s="41" t="s">
        <v>184</v>
      </c>
      <c r="L10" s="41" t="s">
        <v>3</v>
      </c>
      <c r="N10" s="41" t="s">
        <v>90</v>
      </c>
      <c r="V10" s="41"/>
      <c r="W10" s="41"/>
    </row>
    <row r="11" customFormat="false" ht="12.75" hidden="false" customHeight="false" outlineLevel="0" collapsed="false">
      <c r="B11" s="41" t="s">
        <v>69</v>
      </c>
      <c r="C11" s="41" t="s">
        <v>69</v>
      </c>
      <c r="D11" s="41" t="s">
        <v>89</v>
      </c>
      <c r="E11" s="41" t="s">
        <v>185</v>
      </c>
      <c r="F11" s="41" t="s">
        <v>90</v>
      </c>
      <c r="H11" s="41" t="s">
        <v>122</v>
      </c>
      <c r="I11" s="41" t="s">
        <v>117</v>
      </c>
      <c r="J11" s="41" t="s">
        <v>117</v>
      </c>
      <c r="K11" s="41" t="s">
        <v>186</v>
      </c>
      <c r="L11" s="41" t="s">
        <v>134</v>
      </c>
      <c r="N11" s="41" t="s">
        <v>122</v>
      </c>
      <c r="O11" s="41" t="s">
        <v>117</v>
      </c>
      <c r="P11" s="41" t="s">
        <v>117</v>
      </c>
      <c r="Q11" s="41" t="s">
        <v>187</v>
      </c>
      <c r="S11" s="41" t="s">
        <v>188</v>
      </c>
      <c r="T11" s="41" t="s">
        <v>189</v>
      </c>
      <c r="U11" s="41" t="s">
        <v>129</v>
      </c>
      <c r="V11" s="41" t="s">
        <v>91</v>
      </c>
      <c r="W11" s="41" t="s">
        <v>190</v>
      </c>
      <c r="Y11" s="41" t="s">
        <v>191</v>
      </c>
      <c r="Z11" s="41" t="s">
        <v>186</v>
      </c>
    </row>
    <row r="12" customFormat="false" ht="12.75" hidden="false" customHeight="false" outlineLevel="0" collapsed="false">
      <c r="B12" s="60" t="s">
        <v>75</v>
      </c>
      <c r="C12" s="60" t="s">
        <v>76</v>
      </c>
      <c r="D12" s="60" t="s">
        <v>75</v>
      </c>
      <c r="E12" s="60" t="s">
        <v>192</v>
      </c>
      <c r="F12" s="60" t="s">
        <v>76</v>
      </c>
      <c r="H12" s="60" t="s">
        <v>193</v>
      </c>
      <c r="I12" s="60" t="s">
        <v>131</v>
      </c>
      <c r="J12" s="60" t="s">
        <v>132</v>
      </c>
      <c r="K12" s="60" t="s">
        <v>194</v>
      </c>
      <c r="L12" s="60" t="s">
        <v>195</v>
      </c>
      <c r="N12" s="60" t="s">
        <v>196</v>
      </c>
      <c r="O12" s="60" t="s">
        <v>131</v>
      </c>
      <c r="P12" s="60" t="s">
        <v>132</v>
      </c>
      <c r="Q12" s="60" t="s">
        <v>197</v>
      </c>
      <c r="S12" s="60" t="s">
        <v>93</v>
      </c>
      <c r="T12" s="60" t="s">
        <v>127</v>
      </c>
      <c r="U12" s="60" t="s">
        <v>194</v>
      </c>
      <c r="V12" s="60" t="s">
        <v>93</v>
      </c>
      <c r="W12" s="60" t="s">
        <v>93</v>
      </c>
      <c r="Y12" s="60" t="s">
        <v>93</v>
      </c>
      <c r="Z12" s="60" t="s">
        <v>37</v>
      </c>
    </row>
    <row r="14" customFormat="false" ht="12.75" hidden="false" customHeight="false" outlineLevel="0" collapsed="false">
      <c r="D14" s="66" t="n">
        <f aca="false">Summary!B5</f>
        <v>36888</v>
      </c>
    </row>
    <row r="15" customFormat="false" ht="12.75" hidden="false" customHeight="false" outlineLevel="0" collapsed="false">
      <c r="B15" s="155" t="n">
        <v>36861</v>
      </c>
      <c r="C15" s="0" t="n">
        <f aca="false">EOMONTH(B15,0)-EOMONTH(B15,-1)</f>
        <v>31</v>
      </c>
      <c r="D15" s="66" t="n">
        <f aca="false">WORKDAY(EOMONTH(B15,0)+24,1,'Financing Assumptions'!E33:E39)</f>
        <v>36916</v>
      </c>
      <c r="E15" s="156" t="str">
        <f aca="false">TEXT(D15,"DDD")</f>
        <v>Thu</v>
      </c>
      <c r="F15" s="41" t="n">
        <f aca="false">D15-$D$14</f>
        <v>28</v>
      </c>
    </row>
    <row r="16" customFormat="false" ht="12.75" hidden="false" customHeight="false" outlineLevel="0" collapsed="false">
      <c r="B16" s="155" t="n">
        <v>36892</v>
      </c>
      <c r="C16" s="0" t="n">
        <f aca="false">EOMONTH(B16,0)-EOMONTH(B16,-1)</f>
        <v>31</v>
      </c>
      <c r="D16" s="66" t="n">
        <f aca="false">WORKDAY(EOMONTH(B16,0)+24,1,'Financing Assumptions'!E34:E40)</f>
        <v>36948</v>
      </c>
      <c r="E16" s="156" t="str">
        <f aca="false">TEXT(D16,"DDD")</f>
        <v>Mon</v>
      </c>
      <c r="F16" s="41" t="n">
        <f aca="false">D16-$D$14</f>
        <v>60</v>
      </c>
      <c r="J16" s="0" t="s">
        <v>198</v>
      </c>
      <c r="L16" s="59" t="n">
        <v>0</v>
      </c>
    </row>
    <row r="17" customFormat="false" ht="12.75" hidden="false" customHeight="false" outlineLevel="0" collapsed="false">
      <c r="B17" s="155" t="n">
        <v>36923</v>
      </c>
      <c r="C17" s="0" t="n">
        <f aca="false">EOMONTH(B17,0)-EOMONTH(B17,-1)</f>
        <v>28</v>
      </c>
      <c r="D17" s="66" t="n">
        <f aca="false">WORKDAY(EOMONTH(B17,0)+24,1,'Financing Assumptions'!E35:E41)</f>
        <v>36976</v>
      </c>
      <c r="E17" s="156" t="str">
        <f aca="false">TEXT(D17,"DDD")</f>
        <v>Mon</v>
      </c>
      <c r="F17" s="41" t="n">
        <f aca="false">D17-$D$14</f>
        <v>88</v>
      </c>
    </row>
    <row r="18" customFormat="false" ht="12.75" hidden="false" customHeight="false" outlineLevel="0" collapsed="false">
      <c r="B18" s="155" t="n">
        <v>36951</v>
      </c>
      <c r="C18" s="0" t="n">
        <f aca="false">EOMONTH(B18,0)-EOMONTH(B18,-1)</f>
        <v>31</v>
      </c>
      <c r="D18" s="66" t="n">
        <f aca="false">WORKDAY(EOMONTH(B18,0)+24,1,'Financing Assumptions'!E36:E42)</f>
        <v>37006</v>
      </c>
      <c r="E18" s="156" t="str">
        <f aca="false">TEXT(D18,"DDD")</f>
        <v>Wed</v>
      </c>
      <c r="F18" s="41" t="n">
        <f aca="false">D18-$D$14</f>
        <v>118</v>
      </c>
    </row>
    <row r="19" customFormat="false" ht="12.75" hidden="false" customHeight="false" outlineLevel="0" collapsed="false">
      <c r="B19" s="155" t="n">
        <v>36982</v>
      </c>
      <c r="C19" s="0" t="n">
        <f aca="false">EOMONTH(B19,0)-EOMONTH(B19,-1)</f>
        <v>30</v>
      </c>
      <c r="D19" s="66" t="n">
        <f aca="false">WORKDAY(EOMONTH(B19,0)+24,1,'Financing Assumptions'!E37:E43)</f>
        <v>37036</v>
      </c>
      <c r="E19" s="156" t="str">
        <f aca="false">TEXT(D19,"DDD")</f>
        <v>Fri</v>
      </c>
      <c r="F19" s="41" t="n">
        <f aca="false">D19-$D$14</f>
        <v>148</v>
      </c>
      <c r="H19" s="0" t="n">
        <f aca="false">(1+Curves!U5/12)^(-12*F19/360)</f>
        <v>0.974015782510108</v>
      </c>
      <c r="I19" s="152" t="n">
        <f aca="false">$F$4*H19*C19</f>
        <v>0</v>
      </c>
      <c r="J19" s="59" t="n">
        <f aca="false">I19*(Curves!B5+Curves!J5+Curves!K5)</f>
        <v>0</v>
      </c>
      <c r="K19" s="68" t="n">
        <v>0</v>
      </c>
      <c r="L19" s="59" t="n">
        <v>0</v>
      </c>
      <c r="N19" s="74" t="n">
        <f aca="false">(1+Curves!V5/12)^(-12*F19/360)</f>
        <v>0.970538166269421</v>
      </c>
      <c r="O19" s="59" t="n">
        <f aca="false">$F$4*N19*C19</f>
        <v>0</v>
      </c>
      <c r="P19" s="59" t="n">
        <v>0</v>
      </c>
      <c r="Q19" s="59" t="n">
        <v>0</v>
      </c>
      <c r="S19" s="59" t="n">
        <f aca="false">O19</f>
        <v>0</v>
      </c>
      <c r="T19" s="59" t="n">
        <f aca="false">S19*(Curves!B5+Curves!J5+Curves!K5)</f>
        <v>0</v>
      </c>
      <c r="U19" s="0" t="n">
        <v>0</v>
      </c>
      <c r="V19" s="59" t="n">
        <f aca="false">(O19/N19)/C19</f>
        <v>0</v>
      </c>
      <c r="W19" s="59" t="n">
        <v>0</v>
      </c>
      <c r="Y19" s="59" t="n">
        <v>0</v>
      </c>
      <c r="Z19" s="68" t="n">
        <v>0</v>
      </c>
    </row>
    <row r="20" customFormat="false" ht="12.75" hidden="false" customHeight="false" outlineLevel="0" collapsed="false">
      <c r="B20" s="155" t="n">
        <v>37012</v>
      </c>
      <c r="C20" s="0" t="n">
        <f aca="false">EOMONTH(B20,0)-EOMONTH(B20,-1)</f>
        <v>31</v>
      </c>
      <c r="D20" s="66" t="n">
        <f aca="false">WORKDAY(EOMONTH(B20,0)+24,1,'Financing Assumptions'!E38:E44)</f>
        <v>37067</v>
      </c>
      <c r="E20" s="156" t="str">
        <f aca="false">TEXT(D20,"DDD")</f>
        <v>Mon</v>
      </c>
      <c r="F20" s="41" t="n">
        <f aca="false">D20-$D$14</f>
        <v>179</v>
      </c>
      <c r="H20" s="0" t="n">
        <f aca="false">(1+Curves!U6/12)^(-12*F20/360)</f>
        <v>0.969132676480879</v>
      </c>
      <c r="I20" s="152" t="n">
        <f aca="false">$F$4*H20*C20</f>
        <v>0</v>
      </c>
      <c r="J20" s="59" t="n">
        <f aca="false">I20*(Curves!B6+Curves!J6+Curves!K6)</f>
        <v>0</v>
      </c>
      <c r="K20" s="68" t="n">
        <v>0</v>
      </c>
      <c r="L20" s="59" t="n">
        <v>0</v>
      </c>
      <c r="N20" s="74" t="n">
        <f aca="false">(1+Curves!V6/12)^(-12*F20/360)</f>
        <v>0.964948951660208</v>
      </c>
      <c r="O20" s="59" t="n">
        <f aca="false">$F$4*N20*C20</f>
        <v>0</v>
      </c>
      <c r="P20" s="59" t="n">
        <v>0</v>
      </c>
      <c r="Q20" s="59" t="n">
        <v>0</v>
      </c>
      <c r="S20" s="59" t="n">
        <f aca="false">O20</f>
        <v>0</v>
      </c>
      <c r="T20" s="59" t="n">
        <f aca="false">S20*(Curves!B6+Curves!J6+Curves!K6)</f>
        <v>0</v>
      </c>
      <c r="U20" s="0" t="n">
        <v>0</v>
      </c>
      <c r="V20" s="59" t="n">
        <f aca="false">(O20/N20)/C20</f>
        <v>0</v>
      </c>
      <c r="W20" s="59" t="n">
        <v>0</v>
      </c>
      <c r="Y20" s="59" t="n">
        <v>0</v>
      </c>
      <c r="Z20" s="68" t="n">
        <v>0</v>
      </c>
    </row>
    <row r="21" customFormat="false" ht="12.75" hidden="false" customHeight="false" outlineLevel="0" collapsed="false">
      <c r="B21" s="155" t="n">
        <v>37043</v>
      </c>
      <c r="C21" s="0" t="n">
        <f aca="false">EOMONTH(B21,0)-EOMONTH(B21,-1)</f>
        <v>30</v>
      </c>
      <c r="D21" s="66" t="n">
        <f aca="false">WORKDAY(EOMONTH(B21,0)+24,1,'Financing Assumptions'!E39:E45)</f>
        <v>37097</v>
      </c>
      <c r="E21" s="156" t="str">
        <f aca="false">TEXT(D21,"DDD")</f>
        <v>Wed</v>
      </c>
      <c r="F21" s="41" t="n">
        <f aca="false">D21-$D$14</f>
        <v>209</v>
      </c>
      <c r="H21" s="0" t="n">
        <f aca="false">(1+Curves!U7/12)^(-12*F21/360)</f>
        <v>0.964622209264917</v>
      </c>
      <c r="I21" s="152" t="n">
        <f aca="false">$F$4*H21*C21</f>
        <v>0</v>
      </c>
      <c r="J21" s="59" t="n">
        <f aca="false">I21*(Curves!B7+Curves!J7+Curves!K7)</f>
        <v>0</v>
      </c>
      <c r="K21" s="68" t="n">
        <v>0</v>
      </c>
      <c r="L21" s="59" t="n">
        <v>0</v>
      </c>
      <c r="N21" s="74" t="n">
        <f aca="false">(1+Curves!V7/12)^(-12*F21/360)</f>
        <v>0.959761387205513</v>
      </c>
      <c r="O21" s="59" t="n">
        <f aca="false">$F$4*N21*C21</f>
        <v>0</v>
      </c>
      <c r="P21" s="59" t="n">
        <v>0</v>
      </c>
      <c r="Q21" s="59" t="n">
        <v>0</v>
      </c>
      <c r="S21" s="59" t="n">
        <f aca="false">O21</f>
        <v>0</v>
      </c>
      <c r="T21" s="59" t="n">
        <f aca="false">S21*(Curves!B7+Curves!J7+Curves!K7)</f>
        <v>0</v>
      </c>
      <c r="U21" s="0" t="n">
        <v>0</v>
      </c>
      <c r="V21" s="59" t="n">
        <f aca="false">(O21/N21)/C21</f>
        <v>0</v>
      </c>
      <c r="W21" s="59" t="n">
        <v>0</v>
      </c>
      <c r="Y21" s="59" t="n">
        <v>0</v>
      </c>
      <c r="Z21" s="68" t="n">
        <v>0</v>
      </c>
    </row>
    <row r="22" customFormat="false" ht="12.75" hidden="false" customHeight="false" outlineLevel="0" collapsed="false">
      <c r="B22" s="155" t="n">
        <v>37073</v>
      </c>
      <c r="C22" s="0" t="n">
        <f aca="false">EOMONTH(B22,0)-EOMONTH(B22,-1)</f>
        <v>31</v>
      </c>
      <c r="D22" s="66" t="n">
        <f aca="false">WORKDAY(EOMONTH(B22,0)+24,1,'Financing Assumptions'!E40:E46)</f>
        <v>37130</v>
      </c>
      <c r="E22" s="156" t="str">
        <f aca="false">TEXT(D22,"DDD")</f>
        <v>Mon</v>
      </c>
      <c r="F22" s="41" t="n">
        <f aca="false">D22-$D$14</f>
        <v>242</v>
      </c>
      <c r="H22" s="0" t="n">
        <f aca="false">(1+Curves!U8/12)^(-12*F22/360)</f>
        <v>0.959712969314342</v>
      </c>
      <c r="I22" s="152" t="n">
        <f aca="false">$F$4*H22*C22</f>
        <v>0</v>
      </c>
      <c r="J22" s="59" t="n">
        <f aca="false">I22*(Curves!B8+Curves!J8+Curves!K8)</f>
        <v>0</v>
      </c>
      <c r="K22" s="68" t="n">
        <v>0</v>
      </c>
      <c r="L22" s="59" t="n">
        <v>0</v>
      </c>
      <c r="N22" s="74" t="n">
        <f aca="false">(1+Curves!V8/12)^(-12*F22/360)</f>
        <v>0.954115119480747</v>
      </c>
      <c r="O22" s="59" t="n">
        <f aca="false">$F$4*N22*C22</f>
        <v>0</v>
      </c>
      <c r="P22" s="59" t="n">
        <v>0</v>
      </c>
      <c r="Q22" s="59" t="n">
        <v>0</v>
      </c>
      <c r="S22" s="59" t="n">
        <f aca="false">O22</f>
        <v>0</v>
      </c>
      <c r="T22" s="59" t="n">
        <f aca="false">S22*(Curves!B8+Curves!J8+Curves!K8)</f>
        <v>0</v>
      </c>
      <c r="U22" s="0" t="n">
        <v>0</v>
      </c>
      <c r="V22" s="59" t="n">
        <f aca="false">(O22/N22)/C22</f>
        <v>0</v>
      </c>
      <c r="W22" s="59" t="n">
        <v>0</v>
      </c>
      <c r="Y22" s="59" t="n">
        <v>0</v>
      </c>
      <c r="Z22" s="68" t="n">
        <v>0</v>
      </c>
    </row>
    <row r="23" customFormat="false" ht="12.75" hidden="false" customHeight="false" outlineLevel="0" collapsed="false">
      <c r="B23" s="155" t="n">
        <v>37104</v>
      </c>
      <c r="C23" s="0" t="n">
        <f aca="false">EOMONTH(B23,0)-EOMONTH(B23,-1)</f>
        <v>31</v>
      </c>
      <c r="D23" s="66" t="n">
        <f aca="false">WORKDAY(EOMONTH(B23,0)+24,1,'Financing Assumptions'!E41:E47)</f>
        <v>37159</v>
      </c>
      <c r="E23" s="156" t="str">
        <f aca="false">TEXT(D23,"DDD")</f>
        <v>Tue</v>
      </c>
      <c r="F23" s="41" t="n">
        <f aca="false">D23-$D$14</f>
        <v>271</v>
      </c>
      <c r="H23" s="0" t="n">
        <f aca="false">(1+Curves!U9/12)^(-12*F23/360)</f>
        <v>0.955489957381465</v>
      </c>
      <c r="I23" s="152" t="n">
        <f aca="false">$F$4*H23*C23</f>
        <v>0</v>
      </c>
      <c r="J23" s="59" t="n">
        <f aca="false">I23*(Curves!B9+Curves!J9+Curves!K9)</f>
        <v>0</v>
      </c>
      <c r="K23" s="68" t="n">
        <v>0</v>
      </c>
      <c r="L23" s="59" t="n">
        <v>0</v>
      </c>
      <c r="N23" s="74" t="n">
        <f aca="false">(1+Curves!V9/12)^(-12*F23/360)</f>
        <v>0.949250703405034</v>
      </c>
      <c r="O23" s="59" t="n">
        <f aca="false">$F$4*N23*C23</f>
        <v>0</v>
      </c>
      <c r="P23" s="59" t="n">
        <v>0</v>
      </c>
      <c r="Q23" s="59" t="n">
        <v>0</v>
      </c>
      <c r="S23" s="59" t="n">
        <f aca="false">O23</f>
        <v>0</v>
      </c>
      <c r="T23" s="59" t="n">
        <f aca="false">S23*(Curves!B9+Curves!J9+Curves!K9)</f>
        <v>0</v>
      </c>
      <c r="U23" s="0" t="n">
        <v>0</v>
      </c>
      <c r="V23" s="59" t="n">
        <f aca="false">(O23/N23)/C23</f>
        <v>0</v>
      </c>
      <c r="W23" s="59" t="n">
        <v>0</v>
      </c>
      <c r="Y23" s="59" t="n">
        <v>0</v>
      </c>
      <c r="Z23" s="68" t="n">
        <v>0</v>
      </c>
    </row>
    <row r="24" customFormat="false" ht="12.75" hidden="false" customHeight="false" outlineLevel="0" collapsed="false">
      <c r="B24" s="155" t="n">
        <v>37135</v>
      </c>
      <c r="C24" s="0" t="n">
        <f aca="false">EOMONTH(B24,0)-EOMONTH(B24,-1)</f>
        <v>30</v>
      </c>
      <c r="D24" s="66" t="n">
        <f aca="false">WORKDAY(EOMONTH(B24,0)+24,1,'Financing Assumptions'!E42:E48)</f>
        <v>37189</v>
      </c>
      <c r="E24" s="156" t="str">
        <f aca="false">TEXT(D24,"DDD")</f>
        <v>Thu</v>
      </c>
      <c r="F24" s="41" t="n">
        <f aca="false">D24-$D$14</f>
        <v>301</v>
      </c>
      <c r="H24" s="0" t="n">
        <f aca="false">(1+Curves!U10/12)^(-12*F24/360)</f>
        <v>0.951233121215417</v>
      </c>
      <c r="I24" s="152" t="n">
        <f aca="false">$F$4*H24*C24</f>
        <v>0</v>
      </c>
      <c r="J24" s="59" t="n">
        <f aca="false">I24*(Curves!B10+Curves!J10+Curves!K10)</f>
        <v>0</v>
      </c>
      <c r="K24" s="68" t="n">
        <v>0</v>
      </c>
      <c r="L24" s="59" t="n">
        <v>0</v>
      </c>
      <c r="N24" s="74" t="n">
        <f aca="false">(1+Curves!V10/12)^(-12*F24/360)</f>
        <v>0.944336153320315</v>
      </c>
      <c r="O24" s="59" t="n">
        <f aca="false">$F$4*N24*C24</f>
        <v>0</v>
      </c>
      <c r="P24" s="59" t="n">
        <v>0</v>
      </c>
      <c r="Q24" s="59" t="n">
        <v>0</v>
      </c>
      <c r="S24" s="59" t="n">
        <f aca="false">O24</f>
        <v>0</v>
      </c>
      <c r="T24" s="59" t="n">
        <f aca="false">S24*(Curves!B10+Curves!J10+Curves!K10)</f>
        <v>0</v>
      </c>
      <c r="U24" s="0" t="n">
        <v>0</v>
      </c>
      <c r="V24" s="59" t="n">
        <f aca="false">(O24/N24)/C24</f>
        <v>0</v>
      </c>
      <c r="W24" s="59" t="n">
        <v>0</v>
      </c>
      <c r="Y24" s="59" t="n">
        <v>0</v>
      </c>
      <c r="Z24" s="68" t="n">
        <v>0</v>
      </c>
    </row>
    <row r="25" customFormat="false" ht="12.75" hidden="false" customHeight="false" outlineLevel="0" collapsed="false">
      <c r="B25" s="155" t="n">
        <v>37165</v>
      </c>
      <c r="C25" s="0" t="n">
        <f aca="false">EOMONTH(B25,0)-EOMONTH(B25,-1)</f>
        <v>31</v>
      </c>
      <c r="D25" s="66" t="n">
        <f aca="false">WORKDAY(EOMONTH(B25,0)+24,1,'Financing Assumptions'!E43:E49)</f>
        <v>37221</v>
      </c>
      <c r="E25" s="156" t="str">
        <f aca="false">TEXT(D25,"DDD")</f>
        <v>Mon</v>
      </c>
      <c r="F25" s="41" t="n">
        <f aca="false">D25-$D$14</f>
        <v>333</v>
      </c>
      <c r="H25" s="0" t="n">
        <f aca="false">(1+Curves!U11/12)^(-12*F25/360)</f>
        <v>0.946706523365583</v>
      </c>
      <c r="I25" s="152" t="n">
        <f aca="false">$F$4*H25*C25</f>
        <v>0</v>
      </c>
      <c r="J25" s="59" t="n">
        <f aca="false">I25*(Curves!B11+Curves!J11+Curves!K11)</f>
        <v>0</v>
      </c>
      <c r="K25" s="68" t="n">
        <v>0</v>
      </c>
      <c r="L25" s="59" t="n">
        <v>0</v>
      </c>
      <c r="N25" s="74" t="n">
        <f aca="false">(1+Curves!V11/12)^(-12*F25/360)</f>
        <v>0.939115194463977</v>
      </c>
      <c r="O25" s="59" t="n">
        <f aca="false">$F$4*N25*C25</f>
        <v>0</v>
      </c>
      <c r="P25" s="59" t="n">
        <v>0</v>
      </c>
      <c r="Q25" s="59" t="n">
        <v>0</v>
      </c>
      <c r="S25" s="59" t="n">
        <f aca="false">O25</f>
        <v>0</v>
      </c>
      <c r="T25" s="59" t="n">
        <f aca="false">S25*(Curves!B11+Curves!J11+Curves!K11)</f>
        <v>0</v>
      </c>
      <c r="U25" s="0" t="n">
        <v>0</v>
      </c>
      <c r="V25" s="59" t="n">
        <f aca="false">(O25/N25)/C25</f>
        <v>0</v>
      </c>
      <c r="W25" s="59" t="n">
        <v>0</v>
      </c>
      <c r="Y25" s="59" t="n">
        <v>0</v>
      </c>
      <c r="Z25" s="68" t="n">
        <v>0</v>
      </c>
    </row>
    <row r="26" customFormat="false" ht="12.75" hidden="false" customHeight="false" outlineLevel="0" collapsed="false">
      <c r="B26" s="155" t="n">
        <v>37196</v>
      </c>
      <c r="C26" s="0" t="n">
        <f aca="false">EOMONTH(B26,0)-EOMONTH(B26,-1)</f>
        <v>30</v>
      </c>
      <c r="D26" s="66" t="n">
        <f aca="false">WORKDAY(EOMONTH(B26,0)+24,1,'Financing Assumptions'!E44:E50)</f>
        <v>37250</v>
      </c>
      <c r="E26" s="156" t="str">
        <f aca="false">TEXT(D26,"DDD")</f>
        <v>Tue</v>
      </c>
      <c r="F26" s="41" t="n">
        <f aca="false">D26-$D$14</f>
        <v>362</v>
      </c>
      <c r="H26" s="0" t="n">
        <f aca="false">(1+Curves!U12/12)^(-12*F26/360)</f>
        <v>0.942661362271595</v>
      </c>
      <c r="I26" s="152" t="n">
        <f aca="false">$F$4*H26*C26</f>
        <v>0</v>
      </c>
      <c r="J26" s="59" t="n">
        <f aca="false">I26*(Curves!B12+Curves!J12+Curves!K12)</f>
        <v>0</v>
      </c>
      <c r="K26" s="68" t="n">
        <v>0</v>
      </c>
      <c r="L26" s="59" t="n">
        <v>0</v>
      </c>
      <c r="N26" s="74" t="n">
        <f aca="false">(1+Curves!V12/12)^(-12*F26/360)</f>
        <v>0.934446734219082</v>
      </c>
      <c r="O26" s="59" t="n">
        <f aca="false">$F$4*N26*C26</f>
        <v>0</v>
      </c>
      <c r="P26" s="59" t="n">
        <v>0</v>
      </c>
      <c r="Q26" s="59" t="n">
        <v>0</v>
      </c>
      <c r="S26" s="59" t="n">
        <f aca="false">O26</f>
        <v>0</v>
      </c>
      <c r="T26" s="59" t="n">
        <f aca="false">S26*(Curves!B12+Curves!J12+Curves!K12)</f>
        <v>0</v>
      </c>
      <c r="U26" s="0" t="n">
        <v>0</v>
      </c>
      <c r="V26" s="59" t="n">
        <f aca="false">(O26/N26)/C26</f>
        <v>0</v>
      </c>
      <c r="W26" s="59" t="n">
        <v>0</v>
      </c>
      <c r="Y26" s="59" t="n">
        <v>0</v>
      </c>
      <c r="Z26" s="68" t="n">
        <v>0</v>
      </c>
    </row>
    <row r="27" customFormat="false" ht="12.75" hidden="false" customHeight="false" outlineLevel="0" collapsed="false">
      <c r="B27" s="155" t="n">
        <v>37226</v>
      </c>
      <c r="C27" s="0" t="n">
        <f aca="false">EOMONTH(B27,0)-EOMONTH(B27,-1)</f>
        <v>31</v>
      </c>
      <c r="D27" s="66" t="n">
        <f aca="false">WORKDAY(EOMONTH(B27,0)+24,1,'Financing Assumptions'!E45:E51)</f>
        <v>37281</v>
      </c>
      <c r="E27" s="156" t="str">
        <f aca="false">TEXT(D27,"DDD")</f>
        <v>Fri</v>
      </c>
      <c r="F27" s="41" t="n">
        <f aca="false">D27-$D$14</f>
        <v>393</v>
      </c>
      <c r="H27" s="0" t="n">
        <f aca="false">(1+Curves!U13/12)^(-12*F27/360)</f>
        <v>0.938387226828226</v>
      </c>
      <c r="I27" s="152" t="n">
        <f aca="false">$F$4*H27*C27</f>
        <v>0</v>
      </c>
      <c r="J27" s="59" t="n">
        <f aca="false">I27*(Curves!B13+Curves!J13+Curves!K13)</f>
        <v>0</v>
      </c>
      <c r="K27" s="68" t="n">
        <v>0</v>
      </c>
      <c r="L27" s="59" t="n">
        <v>0</v>
      </c>
      <c r="N27" s="74" t="n">
        <f aca="false">(1+Curves!V13/12)^(-12*F27/360)</f>
        <v>0.929512547917122</v>
      </c>
      <c r="O27" s="59" t="n">
        <f aca="false">$F$4*N27*C27</f>
        <v>0</v>
      </c>
      <c r="P27" s="59" t="n">
        <v>0</v>
      </c>
      <c r="Q27" s="59" t="n">
        <v>0</v>
      </c>
      <c r="S27" s="59" t="n">
        <f aca="false">O27</f>
        <v>0</v>
      </c>
      <c r="T27" s="59" t="n">
        <f aca="false">S27*(Curves!B13+Curves!J13+Curves!K13)</f>
        <v>0</v>
      </c>
      <c r="U27" s="0" t="n">
        <v>0</v>
      </c>
      <c r="V27" s="59" t="n">
        <f aca="false">(O27/N27)/C27</f>
        <v>0</v>
      </c>
      <c r="W27" s="59" t="n">
        <v>0</v>
      </c>
      <c r="Y27" s="59" t="n">
        <v>0</v>
      </c>
      <c r="Z27" s="68" t="n">
        <v>0</v>
      </c>
    </row>
    <row r="28" customFormat="false" ht="12.75" hidden="false" customHeight="false" outlineLevel="0" collapsed="false">
      <c r="B28" s="155" t="n">
        <v>37257</v>
      </c>
      <c r="C28" s="0" t="n">
        <f aca="false">EOMONTH(B28,0)-EOMONTH(B28,-1)</f>
        <v>31</v>
      </c>
      <c r="D28" s="66" t="n">
        <f aca="false">WORKDAY(EOMONTH(B28,0)+24,1,'Financing Assumptions'!E46:E52)</f>
        <v>37312</v>
      </c>
      <c r="E28" s="156" t="str">
        <f aca="false">TEXT(D28,"DDD")</f>
        <v>Mon</v>
      </c>
      <c r="F28" s="41" t="n">
        <f aca="false">D28-$D$14</f>
        <v>424</v>
      </c>
      <c r="H28" s="0" t="n">
        <f aca="false">(1+Curves!U14/12)^(-12*F28/360)</f>
        <v>0.934107231415215</v>
      </c>
      <c r="I28" s="152" t="n">
        <f aca="false">$F$4*H28*C28</f>
        <v>0</v>
      </c>
      <c r="J28" s="59" t="n">
        <f aca="false">I28*(Curves!B14+Curves!J14+Curves!K14)</f>
        <v>0</v>
      </c>
      <c r="K28" s="68" t="n">
        <v>0</v>
      </c>
      <c r="L28" s="59" t="n">
        <v>0</v>
      </c>
      <c r="N28" s="74" t="n">
        <f aca="false">(1+Curves!V14/12)^(-12*F28/360)</f>
        <v>0.924579451892352</v>
      </c>
      <c r="O28" s="59" t="n">
        <f aca="false">$F$4*N28*C28</f>
        <v>0</v>
      </c>
      <c r="P28" s="59" t="n">
        <v>0</v>
      </c>
      <c r="Q28" s="59" t="n">
        <v>0</v>
      </c>
      <c r="S28" s="59" t="n">
        <f aca="false">O28</f>
        <v>0</v>
      </c>
      <c r="T28" s="59" t="n">
        <f aca="false">S28*(Curves!B14+Curves!J14+Curves!K14)</f>
        <v>0</v>
      </c>
      <c r="U28" s="0" t="n">
        <v>0</v>
      </c>
      <c r="V28" s="59" t="n">
        <f aca="false">(O28/N28)/C28</f>
        <v>0</v>
      </c>
      <c r="W28" s="59" t="n">
        <v>0</v>
      </c>
      <c r="Y28" s="59" t="n">
        <v>0</v>
      </c>
      <c r="Z28" s="68" t="n">
        <v>0</v>
      </c>
    </row>
    <row r="29" customFormat="false" ht="12.75" hidden="false" customHeight="false" outlineLevel="0" collapsed="false">
      <c r="B29" s="155" t="n">
        <v>37288</v>
      </c>
      <c r="C29" s="0" t="n">
        <f aca="false">EOMONTH(B29,0)-EOMONTH(B29,-1)</f>
        <v>28</v>
      </c>
      <c r="D29" s="66" t="n">
        <f aca="false">WORKDAY(EOMONTH(B29,0)+24,1,'Financing Assumptions'!E47:E53)</f>
        <v>37340</v>
      </c>
      <c r="E29" s="156" t="str">
        <f aca="false">TEXT(D29,"DDD")</f>
        <v>Mon</v>
      </c>
      <c r="F29" s="41" t="n">
        <f aca="false">D29-$D$14</f>
        <v>452</v>
      </c>
      <c r="H29" s="0" t="n">
        <f aca="false">(1+Curves!U15/12)^(-12*F29/360)</f>
        <v>0.930179426803669</v>
      </c>
      <c r="I29" s="152" t="n">
        <f aca="false">$F$4*H29*C29</f>
        <v>0</v>
      </c>
      <c r="J29" s="59" t="n">
        <f aca="false">I29*(Curves!B15+Curves!J15+Curves!K15)</f>
        <v>0</v>
      </c>
      <c r="K29" s="68" t="n">
        <v>0</v>
      </c>
      <c r="L29" s="59" t="n">
        <v>0</v>
      </c>
      <c r="N29" s="74" t="n">
        <f aca="false">(1+Curves!V15/12)^(-12*F29/360)</f>
        <v>0.920068388416561</v>
      </c>
      <c r="O29" s="59" t="n">
        <f aca="false">$F$4*N29*C29</f>
        <v>0</v>
      </c>
      <c r="P29" s="59" t="n">
        <v>0</v>
      </c>
      <c r="Q29" s="59" t="n">
        <v>0</v>
      </c>
      <c r="S29" s="59" t="n">
        <f aca="false">O29</f>
        <v>0</v>
      </c>
      <c r="T29" s="59" t="n">
        <f aca="false">S29*(Curves!B15+Curves!J15+Curves!K15)</f>
        <v>0</v>
      </c>
      <c r="U29" s="0" t="n">
        <v>0</v>
      </c>
      <c r="V29" s="59" t="n">
        <f aca="false">(O29/N29)/C29</f>
        <v>0</v>
      </c>
      <c r="W29" s="59" t="n">
        <v>0</v>
      </c>
      <c r="Y29" s="59" t="n">
        <v>0</v>
      </c>
      <c r="Z29" s="68" t="n">
        <v>0</v>
      </c>
    </row>
    <row r="30" customFormat="false" ht="12.75" hidden="false" customHeight="false" outlineLevel="0" collapsed="false">
      <c r="B30" s="155" t="n">
        <v>37316</v>
      </c>
      <c r="C30" s="0" t="n">
        <f aca="false">EOMONTH(B30,0)-EOMONTH(B30,-1)</f>
        <v>31</v>
      </c>
      <c r="D30" s="66" t="n">
        <f aca="false">WORKDAY(EOMONTH(B30,0)+24,1,'Financing Assumptions'!E48:E54)</f>
        <v>37371</v>
      </c>
      <c r="E30" s="156" t="str">
        <f aca="false">TEXT(D30,"DDD")</f>
        <v>Thu</v>
      </c>
      <c r="F30" s="41" t="n">
        <f aca="false">D30-$D$14</f>
        <v>483</v>
      </c>
      <c r="H30" s="0" t="n">
        <f aca="false">(1+Curves!U16/12)^(-12*F30/360)</f>
        <v>0.925830532354364</v>
      </c>
      <c r="I30" s="152" t="n">
        <f aca="false">$F$4*H30*C30</f>
        <v>0</v>
      </c>
      <c r="J30" s="59" t="n">
        <f aca="false">I30*(Curves!B16+Curves!J16+Curves!K16)</f>
        <v>0</v>
      </c>
      <c r="K30" s="68" t="n">
        <v>0</v>
      </c>
      <c r="L30" s="59" t="n">
        <v>0</v>
      </c>
      <c r="N30" s="74" t="n">
        <f aca="false">(1+Curves!V16/12)^(-12*F30/360)</f>
        <v>0.915080390290755</v>
      </c>
      <c r="O30" s="59" t="n">
        <f aca="false">$F$4*N30*C30</f>
        <v>0</v>
      </c>
      <c r="P30" s="59" t="n">
        <v>0</v>
      </c>
      <c r="Q30" s="59" t="n">
        <v>0</v>
      </c>
      <c r="S30" s="59" t="n">
        <f aca="false">O30</f>
        <v>0</v>
      </c>
      <c r="T30" s="59" t="n">
        <f aca="false">S30*(Curves!B16+Curves!J16+Curves!K16)</f>
        <v>0</v>
      </c>
      <c r="U30" s="0" t="n">
        <v>0</v>
      </c>
      <c r="V30" s="59" t="n">
        <f aca="false">(O30/N30)/C30</f>
        <v>0</v>
      </c>
      <c r="W30" s="59" t="n">
        <v>0</v>
      </c>
      <c r="Y30" s="59" t="n">
        <v>0</v>
      </c>
      <c r="Z30" s="68" t="n">
        <v>0</v>
      </c>
    </row>
    <row r="31" customFormat="false" ht="12.75" hidden="false" customHeight="false" outlineLevel="0" collapsed="false">
      <c r="B31" s="155" t="n">
        <v>37347</v>
      </c>
      <c r="C31" s="0" t="n">
        <f aca="false">EOMONTH(B31,0)-EOMONTH(B31,-1)</f>
        <v>30</v>
      </c>
      <c r="D31" s="66" t="n">
        <f aca="false">WORKDAY(EOMONTH(B31,0)+24,1,'Financing Assumptions'!E49:E55)</f>
        <v>37403</v>
      </c>
      <c r="E31" s="156" t="str">
        <f aca="false">TEXT(D31,"DDD")</f>
        <v>Mon</v>
      </c>
      <c r="F31" s="41" t="n">
        <f aca="false">D31-$D$14</f>
        <v>515</v>
      </c>
      <c r="H31" s="0" t="n">
        <f aca="false">(1+Curves!U17/12)^(-12*F31/360)</f>
        <v>0.921381722659421</v>
      </c>
      <c r="I31" s="152" t="n">
        <f aca="false">$F$4*H31*C31</f>
        <v>0</v>
      </c>
      <c r="J31" s="59" t="n">
        <f aca="false">I31*(Curves!B17+Curves!J17+Curves!K17)</f>
        <v>0</v>
      </c>
      <c r="K31" s="68" t="n">
        <v>0</v>
      </c>
      <c r="L31" s="59" t="n">
        <v>0</v>
      </c>
      <c r="N31" s="74" t="n">
        <f aca="false">(1+Curves!V17/12)^(-12*F31/360)</f>
        <v>0.909978647951969</v>
      </c>
      <c r="O31" s="59" t="n">
        <f aca="false">$F$4*N31*C31</f>
        <v>0</v>
      </c>
      <c r="P31" s="59" t="n">
        <v>0</v>
      </c>
      <c r="Q31" s="59" t="n">
        <v>0</v>
      </c>
      <c r="S31" s="59" t="n">
        <f aca="false">O31</f>
        <v>0</v>
      </c>
      <c r="T31" s="59" t="n">
        <f aca="false">S31*(Curves!B17+Curves!J17+Curves!K17)</f>
        <v>0</v>
      </c>
      <c r="U31" s="0" t="n">
        <v>0</v>
      </c>
      <c r="V31" s="59" t="n">
        <f aca="false">(O31/N31)/C31</f>
        <v>0</v>
      </c>
      <c r="W31" s="59" t="n">
        <v>0</v>
      </c>
      <c r="Y31" s="59" t="n">
        <v>0</v>
      </c>
      <c r="Z31" s="68" t="n">
        <v>0</v>
      </c>
    </row>
    <row r="32" customFormat="false" ht="12.75" hidden="false" customHeight="false" outlineLevel="0" collapsed="false">
      <c r="B32" s="155" t="n">
        <v>37377</v>
      </c>
      <c r="C32" s="0" t="n">
        <f aca="false">EOMONTH(B32,0)-EOMONTH(B32,-1)</f>
        <v>31</v>
      </c>
      <c r="D32" s="66" t="n">
        <f aca="false">WORKDAY(EOMONTH(B32,0)+24,1,'Financing Assumptions'!E50:E56)</f>
        <v>37432</v>
      </c>
      <c r="E32" s="156" t="str">
        <f aca="false">TEXT(D32,"DDD")</f>
        <v>Tue</v>
      </c>
      <c r="F32" s="41" t="n">
        <f aca="false">D32-$D$14</f>
        <v>544</v>
      </c>
      <c r="H32" s="0" t="n">
        <f aca="false">(1+Curves!U18/12)^(-12*F32/360)</f>
        <v>0.917362796476308</v>
      </c>
      <c r="I32" s="152" t="n">
        <f aca="false">$F$4*H32*C32</f>
        <v>0</v>
      </c>
      <c r="J32" s="59" t="n">
        <f aca="false">I32*(Curves!B18+Curves!J18+Curves!K18)</f>
        <v>0</v>
      </c>
      <c r="K32" s="68" t="n">
        <v>0</v>
      </c>
      <c r="L32" s="59" t="n">
        <v>0</v>
      </c>
      <c r="N32" s="74" t="n">
        <f aca="false">(1+Curves!V18/12)^(-12*F32/360)</f>
        <v>0.905374184223678</v>
      </c>
      <c r="O32" s="59" t="n">
        <f aca="false">$F$4*N32*C32</f>
        <v>0</v>
      </c>
      <c r="P32" s="59" t="n">
        <v>0</v>
      </c>
      <c r="Q32" s="59" t="n">
        <v>0</v>
      </c>
      <c r="S32" s="59" t="n">
        <f aca="false">O32</f>
        <v>0</v>
      </c>
      <c r="T32" s="59" t="n">
        <f aca="false">S32*(Curves!B18+Curves!J18+Curves!K18)</f>
        <v>0</v>
      </c>
      <c r="U32" s="0" t="n">
        <v>0</v>
      </c>
      <c r="V32" s="59" t="n">
        <f aca="false">(O32/N32)/C32</f>
        <v>0</v>
      </c>
      <c r="W32" s="59" t="n">
        <v>0</v>
      </c>
      <c r="Y32" s="59" t="n">
        <v>0</v>
      </c>
      <c r="Z32" s="68" t="n">
        <v>0</v>
      </c>
    </row>
    <row r="33" customFormat="false" ht="12.75" hidden="false" customHeight="false" outlineLevel="0" collapsed="false">
      <c r="B33" s="155" t="n">
        <v>37408</v>
      </c>
      <c r="C33" s="0" t="n">
        <f aca="false">EOMONTH(B33,0)-EOMONTH(B33,-1)</f>
        <v>30</v>
      </c>
      <c r="D33" s="66" t="n">
        <f aca="false">WORKDAY(EOMONTH(B33,0)+24,1,'Financing Assumptions'!E51:E57)</f>
        <v>37462</v>
      </c>
      <c r="E33" s="156" t="str">
        <f aca="false">TEXT(D33,"DDD")</f>
        <v>Thu</v>
      </c>
      <c r="F33" s="41" t="n">
        <f aca="false">D33-$D$14</f>
        <v>574</v>
      </c>
      <c r="H33" s="0" t="n">
        <f aca="false">(1+Curves!U19/12)^(-12*F33/360)</f>
        <v>0.913248014448641</v>
      </c>
      <c r="I33" s="152" t="n">
        <f aca="false">$F$4*H33*C33</f>
        <v>0</v>
      </c>
      <c r="J33" s="59" t="n">
        <f aca="false">I33*(Curves!B19+Curves!J19+Curves!K19)</f>
        <v>0</v>
      </c>
      <c r="K33" s="68" t="n">
        <v>0</v>
      </c>
      <c r="L33" s="59" t="n">
        <v>0</v>
      </c>
      <c r="N33" s="74" t="n">
        <f aca="false">(1+Curves!V19/12)^(-12*F33/360)</f>
        <v>0.900659391424517</v>
      </c>
      <c r="O33" s="59" t="n">
        <f aca="false">$F$4*N33*C33</f>
        <v>0</v>
      </c>
      <c r="P33" s="59" t="n">
        <v>0</v>
      </c>
      <c r="Q33" s="59" t="n">
        <v>0</v>
      </c>
      <c r="S33" s="59" t="n">
        <f aca="false">O33</f>
        <v>0</v>
      </c>
      <c r="T33" s="59" t="n">
        <f aca="false">S33*(Curves!B19+Curves!J19+Curves!K19)</f>
        <v>0</v>
      </c>
      <c r="U33" s="0" t="n">
        <v>0</v>
      </c>
      <c r="V33" s="59" t="n">
        <f aca="false">(O33/N33)/C33</f>
        <v>0</v>
      </c>
      <c r="W33" s="59" t="n">
        <v>0</v>
      </c>
      <c r="Y33" s="59" t="n">
        <v>0</v>
      </c>
      <c r="Z33" s="68" t="n">
        <v>0</v>
      </c>
    </row>
    <row r="34" customFormat="false" ht="12.75" hidden="false" customHeight="false" outlineLevel="0" collapsed="false">
      <c r="B34" s="155" t="n">
        <v>37438</v>
      </c>
      <c r="C34" s="0" t="n">
        <f aca="false">EOMONTH(B34,0)-EOMONTH(B34,-1)</f>
        <v>31</v>
      </c>
      <c r="D34" s="66" t="n">
        <f aca="false">WORKDAY(EOMONTH(B34,0)+24,1,'Financing Assumptions'!E52:E58)</f>
        <v>37494</v>
      </c>
      <c r="E34" s="156" t="str">
        <f aca="false">TEXT(D34,"DDD")</f>
        <v>Mon</v>
      </c>
      <c r="F34" s="41" t="n">
        <f aca="false">D34-$D$14</f>
        <v>606</v>
      </c>
      <c r="H34" s="0" t="n">
        <f aca="false">(1+Curves!U20/12)^(-12*F34/360)</f>
        <v>0.908830005873734</v>
      </c>
      <c r="I34" s="152" t="n">
        <f aca="false">$F$4*H34*C34</f>
        <v>0</v>
      </c>
      <c r="J34" s="59" t="n">
        <f aca="false">I34*(Curves!B20+Curves!J20+Curves!K20)</f>
        <v>0</v>
      </c>
      <c r="K34" s="68" t="n">
        <v>0</v>
      </c>
      <c r="L34" s="59" t="n">
        <v>0</v>
      </c>
      <c r="N34" s="74" t="n">
        <f aca="false">(1+Curves!V20/12)^(-12*F34/360)</f>
        <v>0.895608840980752</v>
      </c>
      <c r="O34" s="59" t="n">
        <f aca="false">$F$4*N34*C34</f>
        <v>0</v>
      </c>
      <c r="P34" s="59" t="n">
        <v>0</v>
      </c>
      <c r="Q34" s="59" t="n">
        <v>0</v>
      </c>
      <c r="S34" s="59" t="n">
        <f aca="false">O34</f>
        <v>0</v>
      </c>
      <c r="T34" s="59" t="n">
        <f aca="false">S34*(Curves!B20+Curves!J20+Curves!K20)</f>
        <v>0</v>
      </c>
      <c r="U34" s="0" t="n">
        <v>0</v>
      </c>
      <c r="V34" s="59" t="n">
        <f aca="false">(O34/N34)/C34</f>
        <v>0</v>
      </c>
      <c r="W34" s="59" t="n">
        <v>0</v>
      </c>
      <c r="Y34" s="59" t="n">
        <v>0</v>
      </c>
      <c r="Z34" s="68" t="n">
        <v>0</v>
      </c>
    </row>
    <row r="35" customFormat="false" ht="12.75" hidden="false" customHeight="false" outlineLevel="0" collapsed="false">
      <c r="B35" s="155" t="n">
        <v>37469</v>
      </c>
      <c r="C35" s="0" t="n">
        <f aca="false">EOMONTH(B35,0)-EOMONTH(B35,-1)</f>
        <v>31</v>
      </c>
      <c r="D35" s="66" t="n">
        <f aca="false">WORKDAY(EOMONTH(B35,0)+24,1,'Financing Assumptions'!E53:E59)</f>
        <v>37524</v>
      </c>
      <c r="E35" s="156" t="str">
        <f aca="false">TEXT(D35,"DDD")</f>
        <v>Wed</v>
      </c>
      <c r="F35" s="41" t="n">
        <f aca="false">D35-$D$14</f>
        <v>636</v>
      </c>
      <c r="H35" s="0" t="n">
        <f aca="false">(1+Curves!U21/12)^(-12*F35/360)</f>
        <v>0.904655898527032</v>
      </c>
      <c r="I35" s="152" t="n">
        <f aca="false">$F$4*H35*C35</f>
        <v>0</v>
      </c>
      <c r="J35" s="59" t="n">
        <f aca="false">I35*(Curves!B21+Curves!J21+Curves!K21)</f>
        <v>0</v>
      </c>
      <c r="K35" s="68" t="n">
        <v>0</v>
      </c>
      <c r="L35" s="59" t="n">
        <v>0</v>
      </c>
      <c r="N35" s="74" t="n">
        <f aca="false">(1+Curves!V21/12)^(-12*F35/360)</f>
        <v>0.890848862390473</v>
      </c>
      <c r="O35" s="59" t="n">
        <f aca="false">$F$4*N35*C35</f>
        <v>0</v>
      </c>
      <c r="P35" s="59" t="n">
        <v>0</v>
      </c>
      <c r="Q35" s="59" t="n">
        <v>0</v>
      </c>
      <c r="S35" s="59" t="n">
        <f aca="false">O35</f>
        <v>0</v>
      </c>
      <c r="T35" s="59" t="n">
        <f aca="false">S35*(Curves!B21+Curves!J21+Curves!K21)</f>
        <v>0</v>
      </c>
      <c r="U35" s="0" t="n">
        <v>0</v>
      </c>
      <c r="V35" s="59" t="n">
        <f aca="false">(O35/N35)/C35</f>
        <v>0</v>
      </c>
      <c r="W35" s="59" t="n">
        <v>0</v>
      </c>
      <c r="Y35" s="59" t="n">
        <v>0</v>
      </c>
      <c r="Z35" s="68" t="n">
        <v>0</v>
      </c>
    </row>
    <row r="36" customFormat="false" ht="12.75" hidden="false" customHeight="false" outlineLevel="0" collapsed="false">
      <c r="B36" s="155" t="n">
        <v>37500</v>
      </c>
      <c r="C36" s="0" t="n">
        <f aca="false">EOMONTH(B36,0)-EOMONTH(B36,-1)</f>
        <v>30</v>
      </c>
      <c r="D36" s="66" t="n">
        <f aca="false">WORKDAY(EOMONTH(B36,0)+24,1,'Financing Assumptions'!E54:E60)</f>
        <v>37554</v>
      </c>
      <c r="E36" s="156" t="str">
        <f aca="false">TEXT(D36,"DDD")</f>
        <v>Fri</v>
      </c>
      <c r="F36" s="41" t="n">
        <f aca="false">D36-$D$14</f>
        <v>666</v>
      </c>
      <c r="H36" s="0" t="n">
        <f aca="false">(1+Curves!U22/12)^(-12*F36/360)</f>
        <v>0.900511935900842</v>
      </c>
      <c r="I36" s="152" t="n">
        <f aca="false">$F$4*H36*C36</f>
        <v>0</v>
      </c>
      <c r="J36" s="59" t="n">
        <f aca="false">I36*(Curves!B22+Curves!J22+Curves!K22)</f>
        <v>0</v>
      </c>
      <c r="K36" s="68" t="n">
        <v>0</v>
      </c>
      <c r="L36" s="59" t="n">
        <v>0</v>
      </c>
      <c r="N36" s="74" t="n">
        <f aca="false">(1+Curves!V22/12)^(-12*F36/360)</f>
        <v>0.88612497269372</v>
      </c>
      <c r="O36" s="59" t="n">
        <f aca="false">$F$4*N36*C36</f>
        <v>0</v>
      </c>
      <c r="P36" s="59" t="n">
        <v>0</v>
      </c>
      <c r="Q36" s="59" t="n">
        <v>0</v>
      </c>
      <c r="S36" s="59" t="n">
        <f aca="false">O36</f>
        <v>0</v>
      </c>
      <c r="T36" s="59" t="n">
        <f aca="false">S36*(Curves!B22+Curves!J22+Curves!K22)</f>
        <v>0</v>
      </c>
      <c r="U36" s="0" t="n">
        <v>0</v>
      </c>
      <c r="V36" s="59" t="n">
        <f aca="false">(O36/N36)/C36</f>
        <v>0</v>
      </c>
      <c r="W36" s="59" t="n">
        <v>0</v>
      </c>
      <c r="Y36" s="59" t="n">
        <v>0</v>
      </c>
      <c r="Z36" s="68" t="n">
        <v>0</v>
      </c>
    </row>
    <row r="37" customFormat="false" ht="12.75" hidden="false" customHeight="false" outlineLevel="0" collapsed="false">
      <c r="B37" s="155" t="n">
        <v>37530</v>
      </c>
      <c r="C37" s="0" t="n">
        <f aca="false">EOMONTH(B37,0)-EOMONTH(B37,-1)</f>
        <v>31</v>
      </c>
      <c r="D37" s="66" t="n">
        <f aca="false">WORKDAY(EOMONTH(B37,0)+24,1,'Financing Assumptions'!E55:E61)</f>
        <v>37585</v>
      </c>
      <c r="E37" s="156" t="str">
        <f aca="false">TEXT(D37,"DDD")</f>
        <v>Mon</v>
      </c>
      <c r="F37" s="41" t="n">
        <f aca="false">D37-$D$14</f>
        <v>697</v>
      </c>
      <c r="H37" s="0" t="n">
        <f aca="false">(1+Curves!U23/12)^(-12*F37/360)</f>
        <v>0.896223045123328</v>
      </c>
      <c r="I37" s="152" t="n">
        <f aca="false">$F$4*H37*C37</f>
        <v>0</v>
      </c>
      <c r="J37" s="59" t="n">
        <f aca="false">I37*(Curves!B23+Curves!J23+Curves!K23)</f>
        <v>0</v>
      </c>
      <c r="K37" s="68" t="n">
        <v>0</v>
      </c>
      <c r="L37" s="59" t="n">
        <v>0</v>
      </c>
      <c r="N37" s="74" t="n">
        <f aca="false">(1+Curves!V23/12)^(-12*F37/360)</f>
        <v>0.881243663091805</v>
      </c>
      <c r="O37" s="59" t="n">
        <f aca="false">$F$4*N37*C37</f>
        <v>0</v>
      </c>
      <c r="P37" s="59" t="n">
        <v>0</v>
      </c>
      <c r="Q37" s="59" t="n">
        <v>0</v>
      </c>
      <c r="S37" s="59" t="n">
        <f aca="false">O37</f>
        <v>0</v>
      </c>
      <c r="T37" s="59" t="n">
        <f aca="false">S37*(Curves!B23+Curves!J23+Curves!K23)</f>
        <v>0</v>
      </c>
      <c r="U37" s="0" t="n">
        <v>0</v>
      </c>
      <c r="V37" s="59" t="n">
        <f aca="false">(O37/N37)/C37</f>
        <v>0</v>
      </c>
      <c r="W37" s="59" t="n">
        <v>0</v>
      </c>
      <c r="Y37" s="59" t="n">
        <v>0</v>
      </c>
      <c r="Z37" s="68" t="n">
        <v>0</v>
      </c>
    </row>
    <row r="38" customFormat="false" ht="12.75" hidden="false" customHeight="false" outlineLevel="0" collapsed="false">
      <c r="B38" s="155" t="n">
        <v>37561</v>
      </c>
      <c r="C38" s="0" t="n">
        <f aca="false">EOMONTH(B38,0)-EOMONTH(B38,-1)</f>
        <v>30</v>
      </c>
      <c r="D38" s="66" t="n">
        <f aca="false">WORKDAY(EOMONTH(B38,0)+24,1,'Financing Assumptions'!E56:E62)</f>
        <v>37615</v>
      </c>
      <c r="E38" s="156" t="str">
        <f aca="false">TEXT(D38,"DDD")</f>
        <v>Wed</v>
      </c>
      <c r="F38" s="41" t="n">
        <f aca="false">D38-$D$14</f>
        <v>727</v>
      </c>
      <c r="H38" s="0" t="n">
        <f aca="false">(1+Curves!U24/12)^(-12*F38/360)</f>
        <v>0.892061646636689</v>
      </c>
      <c r="I38" s="152" t="n">
        <f aca="false">$F$4*H38*C38</f>
        <v>0</v>
      </c>
      <c r="J38" s="59" t="n">
        <f aca="false">I38*(Curves!B24+Curves!J24+Curves!K24)</f>
        <v>0</v>
      </c>
      <c r="K38" s="68" t="n">
        <v>0</v>
      </c>
      <c r="L38" s="59" t="n">
        <v>0</v>
      </c>
      <c r="N38" s="74" t="n">
        <f aca="false">(1+Curves!V24/12)^(-12*F38/360)</f>
        <v>0.876515659430863</v>
      </c>
      <c r="O38" s="59" t="n">
        <f aca="false">$F$4*N38*C38</f>
        <v>0</v>
      </c>
      <c r="P38" s="59" t="n">
        <v>0</v>
      </c>
      <c r="Q38" s="59" t="n">
        <v>0</v>
      </c>
      <c r="S38" s="59" t="n">
        <f aca="false">O38</f>
        <v>0</v>
      </c>
      <c r="T38" s="59" t="n">
        <f aca="false">S38*(Curves!B24+Curves!J24+Curves!K24)</f>
        <v>0</v>
      </c>
      <c r="U38" s="0" t="n">
        <v>0</v>
      </c>
      <c r="V38" s="59" t="n">
        <f aca="false">(O38/N38)/C38</f>
        <v>0</v>
      </c>
      <c r="W38" s="59" t="n">
        <v>0</v>
      </c>
      <c r="Y38" s="59" t="n">
        <v>0</v>
      </c>
      <c r="Z38" s="68" t="n">
        <v>0</v>
      </c>
    </row>
    <row r="39" customFormat="false" ht="12.75" hidden="false" customHeight="false" outlineLevel="0" collapsed="false">
      <c r="B39" s="155" t="n">
        <v>37591</v>
      </c>
      <c r="C39" s="0" t="n">
        <f aca="false">EOMONTH(B39,0)-EOMONTH(B39,-1)</f>
        <v>31</v>
      </c>
      <c r="D39" s="66" t="n">
        <f aca="false">WORKDAY(EOMONTH(B39,0)+24,1,'Financing Assumptions'!E57:E63)</f>
        <v>37648</v>
      </c>
      <c r="E39" s="156" t="str">
        <f aca="false">TEXT(D39,"DDD")</f>
        <v>Mon</v>
      </c>
      <c r="F39" s="41" t="n">
        <f aca="false">D39-$D$14</f>
        <v>760</v>
      </c>
      <c r="H39" s="0" t="n">
        <f aca="false">(1+Curves!U25/12)^(-12*F39/360)</f>
        <v>0.887504067329826</v>
      </c>
      <c r="I39" s="152" t="n">
        <f aca="false">$F$4*H39*C39</f>
        <v>0</v>
      </c>
      <c r="J39" s="59" t="n">
        <f aca="false">I39*(Curves!B25+Curves!J25+Curves!K25)</f>
        <v>0</v>
      </c>
      <c r="K39" s="68" t="n">
        <v>0</v>
      </c>
      <c r="L39" s="59" t="n">
        <v>0</v>
      </c>
      <c r="N39" s="74" t="n">
        <f aca="false">(1+Curves!V25/12)^(-12*F39/360)</f>
        <v>0.871341838004491</v>
      </c>
      <c r="O39" s="59" t="n">
        <f aca="false">$F$4*N39*C39</f>
        <v>0</v>
      </c>
      <c r="P39" s="59" t="n">
        <v>0</v>
      </c>
      <c r="Q39" s="59" t="n">
        <v>0</v>
      </c>
      <c r="S39" s="59" t="n">
        <f aca="false">O39</f>
        <v>0</v>
      </c>
      <c r="T39" s="59" t="n">
        <f aca="false">S39*(Curves!B25+Curves!J25+Curves!K25)</f>
        <v>0</v>
      </c>
      <c r="U39" s="0" t="n">
        <v>0</v>
      </c>
      <c r="V39" s="59" t="n">
        <f aca="false">(O39/N39)/C39</f>
        <v>0</v>
      </c>
      <c r="W39" s="59" t="n">
        <v>0</v>
      </c>
      <c r="Y39" s="59" t="n">
        <v>0</v>
      </c>
      <c r="Z39" s="68" t="n">
        <v>0</v>
      </c>
    </row>
    <row r="40" customFormat="false" ht="12.75" hidden="false" customHeight="false" outlineLevel="0" collapsed="false">
      <c r="B40" s="155" t="n">
        <v>37622</v>
      </c>
      <c r="C40" s="0" t="n">
        <f aca="false">EOMONTH(B40,0)-EOMONTH(B40,-1)</f>
        <v>31</v>
      </c>
      <c r="D40" s="66" t="n">
        <f aca="false">WORKDAY(EOMONTH(B40,0)+24,1,'Financing Assumptions'!E58:E64)</f>
        <v>37677</v>
      </c>
      <c r="E40" s="156" t="str">
        <f aca="false">TEXT(D40,"DDD")</f>
        <v>Tue</v>
      </c>
      <c r="F40" s="41" t="n">
        <f aca="false">D40-$D$14</f>
        <v>789</v>
      </c>
      <c r="H40" s="0" t="n">
        <f aca="false">(1+Curves!U26/12)^(-12*F40/360)</f>
        <v>0.88348674778144</v>
      </c>
      <c r="I40" s="152" t="n">
        <f aca="false">$F$4*H40*C40</f>
        <v>0</v>
      </c>
      <c r="J40" s="59" t="n">
        <f aca="false">I40*(Curves!B26+Curves!J26+Curves!K26)</f>
        <v>0</v>
      </c>
      <c r="K40" s="68" t="n">
        <v>0</v>
      </c>
      <c r="L40" s="59" t="n">
        <v>0</v>
      </c>
      <c r="N40" s="74" t="n">
        <f aca="false">(1+Curves!V26/12)^(-12*F40/360)</f>
        <v>0.866789579166575</v>
      </c>
      <c r="O40" s="59" t="n">
        <f aca="false">$F$4*N40*C40</f>
        <v>0</v>
      </c>
      <c r="P40" s="59" t="n">
        <v>0</v>
      </c>
      <c r="Q40" s="59" t="n">
        <v>0</v>
      </c>
      <c r="S40" s="59" t="n">
        <f aca="false">O40</f>
        <v>0</v>
      </c>
      <c r="T40" s="59" t="n">
        <f aca="false">S40*(Curves!B26+Curves!J26+Curves!K26)</f>
        <v>0</v>
      </c>
      <c r="U40" s="0" t="n">
        <v>0</v>
      </c>
      <c r="V40" s="59" t="n">
        <f aca="false">(O40/N40)/C40</f>
        <v>0</v>
      </c>
      <c r="W40" s="59" t="n">
        <v>0</v>
      </c>
      <c r="Y40" s="59" t="n">
        <v>0</v>
      </c>
      <c r="Z40" s="68" t="n">
        <v>0</v>
      </c>
    </row>
    <row r="41" customFormat="false" ht="12.75" hidden="false" customHeight="false" outlineLevel="0" collapsed="false">
      <c r="B41" s="155" t="n">
        <v>37653</v>
      </c>
      <c r="C41" s="0" t="n">
        <f aca="false">EOMONTH(B41,0)-EOMONTH(B41,-1)</f>
        <v>28</v>
      </c>
      <c r="D41" s="66" t="n">
        <f aca="false">WORKDAY(EOMONTH(B41,0)+24,1,'Financing Assumptions'!E59:E65)</f>
        <v>37705</v>
      </c>
      <c r="E41" s="156" t="str">
        <f aca="false">TEXT(D41,"DDD")</f>
        <v>Tue</v>
      </c>
      <c r="F41" s="41" t="n">
        <f aca="false">D41-$D$14</f>
        <v>817</v>
      </c>
      <c r="H41" s="0" t="n">
        <f aca="false">(1+Curves!U27/12)^(-12*F41/360)</f>
        <v>0.879571427183127</v>
      </c>
      <c r="I41" s="152" t="n">
        <f aca="false">$F$4*H41*C41</f>
        <v>0</v>
      </c>
      <c r="J41" s="59" t="n">
        <f aca="false">I41*(Curves!B27+Curves!J27+Curves!K27)</f>
        <v>0</v>
      </c>
      <c r="K41" s="68" t="n">
        <v>0</v>
      </c>
      <c r="L41" s="59" t="n">
        <v>0</v>
      </c>
      <c r="N41" s="74" t="n">
        <f aca="false">(1+Curves!V27/12)^(-12*F41/360)</f>
        <v>0.862364168512671</v>
      </c>
      <c r="O41" s="59" t="n">
        <f aca="false">$F$4*N41*C41</f>
        <v>0</v>
      </c>
      <c r="P41" s="59" t="n">
        <v>0</v>
      </c>
      <c r="Q41" s="59" t="n">
        <v>0</v>
      </c>
      <c r="S41" s="59" t="n">
        <f aca="false">O41</f>
        <v>0</v>
      </c>
      <c r="T41" s="59" t="n">
        <f aca="false">S41*(Curves!B27+Curves!J27+Curves!K27)</f>
        <v>0</v>
      </c>
      <c r="U41" s="0" t="n">
        <v>0</v>
      </c>
      <c r="V41" s="59" t="n">
        <f aca="false">(O41/N41)/C41</f>
        <v>0</v>
      </c>
      <c r="W41" s="59" t="n">
        <v>0</v>
      </c>
      <c r="Y41" s="59" t="n">
        <v>0</v>
      </c>
      <c r="Z41" s="68" t="n">
        <v>0</v>
      </c>
    </row>
    <row r="42" customFormat="false" ht="12.75" hidden="false" customHeight="false" outlineLevel="0" collapsed="false">
      <c r="B42" s="155" t="n">
        <v>37681</v>
      </c>
      <c r="C42" s="0" t="n">
        <f aca="false">EOMONTH(B42,0)-EOMONTH(B42,-1)</f>
        <v>31</v>
      </c>
      <c r="D42" s="66" t="n">
        <f aca="false">WORKDAY(EOMONTH(B42,0)+24,1,'Financing Assumptions'!E60:E66)</f>
        <v>37736</v>
      </c>
      <c r="E42" s="156" t="str">
        <f aca="false">TEXT(D42,"DDD")</f>
        <v>Fri</v>
      </c>
      <c r="F42" s="41" t="n">
        <f aca="false">D42-$D$14</f>
        <v>848</v>
      </c>
      <c r="H42" s="0" t="n">
        <f aca="false">(1+Curves!U28/12)^(-12*F42/360)</f>
        <v>0.875262067194094</v>
      </c>
      <c r="I42" s="152" t="n">
        <f aca="false">$F$4*H42*C42</f>
        <v>0</v>
      </c>
      <c r="J42" s="59" t="n">
        <f aca="false">I42*(Curves!B28+Curves!J28+Curves!K28)</f>
        <v>0</v>
      </c>
      <c r="K42" s="68" t="n">
        <v>0</v>
      </c>
      <c r="L42" s="59" t="n">
        <v>0</v>
      </c>
      <c r="N42" s="74" t="n">
        <f aca="false">(1+Curves!V28/12)^(-12*F42/360)</f>
        <v>0.857496069902898</v>
      </c>
      <c r="O42" s="59" t="n">
        <f aca="false">$F$4*N42*C42</f>
        <v>0</v>
      </c>
      <c r="P42" s="59" t="n">
        <v>0</v>
      </c>
      <c r="Q42" s="59" t="n">
        <v>0</v>
      </c>
      <c r="S42" s="59" t="n">
        <f aca="false">O42</f>
        <v>0</v>
      </c>
      <c r="T42" s="59" t="n">
        <f aca="false">S42*(Curves!B28+Curves!J28+Curves!K28)</f>
        <v>0</v>
      </c>
      <c r="U42" s="0" t="n">
        <v>0</v>
      </c>
      <c r="V42" s="59" t="n">
        <f aca="false">(O42/N42)/C42</f>
        <v>0</v>
      </c>
      <c r="W42" s="59" t="n">
        <v>0</v>
      </c>
      <c r="Y42" s="59" t="n">
        <v>0</v>
      </c>
      <c r="Z42" s="68" t="n">
        <v>0</v>
      </c>
    </row>
    <row r="43" customFormat="false" ht="12.75" hidden="false" customHeight="false" outlineLevel="0" collapsed="false">
      <c r="B43" s="155" t="n">
        <v>37712</v>
      </c>
      <c r="C43" s="0" t="n">
        <f aca="false">EOMONTH(B43,0)-EOMONTH(B43,-1)</f>
        <v>30</v>
      </c>
      <c r="D43" s="66" t="n">
        <f aca="false">WORKDAY(EOMONTH(B43,0)+24,1,'Financing Assumptions'!E61:E67)</f>
        <v>37767</v>
      </c>
      <c r="E43" s="156" t="str">
        <f aca="false">TEXT(D43,"DDD")</f>
        <v>Mon</v>
      </c>
      <c r="F43" s="41" t="n">
        <f aca="false">D43-$D$14</f>
        <v>879</v>
      </c>
      <c r="H43" s="0" t="n">
        <f aca="false">(1+Curves!U29/12)^(-12*F43/360)</f>
        <v>0.870980464302634</v>
      </c>
      <c r="I43" s="152" t="n">
        <f aca="false">$F$4*H43*C43</f>
        <v>0</v>
      </c>
      <c r="J43" s="59" t="n">
        <f aca="false">I43*(Curves!B29+Curves!J29+Curves!K29)</f>
        <v>0</v>
      </c>
      <c r="K43" s="68" t="n">
        <v>0</v>
      </c>
      <c r="L43" s="59" t="n">
        <v>0</v>
      </c>
      <c r="N43" s="74" t="n">
        <f aca="false">(1+Curves!V29/12)^(-12*F43/360)</f>
        <v>0.852661951436238</v>
      </c>
      <c r="O43" s="59" t="n">
        <f aca="false">$F$4*N43*C43</f>
        <v>0</v>
      </c>
      <c r="P43" s="59" t="n">
        <v>0</v>
      </c>
      <c r="Q43" s="59" t="n">
        <v>0</v>
      </c>
      <c r="S43" s="59" t="n">
        <f aca="false">O43</f>
        <v>0</v>
      </c>
      <c r="T43" s="59" t="n">
        <f aca="false">S43*(Curves!B29+Curves!J29+Curves!K29)</f>
        <v>0</v>
      </c>
      <c r="U43" s="0" t="n">
        <v>0</v>
      </c>
      <c r="V43" s="59" t="n">
        <f aca="false">(O43/N43)/C43</f>
        <v>0</v>
      </c>
      <c r="W43" s="59" t="n">
        <v>0</v>
      </c>
      <c r="Y43" s="59" t="n">
        <v>0</v>
      </c>
      <c r="Z43" s="68" t="n">
        <v>0</v>
      </c>
    </row>
    <row r="44" customFormat="false" ht="12.75" hidden="false" customHeight="false" outlineLevel="0" collapsed="false">
      <c r="B44" s="155" t="n">
        <v>37742</v>
      </c>
      <c r="C44" s="0" t="n">
        <f aca="false">EOMONTH(B44,0)-EOMONTH(B44,-1)</f>
        <v>31</v>
      </c>
      <c r="D44" s="66" t="n">
        <f aca="false">WORKDAY(EOMONTH(B44,0)+24,1,'Financing Assumptions'!E62:E68)</f>
        <v>37797</v>
      </c>
      <c r="E44" s="156" t="str">
        <f aca="false">TEXT(D44,"DDD")</f>
        <v>Wed</v>
      </c>
      <c r="F44" s="41" t="n">
        <f aca="false">D44-$D$14</f>
        <v>909</v>
      </c>
      <c r="H44" s="0" t="n">
        <f aca="false">(1+Curves!U30/12)^(-12*F44/360)</f>
        <v>0.86687365785672</v>
      </c>
      <c r="I44" s="152" t="n">
        <f aca="false">$F$4*H44*C44</f>
        <v>0</v>
      </c>
      <c r="J44" s="59" t="n">
        <f aca="false">I44*(Curves!B30+Curves!J30+Curves!K30)</f>
        <v>0</v>
      </c>
      <c r="K44" s="68" t="n">
        <v>0</v>
      </c>
      <c r="L44" s="59" t="n">
        <v>0</v>
      </c>
      <c r="N44" s="74" t="n">
        <f aca="false">(1+Curves!V30/12)^(-12*F44/360)</f>
        <v>0.848026082861576</v>
      </c>
      <c r="O44" s="59" t="n">
        <f aca="false">$F$4*N44*C44</f>
        <v>0</v>
      </c>
      <c r="P44" s="59" t="n">
        <v>0</v>
      </c>
      <c r="Q44" s="59" t="n">
        <v>0</v>
      </c>
      <c r="S44" s="59" t="n">
        <f aca="false">O44</f>
        <v>0</v>
      </c>
      <c r="T44" s="59" t="n">
        <f aca="false">S44*(Curves!B30+Curves!J30+Curves!K30)</f>
        <v>0</v>
      </c>
      <c r="U44" s="0" t="n">
        <v>0</v>
      </c>
      <c r="V44" s="59" t="n">
        <f aca="false">(O44/N44)/C44</f>
        <v>0</v>
      </c>
      <c r="W44" s="59" t="n">
        <v>0</v>
      </c>
      <c r="Y44" s="59" t="n">
        <v>0</v>
      </c>
      <c r="Z44" s="68" t="n">
        <v>0</v>
      </c>
    </row>
    <row r="45" customFormat="false" ht="12.75" hidden="false" customHeight="false" outlineLevel="0" collapsed="false">
      <c r="B45" s="155" t="n">
        <v>37773</v>
      </c>
      <c r="C45" s="0" t="n">
        <f aca="false">EOMONTH(B45,0)-EOMONTH(B45,-1)</f>
        <v>30</v>
      </c>
      <c r="D45" s="66" t="n">
        <f aca="false">WORKDAY(EOMONTH(B45,0)+24,1,'Financing Assumptions'!E63:E69)</f>
        <v>37827</v>
      </c>
      <c r="E45" s="156" t="str">
        <f aca="false">TEXT(D45,"DDD")</f>
        <v>Fri</v>
      </c>
      <c r="F45" s="41" t="n">
        <f aca="false">D45-$D$14</f>
        <v>939</v>
      </c>
      <c r="H45" s="0" t="n">
        <f aca="false">(1+Curves!U31/12)^(-12*F45/360)</f>
        <v>0.862785195287996</v>
      </c>
      <c r="I45" s="152" t="n">
        <f aca="false">$F$4*H45*C45</f>
        <v>0</v>
      </c>
      <c r="J45" s="59" t="n">
        <f aca="false">I45*(Curves!B31+Curves!J31+Curves!K31)</f>
        <v>0</v>
      </c>
      <c r="K45" s="68" t="n">
        <v>0</v>
      </c>
      <c r="L45" s="59" t="n">
        <v>0</v>
      </c>
      <c r="N45" s="74" t="n">
        <f aca="false">(1+Curves!V31/12)^(-12*F45/360)</f>
        <v>0.843414422494906</v>
      </c>
      <c r="O45" s="59" t="n">
        <f aca="false">$F$4*N45*C45</f>
        <v>0</v>
      </c>
      <c r="P45" s="59" t="n">
        <v>0</v>
      </c>
      <c r="Q45" s="59" t="n">
        <v>0</v>
      </c>
      <c r="S45" s="59" t="n">
        <f aca="false">O45</f>
        <v>0</v>
      </c>
      <c r="T45" s="59" t="n">
        <f aca="false">S45*(Curves!B31+Curves!J31+Curves!K31)</f>
        <v>0</v>
      </c>
      <c r="U45" s="0" t="n">
        <v>0</v>
      </c>
      <c r="V45" s="59" t="n">
        <f aca="false">(O45/N45)/C45</f>
        <v>0</v>
      </c>
      <c r="W45" s="59" t="n">
        <v>0</v>
      </c>
      <c r="Y45" s="59" t="n">
        <v>0</v>
      </c>
      <c r="Z45" s="68" t="n">
        <v>0</v>
      </c>
    </row>
    <row r="46" customFormat="false" ht="12.75" hidden="false" customHeight="false" outlineLevel="0" collapsed="false">
      <c r="B46" s="155" t="n">
        <v>37803</v>
      </c>
      <c r="C46" s="0" t="n">
        <f aca="false">EOMONTH(B46,0)-EOMONTH(B46,-1)</f>
        <v>31</v>
      </c>
      <c r="D46" s="66" t="n">
        <f aca="false">WORKDAY(EOMONTH(B46,0)+24,1,'Financing Assumptions'!E64:E70)</f>
        <v>37858</v>
      </c>
      <c r="E46" s="156" t="str">
        <f aca="false">TEXT(D46,"DDD")</f>
        <v>Mon</v>
      </c>
      <c r="F46" s="41" t="n">
        <f aca="false">D46-$D$14</f>
        <v>970</v>
      </c>
      <c r="H46" s="0" t="n">
        <f aca="false">(1+Curves!U32/12)^(-12*F46/360)</f>
        <v>0.85857232440857</v>
      </c>
      <c r="I46" s="152" t="n">
        <f aca="false">$F$4*H46*C46</f>
        <v>0</v>
      </c>
      <c r="J46" s="59" t="n">
        <f aca="false">I46*(Curves!B32+Curves!J32+Curves!K32)</f>
        <v>0</v>
      </c>
      <c r="K46" s="68" t="n">
        <v>0</v>
      </c>
      <c r="L46" s="59" t="n">
        <v>0</v>
      </c>
      <c r="N46" s="74" t="n">
        <f aca="false">(1+Curves!V32/12)^(-12*F46/360)</f>
        <v>0.83866720285067</v>
      </c>
      <c r="O46" s="59" t="n">
        <f aca="false">$F$4*N46*C46</f>
        <v>0</v>
      </c>
      <c r="P46" s="59" t="n">
        <v>0</v>
      </c>
      <c r="Q46" s="59" t="n">
        <v>0</v>
      </c>
      <c r="S46" s="59" t="n">
        <f aca="false">O46</f>
        <v>0</v>
      </c>
      <c r="T46" s="59" t="n">
        <f aca="false">S46*(Curves!B32+Curves!J32+Curves!K32)</f>
        <v>0</v>
      </c>
      <c r="U46" s="0" t="n">
        <v>0</v>
      </c>
      <c r="V46" s="59" t="n">
        <f aca="false">(O46/N46)/C46</f>
        <v>0</v>
      </c>
      <c r="W46" s="59" t="n">
        <v>0</v>
      </c>
      <c r="Y46" s="59" t="n">
        <v>0</v>
      </c>
      <c r="Z46" s="68" t="n">
        <v>0</v>
      </c>
    </row>
    <row r="47" customFormat="false" ht="12.75" hidden="false" customHeight="false" outlineLevel="0" collapsed="false">
      <c r="B47" s="155" t="n">
        <v>37834</v>
      </c>
      <c r="C47" s="0" t="n">
        <f aca="false">EOMONTH(B47,0)-EOMONTH(B47,-1)</f>
        <v>31</v>
      </c>
      <c r="D47" s="66" t="n">
        <f aca="false">WORKDAY(EOMONTH(B47,0)+24,1,'Financing Assumptions'!E65:E71)</f>
        <v>37889</v>
      </c>
      <c r="E47" s="156" t="str">
        <f aca="false">TEXT(D47,"DDD")</f>
        <v>Thu</v>
      </c>
      <c r="F47" s="41" t="n">
        <f aca="false">D47-$D$14</f>
        <v>1001</v>
      </c>
      <c r="H47" s="0" t="n">
        <f aca="false">(1+Curves!U33/12)^(-12*F47/360)</f>
        <v>0.854365774105387</v>
      </c>
      <c r="I47" s="152" t="n">
        <f aca="false">$F$4*H47*C47</f>
        <v>0</v>
      </c>
      <c r="J47" s="59" t="n">
        <f aca="false">I47*(Curves!B33+Curves!J33+Curves!K33)</f>
        <v>0</v>
      </c>
      <c r="K47" s="68" t="n">
        <v>0</v>
      </c>
      <c r="L47" s="59" t="n">
        <v>0</v>
      </c>
      <c r="N47" s="74" t="n">
        <f aca="false">(1+Curves!V33/12)^(-12*F47/360)</f>
        <v>0.833932803837631</v>
      </c>
      <c r="O47" s="59" t="n">
        <f aca="false">$F$4*N47*C47</f>
        <v>0</v>
      </c>
      <c r="P47" s="59" t="n">
        <v>0</v>
      </c>
      <c r="Q47" s="59" t="n">
        <v>0</v>
      </c>
      <c r="S47" s="59" t="n">
        <f aca="false">O47</f>
        <v>0</v>
      </c>
      <c r="T47" s="59" t="n">
        <f aca="false">S47*(Curves!B33+Curves!J33+Curves!K33)</f>
        <v>0</v>
      </c>
      <c r="U47" s="0" t="n">
        <v>0</v>
      </c>
      <c r="V47" s="59" t="n">
        <f aca="false">(O47/N47)/C47</f>
        <v>0</v>
      </c>
      <c r="W47" s="59" t="n">
        <v>0</v>
      </c>
      <c r="Y47" s="59" t="n">
        <v>0</v>
      </c>
      <c r="Z47" s="68" t="n">
        <v>0</v>
      </c>
    </row>
    <row r="48" customFormat="false" ht="12.75" hidden="false" customHeight="false" outlineLevel="0" collapsed="false">
      <c r="B48" s="155" t="n">
        <v>37865</v>
      </c>
      <c r="C48" s="0" t="n">
        <f aca="false">EOMONTH(B48,0)-EOMONTH(B48,-1)</f>
        <v>30</v>
      </c>
      <c r="D48" s="66" t="n">
        <f aca="false">WORKDAY(EOMONTH(B48,0)+24,1,'Financing Assumptions'!E66:E72)</f>
        <v>37921</v>
      </c>
      <c r="E48" s="156" t="str">
        <f aca="false">TEXT(D48,"DDD")</f>
        <v>Mon</v>
      </c>
      <c r="F48" s="41" t="n">
        <f aca="false">D48-$D$14</f>
        <v>1033</v>
      </c>
      <c r="H48" s="0" t="n">
        <f aca="false">(1+Curves!U34/12)^(-12*F48/360)</f>
        <v>0.850044114204394</v>
      </c>
      <c r="I48" s="152" t="n">
        <f aca="false">$F$4*H48*C48</f>
        <v>0</v>
      </c>
      <c r="J48" s="59" t="n">
        <f aca="false">I48*(Curves!B34+Curves!J34+Curves!K34)</f>
        <v>0</v>
      </c>
      <c r="K48" s="68" t="n">
        <v>0</v>
      </c>
      <c r="L48" s="59" t="n">
        <v>0</v>
      </c>
      <c r="N48" s="74" t="n">
        <f aca="false">(1+Curves!V34/12)^(-12*F48/360)</f>
        <v>0.829072709098974</v>
      </c>
      <c r="O48" s="59" t="n">
        <f aca="false">$F$4*N48*C48</f>
        <v>0</v>
      </c>
      <c r="P48" s="59" t="n">
        <v>0</v>
      </c>
      <c r="Q48" s="59" t="n">
        <v>0</v>
      </c>
      <c r="S48" s="59" t="n">
        <f aca="false">O48</f>
        <v>0</v>
      </c>
      <c r="T48" s="59" t="n">
        <f aca="false">S48*(Curves!B34+Curves!J34+Curves!K34)</f>
        <v>0</v>
      </c>
      <c r="U48" s="0" t="n">
        <v>0</v>
      </c>
      <c r="V48" s="59" t="n">
        <f aca="false">(O48/N48)/C48</f>
        <v>0</v>
      </c>
      <c r="W48" s="59" t="n">
        <v>0</v>
      </c>
      <c r="Y48" s="59" t="n">
        <v>0</v>
      </c>
      <c r="Z48" s="68" t="n">
        <v>0</v>
      </c>
    </row>
    <row r="49" customFormat="false" ht="12.75" hidden="false" customHeight="false" outlineLevel="0" collapsed="false">
      <c r="B49" s="155" t="n">
        <v>37895</v>
      </c>
      <c r="C49" s="0" t="n">
        <f aca="false">EOMONTH(B49,0)-EOMONTH(B49,-1)</f>
        <v>31</v>
      </c>
      <c r="D49" s="66" t="n">
        <f aca="false">WORKDAY(EOMONTH(B49,0)+24,1,'Financing Assumptions'!E67:E73)</f>
        <v>37950</v>
      </c>
      <c r="E49" s="156" t="str">
        <f aca="false">TEXT(D49,"DDD")</f>
        <v>Tue</v>
      </c>
      <c r="F49" s="41" t="n">
        <f aca="false">D49-$D$14</f>
        <v>1062</v>
      </c>
      <c r="H49" s="0" t="n">
        <f aca="false">(1+Curves!U35/12)^(-12*F49/360)</f>
        <v>0.846136980844054</v>
      </c>
      <c r="I49" s="152" t="n">
        <f aca="false">$F$4*H49*C49</f>
        <v>0</v>
      </c>
      <c r="J49" s="59" t="n">
        <f aca="false">I49*(Curves!B35+Curves!J35+Curves!K35)</f>
        <v>0</v>
      </c>
      <c r="K49" s="68" t="n">
        <v>0</v>
      </c>
      <c r="L49" s="59" t="n">
        <v>0</v>
      </c>
      <c r="N49" s="74" t="n">
        <f aca="false">(1+Curves!V35/12)^(-12*F49/360)</f>
        <v>0.824683451909835</v>
      </c>
      <c r="O49" s="59" t="n">
        <f aca="false">$F$4*N49*C49</f>
        <v>0</v>
      </c>
      <c r="P49" s="59" t="n">
        <v>0</v>
      </c>
      <c r="Q49" s="59" t="n">
        <v>0</v>
      </c>
      <c r="S49" s="59" t="n">
        <f aca="false">O49</f>
        <v>0</v>
      </c>
      <c r="T49" s="59" t="n">
        <f aca="false">S49*(Curves!B35+Curves!J35+Curves!K35)</f>
        <v>0</v>
      </c>
      <c r="U49" s="0" t="n">
        <v>0</v>
      </c>
      <c r="V49" s="59" t="n">
        <f aca="false">(O49/N49)/C49</f>
        <v>0</v>
      </c>
      <c r="W49" s="59" t="n">
        <v>0</v>
      </c>
      <c r="Y49" s="59" t="n">
        <v>0</v>
      </c>
      <c r="Z49" s="68" t="n">
        <v>0</v>
      </c>
    </row>
    <row r="50" customFormat="false" ht="12.75" hidden="false" customHeight="false" outlineLevel="0" collapsed="false">
      <c r="B50" s="155" t="n">
        <v>37926</v>
      </c>
      <c r="C50" s="0" t="n">
        <f aca="false">EOMONTH(B50,0)-EOMONTH(B50,-1)</f>
        <v>30</v>
      </c>
      <c r="D50" s="66" t="n">
        <f aca="false">WORKDAY(EOMONTH(B50,0)+24,1,'Financing Assumptions'!E68:E74)</f>
        <v>37980</v>
      </c>
      <c r="E50" s="156" t="str">
        <f aca="false">TEXT(D50,"DDD")</f>
        <v>Thu</v>
      </c>
      <c r="F50" s="41" t="n">
        <f aca="false">D50-$D$14</f>
        <v>1092</v>
      </c>
      <c r="H50" s="0" t="n">
        <f aca="false">(1+Curves!U36/12)^(-12*F50/360)</f>
        <v>0.842104630740119</v>
      </c>
      <c r="I50" s="152" t="n">
        <f aca="false">$F$4*H50*C50</f>
        <v>0</v>
      </c>
      <c r="J50" s="59" t="n">
        <f aca="false">I50*(Curves!B36+Curves!J36+Curves!K36)</f>
        <v>0</v>
      </c>
      <c r="K50" s="68" t="n">
        <v>0</v>
      </c>
      <c r="L50" s="59" t="n">
        <v>0</v>
      </c>
      <c r="N50" s="74" t="n">
        <f aca="false">(1+Curves!V36/12)^(-12*F50/360)</f>
        <v>0.820158158727249</v>
      </c>
      <c r="O50" s="59" t="n">
        <f aca="false">$F$4*N50*C50</f>
        <v>0</v>
      </c>
      <c r="P50" s="59" t="n">
        <v>0</v>
      </c>
      <c r="Q50" s="59" t="n">
        <v>0</v>
      </c>
      <c r="S50" s="59" t="n">
        <f aca="false">O50</f>
        <v>0</v>
      </c>
      <c r="T50" s="59" t="n">
        <f aca="false">S50*(Curves!B36+Curves!J36+Curves!K36)</f>
        <v>0</v>
      </c>
      <c r="U50" s="0" t="n">
        <v>0</v>
      </c>
      <c r="V50" s="59" t="n">
        <f aca="false">(O50/N50)/C50</f>
        <v>0</v>
      </c>
      <c r="W50" s="59" t="n">
        <v>0</v>
      </c>
      <c r="Y50" s="59" t="n">
        <v>0</v>
      </c>
      <c r="Z50" s="68" t="n">
        <v>0</v>
      </c>
    </row>
    <row r="51" customFormat="false" ht="12.75" hidden="false" customHeight="false" outlineLevel="0" collapsed="false">
      <c r="B51" s="155" t="n">
        <v>37956</v>
      </c>
      <c r="C51" s="0" t="n">
        <f aca="false">EOMONTH(B51,0)-EOMONTH(B51,-1)</f>
        <v>31</v>
      </c>
      <c r="D51" s="66" t="n">
        <f aca="false">WORKDAY(EOMONTH(B51,0)+24,1,'Financing Assumptions'!E69:E75)</f>
        <v>38012</v>
      </c>
      <c r="E51" s="156" t="str">
        <f aca="false">TEXT(D51,"DDD")</f>
        <v>Mon</v>
      </c>
      <c r="F51" s="41" t="n">
        <f aca="false">D51-$D$14</f>
        <v>1124</v>
      </c>
      <c r="H51" s="0" t="n">
        <f aca="false">(1+Curves!U37/12)^(-12*F51/360)</f>
        <v>0.837826620299008</v>
      </c>
      <c r="I51" s="152" t="n">
        <f aca="false">$F$4*H51*C51</f>
        <v>0</v>
      </c>
      <c r="J51" s="59" t="n">
        <f aca="false">I51*(Curves!B37+Curves!J37+Curves!K37)</f>
        <v>0</v>
      </c>
      <c r="K51" s="68" t="n">
        <v>0</v>
      </c>
      <c r="L51" s="59" t="n">
        <v>0</v>
      </c>
      <c r="N51" s="74" t="n">
        <f aca="false">(1+Curves!V37/12)^(-12*F51/360)</f>
        <v>0.815360475736595</v>
      </c>
      <c r="O51" s="59" t="n">
        <f aca="false">$F$4*N51*C51</f>
        <v>0</v>
      </c>
      <c r="P51" s="59" t="n">
        <v>0</v>
      </c>
      <c r="Q51" s="59" t="n">
        <v>0</v>
      </c>
      <c r="S51" s="59" t="n">
        <f aca="false">O51</f>
        <v>0</v>
      </c>
      <c r="T51" s="59" t="n">
        <f aca="false">S51*(Curves!B37+Curves!J37+Curves!K37)</f>
        <v>0</v>
      </c>
      <c r="U51" s="0" t="n">
        <v>0</v>
      </c>
      <c r="V51" s="59" t="n">
        <f aca="false">(O51/N51)/C51</f>
        <v>0</v>
      </c>
      <c r="W51" s="59" t="n">
        <v>0</v>
      </c>
      <c r="Y51" s="59" t="n">
        <v>0</v>
      </c>
      <c r="Z51" s="68" t="n">
        <v>0</v>
      </c>
    </row>
    <row r="52" customFormat="false" ht="12.75" hidden="false" customHeight="false" outlineLevel="0" collapsed="false">
      <c r="B52" s="155" t="n">
        <v>37987</v>
      </c>
      <c r="C52" s="0" t="n">
        <f aca="false">EOMONTH(B52,0)-EOMONTH(B52,-1)</f>
        <v>31</v>
      </c>
      <c r="D52" s="66" t="n">
        <f aca="false">WORKDAY(EOMONTH(B52,0)+24,1,'Financing Assumptions'!E70:E76)</f>
        <v>38042</v>
      </c>
      <c r="E52" s="156" t="str">
        <f aca="false">TEXT(D52,"DDD")</f>
        <v>Wed</v>
      </c>
      <c r="F52" s="41" t="n">
        <f aca="false">D52-$D$14</f>
        <v>1154</v>
      </c>
      <c r="H52" s="0" t="n">
        <f aca="false">(1+Curves!U38/12)^(-12*F52/360)</f>
        <v>0.833803608275523</v>
      </c>
      <c r="I52" s="152" t="n">
        <f aca="false">$F$4*H52*C52</f>
        <v>0</v>
      </c>
      <c r="J52" s="59" t="n">
        <f aca="false">I52*(Curves!B38+Curves!J38+Curves!K38)</f>
        <v>0</v>
      </c>
      <c r="K52" s="68" t="n">
        <v>0</v>
      </c>
      <c r="L52" s="59" t="n">
        <v>0</v>
      </c>
      <c r="N52" s="74" t="n">
        <f aca="false">(1+Curves!V38/12)^(-12*F52/360)</f>
        <v>0.810856929110818</v>
      </c>
      <c r="O52" s="59" t="n">
        <f aca="false">$F$4*N52*C52</f>
        <v>0</v>
      </c>
      <c r="P52" s="59" t="n">
        <v>0</v>
      </c>
      <c r="Q52" s="59" t="n">
        <v>0</v>
      </c>
      <c r="S52" s="59" t="n">
        <f aca="false">O52</f>
        <v>0</v>
      </c>
      <c r="T52" s="59" t="n">
        <f aca="false">S52*(Curves!B38+Curves!J38+Curves!K38)</f>
        <v>0</v>
      </c>
      <c r="U52" s="0" t="n">
        <v>0</v>
      </c>
      <c r="V52" s="59" t="n">
        <f aca="false">(O52/N52)/C52</f>
        <v>0</v>
      </c>
      <c r="W52" s="59" t="n">
        <v>0</v>
      </c>
      <c r="Y52" s="59" t="n">
        <v>0</v>
      </c>
      <c r="Z52" s="68" t="n">
        <v>0</v>
      </c>
    </row>
    <row r="53" customFormat="false" ht="12.75" hidden="false" customHeight="false" outlineLevel="0" collapsed="false">
      <c r="B53" s="155" t="n">
        <v>38018</v>
      </c>
      <c r="C53" s="0" t="n">
        <f aca="false">EOMONTH(B53,0)-EOMONTH(B53,-1)</f>
        <v>29</v>
      </c>
      <c r="D53" s="66" t="n">
        <f aca="false">WORKDAY(EOMONTH(B53,0)+24,1,'Financing Assumptions'!E71:E77)</f>
        <v>38071</v>
      </c>
      <c r="E53" s="156" t="str">
        <f aca="false">TEXT(D53,"DDD")</f>
        <v>Thu</v>
      </c>
      <c r="F53" s="41" t="n">
        <f aca="false">D53-$D$14</f>
        <v>1183</v>
      </c>
      <c r="H53" s="0" t="n">
        <f aca="false">(1+Curves!U39/12)^(-12*F53/360)</f>
        <v>0.829899608462734</v>
      </c>
      <c r="I53" s="152" t="n">
        <f aca="false">$F$4*H53*C53</f>
        <v>0</v>
      </c>
      <c r="J53" s="59" t="n">
        <f aca="false">I53*(Curves!B39+Curves!J39+Curves!K39)</f>
        <v>0</v>
      </c>
      <c r="K53" s="68" t="n">
        <v>0</v>
      </c>
      <c r="L53" s="59" t="n">
        <v>0</v>
      </c>
      <c r="N53" s="74" t="n">
        <f aca="false">(1+Curves!V39/12)^(-12*F53/360)</f>
        <v>0.806494662593674</v>
      </c>
      <c r="O53" s="59" t="n">
        <f aca="false">$F$4*N53*C53</f>
        <v>0</v>
      </c>
      <c r="P53" s="59" t="n">
        <v>0</v>
      </c>
      <c r="Q53" s="59" t="n">
        <v>0</v>
      </c>
      <c r="S53" s="59" t="n">
        <f aca="false">O53</f>
        <v>0</v>
      </c>
      <c r="T53" s="59" t="n">
        <f aca="false">S53*(Curves!B39+Curves!J39+Curves!K39)</f>
        <v>0</v>
      </c>
      <c r="U53" s="0" t="n">
        <v>0</v>
      </c>
      <c r="V53" s="59" t="n">
        <f aca="false">(O53/N53)/C53</f>
        <v>0</v>
      </c>
      <c r="W53" s="59" t="n">
        <v>0</v>
      </c>
      <c r="Y53" s="59" t="n">
        <v>0</v>
      </c>
      <c r="Z53" s="68" t="n">
        <v>0</v>
      </c>
    </row>
    <row r="54" customFormat="false" ht="12.75" hidden="false" customHeight="false" outlineLevel="0" collapsed="false">
      <c r="B54" s="155" t="n">
        <v>38047</v>
      </c>
      <c r="C54" s="0" t="n">
        <f aca="false">EOMONTH(B54,0)-EOMONTH(B54,-1)</f>
        <v>31</v>
      </c>
      <c r="D54" s="66" t="n">
        <f aca="false">WORKDAY(EOMONTH(B54,0)+24,1,'Financing Assumptions'!E72:E78)</f>
        <v>38103</v>
      </c>
      <c r="E54" s="156" t="str">
        <f aca="false">TEXT(D54,"DDD")</f>
        <v>Mon</v>
      </c>
      <c r="F54" s="41" t="n">
        <f aca="false">D54-$D$14</f>
        <v>1215</v>
      </c>
      <c r="H54" s="0" t="n">
        <f aca="false">(1+Curves!U40/12)^(-12*F54/360)</f>
        <v>0.825624946254818</v>
      </c>
      <c r="I54" s="152" t="n">
        <f aca="false">$F$4*H54*C54</f>
        <v>0</v>
      </c>
      <c r="J54" s="59" t="n">
        <f aca="false">I54*(Curves!B40+Curves!J40+Curves!K40)</f>
        <v>0</v>
      </c>
      <c r="K54" s="68" t="n">
        <v>0</v>
      </c>
      <c r="L54" s="59" t="n">
        <v>0</v>
      </c>
      <c r="N54" s="74" t="n">
        <f aca="false">(1+Curves!V40/12)^(-12*F54/360)</f>
        <v>0.801719991606022</v>
      </c>
      <c r="O54" s="59" t="n">
        <f aca="false">$F$4*N54*C54</f>
        <v>0</v>
      </c>
      <c r="P54" s="59" t="n">
        <v>0</v>
      </c>
      <c r="Q54" s="59" t="n">
        <v>0</v>
      </c>
      <c r="S54" s="59" t="n">
        <f aca="false">O54</f>
        <v>0</v>
      </c>
      <c r="T54" s="59" t="n">
        <f aca="false">S54*(Curves!B40+Curves!J40+Curves!K40)</f>
        <v>0</v>
      </c>
      <c r="U54" s="0" t="n">
        <v>0</v>
      </c>
      <c r="V54" s="59" t="n">
        <f aca="false">(O54/N54)/C54</f>
        <v>0</v>
      </c>
      <c r="W54" s="59" t="n">
        <v>0</v>
      </c>
      <c r="Y54" s="59" t="n">
        <v>0</v>
      </c>
      <c r="Z54" s="68" t="n">
        <v>0</v>
      </c>
    </row>
    <row r="55" customFormat="false" ht="12.75" hidden="false" customHeight="false" outlineLevel="0" collapsed="false">
      <c r="B55" s="155" t="n">
        <v>38078</v>
      </c>
      <c r="C55" s="0" t="n">
        <f aca="false">EOMONTH(B55,0)-EOMONTH(B55,-1)</f>
        <v>30</v>
      </c>
      <c r="D55" s="66" t="n">
        <f aca="false">WORKDAY(EOMONTH(B55,0)+24,1,'Financing Assumptions'!E73:E79)</f>
        <v>38132</v>
      </c>
      <c r="E55" s="156" t="str">
        <f aca="false">TEXT(D55,"DDD")</f>
        <v>Tue</v>
      </c>
      <c r="F55" s="41" t="n">
        <f aca="false">D55-$D$14</f>
        <v>1244</v>
      </c>
      <c r="H55" s="0" t="n">
        <f aca="false">(1+Curves!U41/12)^(-12*F55/360)</f>
        <v>0.821771580772632</v>
      </c>
      <c r="I55" s="152" t="n">
        <f aca="false">$F$4*H55*C55</f>
        <v>0</v>
      </c>
      <c r="J55" s="59" t="n">
        <f aca="false">I55*(Curves!B41+Curves!J41+Curves!K41)</f>
        <v>0</v>
      </c>
      <c r="K55" s="68" t="n">
        <v>0</v>
      </c>
      <c r="L55" s="59" t="n">
        <v>0</v>
      </c>
      <c r="N55" s="74" t="n">
        <f aca="false">(1+Curves!V41/12)^(-12*F55/360)</f>
        <v>0.797418846350071</v>
      </c>
      <c r="O55" s="59" t="n">
        <f aca="false">$F$4*N55*C55</f>
        <v>0</v>
      </c>
      <c r="P55" s="59" t="n">
        <v>0</v>
      </c>
      <c r="Q55" s="59" t="n">
        <v>0</v>
      </c>
      <c r="S55" s="59" t="n">
        <f aca="false">O55</f>
        <v>0</v>
      </c>
      <c r="T55" s="59" t="n">
        <f aca="false">S55*(Curves!B41+Curves!J41+Curves!K41)</f>
        <v>0</v>
      </c>
      <c r="U55" s="0" t="n">
        <v>0</v>
      </c>
      <c r="V55" s="59" t="n">
        <f aca="false">(O55/N55)/C55</f>
        <v>0</v>
      </c>
      <c r="W55" s="59" t="n">
        <v>0</v>
      </c>
      <c r="Y55" s="59" t="n">
        <v>0</v>
      </c>
      <c r="Z55" s="68" t="n">
        <v>0</v>
      </c>
    </row>
    <row r="56" customFormat="false" ht="12.75" hidden="false" customHeight="false" outlineLevel="0" collapsed="false">
      <c r="B56" s="155" t="n">
        <v>38108</v>
      </c>
      <c r="C56" s="0" t="n">
        <f aca="false">EOMONTH(B56,0)-EOMONTH(B56,-1)</f>
        <v>31</v>
      </c>
      <c r="D56" s="66" t="n">
        <f aca="false">WORKDAY(EOMONTH(B56,0)+24,1,'Financing Assumptions'!E74:E80)</f>
        <v>38163</v>
      </c>
      <c r="E56" s="156" t="str">
        <f aca="false">TEXT(D56,"DDD")</f>
        <v>Fri</v>
      </c>
      <c r="F56" s="41" t="n">
        <f aca="false">D56-$D$14</f>
        <v>1275</v>
      </c>
      <c r="H56" s="0" t="n">
        <f aca="false">(1+Curves!U42/12)^(-12*F56/360)</f>
        <v>0.817700561304303</v>
      </c>
      <c r="I56" s="152" t="n">
        <f aca="false">$F$4*H56*C56</f>
        <v>0</v>
      </c>
      <c r="J56" s="59" t="n">
        <f aca="false">I56*(Curves!B42+Curves!J42+Curves!K42)</f>
        <v>0</v>
      </c>
      <c r="K56" s="68" t="n">
        <v>0</v>
      </c>
      <c r="L56" s="59" t="n">
        <v>0</v>
      </c>
      <c r="N56" s="74" t="n">
        <f aca="false">(1+Curves!V42/12)^(-12*F56/360)</f>
        <v>0.792873917868023</v>
      </c>
      <c r="O56" s="59" t="n">
        <f aca="false">$F$4*N56*C56</f>
        <v>0</v>
      </c>
      <c r="P56" s="59" t="n">
        <v>0</v>
      </c>
      <c r="Q56" s="59" t="n">
        <v>0</v>
      </c>
      <c r="S56" s="59" t="n">
        <f aca="false">O56</f>
        <v>0</v>
      </c>
      <c r="T56" s="59" t="n">
        <f aca="false">S56*(Curves!B42+Curves!J42+Curves!K42)</f>
        <v>0</v>
      </c>
      <c r="U56" s="0" t="n">
        <v>0</v>
      </c>
      <c r="V56" s="59" t="n">
        <f aca="false">(O56/N56)/C56</f>
        <v>0</v>
      </c>
      <c r="W56" s="59" t="n">
        <v>0</v>
      </c>
      <c r="Y56" s="59" t="n">
        <v>0</v>
      </c>
      <c r="Z56" s="68" t="n">
        <v>0</v>
      </c>
    </row>
    <row r="57" customFormat="false" ht="12.75" hidden="false" customHeight="false" outlineLevel="0" collapsed="false">
      <c r="B57" s="155" t="n">
        <v>38139</v>
      </c>
      <c r="C57" s="0" t="n">
        <f aca="false">EOMONTH(B57,0)-EOMONTH(B57,-1)</f>
        <v>30</v>
      </c>
      <c r="D57" s="66" t="n">
        <f aca="false">WORKDAY(EOMONTH(B57,0)+24,1,'Financing Assumptions'!E75:E81)</f>
        <v>38194</v>
      </c>
      <c r="E57" s="156" t="str">
        <f aca="false">TEXT(D57,"DDD")</f>
        <v>Mon</v>
      </c>
      <c r="F57" s="41" t="n">
        <f aca="false">D57-$D$14</f>
        <v>1306</v>
      </c>
      <c r="H57" s="0" t="n">
        <f aca="false">(1+Curves!U43/12)^(-12*F57/360)</f>
        <v>0.813644677677439</v>
      </c>
      <c r="I57" s="152" t="n">
        <f aca="false">$F$4*H57*C57</f>
        <v>0</v>
      </c>
      <c r="J57" s="59" t="n">
        <f aca="false">I57*(Curves!B43+Curves!J43+Curves!K43)</f>
        <v>0</v>
      </c>
      <c r="K57" s="68" t="n">
        <v>0</v>
      </c>
      <c r="L57" s="59" t="n">
        <v>0</v>
      </c>
      <c r="N57" s="74" t="n">
        <f aca="false">(1+Curves!V43/12)^(-12*F57/360)</f>
        <v>0.788350021591299</v>
      </c>
      <c r="O57" s="59" t="n">
        <f aca="false">$F$4*N57*C57</f>
        <v>0</v>
      </c>
      <c r="P57" s="59" t="n">
        <v>0</v>
      </c>
      <c r="Q57" s="59" t="n">
        <v>0</v>
      </c>
      <c r="S57" s="59" t="n">
        <f aca="false">O57</f>
        <v>0</v>
      </c>
      <c r="T57" s="59" t="n">
        <f aca="false">S57*(Curves!B43+Curves!J43+Curves!K43)</f>
        <v>0</v>
      </c>
      <c r="U57" s="0" t="n">
        <v>0</v>
      </c>
      <c r="V57" s="59" t="n">
        <f aca="false">(O57/N57)/C57</f>
        <v>0</v>
      </c>
      <c r="W57" s="59" t="n">
        <v>0</v>
      </c>
      <c r="Y57" s="59" t="n">
        <v>0</v>
      </c>
      <c r="Z57" s="68" t="n">
        <v>0</v>
      </c>
    </row>
    <row r="58" customFormat="false" ht="12.75" hidden="false" customHeight="false" outlineLevel="0" collapsed="false">
      <c r="B58" s="155" t="n">
        <v>38169</v>
      </c>
      <c r="C58" s="0" t="n">
        <f aca="false">EOMONTH(B58,0)-EOMONTH(B58,-1)</f>
        <v>31</v>
      </c>
      <c r="D58" s="66" t="n">
        <f aca="false">WORKDAY(EOMONTH(B58,0)+24,1,'Financing Assumptions'!E76:E82)</f>
        <v>38224</v>
      </c>
      <c r="E58" s="156" t="str">
        <f aca="false">TEXT(D58,"DDD")</f>
        <v>Wed</v>
      </c>
      <c r="F58" s="41" t="n">
        <f aca="false">D58-$D$14</f>
        <v>1336</v>
      </c>
      <c r="H58" s="0" t="n">
        <f aca="false">(1+Curves!U44/12)^(-12*F58/360)</f>
        <v>0.809730802538379</v>
      </c>
      <c r="I58" s="152" t="n">
        <f aca="false">$F$4*H58*C58</f>
        <v>0</v>
      </c>
      <c r="J58" s="59" t="n">
        <f aca="false">I58*(Curves!B44+Curves!J44+Curves!K44)</f>
        <v>0</v>
      </c>
      <c r="K58" s="68" t="n">
        <v>0</v>
      </c>
      <c r="L58" s="59" t="n">
        <v>0</v>
      </c>
      <c r="N58" s="74" t="n">
        <f aca="false">(1+Curves!V44/12)^(-12*F58/360)</f>
        <v>0.783988912610207</v>
      </c>
      <c r="O58" s="59" t="n">
        <f aca="false">$F$4*N58*C58</f>
        <v>0</v>
      </c>
      <c r="P58" s="59" t="n">
        <v>0</v>
      </c>
      <c r="Q58" s="59" t="n">
        <v>0</v>
      </c>
      <c r="S58" s="59" t="n">
        <f aca="false">O58</f>
        <v>0</v>
      </c>
      <c r="T58" s="59" t="n">
        <f aca="false">S58*(Curves!B44+Curves!J44+Curves!K44)</f>
        <v>0</v>
      </c>
      <c r="U58" s="0" t="n">
        <v>0</v>
      </c>
      <c r="V58" s="59" t="n">
        <f aca="false">(O58/N58)/C58</f>
        <v>0</v>
      </c>
      <c r="W58" s="59" t="n">
        <v>0</v>
      </c>
      <c r="Y58" s="59" t="n">
        <v>0</v>
      </c>
      <c r="Z58" s="68" t="n">
        <v>0</v>
      </c>
    </row>
    <row r="59" customFormat="false" ht="12.75" hidden="false" customHeight="false" outlineLevel="0" collapsed="false">
      <c r="B59" s="155" t="n">
        <v>38200</v>
      </c>
      <c r="C59" s="0" t="n">
        <f aca="false">EOMONTH(B59,0)-EOMONTH(B59,-1)</f>
        <v>31</v>
      </c>
      <c r="D59" s="66" t="n">
        <f aca="false">WORKDAY(EOMONTH(B59,0)+24,1,'Financing Assumptions'!E77:E83)</f>
        <v>38257</v>
      </c>
      <c r="E59" s="156" t="str">
        <f aca="false">TEXT(D59,"DDD")</f>
        <v>Mon</v>
      </c>
      <c r="F59" s="41" t="n">
        <f aca="false">D59-$D$14</f>
        <v>1369</v>
      </c>
      <c r="H59" s="0" t="n">
        <f aca="false">(1+Curves!U45/12)^(-12*F59/360)</f>
        <v>0.805442702899947</v>
      </c>
      <c r="I59" s="152" t="n">
        <f aca="false">$F$4*H59*C59</f>
        <v>0</v>
      </c>
      <c r="J59" s="59" t="n">
        <f aca="false">I59*(Curves!B45+Curves!J45+Curves!K45)</f>
        <v>0</v>
      </c>
      <c r="K59" s="68" t="n">
        <v>0</v>
      </c>
      <c r="L59" s="59" t="n">
        <v>0</v>
      </c>
      <c r="N59" s="74" t="n">
        <f aca="false">(1+Curves!V45/12)^(-12*F59/360)</f>
        <v>0.779215126164012</v>
      </c>
      <c r="O59" s="59" t="n">
        <f aca="false">$F$4*N59*C59</f>
        <v>0</v>
      </c>
      <c r="P59" s="59" t="n">
        <v>0</v>
      </c>
      <c r="Q59" s="59" t="n">
        <v>0</v>
      </c>
      <c r="S59" s="59" t="n">
        <f aca="false">O59</f>
        <v>0</v>
      </c>
      <c r="T59" s="59" t="n">
        <f aca="false">S59*(Curves!B45+Curves!J45+Curves!K45)</f>
        <v>0</v>
      </c>
      <c r="U59" s="0" t="n">
        <v>0</v>
      </c>
      <c r="V59" s="59" t="n">
        <f aca="false">(O59/N59)/C59</f>
        <v>0</v>
      </c>
      <c r="W59" s="59" t="n">
        <v>0</v>
      </c>
      <c r="Y59" s="59" t="n">
        <v>0</v>
      </c>
      <c r="Z59" s="68" t="n">
        <v>0</v>
      </c>
    </row>
    <row r="60" customFormat="false" ht="12.75" hidden="false" customHeight="false" outlineLevel="0" collapsed="false">
      <c r="B60" s="155" t="n">
        <v>38231</v>
      </c>
      <c r="C60" s="0" t="n">
        <f aca="false">EOMONTH(B60,0)-EOMONTH(B60,-1)</f>
        <v>30</v>
      </c>
      <c r="D60" s="66" t="n">
        <f aca="false">WORKDAY(EOMONTH(B60,0)+24,1,'Financing Assumptions'!E78:E84)</f>
        <v>38285</v>
      </c>
      <c r="E60" s="156" t="str">
        <f aca="false">TEXT(D60,"DDD")</f>
        <v>Mon</v>
      </c>
      <c r="F60" s="41" t="n">
        <f aca="false">D60-$D$14</f>
        <v>1397</v>
      </c>
      <c r="H60" s="0" t="n">
        <f aca="false">(1+Curves!U46/12)^(-12*F60/360)</f>
        <v>0.801807219706937</v>
      </c>
      <c r="I60" s="152" t="n">
        <f aca="false">$F$4*H60*C60</f>
        <v>0</v>
      </c>
      <c r="J60" s="59" t="n">
        <f aca="false">I60*(Curves!B46+Curves!J46+Curves!K46)</f>
        <v>0</v>
      </c>
      <c r="K60" s="68" t="n">
        <v>0</v>
      </c>
      <c r="L60" s="59" t="n">
        <v>0</v>
      </c>
      <c r="N60" s="74" t="n">
        <f aca="false">(1+Curves!V46/12)^(-12*F60/360)</f>
        <v>0.775173040183522</v>
      </c>
      <c r="O60" s="59" t="n">
        <f aca="false">$F$4*N60*C60</f>
        <v>0</v>
      </c>
      <c r="P60" s="59" t="n">
        <v>0</v>
      </c>
      <c r="Q60" s="59" t="n">
        <v>0</v>
      </c>
      <c r="S60" s="59" t="n">
        <f aca="false">O60</f>
        <v>0</v>
      </c>
      <c r="T60" s="59" t="n">
        <f aca="false">S60*(Curves!B46+Curves!J46+Curves!K46)</f>
        <v>0</v>
      </c>
      <c r="U60" s="0" t="n">
        <v>0</v>
      </c>
      <c r="V60" s="59" t="n">
        <f aca="false">(O60/N60)/C60</f>
        <v>0</v>
      </c>
      <c r="W60" s="59" t="n">
        <v>0</v>
      </c>
      <c r="Y60" s="59" t="n">
        <v>0</v>
      </c>
      <c r="Z60" s="68" t="n">
        <v>0</v>
      </c>
    </row>
    <row r="61" customFormat="false" ht="12.75" hidden="false" customHeight="false" outlineLevel="0" collapsed="false">
      <c r="B61" s="155" t="n">
        <v>38261</v>
      </c>
      <c r="C61" s="0" t="n">
        <f aca="false">EOMONTH(B61,0)-EOMONTH(B61,-1)</f>
        <v>31</v>
      </c>
      <c r="D61" s="66" t="n">
        <f aca="false">WORKDAY(EOMONTH(B61,0)+24,1,'Financing Assumptions'!E79:E85)</f>
        <v>38316</v>
      </c>
      <c r="E61" s="156" t="str">
        <f aca="false">TEXT(D61,"DDD")</f>
        <v>Thu</v>
      </c>
      <c r="F61" s="41" t="n">
        <f aca="false">D61-$D$14</f>
        <v>1428</v>
      </c>
      <c r="H61" s="0" t="n">
        <f aca="false">(1+Curves!U47/12)^(-12*F61/360)</f>
        <v>0.797805407784611</v>
      </c>
      <c r="I61" s="152" t="n">
        <f aca="false">$F$4*H61*C61</f>
        <v>0</v>
      </c>
      <c r="J61" s="59" t="n">
        <f aca="false">I61*(Curves!B47+Curves!J47+Curves!K47)</f>
        <v>0</v>
      </c>
      <c r="K61" s="68" t="n">
        <v>0</v>
      </c>
      <c r="L61" s="59" t="n">
        <v>0</v>
      </c>
      <c r="N61" s="74" t="n">
        <f aca="false">(1+Curves!V47/12)^(-12*F61/360)</f>
        <v>0.770726236495442</v>
      </c>
      <c r="O61" s="59" t="n">
        <f aca="false">$F$4*N61*C61</f>
        <v>0</v>
      </c>
      <c r="P61" s="59" t="n">
        <v>0</v>
      </c>
      <c r="Q61" s="59" t="n">
        <v>0</v>
      </c>
      <c r="S61" s="59" t="n">
        <f aca="false">O61</f>
        <v>0</v>
      </c>
      <c r="T61" s="59" t="n">
        <f aca="false">S61*(Curves!B47+Curves!J47+Curves!K47)</f>
        <v>0</v>
      </c>
      <c r="U61" s="0" t="n">
        <v>0</v>
      </c>
      <c r="V61" s="59" t="n">
        <f aca="false">(O61/N61)/C61</f>
        <v>0</v>
      </c>
      <c r="W61" s="59" t="n">
        <v>0</v>
      </c>
      <c r="Y61" s="59" t="n">
        <v>0</v>
      </c>
      <c r="Z61" s="68" t="n">
        <v>0</v>
      </c>
    </row>
    <row r="62" customFormat="false" ht="12.75" hidden="false" customHeight="false" outlineLevel="0" collapsed="false">
      <c r="B62" s="155" t="n">
        <v>38292</v>
      </c>
      <c r="C62" s="0" t="n">
        <f aca="false">EOMONTH(B62,0)-EOMONTH(B62,-1)</f>
        <v>30</v>
      </c>
      <c r="D62" s="66" t="n">
        <f aca="false">WORKDAY(EOMONTH(B62,0)+24,1,'Financing Assumptions'!E80:E86)</f>
        <v>38348</v>
      </c>
      <c r="E62" s="156" t="str">
        <f aca="false">TEXT(D62,"DDD")</f>
        <v>Mon</v>
      </c>
      <c r="F62" s="41" t="n">
        <f aca="false">D62-$D$14</f>
        <v>1460</v>
      </c>
      <c r="H62" s="0" t="n">
        <f aca="false">(1+Curves!U48/12)^(-12*F62/360)</f>
        <v>0.793688272938632</v>
      </c>
      <c r="I62" s="152" t="n">
        <f aca="false">$F$4*H62*C62</f>
        <v>0</v>
      </c>
      <c r="J62" s="59" t="n">
        <f aca="false">I62*(Curves!B48+Curves!J48+Curves!K48)</f>
        <v>0</v>
      </c>
      <c r="K62" s="68" t="n">
        <v>0</v>
      </c>
      <c r="L62" s="59" t="n">
        <v>0</v>
      </c>
      <c r="N62" s="74" t="n">
        <f aca="false">(1+Curves!V48/12)^(-12*F62/360)</f>
        <v>0.76615581589385</v>
      </c>
      <c r="O62" s="59" t="n">
        <f aca="false">$F$4*N62*C62</f>
        <v>0</v>
      </c>
      <c r="P62" s="59" t="n">
        <v>0</v>
      </c>
      <c r="Q62" s="59" t="n">
        <v>0</v>
      </c>
      <c r="S62" s="59" t="n">
        <f aca="false">O62</f>
        <v>0</v>
      </c>
      <c r="T62" s="59" t="n">
        <f aca="false">S62*(Curves!B48+Curves!J48+Curves!K48)</f>
        <v>0</v>
      </c>
      <c r="U62" s="0" t="n">
        <v>0</v>
      </c>
      <c r="V62" s="59" t="n">
        <f aca="false">(O62/N62)/C62</f>
        <v>0</v>
      </c>
      <c r="W62" s="59" t="n">
        <v>0</v>
      </c>
      <c r="Y62" s="59" t="n">
        <v>0</v>
      </c>
      <c r="Z62" s="68" t="n">
        <v>0</v>
      </c>
    </row>
    <row r="63" customFormat="false" ht="12.75" hidden="false" customHeight="false" outlineLevel="0" collapsed="false">
      <c r="B63" s="155" t="n">
        <v>38322</v>
      </c>
      <c r="C63" s="0" t="n">
        <f aca="false">EOMONTH(B63,0)-EOMONTH(B63,-1)</f>
        <v>31</v>
      </c>
      <c r="D63" s="66" t="n">
        <f aca="false">WORKDAY(EOMONTH(B63,0)+24,1,'Financing Assumptions'!E81:E87)</f>
        <v>38377</v>
      </c>
      <c r="E63" s="156" t="str">
        <f aca="false">TEXT(D63,"DDD")</f>
        <v>Tue</v>
      </c>
      <c r="F63" s="41" t="n">
        <f aca="false">D63-$D$14</f>
        <v>1489</v>
      </c>
      <c r="H63" s="0" t="n">
        <f aca="false">(1+Curves!U49/12)^(-12*F63/360)</f>
        <v>0.789966580131595</v>
      </c>
      <c r="I63" s="152" t="n">
        <f aca="false">$F$4*H63*C63</f>
        <v>0</v>
      </c>
      <c r="J63" s="59" t="n">
        <f aca="false">I63*(Curves!B49+Curves!J49+Curves!K49)</f>
        <v>0</v>
      </c>
      <c r="K63" s="68" t="n">
        <v>0</v>
      </c>
      <c r="L63" s="59" t="n">
        <v>0</v>
      </c>
      <c r="N63" s="74" t="n">
        <f aca="false">(1+Curves!V49/12)^(-12*F63/360)</f>
        <v>0.762028713183236</v>
      </c>
      <c r="O63" s="59" t="n">
        <f aca="false">$F$4*N63*C63</f>
        <v>0</v>
      </c>
      <c r="P63" s="59" t="n">
        <v>0</v>
      </c>
      <c r="Q63" s="59" t="n">
        <v>0</v>
      </c>
      <c r="S63" s="59" t="n">
        <f aca="false">O63</f>
        <v>0</v>
      </c>
      <c r="T63" s="59" t="n">
        <f aca="false">S63*(Curves!B49+Curves!J49+Curves!K49)</f>
        <v>0</v>
      </c>
      <c r="U63" s="0" t="n">
        <v>0</v>
      </c>
      <c r="V63" s="59" t="n">
        <f aca="false">(O63/N63)/C63</f>
        <v>0</v>
      </c>
      <c r="W63" s="59" t="n">
        <v>0</v>
      </c>
      <c r="Y63" s="59" t="n">
        <v>0</v>
      </c>
      <c r="Z63" s="68" t="n">
        <v>0</v>
      </c>
    </row>
    <row r="64" customFormat="false" ht="12.75" hidden="false" customHeight="false" outlineLevel="0" collapsed="false">
      <c r="B64" s="155" t="n">
        <v>38353</v>
      </c>
      <c r="C64" s="0" t="n">
        <f aca="false">EOMONTH(B64,0)-EOMONTH(B64,-1)</f>
        <v>31</v>
      </c>
      <c r="D64" s="66" t="n">
        <f aca="false">WORKDAY(EOMONTH(B64,0)+24,1,'Financing Assumptions'!E82:E88)</f>
        <v>38408</v>
      </c>
      <c r="E64" s="156" t="str">
        <f aca="false">TEXT(D64,"DDD")</f>
        <v>Fri</v>
      </c>
      <c r="F64" s="41" t="n">
        <f aca="false">D64-$D$14</f>
        <v>1520</v>
      </c>
      <c r="H64" s="0" t="n">
        <f aca="false">(1+Curves!U50/12)^(-12*F64/360)</f>
        <v>0.785980988372765</v>
      </c>
      <c r="I64" s="152" t="n">
        <f aca="false">$F$4*H64*C64</f>
        <v>0</v>
      </c>
      <c r="J64" s="59" t="n">
        <f aca="false">I64*(Curves!B50+Curves!J50+Curves!K50)</f>
        <v>0</v>
      </c>
      <c r="K64" s="68" t="n">
        <v>0</v>
      </c>
      <c r="L64" s="59" t="n">
        <v>0</v>
      </c>
      <c r="N64" s="74" t="n">
        <f aca="false">(1+Curves!V50/12)^(-12*F64/360)</f>
        <v>0.757616013294662</v>
      </c>
      <c r="O64" s="59" t="n">
        <f aca="false">$F$4*N64*C64</f>
        <v>0</v>
      </c>
      <c r="P64" s="59" t="n">
        <v>0</v>
      </c>
      <c r="Q64" s="59" t="n">
        <v>0</v>
      </c>
      <c r="S64" s="59" t="n">
        <f aca="false">O64</f>
        <v>0</v>
      </c>
      <c r="T64" s="59" t="n">
        <f aca="false">S64*(Curves!B50+Curves!J50+Curves!K50)</f>
        <v>0</v>
      </c>
      <c r="U64" s="0" t="n">
        <v>0</v>
      </c>
      <c r="V64" s="59" t="n">
        <f aca="false">(O64/N64)/C64</f>
        <v>0</v>
      </c>
      <c r="W64" s="59" t="n">
        <v>0</v>
      </c>
      <c r="Y64" s="59" t="n">
        <v>0</v>
      </c>
      <c r="Z64" s="68" t="n">
        <v>0</v>
      </c>
    </row>
    <row r="65" customFormat="false" ht="12.75" hidden="false" customHeight="false" outlineLevel="0" collapsed="false">
      <c r="B65" s="155" t="n">
        <v>38384</v>
      </c>
      <c r="C65" s="0" t="n">
        <f aca="false">EOMONTH(B65,0)-EOMONTH(B65,-1)</f>
        <v>28</v>
      </c>
      <c r="D65" s="66" t="n">
        <f aca="false">WORKDAY(EOMONTH(B65,0)+24,1,'Financing Assumptions'!E83:E89)</f>
        <v>38436</v>
      </c>
      <c r="E65" s="156" t="str">
        <f aca="false">TEXT(D65,"DDD")</f>
        <v>Fri</v>
      </c>
      <c r="F65" s="41" t="n">
        <f aca="false">D65-$D$14</f>
        <v>1548</v>
      </c>
      <c r="H65" s="0" t="n">
        <f aca="false">(1+Curves!U51/12)^(-12*F65/360)</f>
        <v>0.782361091207357</v>
      </c>
      <c r="I65" s="152" t="n">
        <f aca="false">$F$4*H65*C65</f>
        <v>0</v>
      </c>
      <c r="J65" s="59" t="n">
        <f aca="false">I65*(Curves!B51+Curves!J51+Curves!K51)</f>
        <v>0</v>
      </c>
      <c r="K65" s="68" t="n">
        <v>0</v>
      </c>
      <c r="L65" s="59" t="n">
        <v>0</v>
      </c>
      <c r="N65" s="74" t="n">
        <f aca="false">(1+Curves!V51/12)^(-12*F65/360)</f>
        <v>0.753616418162224</v>
      </c>
      <c r="O65" s="59" t="n">
        <f aca="false">$F$4*N65*C65</f>
        <v>0</v>
      </c>
      <c r="P65" s="59" t="n">
        <v>0</v>
      </c>
      <c r="Q65" s="59" t="n">
        <v>0</v>
      </c>
      <c r="S65" s="59" t="n">
        <f aca="false">O65</f>
        <v>0</v>
      </c>
      <c r="T65" s="59" t="n">
        <f aca="false">S65*(Curves!B51+Curves!J51+Curves!K51)</f>
        <v>0</v>
      </c>
      <c r="U65" s="0" t="n">
        <v>0</v>
      </c>
      <c r="V65" s="59" t="n">
        <f aca="false">(O65/N65)/C65</f>
        <v>0</v>
      </c>
      <c r="W65" s="59" t="n">
        <v>0</v>
      </c>
      <c r="Y65" s="59" t="n">
        <v>0</v>
      </c>
      <c r="Z65" s="68" t="n">
        <v>0</v>
      </c>
    </row>
    <row r="66" customFormat="false" ht="12.75" hidden="false" customHeight="false" outlineLevel="0" collapsed="false">
      <c r="B66" s="155" t="n">
        <v>38412</v>
      </c>
      <c r="C66" s="0" t="n">
        <f aca="false">EOMONTH(B66,0)-EOMONTH(B66,-1)</f>
        <v>31</v>
      </c>
      <c r="D66" s="66" t="n">
        <f aca="false">WORKDAY(EOMONTH(B66,0)+24,1,'Financing Assumptions'!E84:E90)</f>
        <v>38467</v>
      </c>
      <c r="E66" s="156" t="str">
        <f aca="false">TEXT(D66,"DDD")</f>
        <v>Mon</v>
      </c>
      <c r="F66" s="41" t="n">
        <f aca="false">D66-$D$14</f>
        <v>1579</v>
      </c>
      <c r="H66" s="0" t="n">
        <f aca="false">(1+Curves!U52/12)^(-12*F66/360)</f>
        <v>0.778396025979389</v>
      </c>
      <c r="I66" s="152" t="n">
        <f aca="false">$F$4*H66*C66</f>
        <v>0</v>
      </c>
      <c r="J66" s="59" t="n">
        <f aca="false">I66*(Curves!B52+Curves!J52+Curves!K52)</f>
        <v>0</v>
      </c>
      <c r="K66" s="68" t="n">
        <v>0</v>
      </c>
      <c r="L66" s="59" t="n">
        <v>0</v>
      </c>
      <c r="N66" s="74" t="n">
        <f aca="false">(1+Curves!V52/12)^(-12*F66/360)</f>
        <v>0.74923526737089</v>
      </c>
      <c r="O66" s="59" t="n">
        <f aca="false">$F$4*N66*C66</f>
        <v>0</v>
      </c>
      <c r="P66" s="59" t="n">
        <v>0</v>
      </c>
      <c r="Q66" s="59" t="n">
        <v>0</v>
      </c>
      <c r="S66" s="59" t="n">
        <f aca="false">O66</f>
        <v>0</v>
      </c>
      <c r="T66" s="59" t="n">
        <f aca="false">S66*(Curves!B52+Curves!J52+Curves!K52)</f>
        <v>0</v>
      </c>
      <c r="U66" s="0" t="n">
        <v>0</v>
      </c>
      <c r="V66" s="59" t="n">
        <f aca="false">(O66/N66)/C66</f>
        <v>0</v>
      </c>
      <c r="W66" s="59" t="n">
        <v>0</v>
      </c>
      <c r="Y66" s="59" t="n">
        <v>0</v>
      </c>
      <c r="Z66" s="68" t="n">
        <v>0</v>
      </c>
    </row>
    <row r="67" customFormat="false" ht="12.75" hidden="false" customHeight="false" outlineLevel="0" collapsed="false">
      <c r="B67" s="155" t="n">
        <v>38443</v>
      </c>
      <c r="C67" s="0" t="n">
        <f aca="false">EOMONTH(B67,0)-EOMONTH(B67,-1)</f>
        <v>30</v>
      </c>
      <c r="D67" s="66" t="n">
        <f aca="false">WORKDAY(EOMONTH(B67,0)+24,1,'Financing Assumptions'!E85:E91)</f>
        <v>38497</v>
      </c>
      <c r="E67" s="156" t="str">
        <f aca="false">TEXT(D67,"DDD")</f>
        <v>Wed</v>
      </c>
      <c r="F67" s="41" t="n">
        <f aca="false">D67-$D$14</f>
        <v>1609</v>
      </c>
      <c r="H67" s="0" t="n">
        <f aca="false">(1+Curves!U53/12)^(-12*F67/360)</f>
        <v>0.774595728192005</v>
      </c>
      <c r="I67" s="152" t="n">
        <f aca="false">$F$4*H67*C67</f>
        <v>0</v>
      </c>
      <c r="J67" s="59" t="n">
        <f aca="false">I67*(Curves!B53+Curves!J53+Curves!K53)</f>
        <v>0</v>
      </c>
      <c r="K67" s="68" t="n">
        <v>0</v>
      </c>
      <c r="L67" s="59" t="n">
        <v>0</v>
      </c>
      <c r="N67" s="74" t="n">
        <f aca="false">(1+Curves!V53/12)^(-12*F67/360)</f>
        <v>0.745036735060537</v>
      </c>
      <c r="O67" s="59" t="n">
        <f aca="false">$F$4*N67*C67</f>
        <v>0</v>
      </c>
      <c r="P67" s="59" t="n">
        <v>0</v>
      </c>
      <c r="Q67" s="59" t="n">
        <v>0</v>
      </c>
      <c r="S67" s="59" t="n">
        <f aca="false">O67</f>
        <v>0</v>
      </c>
      <c r="T67" s="59" t="n">
        <f aca="false">S67*(Curves!B53+Curves!J53+Curves!K53)</f>
        <v>0</v>
      </c>
      <c r="U67" s="0" t="n">
        <v>0</v>
      </c>
      <c r="V67" s="59" t="n">
        <f aca="false">(O67/N67)/C67</f>
        <v>0</v>
      </c>
      <c r="W67" s="59" t="n">
        <v>0</v>
      </c>
      <c r="Y67" s="59" t="n">
        <v>0</v>
      </c>
      <c r="Z67" s="68" t="n">
        <v>0</v>
      </c>
    </row>
    <row r="68" customFormat="false" ht="12.75" hidden="false" customHeight="false" outlineLevel="0" collapsed="false">
      <c r="B68" s="155" t="n">
        <v>38473</v>
      </c>
      <c r="C68" s="0" t="n">
        <f aca="false">EOMONTH(B68,0)-EOMONTH(B68,-1)</f>
        <v>31</v>
      </c>
      <c r="D68" s="66" t="n">
        <f aca="false">WORKDAY(EOMONTH(B68,0)+24,1,'Financing Assumptions'!E86:E92)</f>
        <v>38530</v>
      </c>
      <c r="E68" s="156" t="str">
        <f aca="false">TEXT(D68,"DDD")</f>
        <v>Mon</v>
      </c>
      <c r="F68" s="41" t="n">
        <f aca="false">D68-$D$14</f>
        <v>1642</v>
      </c>
      <c r="H68" s="0" t="n">
        <f aca="false">(1+Curves!U54/12)^(-12*F68/360)</f>
        <v>0.770479334013903</v>
      </c>
      <c r="I68" s="152" t="n">
        <f aca="false">$F$4*H68*C68</f>
        <v>0</v>
      </c>
      <c r="J68" s="59" t="n">
        <f aca="false">I68*(Curves!B54+Curves!J54+Curves!K54)</f>
        <v>0</v>
      </c>
      <c r="K68" s="68" t="n">
        <v>0</v>
      </c>
      <c r="L68" s="59" t="n">
        <v>0</v>
      </c>
      <c r="N68" s="74" t="n">
        <f aca="false">(1+Curves!V54/12)^(-12*F68/360)</f>
        <v>0.740486341584416</v>
      </c>
      <c r="O68" s="59" t="n">
        <f aca="false">$F$4*N68*C68</f>
        <v>0</v>
      </c>
      <c r="P68" s="59" t="n">
        <v>0</v>
      </c>
      <c r="Q68" s="59" t="n">
        <v>0</v>
      </c>
      <c r="S68" s="59" t="n">
        <f aca="false">O68</f>
        <v>0</v>
      </c>
      <c r="T68" s="59" t="n">
        <f aca="false">S68*(Curves!B54+Curves!J54+Curves!K54)</f>
        <v>0</v>
      </c>
      <c r="U68" s="0" t="n">
        <v>0</v>
      </c>
      <c r="V68" s="59" t="n">
        <f aca="false">(O68/N68)/C68</f>
        <v>0</v>
      </c>
      <c r="W68" s="59" t="n">
        <v>0</v>
      </c>
      <c r="Y68" s="59" t="n">
        <v>0</v>
      </c>
      <c r="Z68" s="68" t="n">
        <v>0</v>
      </c>
    </row>
    <row r="69" customFormat="false" ht="12.75" hidden="false" customHeight="false" outlineLevel="0" collapsed="false">
      <c r="B69" s="155" t="n">
        <v>38504</v>
      </c>
      <c r="C69" s="0" t="n">
        <f aca="false">EOMONTH(B69,0)-EOMONTH(B69,-1)</f>
        <v>30</v>
      </c>
      <c r="D69" s="66" t="n">
        <f aca="false">WORKDAY(EOMONTH(B69,0)+24,1,'Financing Assumptions'!E87:E93)</f>
        <v>38558</v>
      </c>
      <c r="E69" s="156" t="str">
        <f aca="false">TEXT(D69,"DDD")</f>
        <v>Mon</v>
      </c>
      <c r="F69" s="41" t="n">
        <f aca="false">D69-$D$14</f>
        <v>1670</v>
      </c>
      <c r="H69" s="0" t="n">
        <f aca="false">(1+Curves!U55/12)^(-12*F69/360)</f>
        <v>0.766988647532492</v>
      </c>
      <c r="I69" s="152" t="n">
        <f aca="false">$F$4*H69*C69</f>
        <v>0</v>
      </c>
      <c r="J69" s="59" t="n">
        <f aca="false">I69*(Curves!B55+Curves!J55+Curves!K55)</f>
        <v>0</v>
      </c>
      <c r="K69" s="68" t="n">
        <v>0</v>
      </c>
      <c r="L69" s="59" t="n">
        <v>0</v>
      </c>
      <c r="N69" s="74" t="n">
        <f aca="false">(1+Curves!V55/12)^(-12*F69/360)</f>
        <v>0.736632665215931</v>
      </c>
      <c r="O69" s="59" t="n">
        <f aca="false">$F$4*N69*C69</f>
        <v>0</v>
      </c>
      <c r="P69" s="59" t="n">
        <v>0</v>
      </c>
      <c r="Q69" s="59" t="n">
        <v>0</v>
      </c>
      <c r="S69" s="59" t="n">
        <f aca="false">O69</f>
        <v>0</v>
      </c>
      <c r="T69" s="59" t="n">
        <f aca="false">S69*(Curves!B55+Curves!J55+Curves!K55)</f>
        <v>0</v>
      </c>
      <c r="U69" s="0" t="n">
        <v>0</v>
      </c>
      <c r="V69" s="59" t="n">
        <f aca="false">(O69/N69)/C69</f>
        <v>0</v>
      </c>
      <c r="W69" s="59" t="n">
        <v>0</v>
      </c>
      <c r="Y69" s="59" t="n">
        <v>0</v>
      </c>
      <c r="Z69" s="68" t="n">
        <v>0</v>
      </c>
    </row>
    <row r="70" customFormat="false" ht="12.75" hidden="false" customHeight="false" outlineLevel="0" collapsed="false">
      <c r="B70" s="155" t="n">
        <v>38534</v>
      </c>
      <c r="C70" s="0" t="n">
        <f aca="false">EOMONTH(B70,0)-EOMONTH(B70,-1)</f>
        <v>31</v>
      </c>
      <c r="D70" s="66" t="n">
        <f aca="false">WORKDAY(EOMONTH(B70,0)+24,1,'Financing Assumptions'!E88:E94)</f>
        <v>38589</v>
      </c>
      <c r="E70" s="156" t="str">
        <f aca="false">TEXT(D70,"DDD")</f>
        <v>Thu</v>
      </c>
      <c r="F70" s="41" t="n">
        <f aca="false">D70-$D$14</f>
        <v>1701</v>
      </c>
      <c r="H70" s="0" t="n">
        <f aca="false">(1+Curves!U56/12)^(-12*F70/360)</f>
        <v>0.763149827073883</v>
      </c>
      <c r="I70" s="152" t="n">
        <f aca="false">$F$4*H70*C70</f>
        <v>0</v>
      </c>
      <c r="J70" s="59" t="n">
        <f aca="false">I70*(Curves!B56+Curves!J56+Curves!K56)</f>
        <v>0</v>
      </c>
      <c r="K70" s="68" t="n">
        <v>0</v>
      </c>
      <c r="L70" s="59" t="n">
        <v>0</v>
      </c>
      <c r="N70" s="74" t="n">
        <f aca="false">(1+Curves!V56/12)^(-12*F70/360)</f>
        <v>0.732396604099147</v>
      </c>
      <c r="O70" s="59" t="n">
        <f aca="false">$F$4*N70*C70</f>
        <v>0</v>
      </c>
      <c r="P70" s="59" t="n">
        <v>0</v>
      </c>
      <c r="Q70" s="59" t="n">
        <v>0</v>
      </c>
      <c r="S70" s="59" t="n">
        <f aca="false">O70</f>
        <v>0</v>
      </c>
      <c r="T70" s="59" t="n">
        <f aca="false">S70*(Curves!B56+Curves!J56+Curves!K56)</f>
        <v>0</v>
      </c>
      <c r="U70" s="0" t="n">
        <v>0</v>
      </c>
      <c r="V70" s="59" t="n">
        <f aca="false">(O70/N70)/C70</f>
        <v>0</v>
      </c>
      <c r="W70" s="59" t="n">
        <v>0</v>
      </c>
      <c r="Y70" s="59" t="n">
        <v>0</v>
      </c>
      <c r="Z70" s="68" t="n">
        <v>0</v>
      </c>
    </row>
    <row r="71" customFormat="false" ht="12.75" hidden="false" customHeight="false" outlineLevel="0" collapsed="false">
      <c r="B71" s="155" t="n">
        <v>38565</v>
      </c>
      <c r="C71" s="0" t="n">
        <f aca="false">EOMONTH(B71,0)-EOMONTH(B71,-1)</f>
        <v>31</v>
      </c>
      <c r="D71" s="66" t="n">
        <f aca="false">WORKDAY(EOMONTH(B71,0)+24,1,'Financing Assumptions'!E89:E95)</f>
        <v>38621</v>
      </c>
      <c r="E71" s="156" t="str">
        <f aca="false">TEXT(D71,"DDD")</f>
        <v>Mon</v>
      </c>
      <c r="F71" s="41" t="n">
        <f aca="false">D71-$D$14</f>
        <v>1733</v>
      </c>
      <c r="H71" s="0" t="n">
        <f aca="false">(1+Curves!U57/12)^(-12*F71/360)</f>
        <v>0.759204543783095</v>
      </c>
      <c r="I71" s="152" t="n">
        <f aca="false">$F$4*H71*C71</f>
        <v>0</v>
      </c>
      <c r="J71" s="59" t="n">
        <f aca="false">I71*(Curves!B57+Curves!J57+Curves!K57)</f>
        <v>0</v>
      </c>
      <c r="K71" s="68" t="n">
        <v>0</v>
      </c>
      <c r="L71" s="59" t="n">
        <v>0</v>
      </c>
      <c r="N71" s="74" t="n">
        <f aca="false">(1+Curves!V57/12)^(-12*F71/360)</f>
        <v>0.728046779516424</v>
      </c>
      <c r="O71" s="59" t="n">
        <f aca="false">$F$4*N71*C71</f>
        <v>0</v>
      </c>
      <c r="P71" s="59" t="n">
        <v>0</v>
      </c>
      <c r="Q71" s="59" t="n">
        <v>0</v>
      </c>
      <c r="S71" s="59" t="n">
        <f aca="false">O71</f>
        <v>0</v>
      </c>
      <c r="T71" s="59" t="n">
        <f aca="false">S71*(Curves!B57+Curves!J57+Curves!K57)</f>
        <v>0</v>
      </c>
      <c r="U71" s="0" t="n">
        <v>0</v>
      </c>
      <c r="V71" s="59" t="n">
        <f aca="false">(O71/N71)/C71</f>
        <v>0</v>
      </c>
      <c r="W71" s="59" t="n">
        <v>0</v>
      </c>
      <c r="Y71" s="59" t="n">
        <v>0</v>
      </c>
      <c r="Z71" s="68" t="n">
        <v>0</v>
      </c>
    </row>
    <row r="72" customFormat="false" ht="12.75" hidden="false" customHeight="false" outlineLevel="0" collapsed="false">
      <c r="B72" s="155" t="n">
        <v>38596</v>
      </c>
      <c r="C72" s="0" t="n">
        <f aca="false">EOMONTH(B72,0)-EOMONTH(B72,-1)</f>
        <v>30</v>
      </c>
      <c r="D72" s="66" t="n">
        <f aca="false">WORKDAY(EOMONTH(B72,0)+24,1,'Financing Assumptions'!E90:E96)</f>
        <v>38650</v>
      </c>
      <c r="E72" s="156" t="str">
        <f aca="false">TEXT(D72,"DDD")</f>
        <v>Tue</v>
      </c>
      <c r="F72" s="41" t="n">
        <f aca="false">D72-$D$14</f>
        <v>1762</v>
      </c>
      <c r="H72" s="0" t="n">
        <f aca="false">(1+Curves!U58/12)^(-12*F72/360)</f>
        <v>0.75563731957216</v>
      </c>
      <c r="I72" s="152" t="n">
        <f aca="false">$F$4*H72*C72</f>
        <v>0</v>
      </c>
      <c r="J72" s="59" t="n">
        <f aca="false">I72*(Curves!B58+Curves!J58+Curves!K58)</f>
        <v>0</v>
      </c>
      <c r="K72" s="68" t="n">
        <v>0</v>
      </c>
      <c r="L72" s="59" t="n">
        <v>0</v>
      </c>
      <c r="N72" s="74" t="n">
        <f aca="false">(1+Curves!V58/12)^(-12*F72/360)</f>
        <v>0.724118038422028</v>
      </c>
      <c r="O72" s="59" t="n">
        <f aca="false">$F$4*N72*C72</f>
        <v>0</v>
      </c>
      <c r="P72" s="59" t="n">
        <v>0</v>
      </c>
      <c r="Q72" s="59" t="n">
        <v>0</v>
      </c>
      <c r="S72" s="59" t="n">
        <f aca="false">O72</f>
        <v>0</v>
      </c>
      <c r="T72" s="59" t="n">
        <f aca="false">S72*(Curves!B58+Curves!J58+Curves!K58)</f>
        <v>0</v>
      </c>
      <c r="U72" s="0" t="n">
        <v>0</v>
      </c>
      <c r="V72" s="59" t="n">
        <f aca="false">(O72/N72)/C72</f>
        <v>0</v>
      </c>
      <c r="W72" s="59" t="n">
        <v>0</v>
      </c>
      <c r="Y72" s="59" t="n">
        <v>0</v>
      </c>
      <c r="Z72" s="68" t="n">
        <v>0</v>
      </c>
    </row>
    <row r="73" customFormat="false" ht="12.75" hidden="false" customHeight="false" outlineLevel="0" collapsed="false">
      <c r="B73" s="155" t="n">
        <v>38626</v>
      </c>
      <c r="C73" s="0" t="n">
        <f aca="false">EOMONTH(B73,0)-EOMONTH(B73,-1)</f>
        <v>31</v>
      </c>
      <c r="D73" s="66" t="n">
        <f aca="false">WORKDAY(EOMONTH(B73,0)+24,1,'Financing Assumptions'!E91:E97)</f>
        <v>38681</v>
      </c>
      <c r="E73" s="156" t="str">
        <f aca="false">TEXT(D73,"DDD")</f>
        <v>Fri</v>
      </c>
      <c r="F73" s="41" t="n">
        <f aca="false">D73-$D$14</f>
        <v>1793</v>
      </c>
      <c r="H73" s="0" t="n">
        <f aca="false">(1+Curves!U59/12)^(-12*F73/360)</f>
        <v>0.751847609090296</v>
      </c>
      <c r="I73" s="152" t="n">
        <f aca="false">$F$4*H73*C73</f>
        <v>0</v>
      </c>
      <c r="J73" s="59" t="n">
        <f aca="false">I73*(Curves!B59+Curves!J59+Curves!K59)</f>
        <v>0</v>
      </c>
      <c r="K73" s="68" t="n">
        <v>0</v>
      </c>
      <c r="L73" s="59" t="n">
        <v>0</v>
      </c>
      <c r="N73" s="74" t="n">
        <f aca="false">(1+Curves!V59/12)^(-12*F73/360)</f>
        <v>0.719946571788794</v>
      </c>
      <c r="O73" s="59" t="n">
        <f aca="false">$F$4*N73*C73</f>
        <v>0</v>
      </c>
      <c r="P73" s="59" t="n">
        <v>0</v>
      </c>
      <c r="Q73" s="59" t="n">
        <v>0</v>
      </c>
      <c r="S73" s="59" t="n">
        <f aca="false">O73</f>
        <v>0</v>
      </c>
      <c r="T73" s="59" t="n">
        <f aca="false">S73*(Curves!B59+Curves!J59+Curves!K59)</f>
        <v>0</v>
      </c>
      <c r="U73" s="0" t="n">
        <v>0</v>
      </c>
      <c r="V73" s="59" t="n">
        <f aca="false">(O73/N73)/C73</f>
        <v>0</v>
      </c>
      <c r="W73" s="59" t="n">
        <v>0</v>
      </c>
      <c r="Y73" s="59" t="n">
        <v>0</v>
      </c>
      <c r="Z73" s="68" t="n">
        <v>0</v>
      </c>
    </row>
    <row r="74" customFormat="false" ht="12.75" hidden="false" customHeight="false" outlineLevel="0" collapsed="false">
      <c r="B74" s="155" t="n">
        <v>38657</v>
      </c>
      <c r="C74" s="0" t="n">
        <f aca="false">EOMONTH(B74,0)-EOMONTH(B74,-1)</f>
        <v>30</v>
      </c>
      <c r="D74" s="66" t="n">
        <f aca="false">WORKDAY(EOMONTH(B74,0)+24,1,'Financing Assumptions'!E92:E98)</f>
        <v>38712</v>
      </c>
      <c r="E74" s="156" t="str">
        <f aca="false">TEXT(D74,"DDD")</f>
        <v>Mon</v>
      </c>
      <c r="F74" s="41" t="n">
        <f aca="false">D74-$D$14</f>
        <v>1824</v>
      </c>
      <c r="H74" s="0" t="n">
        <f aca="false">(1+Curves!U60/12)^(-12*F74/360)</f>
        <v>0.748071872465204</v>
      </c>
      <c r="I74" s="152" t="n">
        <f aca="false">$F$4*H74*C74</f>
        <v>0</v>
      </c>
      <c r="J74" s="59" t="n">
        <f aca="false">I74*(Curves!B60+Curves!J60+Curves!K60)</f>
        <v>0</v>
      </c>
      <c r="K74" s="68" t="n">
        <v>0</v>
      </c>
      <c r="L74" s="59" t="n">
        <v>0</v>
      </c>
      <c r="N74" s="74" t="n">
        <f aca="false">(1+Curves!V60/12)^(-12*F74/360)</f>
        <v>0.715794324094208</v>
      </c>
      <c r="O74" s="59" t="n">
        <f aca="false">$F$4*N74*C74</f>
        <v>0</v>
      </c>
      <c r="P74" s="59" t="n">
        <v>0</v>
      </c>
      <c r="Q74" s="59" t="n">
        <v>0</v>
      </c>
      <c r="S74" s="59" t="n">
        <f aca="false">O74</f>
        <v>0</v>
      </c>
      <c r="T74" s="59" t="n">
        <f aca="false">S74*(Curves!B60+Curves!J60+Curves!K60)</f>
        <v>0</v>
      </c>
      <c r="U74" s="0" t="n">
        <v>0</v>
      </c>
      <c r="V74" s="59" t="n">
        <f aca="false">(O74/N74)/C74</f>
        <v>0</v>
      </c>
      <c r="W74" s="59" t="n">
        <v>0</v>
      </c>
      <c r="Y74" s="59" t="n">
        <v>0</v>
      </c>
      <c r="Z74" s="68" t="n">
        <v>0</v>
      </c>
    </row>
  </sheetData>
  <mergeCells count="2">
    <mergeCell ref="H9:L9"/>
    <mergeCell ref="N9:Q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3" activeCellId="0" sqref="I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5.13"/>
    <col collapsed="false" customWidth="true" hidden="false" outlineLevel="0" max="3" min="3" style="0" width="10.99"/>
    <col collapsed="false" customWidth="true" hidden="false" outlineLevel="0" max="4" min="4" style="0" width="14.85"/>
    <col collapsed="false" customWidth="true" hidden="false" outlineLevel="0" max="5" min="5" style="0" width="13.56"/>
    <col collapsed="false" customWidth="true" hidden="false" outlineLevel="0" max="7" min="7" style="0" width="10.71"/>
    <col collapsed="false" customWidth="true" hidden="false" outlineLevel="0" max="8" min="8" style="0" width="15.13"/>
    <col collapsed="false" customWidth="true" hidden="false" outlineLevel="0" max="9" min="9" style="0" width="10.99"/>
    <col collapsed="false" customWidth="true" hidden="false" outlineLevel="0" max="10" min="10" style="0" width="14.85"/>
    <col collapsed="false" customWidth="true" hidden="false" outlineLevel="0" max="11" min="11" style="0" width="13.56"/>
    <col collapsed="false" customWidth="true" hidden="false" outlineLevel="0" max="13" min="13" style="0" width="12.28"/>
  </cols>
  <sheetData>
    <row r="1" customFormat="false" ht="12.75" hidden="false" customHeight="false" outlineLevel="0" collapsed="false">
      <c r="A1" s="1" t="s">
        <v>206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2.75" hidden="false" customHeight="false" outlineLevel="0" collapsed="false">
      <c r="A2" s="1" t="s">
        <v>207</v>
      </c>
      <c r="B2" s="56" t="n">
        <f aca="false">Summary!B5</f>
        <v>36888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customFormat="false" ht="12.75" hidden="false" customHeight="false" outlineLevel="0" collapsed="false">
      <c r="A4" s="158" t="s">
        <v>164</v>
      </c>
      <c r="B4" s="158" t="s">
        <v>202</v>
      </c>
      <c r="C4" s="158" t="s">
        <v>200</v>
      </c>
      <c r="D4" s="158" t="s">
        <v>152</v>
      </c>
      <c r="E4" s="158" t="s">
        <v>204</v>
      </c>
      <c r="F4" s="158"/>
      <c r="G4" s="158"/>
      <c r="H4" s="158" t="s">
        <v>202</v>
      </c>
      <c r="I4" s="158" t="s">
        <v>200</v>
      </c>
      <c r="J4" s="158" t="s">
        <v>152</v>
      </c>
      <c r="K4" s="158" t="s">
        <v>204</v>
      </c>
      <c r="L4" s="158"/>
      <c r="M4" s="158" t="s">
        <v>67</v>
      </c>
    </row>
    <row r="5" customFormat="false" ht="12.75" hidden="false" customHeight="false" outlineLevel="0" collapsed="false">
      <c r="A5" s="69" t="n">
        <f aca="false">Summary!C5</f>
        <v>36982</v>
      </c>
      <c r="B5" s="159" t="n">
        <f aca="false">'ColGulf-LA'!AV10</f>
        <v>0</v>
      </c>
      <c r="C5" s="159" t="n">
        <f aca="false">'TGT ZSL'!AV10</f>
        <v>0</v>
      </c>
      <c r="D5" s="159" t="n">
        <f aca="false">'Transco Z3'!AV10</f>
        <v>-885889.272764356</v>
      </c>
      <c r="E5" s="159" t="n">
        <f aca="false">'Tetco ELA'!AV10</f>
        <v>0</v>
      </c>
      <c r="G5" s="0" t="s">
        <v>208</v>
      </c>
      <c r="H5" s="159" t="n">
        <f aca="false">SUM(B5:B16)</f>
        <v>0</v>
      </c>
      <c r="I5" s="159" t="n">
        <f aca="false">SUM(C5:C16)</f>
        <v>0</v>
      </c>
      <c r="J5" s="159" t="n">
        <f aca="false">SUM(D5:D16)</f>
        <v>59036.9537484075</v>
      </c>
      <c r="K5" s="159" t="n">
        <f aca="false">SUM(E5:E16)</f>
        <v>0</v>
      </c>
      <c r="M5" s="159" t="n">
        <f aca="false">SUM(H5:L5)</f>
        <v>59036.9537484075</v>
      </c>
    </row>
    <row r="6" customFormat="false" ht="12.75" hidden="false" customHeight="false" outlineLevel="0" collapsed="false">
      <c r="A6" s="69" t="n">
        <f aca="false">'Transco Z3'!A11</f>
        <v>37012</v>
      </c>
      <c r="B6" s="159" t="n">
        <f aca="false">'ColGulf-LA'!AV11</f>
        <v>0</v>
      </c>
      <c r="C6" s="159" t="n">
        <f aca="false">'TGT ZSL'!AV11</f>
        <v>0</v>
      </c>
      <c r="D6" s="159" t="n">
        <f aca="false">'Transco Z3'!AV11</f>
        <v>-66874.6727253969</v>
      </c>
      <c r="E6" s="159" t="n">
        <f aca="false">'Tetco ELA'!AV11</f>
        <v>0</v>
      </c>
      <c r="G6" s="0" t="s">
        <v>209</v>
      </c>
      <c r="H6" s="159" t="n">
        <f aca="false">SUM(B17:B28)</f>
        <v>0</v>
      </c>
      <c r="I6" s="159" t="n">
        <f aca="false">SUM(C17:C28)</f>
        <v>0</v>
      </c>
      <c r="J6" s="159" t="n">
        <f aca="false">SUM(D17:D28)</f>
        <v>-24640.2590323387</v>
      </c>
      <c r="K6" s="159" t="n">
        <f aca="false">SUM(E17:E28)</f>
        <v>0</v>
      </c>
      <c r="M6" s="159" t="n">
        <f aca="false">SUM(H6:L6)</f>
        <v>-24640.2590323387</v>
      </c>
    </row>
    <row r="7" customFormat="false" ht="12.75" hidden="false" customHeight="false" outlineLevel="0" collapsed="false">
      <c r="A7" s="69" t="n">
        <f aca="false">'Transco Z3'!A12</f>
        <v>37043</v>
      </c>
      <c r="B7" s="159" t="n">
        <f aca="false">'ColGulf-LA'!AV12</f>
        <v>0</v>
      </c>
      <c r="C7" s="159" t="n">
        <f aca="false">'TGT ZSL'!AV12</f>
        <v>0</v>
      </c>
      <c r="D7" s="159" t="n">
        <f aca="false">'Transco Z3'!AV12</f>
        <v>-1876.20493460486</v>
      </c>
      <c r="E7" s="159" t="n">
        <f aca="false">'Tetco ELA'!AV12</f>
        <v>0</v>
      </c>
      <c r="G7" s="0" t="s">
        <v>210</v>
      </c>
      <c r="H7" s="159" t="n">
        <f aca="false">SUM(B29:B40)</f>
        <v>0</v>
      </c>
      <c r="I7" s="159" t="n">
        <f aca="false">SUM(C29:C40)</f>
        <v>0</v>
      </c>
      <c r="J7" s="159" t="n">
        <f aca="false">SUM(D29:D40)</f>
        <v>53853.7664814307</v>
      </c>
      <c r="K7" s="159" t="n">
        <f aca="false">SUM(E29:E40)</f>
        <v>0</v>
      </c>
      <c r="M7" s="159" t="n">
        <f aca="false">SUM(H7:L7)</f>
        <v>53853.7664814307</v>
      </c>
    </row>
    <row r="8" customFormat="false" ht="12.75" hidden="false" customHeight="false" outlineLevel="0" collapsed="false">
      <c r="A8" s="69" t="n">
        <f aca="false">'Transco Z3'!A13</f>
        <v>37073</v>
      </c>
      <c r="B8" s="159" t="n">
        <f aca="false">'ColGulf-LA'!AV13</f>
        <v>0</v>
      </c>
      <c r="C8" s="159" t="n">
        <f aca="false">'TGT ZSL'!AV13</f>
        <v>0</v>
      </c>
      <c r="D8" s="159" t="n">
        <f aca="false">'Transco Z3'!AV13</f>
        <v>17365.0369453198</v>
      </c>
      <c r="E8" s="159" t="n">
        <f aca="false">'Tetco ELA'!AV13</f>
        <v>0</v>
      </c>
      <c r="G8" s="0" t="s">
        <v>211</v>
      </c>
      <c r="H8" s="159" t="n">
        <f aca="false">SUM(B41:B52)</f>
        <v>0</v>
      </c>
      <c r="I8" s="159" t="n">
        <f aca="false">SUM(C41:C52)</f>
        <v>0</v>
      </c>
      <c r="J8" s="159" t="n">
        <f aca="false">SUM(D41:D52)</f>
        <v>-699332.161651717</v>
      </c>
      <c r="K8" s="159" t="n">
        <f aca="false">SUM(E41:E52)</f>
        <v>0</v>
      </c>
      <c r="M8" s="159" t="n">
        <f aca="false">SUM(H8:L8)</f>
        <v>-699332.161651717</v>
      </c>
    </row>
    <row r="9" customFormat="false" ht="12.75" hidden="false" customHeight="false" outlineLevel="0" collapsed="false">
      <c r="A9" s="69" t="n">
        <f aca="false">'Transco Z3'!A14</f>
        <v>37104</v>
      </c>
      <c r="B9" s="159" t="n">
        <f aca="false">'ColGulf-LA'!AV14</f>
        <v>0</v>
      </c>
      <c r="C9" s="159" t="n">
        <f aca="false">'TGT ZSL'!AV14</f>
        <v>0</v>
      </c>
      <c r="D9" s="159" t="n">
        <f aca="false">'Transco Z3'!AV14</f>
        <v>42889.4764097079</v>
      </c>
      <c r="E9" s="159" t="n">
        <f aca="false">'Tetco ELA'!AV14</f>
        <v>0</v>
      </c>
      <c r="G9" s="0" t="s">
        <v>212</v>
      </c>
      <c r="H9" s="159" t="n">
        <f aca="false">SUM(B53:B64)</f>
        <v>0</v>
      </c>
      <c r="I9" s="159" t="n">
        <f aca="false">SUM(C53:C64)</f>
        <v>0</v>
      </c>
      <c r="J9" s="159" t="n">
        <f aca="false">SUM(D53:D64)</f>
        <v>741582.300484349</v>
      </c>
      <c r="K9" s="159" t="n">
        <f aca="false">SUM(E53:E64)</f>
        <v>0</v>
      </c>
      <c r="M9" s="159" t="n">
        <f aca="false">SUM(H9:L9)</f>
        <v>741582.300484349</v>
      </c>
    </row>
    <row r="10" customFormat="false" ht="12.75" hidden="false" customHeight="false" outlineLevel="0" collapsed="false">
      <c r="A10" s="69" t="n">
        <f aca="false">'Transco Z3'!A15</f>
        <v>37135</v>
      </c>
      <c r="B10" s="159" t="n">
        <f aca="false">'ColGulf-LA'!AV15</f>
        <v>0</v>
      </c>
      <c r="C10" s="159" t="n">
        <f aca="false">'TGT ZSL'!AV15</f>
        <v>0</v>
      </c>
      <c r="D10" s="159" t="n">
        <f aca="false">'Transco Z3'!AV15</f>
        <v>78323.1477497538</v>
      </c>
      <c r="E10" s="159" t="n">
        <f aca="false">'Tetco ELA'!AV15</f>
        <v>0</v>
      </c>
    </row>
    <row r="11" customFormat="false" ht="12.75" hidden="false" customHeight="false" outlineLevel="0" collapsed="false">
      <c r="A11" s="69" t="n">
        <f aca="false">'Transco Z3'!A16</f>
        <v>37165</v>
      </c>
      <c r="B11" s="159" t="n">
        <f aca="false">'ColGulf-LA'!AV16</f>
        <v>0</v>
      </c>
      <c r="C11" s="159" t="n">
        <f aca="false">'TGT ZSL'!AV16</f>
        <v>0</v>
      </c>
      <c r="D11" s="159" t="n">
        <f aca="false">'Transco Z3'!AV16</f>
        <v>105931.295582306</v>
      </c>
      <c r="E11" s="159" t="n">
        <f aca="false">'Tetco ELA'!AV16</f>
        <v>0</v>
      </c>
      <c r="H11" s="159" t="n">
        <f aca="false">SUM(H5:H10)</f>
        <v>0</v>
      </c>
      <c r="I11" s="159" t="n">
        <f aca="false">SUM(I5:I10)</f>
        <v>0</v>
      </c>
      <c r="J11" s="159" t="n">
        <f aca="false">SUM(J5:J10)</f>
        <v>130500.600030132</v>
      </c>
      <c r="K11" s="159" t="n">
        <f aca="false">SUM(K5:K10)</f>
        <v>0</v>
      </c>
      <c r="M11" s="159" t="n">
        <f aca="false">SUM(H11:L11)</f>
        <v>130500.600030132</v>
      </c>
    </row>
    <row r="12" customFormat="false" ht="12.75" hidden="false" customHeight="false" outlineLevel="0" collapsed="false">
      <c r="A12" s="69" t="n">
        <f aca="false">'Transco Z3'!A17</f>
        <v>37196</v>
      </c>
      <c r="B12" s="159" t="n">
        <f aca="false">'ColGulf-LA'!AV17</f>
        <v>0</v>
      </c>
      <c r="C12" s="159" t="n">
        <f aca="false">'TGT ZSL'!AV17</f>
        <v>0</v>
      </c>
      <c r="D12" s="159" t="n">
        <f aca="false">'Transco Z3'!AV17</f>
        <v>16501.0578441378</v>
      </c>
      <c r="E12" s="159" t="n">
        <f aca="false">'Tetco ELA'!AV17</f>
        <v>0</v>
      </c>
    </row>
    <row r="13" customFormat="false" ht="12.75" hidden="false" customHeight="false" outlineLevel="0" collapsed="false">
      <c r="A13" s="69" t="n">
        <f aca="false">'Transco Z3'!A18</f>
        <v>37226</v>
      </c>
      <c r="B13" s="159" t="n">
        <f aca="false">'ColGulf-LA'!AV18</f>
        <v>0</v>
      </c>
      <c r="C13" s="159" t="n">
        <f aca="false">'TGT ZSL'!AV18</f>
        <v>0</v>
      </c>
      <c r="D13" s="159" t="n">
        <f aca="false">'Transco Z3'!AV18</f>
        <v>-77320.5807108945</v>
      </c>
      <c r="E13" s="159" t="n">
        <f aca="false">'Tetco ELA'!AV18</f>
        <v>0</v>
      </c>
    </row>
    <row r="14" customFormat="false" ht="12.75" hidden="false" customHeight="false" outlineLevel="0" collapsed="false">
      <c r="A14" s="69" t="n">
        <f aca="false">'Transco Z3'!A19</f>
        <v>37257</v>
      </c>
      <c r="B14" s="159" t="n">
        <f aca="false">'ColGulf-LA'!AV19</f>
        <v>0</v>
      </c>
      <c r="C14" s="159" t="n">
        <f aca="false">'TGT ZSL'!AV19</f>
        <v>0</v>
      </c>
      <c r="D14" s="159" t="n">
        <f aca="false">'Transco Z3'!AV19</f>
        <v>-64443.7855653602</v>
      </c>
      <c r="E14" s="159" t="n">
        <f aca="false">'Tetco ELA'!AV19</f>
        <v>0</v>
      </c>
    </row>
    <row r="15" customFormat="false" ht="12.75" hidden="false" customHeight="false" outlineLevel="0" collapsed="false">
      <c r="A15" s="69" t="n">
        <f aca="false">'Transco Z3'!A20</f>
        <v>37288</v>
      </c>
      <c r="B15" s="159" t="n">
        <f aca="false">'ColGulf-LA'!AV20</f>
        <v>0</v>
      </c>
      <c r="C15" s="159" t="n">
        <f aca="false">'TGT ZSL'!AV20</f>
        <v>0</v>
      </c>
      <c r="D15" s="159" t="n">
        <f aca="false">'Transco Z3'!AV20</f>
        <v>229034.625190937</v>
      </c>
      <c r="E15" s="159" t="n">
        <f aca="false">'Tetco ELA'!AV20</f>
        <v>0</v>
      </c>
    </row>
    <row r="16" customFormat="false" ht="12.75" hidden="false" customHeight="false" outlineLevel="0" collapsed="false">
      <c r="A16" s="69" t="n">
        <f aca="false">'Transco Z3'!A21</f>
        <v>37316</v>
      </c>
      <c r="B16" s="159" t="n">
        <f aca="false">'ColGulf-LA'!AV21</f>
        <v>0</v>
      </c>
      <c r="C16" s="159" t="n">
        <f aca="false">'TGT ZSL'!AV21</f>
        <v>0</v>
      </c>
      <c r="D16" s="159" t="n">
        <f aca="false">'Transco Z3'!AV21</f>
        <v>665396.830726859</v>
      </c>
      <c r="E16" s="159" t="n">
        <f aca="false">'Tetco ELA'!AV21</f>
        <v>0</v>
      </c>
    </row>
    <row r="17" customFormat="false" ht="12.75" hidden="false" customHeight="false" outlineLevel="0" collapsed="false">
      <c r="A17" s="69" t="n">
        <f aca="false">'Transco Z3'!A22</f>
        <v>37347</v>
      </c>
      <c r="B17" s="159" t="n">
        <f aca="false">'ColGulf-LA'!AV22</f>
        <v>0</v>
      </c>
      <c r="C17" s="159" t="n">
        <f aca="false">'TGT ZSL'!AV22</f>
        <v>0</v>
      </c>
      <c r="D17" s="159" t="n">
        <f aca="false">'Transco Z3'!AV22</f>
        <v>-140909.898120253</v>
      </c>
      <c r="E17" s="159" t="n">
        <f aca="false">'Tetco ELA'!AV22</f>
        <v>0</v>
      </c>
    </row>
    <row r="18" customFormat="false" ht="12.75" hidden="false" customHeight="false" outlineLevel="0" collapsed="false">
      <c r="A18" s="69" t="n">
        <f aca="false">'Transco Z3'!A23</f>
        <v>37377</v>
      </c>
      <c r="B18" s="159" t="n">
        <f aca="false">'ColGulf-LA'!AV23</f>
        <v>0</v>
      </c>
      <c r="C18" s="159" t="n">
        <f aca="false">'TGT ZSL'!AV23</f>
        <v>0</v>
      </c>
      <c r="D18" s="159" t="n">
        <f aca="false">'Transco Z3'!AV23</f>
        <v>16959.7958083675</v>
      </c>
      <c r="E18" s="159" t="n">
        <f aca="false">'Tetco ELA'!AV23</f>
        <v>0</v>
      </c>
    </row>
    <row r="19" customFormat="false" ht="12.75" hidden="false" customHeight="false" outlineLevel="0" collapsed="false">
      <c r="A19" s="69" t="n">
        <f aca="false">'Transco Z3'!A24</f>
        <v>37408</v>
      </c>
      <c r="B19" s="159" t="n">
        <f aca="false">'ColGulf-LA'!AV24</f>
        <v>0</v>
      </c>
      <c r="C19" s="159" t="n">
        <f aca="false">'TGT ZSL'!AV24</f>
        <v>0</v>
      </c>
      <c r="D19" s="159" t="n">
        <f aca="false">'Transco Z3'!AV24</f>
        <v>46044.3779494197</v>
      </c>
      <c r="E19" s="159" t="n">
        <f aca="false">'Tetco ELA'!AV24</f>
        <v>0</v>
      </c>
    </row>
    <row r="20" customFormat="false" ht="12.75" hidden="false" customHeight="false" outlineLevel="0" collapsed="false">
      <c r="A20" s="69" t="n">
        <f aca="false">'Transco Z3'!A25</f>
        <v>37438</v>
      </c>
      <c r="B20" s="159" t="n">
        <f aca="false">'ColGulf-LA'!AV25</f>
        <v>0</v>
      </c>
      <c r="C20" s="159" t="n">
        <f aca="false">'TGT ZSL'!AV25</f>
        <v>0</v>
      </c>
      <c r="D20" s="159" t="n">
        <f aca="false">'Transco Z3'!AV25</f>
        <v>47353.0108405703</v>
      </c>
      <c r="E20" s="159" t="n">
        <f aca="false">'Tetco ELA'!AV25</f>
        <v>0</v>
      </c>
    </row>
    <row r="21" customFormat="false" ht="12.75" hidden="false" customHeight="false" outlineLevel="0" collapsed="false">
      <c r="A21" s="69" t="n">
        <f aca="false">'Transco Z3'!A26</f>
        <v>37469</v>
      </c>
      <c r="B21" s="159" t="n">
        <f aca="false">'ColGulf-LA'!AV26</f>
        <v>0</v>
      </c>
      <c r="C21" s="159" t="n">
        <f aca="false">'TGT ZSL'!AV26</f>
        <v>0</v>
      </c>
      <c r="D21" s="159" t="n">
        <f aca="false">'Transco Z3'!AV26</f>
        <v>47128.4995883875</v>
      </c>
      <c r="E21" s="159" t="n">
        <f aca="false">'Tetco ELA'!AV26</f>
        <v>0</v>
      </c>
    </row>
    <row r="22" customFormat="false" ht="12.75" hidden="false" customHeight="false" outlineLevel="0" collapsed="false">
      <c r="A22" s="69" t="n">
        <f aca="false">'Transco Z3'!A27</f>
        <v>37500</v>
      </c>
      <c r="B22" s="159" t="n">
        <f aca="false">'ColGulf-LA'!AV27</f>
        <v>0</v>
      </c>
      <c r="C22" s="159" t="n">
        <f aca="false">'TGT ZSL'!AV27</f>
        <v>0</v>
      </c>
      <c r="D22" s="159" t="n">
        <f aca="false">'Transco Z3'!AV27</f>
        <v>52720.308874569</v>
      </c>
      <c r="E22" s="159" t="n">
        <f aca="false">'Tetco ELA'!AV27</f>
        <v>0</v>
      </c>
    </row>
    <row r="23" customFormat="false" ht="12.75" hidden="false" customHeight="false" outlineLevel="0" collapsed="false">
      <c r="A23" s="69" t="n">
        <f aca="false">'Transco Z3'!A28</f>
        <v>37530</v>
      </c>
      <c r="B23" s="159" t="n">
        <f aca="false">'ColGulf-LA'!AV28</f>
        <v>0</v>
      </c>
      <c r="C23" s="159" t="n">
        <f aca="false">'TGT ZSL'!AV28</f>
        <v>0</v>
      </c>
      <c r="D23" s="159" t="n">
        <f aca="false">'Transco Z3'!AV28</f>
        <v>69276.2125205868</v>
      </c>
      <c r="E23" s="159" t="n">
        <f aca="false">'Tetco ELA'!AV28</f>
        <v>0</v>
      </c>
    </row>
    <row r="24" customFormat="false" ht="12.75" hidden="false" customHeight="false" outlineLevel="0" collapsed="false">
      <c r="A24" s="69" t="n">
        <f aca="false">'Transco Z3'!A29</f>
        <v>37561</v>
      </c>
      <c r="B24" s="159" t="n">
        <f aca="false">'ColGulf-LA'!AV29</f>
        <v>0</v>
      </c>
      <c r="C24" s="159" t="n">
        <f aca="false">'TGT ZSL'!AV29</f>
        <v>0</v>
      </c>
      <c r="D24" s="159" t="n">
        <f aca="false">'Transco Z3'!AV29</f>
        <v>-47871.8058276613</v>
      </c>
      <c r="E24" s="159" t="n">
        <f aca="false">'Tetco ELA'!AV29</f>
        <v>0</v>
      </c>
    </row>
    <row r="25" customFormat="false" ht="12.75" hidden="false" customHeight="false" outlineLevel="0" collapsed="false">
      <c r="A25" s="69" t="n">
        <f aca="false">'Transco Z3'!A30</f>
        <v>37591</v>
      </c>
      <c r="B25" s="159" t="n">
        <f aca="false">'ColGulf-LA'!AV30</f>
        <v>0</v>
      </c>
      <c r="C25" s="159" t="n">
        <f aca="false">'TGT ZSL'!AV30</f>
        <v>0</v>
      </c>
      <c r="D25" s="159" t="n">
        <f aca="false">'Transco Z3'!AV30</f>
        <v>-187962.364341527</v>
      </c>
      <c r="E25" s="159" t="n">
        <f aca="false">'Tetco ELA'!AV30</f>
        <v>0</v>
      </c>
    </row>
    <row r="26" customFormat="false" ht="12.75" hidden="false" customHeight="false" outlineLevel="0" collapsed="false">
      <c r="A26" s="69" t="n">
        <f aca="false">'Transco Z3'!A31</f>
        <v>37622</v>
      </c>
      <c r="B26" s="159" t="n">
        <f aca="false">'ColGulf-LA'!AV31</f>
        <v>0</v>
      </c>
      <c r="C26" s="159" t="n">
        <f aca="false">'TGT ZSL'!AV31</f>
        <v>0</v>
      </c>
      <c r="D26" s="159" t="n">
        <f aca="false">'Transco Z3'!AV31</f>
        <v>-227122.426652846</v>
      </c>
      <c r="E26" s="159" t="n">
        <f aca="false">'Tetco ELA'!AV31</f>
        <v>0</v>
      </c>
    </row>
    <row r="27" customFormat="false" ht="12.75" hidden="false" customHeight="false" outlineLevel="0" collapsed="false">
      <c r="A27" s="69" t="n">
        <f aca="false">'Transco Z3'!A32</f>
        <v>37653</v>
      </c>
      <c r="B27" s="159" t="n">
        <f aca="false">'ColGulf-LA'!AV32</f>
        <v>0</v>
      </c>
      <c r="C27" s="159" t="n">
        <f aca="false">'TGT ZSL'!AV32</f>
        <v>0</v>
      </c>
      <c r="D27" s="159" t="n">
        <f aca="false">'Transco Z3'!AV32</f>
        <v>2669.7351149556</v>
      </c>
      <c r="E27" s="159" t="n">
        <f aca="false">'Tetco ELA'!AV32</f>
        <v>0</v>
      </c>
    </row>
    <row r="28" customFormat="false" ht="12.75" hidden="false" customHeight="false" outlineLevel="0" collapsed="false">
      <c r="A28" s="69" t="n">
        <f aca="false">'Transco Z3'!A33</f>
        <v>37681</v>
      </c>
      <c r="B28" s="159" t="n">
        <f aca="false">'ColGulf-LA'!AV33</f>
        <v>0</v>
      </c>
      <c r="C28" s="159" t="n">
        <f aca="false">'TGT ZSL'!AV33</f>
        <v>0</v>
      </c>
      <c r="D28" s="159" t="n">
        <f aca="false">'Transco Z3'!AV33</f>
        <v>297074.295213092</v>
      </c>
      <c r="E28" s="159" t="n">
        <f aca="false">'Tetco ELA'!AV33</f>
        <v>0</v>
      </c>
    </row>
    <row r="29" customFormat="false" ht="12.75" hidden="false" customHeight="false" outlineLevel="0" collapsed="false">
      <c r="A29" s="69" t="n">
        <f aca="false">'Transco Z3'!A34</f>
        <v>37712</v>
      </c>
      <c r="B29" s="159" t="n">
        <f aca="false">'ColGulf-LA'!AV34</f>
        <v>0</v>
      </c>
      <c r="C29" s="159" t="n">
        <f aca="false">'TGT ZSL'!AV34</f>
        <v>0</v>
      </c>
      <c r="D29" s="159" t="n">
        <f aca="false">'Transco Z3'!AV34</f>
        <v>110314.80342177</v>
      </c>
      <c r="E29" s="159" t="n">
        <f aca="false">'Tetco ELA'!AV34</f>
        <v>0</v>
      </c>
    </row>
    <row r="30" customFormat="false" ht="12.75" hidden="false" customHeight="false" outlineLevel="0" collapsed="false">
      <c r="A30" s="69" t="n">
        <f aca="false">'Transco Z3'!A35</f>
        <v>37742</v>
      </c>
      <c r="B30" s="159" t="n">
        <f aca="false">'ColGulf-LA'!AV35</f>
        <v>0</v>
      </c>
      <c r="C30" s="159" t="n">
        <f aca="false">'TGT ZSL'!AV35</f>
        <v>0</v>
      </c>
      <c r="D30" s="159" t="n">
        <f aca="false">'Transco Z3'!AV35</f>
        <v>192985.797458011</v>
      </c>
      <c r="E30" s="159" t="n">
        <f aca="false">'Tetco ELA'!AV35</f>
        <v>0</v>
      </c>
    </row>
    <row r="31" customFormat="false" ht="12.75" hidden="false" customHeight="false" outlineLevel="0" collapsed="false">
      <c r="A31" s="69" t="n">
        <f aca="false">'Transco Z3'!A36</f>
        <v>37773</v>
      </c>
      <c r="B31" s="159" t="n">
        <f aca="false">'ColGulf-LA'!AV36</f>
        <v>0</v>
      </c>
      <c r="C31" s="159" t="n">
        <f aca="false">'TGT ZSL'!AV36</f>
        <v>0</v>
      </c>
      <c r="D31" s="159" t="n">
        <f aca="false">'Transco Z3'!AV36</f>
        <v>170554.451433256</v>
      </c>
      <c r="E31" s="159" t="n">
        <f aca="false">'Tetco ELA'!AV36</f>
        <v>0</v>
      </c>
    </row>
    <row r="32" customFormat="false" ht="12.75" hidden="false" customHeight="false" outlineLevel="0" collapsed="false">
      <c r="A32" s="69" t="n">
        <f aca="false">'Transco Z3'!A37</f>
        <v>37803</v>
      </c>
      <c r="B32" s="159" t="n">
        <f aca="false">'ColGulf-LA'!AV37</f>
        <v>0</v>
      </c>
      <c r="C32" s="159" t="n">
        <f aca="false">'TGT ZSL'!AV37</f>
        <v>0</v>
      </c>
      <c r="D32" s="159" t="n">
        <f aca="false">'Transco Z3'!AV37</f>
        <v>151741.070112612</v>
      </c>
      <c r="E32" s="159" t="n">
        <f aca="false">'Tetco ELA'!AV37</f>
        <v>0</v>
      </c>
    </row>
    <row r="33" customFormat="false" ht="12.75" hidden="false" customHeight="false" outlineLevel="0" collapsed="false">
      <c r="A33" s="69" t="n">
        <f aca="false">'Transco Z3'!A38</f>
        <v>37834</v>
      </c>
      <c r="B33" s="159" t="n">
        <f aca="false">'ColGulf-LA'!AV38</f>
        <v>0</v>
      </c>
      <c r="C33" s="159" t="n">
        <f aca="false">'TGT ZSL'!AV38</f>
        <v>0</v>
      </c>
      <c r="D33" s="159" t="n">
        <f aca="false">'Transco Z3'!AV38</f>
        <v>158837.77416909</v>
      </c>
      <c r="E33" s="159" t="n">
        <f aca="false">'Tetco ELA'!AV38</f>
        <v>0</v>
      </c>
    </row>
    <row r="34" customFormat="false" ht="12.75" hidden="false" customHeight="false" outlineLevel="0" collapsed="false">
      <c r="A34" s="69" t="n">
        <f aca="false">'Transco Z3'!A39</f>
        <v>37865</v>
      </c>
      <c r="B34" s="159" t="n">
        <f aca="false">'ColGulf-LA'!AV39</f>
        <v>0</v>
      </c>
      <c r="C34" s="159" t="n">
        <f aca="false">'TGT ZSL'!AV39</f>
        <v>0</v>
      </c>
      <c r="D34" s="159" t="n">
        <f aca="false">'Transco Z3'!AV39</f>
        <v>134861.465305296</v>
      </c>
      <c r="E34" s="159" t="n">
        <f aca="false">'Tetco ELA'!AV39</f>
        <v>0</v>
      </c>
    </row>
    <row r="35" customFormat="false" ht="12.75" hidden="false" customHeight="false" outlineLevel="0" collapsed="false">
      <c r="A35" s="69" t="n">
        <f aca="false">'Transco Z3'!A40</f>
        <v>37895</v>
      </c>
      <c r="B35" s="159" t="n">
        <f aca="false">'ColGulf-LA'!AV40</f>
        <v>0</v>
      </c>
      <c r="C35" s="159" t="n">
        <f aca="false">'TGT ZSL'!AV40</f>
        <v>0</v>
      </c>
      <c r="D35" s="159" t="n">
        <f aca="false">'Transco Z3'!AV40</f>
        <v>110719.770544065</v>
      </c>
      <c r="E35" s="159" t="n">
        <f aca="false">'Tetco ELA'!AV40</f>
        <v>0</v>
      </c>
    </row>
    <row r="36" customFormat="false" ht="12.75" hidden="false" customHeight="false" outlineLevel="0" collapsed="false">
      <c r="A36" s="69" t="n">
        <f aca="false">'Transco Z3'!A41</f>
        <v>37926</v>
      </c>
      <c r="B36" s="159" t="n">
        <f aca="false">'ColGulf-LA'!AV41</f>
        <v>0</v>
      </c>
      <c r="C36" s="159" t="n">
        <f aca="false">'TGT ZSL'!AV41</f>
        <v>0</v>
      </c>
      <c r="D36" s="159" t="n">
        <f aca="false">'Transco Z3'!AV41</f>
        <v>-78819.257758037</v>
      </c>
      <c r="E36" s="159" t="n">
        <f aca="false">'Tetco ELA'!AV41</f>
        <v>0</v>
      </c>
    </row>
    <row r="37" customFormat="false" ht="12.75" hidden="false" customHeight="false" outlineLevel="0" collapsed="false">
      <c r="A37" s="69" t="n">
        <f aca="false">'Transco Z3'!A42</f>
        <v>37956</v>
      </c>
      <c r="B37" s="159" t="n">
        <f aca="false">'ColGulf-LA'!AV42</f>
        <v>0</v>
      </c>
      <c r="C37" s="159" t="n">
        <f aca="false">'TGT ZSL'!AV42</f>
        <v>0</v>
      </c>
      <c r="D37" s="159" t="n">
        <f aca="false">'Transco Z3'!AV42</f>
        <v>-273270.627092905</v>
      </c>
      <c r="E37" s="159" t="n">
        <f aca="false">'Tetco ELA'!AV42</f>
        <v>0</v>
      </c>
    </row>
    <row r="38" customFormat="false" ht="12.75" hidden="false" customHeight="false" outlineLevel="0" collapsed="false">
      <c r="A38" s="69" t="n">
        <f aca="false">'Transco Z3'!A43</f>
        <v>37987</v>
      </c>
      <c r="B38" s="159" t="n">
        <f aca="false">'ColGulf-LA'!AV43</f>
        <v>0</v>
      </c>
      <c r="C38" s="159" t="n">
        <f aca="false">'TGT ZSL'!AV43</f>
        <v>0</v>
      </c>
      <c r="D38" s="159" t="n">
        <f aca="false">'Transco Z3'!AV43</f>
        <v>-401969.38977078</v>
      </c>
      <c r="E38" s="159" t="n">
        <f aca="false">'Tetco ELA'!AV43</f>
        <v>0</v>
      </c>
    </row>
    <row r="39" customFormat="false" ht="12.75" hidden="false" customHeight="false" outlineLevel="0" collapsed="false">
      <c r="A39" s="69" t="n">
        <f aca="false">'Transco Z3'!A44</f>
        <v>38018</v>
      </c>
      <c r="B39" s="159" t="n">
        <f aca="false">'ColGulf-LA'!AV44</f>
        <v>0</v>
      </c>
      <c r="C39" s="159" t="n">
        <f aca="false">'TGT ZSL'!AV44</f>
        <v>0</v>
      </c>
      <c r="D39" s="159" t="n">
        <f aca="false">'Transco Z3'!AV44</f>
        <v>-210433.401778434</v>
      </c>
      <c r="E39" s="159" t="n">
        <f aca="false">'Tetco ELA'!AV44</f>
        <v>0</v>
      </c>
    </row>
    <row r="40" customFormat="false" ht="12.75" hidden="false" customHeight="false" outlineLevel="0" collapsed="false">
      <c r="A40" s="69" t="n">
        <f aca="false">'Transco Z3'!A45</f>
        <v>38047</v>
      </c>
      <c r="B40" s="159" t="n">
        <f aca="false">'ColGulf-LA'!AV45</f>
        <v>0</v>
      </c>
      <c r="C40" s="159" t="n">
        <f aca="false">'TGT ZSL'!AV45</f>
        <v>0</v>
      </c>
      <c r="D40" s="159" t="n">
        <f aca="false">'Transco Z3'!AV45</f>
        <v>-11668.6895625138</v>
      </c>
      <c r="E40" s="159" t="n">
        <f aca="false">'Tetco ELA'!AV45</f>
        <v>0</v>
      </c>
    </row>
    <row r="41" customFormat="false" ht="12.75" hidden="false" customHeight="false" outlineLevel="0" collapsed="false">
      <c r="A41" s="69" t="n">
        <f aca="false">'Transco Z3'!A46</f>
        <v>38078</v>
      </c>
      <c r="B41" s="159" t="n">
        <f aca="false">'ColGulf-LA'!AV46</f>
        <v>0</v>
      </c>
      <c r="C41" s="159" t="n">
        <f aca="false">'TGT ZSL'!AV46</f>
        <v>0</v>
      </c>
      <c r="D41" s="159" t="n">
        <f aca="false">'Transco Z3'!AV46</f>
        <v>108702.264521555</v>
      </c>
      <c r="E41" s="159" t="n">
        <f aca="false">'Tetco ELA'!AV46</f>
        <v>0</v>
      </c>
    </row>
    <row r="42" customFormat="false" ht="12.75" hidden="false" customHeight="false" outlineLevel="0" collapsed="false">
      <c r="A42" s="69" t="n">
        <f aca="false">'Transco Z3'!A47</f>
        <v>38108</v>
      </c>
      <c r="B42" s="159" t="n">
        <f aca="false">'ColGulf-LA'!AV47</f>
        <v>0</v>
      </c>
      <c r="C42" s="159" t="n">
        <f aca="false">'TGT ZSL'!AV47</f>
        <v>0</v>
      </c>
      <c r="D42" s="159" t="n">
        <f aca="false">'Transco Z3'!AV47</f>
        <v>181238.694940452</v>
      </c>
      <c r="E42" s="159" t="n">
        <f aca="false">'Tetco ELA'!AV47</f>
        <v>0</v>
      </c>
    </row>
    <row r="43" customFormat="false" ht="12.75" hidden="false" customHeight="false" outlineLevel="0" collapsed="false">
      <c r="A43" s="69" t="n">
        <f aca="false">'Transco Z3'!A48</f>
        <v>38139</v>
      </c>
      <c r="B43" s="159" t="n">
        <f aca="false">'ColGulf-LA'!AV48</f>
        <v>0</v>
      </c>
      <c r="C43" s="159" t="n">
        <f aca="false">'TGT ZSL'!AV48</f>
        <v>0</v>
      </c>
      <c r="D43" s="159" t="n">
        <f aca="false">'Transco Z3'!AV48</f>
        <v>144813.515483346</v>
      </c>
      <c r="E43" s="159" t="n">
        <f aca="false">'Tetco ELA'!AV48</f>
        <v>0</v>
      </c>
    </row>
    <row r="44" customFormat="false" ht="12.75" hidden="false" customHeight="false" outlineLevel="0" collapsed="false">
      <c r="A44" s="69" t="n">
        <f aca="false">'Transco Z3'!A49</f>
        <v>38169</v>
      </c>
      <c r="B44" s="159" t="n">
        <f aca="false">'ColGulf-LA'!AV49</f>
        <v>0</v>
      </c>
      <c r="C44" s="159" t="n">
        <f aca="false">'TGT ZSL'!AV49</f>
        <v>0</v>
      </c>
      <c r="D44" s="159" t="n">
        <f aca="false">'Transco Z3'!AV49</f>
        <v>125965.341361058</v>
      </c>
      <c r="E44" s="159" t="n">
        <f aca="false">'Tetco ELA'!AV49</f>
        <v>0</v>
      </c>
    </row>
    <row r="45" customFormat="false" ht="12.75" hidden="false" customHeight="false" outlineLevel="0" collapsed="false">
      <c r="A45" s="69" t="n">
        <f aca="false">'Transco Z3'!A50</f>
        <v>38200</v>
      </c>
      <c r="B45" s="159" t="n">
        <f aca="false">'ColGulf-LA'!AV50</f>
        <v>0</v>
      </c>
      <c r="C45" s="159" t="n">
        <f aca="false">'TGT ZSL'!AV50</f>
        <v>0</v>
      </c>
      <c r="D45" s="159" t="n">
        <f aca="false">'Transco Z3'!AV50</f>
        <v>110126.997876999</v>
      </c>
      <c r="E45" s="159" t="n">
        <f aca="false">'Tetco ELA'!AV50</f>
        <v>0</v>
      </c>
    </row>
    <row r="46" customFormat="false" ht="12.75" hidden="false" customHeight="false" outlineLevel="0" collapsed="false">
      <c r="A46" s="69" t="n">
        <f aca="false">'Transco Z3'!A51</f>
        <v>38231</v>
      </c>
      <c r="B46" s="159" t="n">
        <f aca="false">'ColGulf-LA'!AV51</f>
        <v>0</v>
      </c>
      <c r="C46" s="159" t="n">
        <f aca="false">'TGT ZSL'!AV51</f>
        <v>0</v>
      </c>
      <c r="D46" s="159" t="n">
        <f aca="false">'Transco Z3'!AV51</f>
        <v>81156.2983752127</v>
      </c>
      <c r="E46" s="159" t="n">
        <f aca="false">'Tetco ELA'!AV51</f>
        <v>0</v>
      </c>
    </row>
    <row r="47" customFormat="false" ht="12.75" hidden="false" customHeight="false" outlineLevel="0" collapsed="false">
      <c r="A47" s="69" t="n">
        <f aca="false">'Transco Z3'!A52</f>
        <v>38261</v>
      </c>
      <c r="B47" s="159" t="n">
        <f aca="false">'ColGulf-LA'!AV52</f>
        <v>0</v>
      </c>
      <c r="C47" s="159" t="n">
        <f aca="false">'TGT ZSL'!AV52</f>
        <v>0</v>
      </c>
      <c r="D47" s="159" t="n">
        <f aca="false">'Transco Z3'!AV52</f>
        <v>56331.1118040019</v>
      </c>
      <c r="E47" s="159" t="n">
        <f aca="false">'Tetco ELA'!AV52</f>
        <v>0</v>
      </c>
    </row>
    <row r="48" customFormat="false" ht="12.75" hidden="false" customHeight="false" outlineLevel="0" collapsed="false">
      <c r="A48" s="69" t="n">
        <f aca="false">'Transco Z3'!A53</f>
        <v>38292</v>
      </c>
      <c r="B48" s="159" t="n">
        <f aca="false">'ColGulf-LA'!AV53</f>
        <v>0</v>
      </c>
      <c r="C48" s="159" t="n">
        <f aca="false">'TGT ZSL'!AV53</f>
        <v>0</v>
      </c>
      <c r="D48" s="159" t="n">
        <f aca="false">'Transco Z3'!AV53</f>
        <v>-140121.719762019</v>
      </c>
      <c r="E48" s="159" t="n">
        <f aca="false">'Tetco ELA'!AV53</f>
        <v>0</v>
      </c>
    </row>
    <row r="49" customFormat="false" ht="12.75" hidden="false" customHeight="false" outlineLevel="0" collapsed="false">
      <c r="A49" s="69" t="n">
        <f aca="false">'Transco Z3'!A54</f>
        <v>38322</v>
      </c>
      <c r="B49" s="159" t="n">
        <f aca="false">'ColGulf-LA'!AV54</f>
        <v>0</v>
      </c>
      <c r="C49" s="159" t="n">
        <f aca="false">'TGT ZSL'!AV54</f>
        <v>0</v>
      </c>
      <c r="D49" s="159" t="n">
        <f aca="false">'Transco Z3'!AV54</f>
        <v>-345392.611231165</v>
      </c>
      <c r="E49" s="159" t="n">
        <f aca="false">'Tetco ELA'!AV54</f>
        <v>0</v>
      </c>
    </row>
    <row r="50" customFormat="false" ht="12.75" hidden="false" customHeight="false" outlineLevel="0" collapsed="false">
      <c r="A50" s="69" t="n">
        <f aca="false">'Transco Z3'!A55</f>
        <v>38353</v>
      </c>
      <c r="B50" s="159" t="n">
        <f aca="false">'ColGulf-LA'!AV55</f>
        <v>0</v>
      </c>
      <c r="C50" s="159" t="n">
        <f aca="false">'TGT ZSL'!AV55</f>
        <v>0</v>
      </c>
      <c r="D50" s="159" t="n">
        <f aca="false">'Transco Z3'!AV55</f>
        <v>-536530.203801398</v>
      </c>
      <c r="E50" s="159" t="n">
        <f aca="false">'Tetco ELA'!AV55</f>
        <v>0</v>
      </c>
    </row>
    <row r="51" customFormat="false" ht="12.75" hidden="false" customHeight="false" outlineLevel="0" collapsed="false">
      <c r="A51" s="69" t="n">
        <f aca="false">'Transco Z3'!A56</f>
        <v>38384</v>
      </c>
      <c r="B51" s="159" t="n">
        <f aca="false">'ColGulf-LA'!AV56</f>
        <v>0</v>
      </c>
      <c r="C51" s="159" t="n">
        <f aca="false">'TGT ZSL'!AV56</f>
        <v>0</v>
      </c>
      <c r="D51" s="159" t="n">
        <f aca="false">'Transco Z3'!AV56</f>
        <v>-328970.904439359</v>
      </c>
      <c r="E51" s="159" t="n">
        <f aca="false">'Tetco ELA'!AV56</f>
        <v>0</v>
      </c>
    </row>
    <row r="52" customFormat="false" ht="12.75" hidden="false" customHeight="false" outlineLevel="0" collapsed="false">
      <c r="A52" s="69" t="n">
        <f aca="false">'Transco Z3'!A57</f>
        <v>38412</v>
      </c>
      <c r="B52" s="159" t="n">
        <f aca="false">'ColGulf-LA'!AV57</f>
        <v>0</v>
      </c>
      <c r="C52" s="159" t="n">
        <f aca="false">'TGT ZSL'!AV57</f>
        <v>0</v>
      </c>
      <c r="D52" s="159" t="n">
        <f aca="false">'Transco Z3'!AV57</f>
        <v>-156650.946780399</v>
      </c>
      <c r="E52" s="159" t="n">
        <f aca="false">'Tetco ELA'!AV57</f>
        <v>0</v>
      </c>
    </row>
    <row r="53" customFormat="false" ht="12.75" hidden="false" customHeight="false" outlineLevel="0" collapsed="false">
      <c r="A53" s="69" t="n">
        <f aca="false">'Transco Z3'!A58</f>
        <v>38443</v>
      </c>
      <c r="B53" s="159" t="n">
        <f aca="false">'ColGulf-LA'!AV58</f>
        <v>0</v>
      </c>
      <c r="C53" s="159" t="n">
        <f aca="false">'TGT ZSL'!AV58</f>
        <v>0</v>
      </c>
      <c r="D53" s="159" t="n">
        <f aca="false">'Transco Z3'!AV58</f>
        <v>116615.726863979</v>
      </c>
      <c r="E53" s="159" t="n">
        <f aca="false">'Tetco ELA'!AV58</f>
        <v>0</v>
      </c>
    </row>
    <row r="54" customFormat="false" ht="12.75" hidden="false" customHeight="false" outlineLevel="0" collapsed="false">
      <c r="A54" s="69" t="n">
        <f aca="false">'Transco Z3'!A59</f>
        <v>38473</v>
      </c>
      <c r="B54" s="159" t="n">
        <f aca="false">'ColGulf-LA'!AV59</f>
        <v>0</v>
      </c>
      <c r="C54" s="159" t="n">
        <f aca="false">'TGT ZSL'!AV59</f>
        <v>0</v>
      </c>
      <c r="D54" s="159" t="n">
        <f aca="false">'Transco Z3'!AV59</f>
        <v>185379.893888709</v>
      </c>
      <c r="E54" s="159" t="n">
        <f aca="false">'Tetco ELA'!AV59</f>
        <v>0</v>
      </c>
    </row>
    <row r="55" customFormat="false" ht="12.75" hidden="false" customHeight="false" outlineLevel="0" collapsed="false">
      <c r="A55" s="69" t="n">
        <f aca="false">'Transco Z3'!A60</f>
        <v>38504</v>
      </c>
      <c r="B55" s="159" t="n">
        <f aca="false">'ColGulf-LA'!AV60</f>
        <v>0</v>
      </c>
      <c r="C55" s="159" t="n">
        <f aca="false">'TGT ZSL'!AV60</f>
        <v>0</v>
      </c>
      <c r="D55" s="159" t="n">
        <f aca="false">'Transco Z3'!AV60</f>
        <v>150504.218720554</v>
      </c>
      <c r="E55" s="159" t="n">
        <f aca="false">'Tetco ELA'!AV60</f>
        <v>0</v>
      </c>
    </row>
    <row r="56" customFormat="false" ht="12.75" hidden="false" customHeight="false" outlineLevel="0" collapsed="false">
      <c r="A56" s="69" t="n">
        <f aca="false">'Transco Z3'!A61</f>
        <v>38534</v>
      </c>
      <c r="B56" s="159" t="n">
        <f aca="false">'ColGulf-LA'!AV61</f>
        <v>0</v>
      </c>
      <c r="C56" s="159" t="n">
        <f aca="false">'TGT ZSL'!AV61</f>
        <v>0</v>
      </c>
      <c r="D56" s="159" t="n">
        <f aca="false">'Transco Z3'!AV61</f>
        <v>133130.221530519</v>
      </c>
      <c r="E56" s="159" t="n">
        <f aca="false">'Tetco ELA'!AV61</f>
        <v>0</v>
      </c>
    </row>
    <row r="57" customFormat="false" ht="12.75" hidden="false" customHeight="false" outlineLevel="0" collapsed="false">
      <c r="A57" s="69" t="n">
        <f aca="false">'Transco Z3'!A62</f>
        <v>38565</v>
      </c>
      <c r="B57" s="159" t="n">
        <f aca="false">'ColGulf-LA'!AV62</f>
        <v>0</v>
      </c>
      <c r="C57" s="159" t="n">
        <f aca="false">'TGT ZSL'!AV62</f>
        <v>0</v>
      </c>
      <c r="D57" s="159" t="n">
        <f aca="false">'Transco Z3'!AV62</f>
        <v>118127.285333391</v>
      </c>
      <c r="E57" s="159" t="n">
        <f aca="false">'Tetco ELA'!AV62</f>
        <v>0</v>
      </c>
    </row>
    <row r="58" customFormat="false" ht="12.75" hidden="false" customHeight="false" outlineLevel="0" collapsed="false">
      <c r="A58" s="69" t="n">
        <f aca="false">'Transco Z3'!A63</f>
        <v>38596</v>
      </c>
      <c r="B58" s="159" t="n">
        <f aca="false">'ColGulf-LA'!AV63</f>
        <v>0</v>
      </c>
      <c r="C58" s="159" t="n">
        <f aca="false">'TGT ZSL'!AV63</f>
        <v>0</v>
      </c>
      <c r="D58" s="159" t="n">
        <f aca="false">'Transco Z3'!AV63</f>
        <v>90291.6470858564</v>
      </c>
      <c r="E58" s="159" t="n">
        <f aca="false">'Tetco ELA'!AV63</f>
        <v>0</v>
      </c>
    </row>
    <row r="59" customFormat="false" ht="12.75" hidden="false" customHeight="false" outlineLevel="0" collapsed="false">
      <c r="A59" s="69" t="n">
        <f aca="false">'Transco Z3'!A64</f>
        <v>38626</v>
      </c>
      <c r="B59" s="159" t="n">
        <f aca="false">'ColGulf-LA'!AV64</f>
        <v>0</v>
      </c>
      <c r="C59" s="159" t="n">
        <f aca="false">'TGT ZSL'!AV64</f>
        <v>0</v>
      </c>
      <c r="D59" s="159" t="n">
        <f aca="false">'Transco Z3'!AV64</f>
        <v>67282.7816927229</v>
      </c>
      <c r="E59" s="159" t="n">
        <f aca="false">'Tetco ELA'!AV64</f>
        <v>0</v>
      </c>
    </row>
    <row r="60" customFormat="false" ht="12.75" hidden="false" customHeight="false" outlineLevel="0" collapsed="false">
      <c r="A60" s="69" t="n">
        <f aca="false">'Transco Z3'!A65</f>
        <v>38657</v>
      </c>
      <c r="B60" s="159" t="n">
        <f aca="false">'ColGulf-LA'!AV65</f>
        <v>0</v>
      </c>
      <c r="C60" s="159" t="n">
        <f aca="false">'TGT ZSL'!AV65</f>
        <v>0</v>
      </c>
      <c r="D60" s="159" t="n">
        <f aca="false">'Transco Z3'!AV65</f>
        <v>-119749.474631383</v>
      </c>
      <c r="E60" s="159" t="n">
        <f aca="false">'Tetco ELA'!AV65</f>
        <v>0</v>
      </c>
    </row>
    <row r="61" customFormat="false" ht="12.75" hidden="false" customHeight="false" outlineLevel="0" collapsed="false">
      <c r="A61" s="69" t="n">
        <f aca="false">'Transco Z3'!A66</f>
        <v>38687</v>
      </c>
      <c r="B61" s="159" t="n">
        <f aca="false">'ColGulf-LA'!AV66</f>
        <v>0</v>
      </c>
      <c r="C61" s="159" t="n">
        <f aca="false">'TGT ZSL'!AV66</f>
        <v>0</v>
      </c>
      <c r="D61" s="159" t="n">
        <f aca="false">'Transco Z3'!AV66</f>
        <v>0</v>
      </c>
      <c r="E61" s="159" t="n">
        <f aca="false">'Tetco ELA'!AV66</f>
        <v>0</v>
      </c>
    </row>
    <row r="62" customFormat="false" ht="12.75" hidden="false" customHeight="false" outlineLevel="0" collapsed="false">
      <c r="A62" s="69" t="n">
        <f aca="false">'Transco Z3'!A67</f>
        <v>38718</v>
      </c>
      <c r="B62" s="159" t="n">
        <f aca="false">'ColGulf-LA'!AV67</f>
        <v>0</v>
      </c>
      <c r="C62" s="159" t="n">
        <f aca="false">'TGT ZSL'!AV67</f>
        <v>0</v>
      </c>
      <c r="D62" s="159" t="n">
        <f aca="false">'Transco Z3'!AV67</f>
        <v>0</v>
      </c>
      <c r="E62" s="159" t="n">
        <f aca="false">'Tetco ELA'!AV67</f>
        <v>0</v>
      </c>
    </row>
    <row r="63" customFormat="false" ht="12.75" hidden="false" customHeight="false" outlineLevel="0" collapsed="false">
      <c r="A63" s="69" t="n">
        <f aca="false">'Transco Z3'!A68</f>
        <v>38749</v>
      </c>
      <c r="B63" s="159" t="n">
        <f aca="false">'ColGulf-LA'!AV68</f>
        <v>0</v>
      </c>
      <c r="C63" s="159" t="n">
        <f aca="false">'TGT ZSL'!AV68</f>
        <v>0</v>
      </c>
      <c r="D63" s="159" t="n">
        <f aca="false">'Transco Z3'!AV68</f>
        <v>0</v>
      </c>
      <c r="E63" s="159" t="n">
        <f aca="false">'Tetco ELA'!AV68</f>
        <v>0</v>
      </c>
    </row>
    <row r="64" customFormat="false" ht="12.75" hidden="false" customHeight="false" outlineLevel="0" collapsed="false">
      <c r="A64" s="69" t="n">
        <f aca="false">'Transco Z3'!A69</f>
        <v>38777</v>
      </c>
      <c r="B64" s="159" t="n">
        <f aca="false">'ColGulf-LA'!AV69</f>
        <v>0</v>
      </c>
      <c r="C64" s="159" t="n">
        <f aca="false">'TGT ZSL'!AV69</f>
        <v>0</v>
      </c>
      <c r="D64" s="159" t="n">
        <f aca="false">'Transco Z3'!AV69</f>
        <v>0</v>
      </c>
      <c r="E64" s="159" t="n">
        <f aca="false">'Tetco ELA'!AV69</f>
        <v>0</v>
      </c>
    </row>
    <row r="65" customFormat="false" ht="12.75" hidden="false" customHeight="false" outlineLevel="0" collapsed="false">
      <c r="A65" s="69" t="n">
        <f aca="false">'Transco Z3'!A70</f>
        <v>38808</v>
      </c>
      <c r="B65" s="159" t="n">
        <f aca="false">'ColGulf-LA'!AV70</f>
        <v>0</v>
      </c>
      <c r="C65" s="159" t="n">
        <f aca="false">'TGT ZSL'!AV70</f>
        <v>0</v>
      </c>
      <c r="D65" s="159" t="n">
        <f aca="false">'Transco Z3'!AV70</f>
        <v>0</v>
      </c>
      <c r="E65" s="159" t="n">
        <f aca="false">'Tetco ELA'!AV70</f>
        <v>0</v>
      </c>
    </row>
    <row r="66" customFormat="false" ht="12.75" hidden="false" customHeight="false" outlineLevel="0" collapsed="false">
      <c r="A66" s="69" t="n">
        <f aca="false">'Transco Z3'!A71</f>
        <v>38838</v>
      </c>
      <c r="B66" s="159" t="n">
        <f aca="false">'ColGulf-LA'!AV71</f>
        <v>0</v>
      </c>
      <c r="C66" s="159" t="n">
        <f aca="false">'TGT ZSL'!AV71</f>
        <v>0</v>
      </c>
      <c r="D66" s="159" t="n">
        <f aca="false">'Transco Z3'!AV71</f>
        <v>0</v>
      </c>
      <c r="E66" s="159" t="n">
        <f aca="false">'Tetco ELA'!AV71</f>
        <v>0</v>
      </c>
    </row>
    <row r="67" customFormat="false" ht="12.75" hidden="false" customHeight="false" outlineLevel="0" collapsed="false">
      <c r="A67" s="69" t="n">
        <f aca="false">'Transco Z3'!A72</f>
        <v>38869</v>
      </c>
      <c r="B67" s="159" t="n">
        <f aca="false">'ColGulf-LA'!AV72</f>
        <v>0</v>
      </c>
      <c r="C67" s="159" t="n">
        <f aca="false">'TGT ZSL'!AV72</f>
        <v>0</v>
      </c>
      <c r="D67" s="159" t="n">
        <f aca="false">'Transco Z3'!AV72</f>
        <v>0</v>
      </c>
      <c r="E67" s="159" t="n">
        <f aca="false">'Tetco ELA'!AV72</f>
        <v>0</v>
      </c>
    </row>
    <row r="69" customFormat="false" ht="12.75" hidden="false" customHeight="false" outlineLevel="0" collapsed="false">
      <c r="B69" s="159" t="n">
        <f aca="false">SUM(B5:B68)</f>
        <v>0</v>
      </c>
      <c r="C69" s="159" t="n">
        <f aca="false">SUM(C5:C68)</f>
        <v>0</v>
      </c>
      <c r="D69" s="159" t="n">
        <f aca="false">SUM(D5:D68)</f>
        <v>130500.600030132</v>
      </c>
      <c r="E69" s="159" t="n">
        <f aca="false">SUM(E5:E68)</f>
        <v>0</v>
      </c>
      <c r="G69" s="159" t="n">
        <f aca="false">SUM(B69:F69)</f>
        <v>130500.600030132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63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H10" activeCellId="0" sqref="H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5.13"/>
    <col collapsed="false" customWidth="true" hidden="false" outlineLevel="0" max="3" min="3" style="0" width="12.7"/>
    <col collapsed="false" customWidth="true" hidden="false" outlineLevel="0" max="4" min="4" style="0" width="14.85"/>
    <col collapsed="false" customWidth="true" hidden="false" outlineLevel="0" max="5" min="5" style="0" width="13.56"/>
    <col collapsed="false" customWidth="true" hidden="false" outlineLevel="0" max="6" min="6" style="0" width="1.85"/>
    <col collapsed="false" customWidth="true" hidden="false" outlineLevel="0" max="7" min="7" style="0" width="12.7"/>
    <col collapsed="false" customWidth="true" hidden="false" outlineLevel="0" max="8" min="8" style="0" width="2.7"/>
    <col collapsed="false" customWidth="true" hidden="false" outlineLevel="0" max="9" min="9" style="0" width="15.13"/>
    <col collapsed="false" customWidth="true" hidden="false" outlineLevel="0" max="10" min="10" style="0" width="10.99"/>
    <col collapsed="false" customWidth="true" hidden="false" outlineLevel="0" max="11" min="11" style="0" width="14.85"/>
    <col collapsed="false" customWidth="true" hidden="false" outlineLevel="0" max="12" min="12" style="0" width="13.56"/>
    <col collapsed="false" customWidth="true" hidden="false" outlineLevel="0" max="13" min="13" style="0" width="3.42"/>
    <col collapsed="false" customWidth="true" hidden="false" outlineLevel="0" max="14" min="14" style="0" width="11.7"/>
    <col collapsed="false" customWidth="true" hidden="false" outlineLevel="0" max="15" min="15" style="0" width="3.28"/>
  </cols>
  <sheetData>
    <row r="1" customFormat="false" ht="12.75" hidden="false" customHeight="false" outlineLevel="0" collapsed="false">
      <c r="A1" s="1" t="s">
        <v>213</v>
      </c>
    </row>
    <row r="2" customFormat="false" ht="12.75" hidden="false" customHeight="false" outlineLevel="0" collapsed="false">
      <c r="A2" s="1" t="s">
        <v>207</v>
      </c>
      <c r="B2" s="160" t="n">
        <f aca="false">Summary!B5</f>
        <v>36888</v>
      </c>
    </row>
    <row r="3" customFormat="false" ht="12.75" hidden="false" customHeight="false" outlineLevel="0" collapsed="false">
      <c r="A3" s="1"/>
    </row>
    <row r="4" customFormat="false" ht="12.75" hidden="false" customHeight="false" outlineLevel="0" collapsed="false">
      <c r="A4" s="158" t="s">
        <v>164</v>
      </c>
      <c r="B4" s="158" t="s">
        <v>202</v>
      </c>
      <c r="C4" s="158" t="s">
        <v>200</v>
      </c>
      <c r="D4" s="158" t="s">
        <v>152</v>
      </c>
      <c r="E4" s="158" t="s">
        <v>204</v>
      </c>
      <c r="F4" s="158"/>
      <c r="G4" s="158" t="s">
        <v>67</v>
      </c>
      <c r="H4" s="158"/>
      <c r="I4" s="158" t="s">
        <v>202</v>
      </c>
      <c r="J4" s="158" t="s">
        <v>200</v>
      </c>
      <c r="K4" s="158" t="s">
        <v>152</v>
      </c>
      <c r="L4" s="158" t="s">
        <v>204</v>
      </c>
      <c r="M4" s="158"/>
      <c r="N4" s="158" t="s">
        <v>67</v>
      </c>
      <c r="O4" s="158"/>
      <c r="P4" s="158" t="s">
        <v>37</v>
      </c>
    </row>
    <row r="5" customFormat="false" ht="12.75" hidden="false" customHeight="false" outlineLevel="0" collapsed="false">
      <c r="A5" s="69" t="n">
        <f aca="false">Summary!C5</f>
        <v>36982</v>
      </c>
      <c r="B5" s="159" t="n">
        <f aca="false">'ColGulf-LA'!AX10</f>
        <v>0</v>
      </c>
      <c r="C5" s="159" t="n">
        <f aca="false">'TGT ZSL'!AX10</f>
        <v>0</v>
      </c>
      <c r="D5" s="159" t="n">
        <f aca="false">'Transco Z3'!AX10</f>
        <v>6748038.95797054</v>
      </c>
      <c r="E5" s="159" t="n">
        <f aca="false">'Tetco ELA'!AX10</f>
        <v>0</v>
      </c>
      <c r="G5" s="159" t="n">
        <f aca="false">SUM(B5:F5)</f>
        <v>6748038.95797054</v>
      </c>
      <c r="I5" s="152" t="n">
        <f aca="false">'ColGulf-LA'!F10</f>
        <v>0</v>
      </c>
      <c r="J5" s="152" t="n">
        <f aca="false">'TGT ZSL'!F10</f>
        <v>0</v>
      </c>
      <c r="K5" s="152" t="n">
        <f aca="false">'Transco Z3'!F10</f>
        <v>1262849.99681305</v>
      </c>
      <c r="L5" s="152" t="n">
        <f aca="false">'Tetco ELA'!F10</f>
        <v>0</v>
      </c>
      <c r="N5" s="152" t="n">
        <f aca="false">SUM(I5:M5)</f>
        <v>1262849.99681305</v>
      </c>
      <c r="P5" s="161" t="n">
        <f aca="false">G5/N5</f>
        <v>5.3435</v>
      </c>
    </row>
    <row r="6" customFormat="false" ht="12.75" hidden="false" customHeight="false" outlineLevel="0" collapsed="false">
      <c r="A6" s="69" t="n">
        <f aca="false">EDATE(A5,1)</f>
        <v>37012</v>
      </c>
      <c r="B6" s="159" t="n">
        <f aca="false">'ColGulf-LA'!AX11</f>
        <v>0</v>
      </c>
      <c r="C6" s="159" t="n">
        <f aca="false">'TGT ZSL'!AX11</f>
        <v>0</v>
      </c>
      <c r="D6" s="159" t="n">
        <f aca="false">'Transco Z3'!AX11</f>
        <v>6938734.2467603</v>
      </c>
      <c r="E6" s="159" t="n">
        <f aca="false">'Tetco ELA'!AX11</f>
        <v>0</v>
      </c>
      <c r="G6" s="159" t="n">
        <f aca="false">SUM(B6:F6)</f>
        <v>6938734.2467603</v>
      </c>
      <c r="I6" s="152" t="n">
        <f aca="false">'ColGulf-LA'!F11</f>
        <v>0</v>
      </c>
      <c r="J6" s="152" t="n">
        <f aca="false">'TGT ZSL'!F11</f>
        <v>0</v>
      </c>
      <c r="K6" s="152" t="n">
        <f aca="false">'Transco Z3'!F11</f>
        <v>1298537.33447372</v>
      </c>
      <c r="L6" s="152" t="n">
        <f aca="false">'Tetco ELA'!F11</f>
        <v>0</v>
      </c>
      <c r="N6" s="152" t="n">
        <f aca="false">SUM(I6:M6)</f>
        <v>1298537.33447372</v>
      </c>
      <c r="P6" s="161" t="n">
        <f aca="false">G6/N6</f>
        <v>5.3435</v>
      </c>
    </row>
    <row r="7" customFormat="false" ht="12.75" hidden="false" customHeight="false" outlineLevel="0" collapsed="false">
      <c r="A7" s="69" t="n">
        <f aca="false">EDATE(A6,1)</f>
        <v>37043</v>
      </c>
      <c r="B7" s="159" t="n">
        <f aca="false">'ColGulf-LA'!AX12</f>
        <v>0</v>
      </c>
      <c r="C7" s="159" t="n">
        <f aca="false">'TGT ZSL'!AX12</f>
        <v>0</v>
      </c>
      <c r="D7" s="159" t="n">
        <f aca="false">'Transco Z3'!AX12</f>
        <v>6683667.37870855</v>
      </c>
      <c r="E7" s="159" t="n">
        <f aca="false">'Tetco ELA'!AX12</f>
        <v>0</v>
      </c>
      <c r="G7" s="159" t="n">
        <f aca="false">SUM(B7:F7)</f>
        <v>6683667.37870855</v>
      </c>
      <c r="I7" s="152" t="n">
        <f aca="false">'ColGulf-LA'!F12</f>
        <v>0</v>
      </c>
      <c r="J7" s="152" t="n">
        <f aca="false">'TGT ZSL'!F12</f>
        <v>0</v>
      </c>
      <c r="K7" s="152" t="n">
        <f aca="false">'Transco Z3'!F12</f>
        <v>1250803.28973679</v>
      </c>
      <c r="L7" s="152" t="n">
        <f aca="false">'Tetco ELA'!F12</f>
        <v>0</v>
      </c>
      <c r="N7" s="152" t="n">
        <f aca="false">SUM(I7:M7)</f>
        <v>1250803.28973679</v>
      </c>
      <c r="P7" s="161" t="n">
        <f aca="false">G7/N7</f>
        <v>5.3435</v>
      </c>
    </row>
    <row r="8" customFormat="false" ht="12.75" hidden="false" customHeight="false" outlineLevel="0" collapsed="false">
      <c r="A8" s="69" t="n">
        <f aca="false">EDATE(A7,1)</f>
        <v>37073</v>
      </c>
      <c r="B8" s="159" t="n">
        <f aca="false">'ColGulf-LA'!AX13</f>
        <v>0</v>
      </c>
      <c r="C8" s="159" t="n">
        <f aca="false">'TGT ZSL'!AX13</f>
        <v>0</v>
      </c>
      <c r="D8" s="159" t="n">
        <f aca="false">'Transco Z3'!AX13</f>
        <v>6873338.88276454</v>
      </c>
      <c r="E8" s="159" t="n">
        <f aca="false">'Tetco ELA'!AX13</f>
        <v>0</v>
      </c>
      <c r="G8" s="159" t="n">
        <f aca="false">SUM(B8:F8)</f>
        <v>6873338.88276454</v>
      </c>
      <c r="I8" s="152" t="n">
        <f aca="false">'ColGulf-LA'!F13</f>
        <v>0</v>
      </c>
      <c r="J8" s="152" t="n">
        <f aca="false">'TGT ZSL'!F13</f>
        <v>0</v>
      </c>
      <c r="K8" s="152" t="n">
        <f aca="false">'Transco Z3'!F13</f>
        <v>1286299.03298672</v>
      </c>
      <c r="L8" s="152" t="n">
        <f aca="false">'Tetco ELA'!F13</f>
        <v>0</v>
      </c>
      <c r="N8" s="152" t="n">
        <f aca="false">SUM(I8:M8)</f>
        <v>1286299.03298672</v>
      </c>
      <c r="P8" s="161" t="n">
        <f aca="false">G8/N8</f>
        <v>5.3435</v>
      </c>
    </row>
    <row r="9" customFormat="false" ht="12.75" hidden="false" customHeight="false" outlineLevel="0" collapsed="false">
      <c r="A9" s="69" t="n">
        <f aca="false">EDATE(A8,1)</f>
        <v>37104</v>
      </c>
      <c r="B9" s="159" t="n">
        <f aca="false">'ColGulf-LA'!AX14</f>
        <v>0</v>
      </c>
      <c r="C9" s="159" t="n">
        <f aca="false">'TGT ZSL'!AX14</f>
        <v>0</v>
      </c>
      <c r="D9" s="159" t="n">
        <f aca="false">'Transco Z3'!AX14</f>
        <v>6841191.55806793</v>
      </c>
      <c r="E9" s="159" t="n">
        <f aca="false">'Tetco ELA'!AX14</f>
        <v>0</v>
      </c>
      <c r="G9" s="159" t="n">
        <f aca="false">SUM(B9:F9)</f>
        <v>6841191.55806793</v>
      </c>
      <c r="I9" s="152" t="n">
        <f aca="false">'ColGulf-LA'!F14</f>
        <v>0</v>
      </c>
      <c r="J9" s="152" t="n">
        <f aca="false">'TGT ZSL'!F14</f>
        <v>0</v>
      </c>
      <c r="K9" s="152" t="n">
        <f aca="false">'Transco Z3'!F14</f>
        <v>1280282.87790174</v>
      </c>
      <c r="L9" s="152" t="n">
        <f aca="false">'Tetco ELA'!F14</f>
        <v>0</v>
      </c>
      <c r="N9" s="152" t="n">
        <f aca="false">SUM(I9:M9)</f>
        <v>1280282.87790174</v>
      </c>
      <c r="P9" s="161" t="n">
        <f aca="false">G9/N9</f>
        <v>5.3435</v>
      </c>
    </row>
    <row r="10" customFormat="false" ht="12.75" hidden="false" customHeight="false" outlineLevel="0" collapsed="false">
      <c r="A10" s="69" t="n">
        <f aca="false">EDATE(A9,1)</f>
        <v>37135</v>
      </c>
      <c r="B10" s="159" t="n">
        <f aca="false">'ColGulf-LA'!AX15</f>
        <v>0</v>
      </c>
      <c r="C10" s="159" t="n">
        <f aca="false">'TGT ZSL'!AX15</f>
        <v>0</v>
      </c>
      <c r="D10" s="159" t="n">
        <f aca="false">'Transco Z3'!AX15</f>
        <v>6590862.04725691</v>
      </c>
      <c r="E10" s="159" t="n">
        <f aca="false">'Tetco ELA'!AX15</f>
        <v>0</v>
      </c>
      <c r="G10" s="159" t="n">
        <f aca="false">SUM(B10:F10)</f>
        <v>6590862.04725691</v>
      </c>
      <c r="I10" s="152" t="n">
        <f aca="false">'ColGulf-LA'!F15</f>
        <v>0</v>
      </c>
      <c r="J10" s="152" t="n">
        <f aca="false">'TGT ZSL'!F15</f>
        <v>0</v>
      </c>
      <c r="K10" s="152" t="n">
        <f aca="false">'Transco Z3'!F15</f>
        <v>1233435.39763393</v>
      </c>
      <c r="L10" s="152" t="n">
        <f aca="false">'Tetco ELA'!F15</f>
        <v>0</v>
      </c>
      <c r="N10" s="152" t="n">
        <f aca="false">SUM(I10:M10)</f>
        <v>1233435.39763393</v>
      </c>
      <c r="P10" s="161" t="n">
        <f aca="false">G10/N10</f>
        <v>5.3435</v>
      </c>
    </row>
    <row r="11" customFormat="false" ht="12.75" hidden="false" customHeight="false" outlineLevel="0" collapsed="false">
      <c r="A11" s="69" t="n">
        <f aca="false">EDATE(A10,1)</f>
        <v>37165</v>
      </c>
      <c r="B11" s="159" t="n">
        <f aca="false">'ColGulf-LA'!AX16</f>
        <v>0</v>
      </c>
      <c r="C11" s="159" t="n">
        <f aca="false">'TGT ZSL'!AX16</f>
        <v>0</v>
      </c>
      <c r="D11" s="159" t="n">
        <f aca="false">'Transco Z3'!AX16</f>
        <v>6778968.59813238</v>
      </c>
      <c r="E11" s="159" t="n">
        <f aca="false">'Tetco ELA'!AX16</f>
        <v>0</v>
      </c>
      <c r="G11" s="159" t="n">
        <f aca="false">SUM(B11:F11)</f>
        <v>6778968.59813238</v>
      </c>
      <c r="I11" s="152" t="n">
        <f aca="false">'ColGulf-LA'!F16</f>
        <v>0</v>
      </c>
      <c r="J11" s="152" t="n">
        <f aca="false">'TGT ZSL'!F16</f>
        <v>0</v>
      </c>
      <c r="K11" s="152" t="n">
        <f aca="false">'Transco Z3'!F16</f>
        <v>1268638.27044678</v>
      </c>
      <c r="L11" s="152" t="n">
        <f aca="false">'Tetco ELA'!F16</f>
        <v>0</v>
      </c>
      <c r="N11" s="152" t="n">
        <f aca="false">SUM(I11:M11)</f>
        <v>1268638.27044678</v>
      </c>
      <c r="P11" s="161" t="n">
        <f aca="false">G11/N11</f>
        <v>5.3435</v>
      </c>
    </row>
    <row r="12" customFormat="false" ht="12.75" hidden="false" customHeight="false" outlineLevel="0" collapsed="false">
      <c r="A12" s="69" t="n">
        <f aca="false">EDATE(A11,1)</f>
        <v>37196</v>
      </c>
      <c r="B12" s="159" t="n">
        <f aca="false">'ColGulf-LA'!AX17</f>
        <v>0</v>
      </c>
      <c r="C12" s="159" t="n">
        <f aca="false">'TGT ZSL'!AX17</f>
        <v>0</v>
      </c>
      <c r="D12" s="159" t="n">
        <f aca="false">'Transco Z3'!AX17</f>
        <v>6531363.15482614</v>
      </c>
      <c r="E12" s="159" t="n">
        <f aca="false">'Tetco ELA'!AX17</f>
        <v>0</v>
      </c>
      <c r="G12" s="159" t="n">
        <f aca="false">SUM(B12:F12)</f>
        <v>6531363.15482614</v>
      </c>
      <c r="I12" s="152" t="n">
        <f aca="false">'ColGulf-LA'!F17</f>
        <v>0</v>
      </c>
      <c r="J12" s="152" t="n">
        <f aca="false">'TGT ZSL'!F17</f>
        <v>0</v>
      </c>
      <c r="K12" s="152" t="n">
        <f aca="false">'Transco Z3'!F17</f>
        <v>1222300.58104728</v>
      </c>
      <c r="L12" s="152" t="n">
        <f aca="false">'Tetco ELA'!F17</f>
        <v>0</v>
      </c>
      <c r="N12" s="152" t="n">
        <f aca="false">SUM(I12:M12)</f>
        <v>1222300.58104728</v>
      </c>
      <c r="P12" s="161" t="n">
        <f aca="false">G12/N12</f>
        <v>5.3435</v>
      </c>
    </row>
    <row r="13" customFormat="false" ht="12.75" hidden="false" customHeight="false" outlineLevel="0" collapsed="false">
      <c r="A13" s="69" t="n">
        <f aca="false">EDATE(A12,1)</f>
        <v>37226</v>
      </c>
      <c r="B13" s="159" t="n">
        <f aca="false">'ColGulf-LA'!AX18</f>
        <v>0</v>
      </c>
      <c r="C13" s="159" t="n">
        <f aca="false">'TGT ZSL'!AX18</f>
        <v>0</v>
      </c>
      <c r="D13" s="159" t="n">
        <f aca="false">'Transco Z3'!AX18</f>
        <v>6718089.80534407</v>
      </c>
      <c r="E13" s="159" t="n">
        <f aca="false">'Tetco ELA'!AX18</f>
        <v>0</v>
      </c>
      <c r="G13" s="159" t="n">
        <f aca="false">SUM(B13:F13)</f>
        <v>6718089.80534407</v>
      </c>
      <c r="I13" s="152" t="n">
        <f aca="false">'ColGulf-LA'!F18</f>
        <v>0</v>
      </c>
      <c r="J13" s="152" t="n">
        <f aca="false">'TGT ZSL'!F18</f>
        <v>0</v>
      </c>
      <c r="K13" s="152" t="n">
        <f aca="false">'Transco Z3'!F18</f>
        <v>1257245.21481128</v>
      </c>
      <c r="L13" s="152" t="n">
        <f aca="false">'Tetco ELA'!F18</f>
        <v>0</v>
      </c>
      <c r="N13" s="152" t="n">
        <f aca="false">SUM(I13:M13)</f>
        <v>1257245.21481128</v>
      </c>
      <c r="P13" s="161" t="n">
        <f aca="false">G13/N13</f>
        <v>5.3435</v>
      </c>
    </row>
    <row r="14" customFormat="false" ht="12.75" hidden="false" customHeight="false" outlineLevel="0" collapsed="false">
      <c r="A14" s="69" t="n">
        <f aca="false">EDATE(A13,1)</f>
        <v>37257</v>
      </c>
      <c r="B14" s="159" t="n">
        <f aca="false">'ColGulf-LA'!AX19</f>
        <v>0</v>
      </c>
      <c r="C14" s="159" t="n">
        <f aca="false">'TGT ZSL'!AX19</f>
        <v>0</v>
      </c>
      <c r="D14" s="159" t="n">
        <f aca="false">'Transco Z3'!AX19</f>
        <v>6686512.00327185</v>
      </c>
      <c r="E14" s="159" t="n">
        <f aca="false">'Tetco ELA'!AX19</f>
        <v>0</v>
      </c>
      <c r="G14" s="159" t="n">
        <f aca="false">SUM(B14:F14)</f>
        <v>6686512.00327185</v>
      </c>
      <c r="I14" s="152" t="n">
        <f aca="false">'ColGulf-LA'!F19</f>
        <v>0</v>
      </c>
      <c r="J14" s="152" t="n">
        <f aca="false">'TGT ZSL'!F19</f>
        <v>0</v>
      </c>
      <c r="K14" s="152" t="n">
        <f aca="false">'Transco Z3'!F19</f>
        <v>1251335.64204582</v>
      </c>
      <c r="L14" s="152" t="n">
        <f aca="false">'Tetco ELA'!F19</f>
        <v>0</v>
      </c>
      <c r="N14" s="152" t="n">
        <f aca="false">SUM(I14:M14)</f>
        <v>1251335.64204582</v>
      </c>
      <c r="P14" s="161" t="n">
        <f aca="false">G14/N14</f>
        <v>5.3435</v>
      </c>
    </row>
    <row r="15" customFormat="false" ht="12.75" hidden="false" customHeight="false" outlineLevel="0" collapsed="false">
      <c r="A15" s="69" t="n">
        <f aca="false">EDATE(A14,1)</f>
        <v>37288</v>
      </c>
      <c r="B15" s="159" t="n">
        <f aca="false">'ColGulf-LA'!AX20</f>
        <v>0</v>
      </c>
      <c r="C15" s="159" t="n">
        <f aca="false">'TGT ZSL'!AX20</f>
        <v>0</v>
      </c>
      <c r="D15" s="159" t="n">
        <f aca="false">'Transco Z3'!AX20</f>
        <v>6013987.81183181</v>
      </c>
      <c r="E15" s="159" t="n">
        <f aca="false">'Tetco ELA'!AX20</f>
        <v>0</v>
      </c>
      <c r="G15" s="159" t="n">
        <f aca="false">SUM(B15:F15)</f>
        <v>6013987.81183181</v>
      </c>
      <c r="I15" s="152" t="n">
        <f aca="false">'ColGulf-LA'!F20</f>
        <v>0</v>
      </c>
      <c r="J15" s="152" t="n">
        <f aca="false">'TGT ZSL'!F20</f>
        <v>0</v>
      </c>
      <c r="K15" s="152" t="n">
        <f aca="false">'Transco Z3'!F20</f>
        <v>1125477.27366554</v>
      </c>
      <c r="L15" s="152" t="n">
        <f aca="false">'Tetco ELA'!F20</f>
        <v>0</v>
      </c>
      <c r="N15" s="152" t="n">
        <f aca="false">SUM(I15:M15)</f>
        <v>1125477.27366554</v>
      </c>
      <c r="P15" s="161" t="n">
        <f aca="false">G15/N15</f>
        <v>5.3435</v>
      </c>
    </row>
    <row r="16" customFormat="false" ht="12.75" hidden="false" customHeight="false" outlineLevel="0" collapsed="false">
      <c r="A16" s="69" t="n">
        <f aca="false">EDATE(A15,1)</f>
        <v>37316</v>
      </c>
      <c r="B16" s="159" t="n">
        <f aca="false">'ColGulf-LA'!AX21</f>
        <v>0</v>
      </c>
      <c r="C16" s="159" t="n">
        <f aca="false">'TGT ZSL'!AX21</f>
        <v>0</v>
      </c>
      <c r="D16" s="159" t="n">
        <f aca="false">'Transco Z3'!AX21</f>
        <v>6627302.82383779</v>
      </c>
      <c r="E16" s="159" t="n">
        <f aca="false">'Tetco ELA'!AX21</f>
        <v>0</v>
      </c>
      <c r="G16" s="159" t="n">
        <f aca="false">SUM(B16:F16)</f>
        <v>6627302.82383779</v>
      </c>
      <c r="I16" s="152" t="n">
        <f aca="false">'ColGulf-LA'!F21</f>
        <v>0</v>
      </c>
      <c r="J16" s="152" t="n">
        <f aca="false">'TGT ZSL'!F21</f>
        <v>0</v>
      </c>
      <c r="K16" s="152" t="n">
        <f aca="false">'Transco Z3'!F21</f>
        <v>1240255.04329331</v>
      </c>
      <c r="L16" s="152" t="n">
        <f aca="false">'Tetco ELA'!F21</f>
        <v>0</v>
      </c>
      <c r="N16" s="152" t="n">
        <f aca="false">SUM(I16:M16)</f>
        <v>1240255.04329331</v>
      </c>
      <c r="P16" s="161" t="n">
        <f aca="false">G16/N16</f>
        <v>5.3435</v>
      </c>
    </row>
    <row r="17" customFormat="false" ht="12.75" hidden="false" customHeight="false" outlineLevel="0" collapsed="false">
      <c r="A17" s="69" t="n">
        <f aca="false">EDATE(A16,1)</f>
        <v>37347</v>
      </c>
      <c r="B17" s="159" t="n">
        <f aca="false">'ColGulf-LA'!AX22</f>
        <v>0</v>
      </c>
      <c r="C17" s="159" t="n">
        <f aca="false">'TGT ZSL'!AX22</f>
        <v>0</v>
      </c>
      <c r="D17" s="159" t="n">
        <f aca="false">'Transco Z3'!AX22</f>
        <v>6384417.61802294</v>
      </c>
      <c r="E17" s="159" t="n">
        <f aca="false">'Tetco ELA'!AX22</f>
        <v>0</v>
      </c>
      <c r="G17" s="159" t="n">
        <f aca="false">SUM(B17:F17)</f>
        <v>6384417.61802294</v>
      </c>
      <c r="I17" s="152" t="n">
        <f aca="false">'ColGulf-LA'!F22</f>
        <v>0</v>
      </c>
      <c r="J17" s="152" t="n">
        <f aca="false">'TGT ZSL'!F22</f>
        <v>0</v>
      </c>
      <c r="K17" s="152" t="n">
        <f aca="false">'Transco Z3'!F22</f>
        <v>1499041.46936439</v>
      </c>
      <c r="L17" s="152" t="n">
        <f aca="false">'Tetco ELA'!F22</f>
        <v>0</v>
      </c>
      <c r="N17" s="152" t="n">
        <f aca="false">SUM(I17:M17)</f>
        <v>1499041.46936439</v>
      </c>
      <c r="P17" s="161" t="n">
        <f aca="false">G17/N17</f>
        <v>4.259</v>
      </c>
    </row>
    <row r="18" customFormat="false" ht="12.75" hidden="false" customHeight="false" outlineLevel="0" collapsed="false">
      <c r="A18" s="69" t="n">
        <f aca="false">EDATE(A17,1)</f>
        <v>37377</v>
      </c>
      <c r="B18" s="159" t="n">
        <f aca="false">'ColGulf-LA'!AX23</f>
        <v>0</v>
      </c>
      <c r="C18" s="159" t="n">
        <f aca="false">'TGT ZSL'!AX23</f>
        <v>0</v>
      </c>
      <c r="D18" s="159" t="n">
        <f aca="false">'Transco Z3'!AX23</f>
        <v>6566524.57707547</v>
      </c>
      <c r="E18" s="159" t="n">
        <f aca="false">'Tetco ELA'!AX23</f>
        <v>0</v>
      </c>
      <c r="G18" s="159" t="n">
        <f aca="false">SUM(B18:F18)</f>
        <v>6566524.57707547</v>
      </c>
      <c r="I18" s="152" t="n">
        <f aca="false">'ColGulf-LA'!F23</f>
        <v>0</v>
      </c>
      <c r="J18" s="152" t="n">
        <f aca="false">'TGT ZSL'!F23</f>
        <v>0</v>
      </c>
      <c r="K18" s="152" t="n">
        <f aca="false">'Transco Z3'!F23</f>
        <v>1541799.61894235</v>
      </c>
      <c r="L18" s="152" t="n">
        <f aca="false">'Tetco ELA'!F23</f>
        <v>0</v>
      </c>
      <c r="N18" s="152" t="n">
        <f aca="false">SUM(I18:M18)</f>
        <v>1541799.61894235</v>
      </c>
      <c r="P18" s="161" t="n">
        <f aca="false">G18/N18</f>
        <v>4.259</v>
      </c>
    </row>
    <row r="19" customFormat="false" ht="12.75" hidden="false" customHeight="false" outlineLevel="0" collapsed="false">
      <c r="A19" s="69" t="n">
        <f aca="false">EDATE(A18,1)</f>
        <v>37408</v>
      </c>
      <c r="B19" s="159" t="n">
        <f aca="false">'ColGulf-LA'!AX24</f>
        <v>0</v>
      </c>
      <c r="C19" s="159" t="n">
        <f aca="false">'TGT ZSL'!AX24</f>
        <v>0</v>
      </c>
      <c r="D19" s="159" t="n">
        <f aca="false">'Transco Z3'!AX24</f>
        <v>6325903.4092445</v>
      </c>
      <c r="E19" s="159" t="n">
        <f aca="false">'Tetco ELA'!AX24</f>
        <v>0</v>
      </c>
      <c r="G19" s="159" t="n">
        <f aca="false">SUM(B19:F19)</f>
        <v>6325903.4092445</v>
      </c>
      <c r="I19" s="152" t="n">
        <f aca="false">'ColGulf-LA'!F24</f>
        <v>0</v>
      </c>
      <c r="J19" s="152" t="n">
        <f aca="false">'TGT ZSL'!F24</f>
        <v>0</v>
      </c>
      <c r="K19" s="152" t="n">
        <f aca="false">'Transco Z3'!F24</f>
        <v>1485302.51449742</v>
      </c>
      <c r="L19" s="152" t="n">
        <f aca="false">'Tetco ELA'!F24</f>
        <v>0</v>
      </c>
      <c r="N19" s="152" t="n">
        <f aca="false">SUM(I19:M19)</f>
        <v>1485302.51449742</v>
      </c>
      <c r="P19" s="161" t="n">
        <f aca="false">G19/N19</f>
        <v>4.259</v>
      </c>
    </row>
    <row r="20" customFormat="false" ht="12.75" hidden="false" customHeight="false" outlineLevel="0" collapsed="false">
      <c r="A20" s="69" t="n">
        <f aca="false">EDATE(A19,1)</f>
        <v>37438</v>
      </c>
      <c r="B20" s="159" t="n">
        <f aca="false">'ColGulf-LA'!AX25</f>
        <v>0</v>
      </c>
      <c r="C20" s="159" t="n">
        <f aca="false">'TGT ZSL'!AX25</f>
        <v>0</v>
      </c>
      <c r="D20" s="159" t="n">
        <f aca="false">'Transco Z3'!AX25</f>
        <v>6505692.68290285</v>
      </c>
      <c r="E20" s="159" t="n">
        <f aca="false">'Tetco ELA'!AX25</f>
        <v>0</v>
      </c>
      <c r="G20" s="159" t="n">
        <f aca="false">SUM(B20:F20)</f>
        <v>6505692.68290285</v>
      </c>
      <c r="I20" s="152" t="n">
        <f aca="false">'ColGulf-LA'!F25</f>
        <v>0</v>
      </c>
      <c r="J20" s="152" t="n">
        <f aca="false">'TGT ZSL'!F25</f>
        <v>0</v>
      </c>
      <c r="K20" s="152" t="n">
        <f aca="false">'Transco Z3'!F25</f>
        <v>1527516.47872807</v>
      </c>
      <c r="L20" s="152" t="n">
        <f aca="false">'Tetco ELA'!F25</f>
        <v>0</v>
      </c>
      <c r="N20" s="152" t="n">
        <f aca="false">SUM(I20:M20)</f>
        <v>1527516.47872807</v>
      </c>
      <c r="P20" s="161" t="n">
        <f aca="false">G20/N20</f>
        <v>4.259</v>
      </c>
    </row>
    <row r="21" customFormat="false" ht="12.75" hidden="false" customHeight="false" outlineLevel="0" collapsed="false">
      <c r="A21" s="69" t="n">
        <f aca="false">EDATE(A20,1)</f>
        <v>37469</v>
      </c>
      <c r="B21" s="159" t="n">
        <f aca="false">'ColGulf-LA'!AX26</f>
        <v>0</v>
      </c>
      <c r="C21" s="159" t="n">
        <f aca="false">'TGT ZSL'!AX26</f>
        <v>0</v>
      </c>
      <c r="D21" s="159" t="n">
        <f aca="false">'Transco Z3'!AX26</f>
        <v>6474847.73377233</v>
      </c>
      <c r="E21" s="159" t="n">
        <f aca="false">'Tetco ELA'!AX26</f>
        <v>0</v>
      </c>
      <c r="G21" s="159" t="n">
        <f aca="false">SUM(B21:F21)</f>
        <v>6474847.73377233</v>
      </c>
      <c r="I21" s="152" t="n">
        <f aca="false">'ColGulf-LA'!F26</f>
        <v>0</v>
      </c>
      <c r="J21" s="152" t="n">
        <f aca="false">'TGT ZSL'!F26</f>
        <v>0</v>
      </c>
      <c r="K21" s="152" t="n">
        <f aca="false">'Transco Z3'!F26</f>
        <v>1520274.18027056</v>
      </c>
      <c r="L21" s="152" t="n">
        <f aca="false">'Tetco ELA'!F26</f>
        <v>0</v>
      </c>
      <c r="N21" s="152" t="n">
        <f aca="false">SUM(I21:M21)</f>
        <v>1520274.18027056</v>
      </c>
      <c r="P21" s="161" t="n">
        <f aca="false">G21/N21</f>
        <v>4.259</v>
      </c>
    </row>
    <row r="22" customFormat="false" ht="12.75" hidden="false" customHeight="false" outlineLevel="0" collapsed="false">
      <c r="A22" s="69" t="n">
        <f aca="false">EDATE(A21,1)</f>
        <v>37500</v>
      </c>
      <c r="B22" s="159" t="n">
        <f aca="false">'ColGulf-LA'!AX27</f>
        <v>0</v>
      </c>
      <c r="C22" s="159" t="n">
        <f aca="false">'TGT ZSL'!AX27</f>
        <v>0</v>
      </c>
      <c r="D22" s="159" t="n">
        <f aca="false">'Transco Z3'!AX27</f>
        <v>6237105.43046635</v>
      </c>
      <c r="E22" s="159" t="n">
        <f aca="false">'Tetco ELA'!AX27</f>
        <v>0</v>
      </c>
      <c r="G22" s="159" t="n">
        <f aca="false">SUM(B22:F22)</f>
        <v>6237105.43046635</v>
      </c>
      <c r="I22" s="152" t="n">
        <f aca="false">'ColGulf-LA'!F27</f>
        <v>0</v>
      </c>
      <c r="J22" s="152" t="n">
        <f aca="false">'TGT ZSL'!F27</f>
        <v>0</v>
      </c>
      <c r="K22" s="152" t="n">
        <f aca="false">'Transco Z3'!F27</f>
        <v>1464453.02429358</v>
      </c>
      <c r="L22" s="152" t="n">
        <f aca="false">'Tetco ELA'!F27</f>
        <v>0</v>
      </c>
      <c r="N22" s="152" t="n">
        <f aca="false">SUM(I22:M22)</f>
        <v>1464453.02429358</v>
      </c>
      <c r="P22" s="161" t="n">
        <f aca="false">G22/N22</f>
        <v>4.259</v>
      </c>
    </row>
    <row r="23" customFormat="false" ht="12.75" hidden="false" customHeight="false" outlineLevel="0" collapsed="false">
      <c r="A23" s="69" t="n">
        <f aca="false">EDATE(A22,1)</f>
        <v>37530</v>
      </c>
      <c r="B23" s="159" t="n">
        <f aca="false">'ColGulf-LA'!AX28</f>
        <v>0</v>
      </c>
      <c r="C23" s="159" t="n">
        <f aca="false">'TGT ZSL'!AX28</f>
        <v>0</v>
      </c>
      <c r="D23" s="159" t="n">
        <f aca="false">'Transco Z3'!AX28</f>
        <v>6414073.67663425</v>
      </c>
      <c r="E23" s="159" t="n">
        <f aca="false">'Tetco ELA'!AX28</f>
        <v>0</v>
      </c>
      <c r="G23" s="159" t="n">
        <f aca="false">SUM(B23:F23)</f>
        <v>6414073.67663425</v>
      </c>
      <c r="I23" s="152" t="n">
        <f aca="false">'ColGulf-LA'!F28</f>
        <v>0</v>
      </c>
      <c r="J23" s="152" t="n">
        <f aca="false">'TGT ZSL'!F28</f>
        <v>0</v>
      </c>
      <c r="K23" s="152" t="n">
        <f aca="false">'Transco Z3'!F28</f>
        <v>1506004.62001274</v>
      </c>
      <c r="L23" s="152" t="n">
        <f aca="false">'Tetco ELA'!F28</f>
        <v>0</v>
      </c>
      <c r="N23" s="152" t="n">
        <f aca="false">SUM(I23:M23)</f>
        <v>1506004.62001274</v>
      </c>
      <c r="P23" s="161" t="n">
        <f aca="false">G23/N23</f>
        <v>4.259</v>
      </c>
    </row>
    <row r="24" customFormat="false" ht="12.75" hidden="false" customHeight="false" outlineLevel="0" collapsed="false">
      <c r="A24" s="69" t="n">
        <f aca="false">EDATE(A23,1)</f>
        <v>37561</v>
      </c>
      <c r="B24" s="159" t="n">
        <f aca="false">'ColGulf-LA'!AX29</f>
        <v>0</v>
      </c>
      <c r="C24" s="159" t="n">
        <f aca="false">'TGT ZSL'!AX29</f>
        <v>0</v>
      </c>
      <c r="D24" s="159" t="n">
        <f aca="false">'Transco Z3'!AX29</f>
        <v>6178364.27333363</v>
      </c>
      <c r="E24" s="159" t="n">
        <f aca="false">'Tetco ELA'!AX29</f>
        <v>0</v>
      </c>
      <c r="G24" s="159" t="n">
        <f aca="false">SUM(B24:F24)</f>
        <v>6178364.27333363</v>
      </c>
      <c r="I24" s="152" t="n">
        <f aca="false">'ColGulf-LA'!F29</f>
        <v>0</v>
      </c>
      <c r="J24" s="152" t="n">
        <f aca="false">'TGT ZSL'!F29</f>
        <v>0</v>
      </c>
      <c r="K24" s="152" t="n">
        <f aca="false">'Transco Z3'!F29</f>
        <v>1450660.7826564</v>
      </c>
      <c r="L24" s="152" t="n">
        <f aca="false">'Tetco ELA'!F29</f>
        <v>0</v>
      </c>
      <c r="N24" s="152" t="n">
        <f aca="false">SUM(I24:M24)</f>
        <v>1450660.7826564</v>
      </c>
      <c r="P24" s="161" t="n">
        <f aca="false">G24/N24</f>
        <v>4.259</v>
      </c>
    </row>
    <row r="25" customFormat="false" ht="12.75" hidden="false" customHeight="false" outlineLevel="0" collapsed="false">
      <c r="A25" s="69" t="n">
        <f aca="false">EDATE(A24,1)</f>
        <v>37591</v>
      </c>
      <c r="B25" s="159" t="n">
        <f aca="false">'ColGulf-LA'!AX30</f>
        <v>0</v>
      </c>
      <c r="C25" s="159" t="n">
        <f aca="false">'TGT ZSL'!AX30</f>
        <v>0</v>
      </c>
      <c r="D25" s="159" t="n">
        <f aca="false">'Transco Z3'!AX30</f>
        <v>6353426.2677029</v>
      </c>
      <c r="E25" s="159" t="n">
        <f aca="false">'Tetco ELA'!AX30</f>
        <v>0</v>
      </c>
      <c r="G25" s="159" t="n">
        <f aca="false">SUM(B25:F25)</f>
        <v>6353426.2677029</v>
      </c>
      <c r="I25" s="152" t="n">
        <f aca="false">'ColGulf-LA'!F30</f>
        <v>0</v>
      </c>
      <c r="J25" s="152" t="n">
        <f aca="false">'TGT ZSL'!F30</f>
        <v>0</v>
      </c>
      <c r="K25" s="152" t="n">
        <f aca="false">'Transco Z3'!F30</f>
        <v>1491764.79636133</v>
      </c>
      <c r="L25" s="152" t="n">
        <f aca="false">'Tetco ELA'!F30</f>
        <v>0</v>
      </c>
      <c r="N25" s="152" t="n">
        <f aca="false">SUM(I25:M25)</f>
        <v>1491764.79636133</v>
      </c>
      <c r="P25" s="161" t="n">
        <f aca="false">G25/N25</f>
        <v>4.259</v>
      </c>
    </row>
    <row r="26" customFormat="false" ht="12.75" hidden="false" customHeight="false" outlineLevel="0" collapsed="false">
      <c r="A26" s="69" t="n">
        <f aca="false">EDATE(A25,1)</f>
        <v>37622</v>
      </c>
      <c r="B26" s="159" t="n">
        <f aca="false">'ColGulf-LA'!AX31</f>
        <v>0</v>
      </c>
      <c r="C26" s="159" t="n">
        <f aca="false">'TGT ZSL'!AX31</f>
        <v>0</v>
      </c>
      <c r="D26" s="159" t="n">
        <f aca="false">'Transco Z3'!AX31</f>
        <v>6322316.4386567</v>
      </c>
      <c r="E26" s="159" t="n">
        <f aca="false">'Tetco ELA'!AX31</f>
        <v>0</v>
      </c>
      <c r="G26" s="159" t="n">
        <f aca="false">SUM(B26:F26)</f>
        <v>6322316.4386567</v>
      </c>
      <c r="I26" s="152" t="n">
        <f aca="false">'ColGulf-LA'!F31</f>
        <v>0</v>
      </c>
      <c r="J26" s="152" t="n">
        <f aca="false">'TGT ZSL'!F31</f>
        <v>0</v>
      </c>
      <c r="K26" s="152" t="n">
        <f aca="false">'Transco Z3'!F31</f>
        <v>1484460.30492057</v>
      </c>
      <c r="L26" s="152" t="n">
        <f aca="false">'Tetco ELA'!F31</f>
        <v>0</v>
      </c>
      <c r="N26" s="152" t="n">
        <f aca="false">SUM(I26:M26)</f>
        <v>1484460.30492057</v>
      </c>
      <c r="P26" s="161" t="n">
        <f aca="false">G26/N26</f>
        <v>4.259</v>
      </c>
    </row>
    <row r="27" customFormat="false" ht="12.75" hidden="false" customHeight="false" outlineLevel="0" collapsed="false">
      <c r="A27" s="69" t="n">
        <f aca="false">EDATE(A26,1)</f>
        <v>37653</v>
      </c>
      <c r="B27" s="159" t="n">
        <f aca="false">'ColGulf-LA'!AX32</f>
        <v>0</v>
      </c>
      <c r="C27" s="159" t="n">
        <f aca="false">'TGT ZSL'!AX32</f>
        <v>0</v>
      </c>
      <c r="D27" s="159" t="n">
        <f aca="false">'Transco Z3'!AX32</f>
        <v>5685200.9272975</v>
      </c>
      <c r="E27" s="159" t="n">
        <f aca="false">'Tetco ELA'!AX32</f>
        <v>0</v>
      </c>
      <c r="G27" s="159" t="n">
        <f aca="false">SUM(B27:F27)</f>
        <v>5685200.9272975</v>
      </c>
      <c r="I27" s="152" t="n">
        <f aca="false">'ColGulf-LA'!F32</f>
        <v>0</v>
      </c>
      <c r="J27" s="152" t="n">
        <f aca="false">'TGT ZSL'!F32</f>
        <v>0</v>
      </c>
      <c r="K27" s="152" t="n">
        <f aca="false">'Transco Z3'!F32</f>
        <v>1334867.55747769</v>
      </c>
      <c r="L27" s="152" t="n">
        <f aca="false">'Tetco ELA'!F32</f>
        <v>0</v>
      </c>
      <c r="N27" s="152" t="n">
        <f aca="false">SUM(I27:M27)</f>
        <v>1334867.55747769</v>
      </c>
      <c r="P27" s="161" t="n">
        <f aca="false">G27/N27</f>
        <v>4.259</v>
      </c>
    </row>
    <row r="28" customFormat="false" ht="12.75" hidden="false" customHeight="false" outlineLevel="0" collapsed="false">
      <c r="A28" s="69" t="n">
        <f aca="false">EDATE(A27,1)</f>
        <v>37681</v>
      </c>
      <c r="B28" s="159" t="n">
        <f aca="false">'ColGulf-LA'!AX33</f>
        <v>0</v>
      </c>
      <c r="C28" s="159" t="n">
        <f aca="false">'TGT ZSL'!AX33</f>
        <v>0</v>
      </c>
      <c r="D28" s="159" t="n">
        <f aca="false">'Transco Z3'!AX33</f>
        <v>6263561.50154732</v>
      </c>
      <c r="E28" s="159" t="n">
        <f aca="false">'Tetco ELA'!AX33</f>
        <v>0</v>
      </c>
      <c r="G28" s="159" t="n">
        <f aca="false">SUM(B28:F28)</f>
        <v>6263561.50154732</v>
      </c>
      <c r="I28" s="152" t="n">
        <f aca="false">'ColGulf-LA'!F33</f>
        <v>0</v>
      </c>
      <c r="J28" s="152" t="n">
        <f aca="false">'TGT ZSL'!F33</f>
        <v>0</v>
      </c>
      <c r="K28" s="152" t="n">
        <f aca="false">'Transco Z3'!F33</f>
        <v>1470664.82778758</v>
      </c>
      <c r="L28" s="152" t="n">
        <f aca="false">'Tetco ELA'!F33</f>
        <v>0</v>
      </c>
      <c r="N28" s="152" t="n">
        <f aca="false">SUM(I28:M28)</f>
        <v>1470664.82778758</v>
      </c>
      <c r="P28" s="161" t="n">
        <f aca="false">G28/N28</f>
        <v>4.259</v>
      </c>
    </row>
    <row r="29" customFormat="false" ht="12.75" hidden="false" customHeight="false" outlineLevel="0" collapsed="false">
      <c r="A29" s="69" t="n">
        <f aca="false">EDATE(A28,1)</f>
        <v>37712</v>
      </c>
      <c r="B29" s="159" t="n">
        <f aca="false">'ColGulf-LA'!AX34</f>
        <v>0</v>
      </c>
      <c r="C29" s="159" t="n">
        <f aca="false">'TGT ZSL'!AX34</f>
        <v>0</v>
      </c>
      <c r="D29" s="159" t="n">
        <f aca="false">'Transco Z3'!AX34</f>
        <v>6032966.52149374</v>
      </c>
      <c r="E29" s="159" t="n">
        <f aca="false">'Tetco ELA'!AX34</f>
        <v>0</v>
      </c>
      <c r="G29" s="159" t="n">
        <f aca="false">SUM(B29:F29)</f>
        <v>6032966.52149374</v>
      </c>
      <c r="I29" s="152" t="n">
        <f aca="false">'ColGulf-LA'!F34</f>
        <v>0</v>
      </c>
      <c r="J29" s="152" t="n">
        <f aca="false">'TGT ZSL'!F34</f>
        <v>0</v>
      </c>
      <c r="K29" s="152" t="n">
        <f aca="false">'Transco Z3'!F34</f>
        <v>1547192.1938537</v>
      </c>
      <c r="L29" s="152" t="n">
        <f aca="false">'Tetco ELA'!F34</f>
        <v>0</v>
      </c>
      <c r="N29" s="152" t="n">
        <f aca="false">SUM(I29:M29)</f>
        <v>1547192.1938537</v>
      </c>
      <c r="P29" s="161" t="n">
        <f aca="false">G29/N29</f>
        <v>3.8993</v>
      </c>
    </row>
    <row r="30" customFormat="false" ht="12.75" hidden="false" customHeight="false" outlineLevel="0" collapsed="false">
      <c r="A30" s="69" t="n">
        <f aca="false">EDATE(A29,1)</f>
        <v>37742</v>
      </c>
      <c r="B30" s="159" t="n">
        <f aca="false">'ColGulf-LA'!AX35</f>
        <v>0</v>
      </c>
      <c r="C30" s="159" t="n">
        <f aca="false">'TGT ZSL'!AX35</f>
        <v>0</v>
      </c>
      <c r="D30" s="159" t="n">
        <f aca="false">'Transco Z3'!AX35</f>
        <v>6203705.85348742</v>
      </c>
      <c r="E30" s="159" t="n">
        <f aca="false">'Tetco ELA'!AX35</f>
        <v>0</v>
      </c>
      <c r="G30" s="159" t="n">
        <f aca="false">SUM(B30:F30)</f>
        <v>6203705.85348742</v>
      </c>
      <c r="I30" s="152" t="n">
        <f aca="false">'ColGulf-LA'!F35</f>
        <v>0</v>
      </c>
      <c r="J30" s="152" t="n">
        <f aca="false">'TGT ZSL'!F35</f>
        <v>0</v>
      </c>
      <c r="K30" s="152" t="n">
        <f aca="false">'Transco Z3'!F35</f>
        <v>1590979.36898608</v>
      </c>
      <c r="L30" s="152" t="n">
        <f aca="false">'Tetco ELA'!F35</f>
        <v>0</v>
      </c>
      <c r="N30" s="152" t="n">
        <f aca="false">SUM(I30:M30)</f>
        <v>1590979.36898608</v>
      </c>
      <c r="P30" s="161" t="n">
        <f aca="false">G30/N30</f>
        <v>3.8993</v>
      </c>
    </row>
    <row r="31" customFormat="false" ht="12.75" hidden="false" customHeight="false" outlineLevel="0" collapsed="false">
      <c r="A31" s="69" t="n">
        <f aca="false">EDATE(A30,1)</f>
        <v>37773</v>
      </c>
      <c r="B31" s="159" t="n">
        <f aca="false">'ColGulf-LA'!AX36</f>
        <v>0</v>
      </c>
      <c r="C31" s="159" t="n">
        <f aca="false">'TGT ZSL'!AX36</f>
        <v>0</v>
      </c>
      <c r="D31" s="159" t="n">
        <f aca="false">'Transco Z3'!AX36</f>
        <v>5975228.8631958</v>
      </c>
      <c r="E31" s="159" t="n">
        <f aca="false">'Tetco ELA'!AX36</f>
        <v>0</v>
      </c>
      <c r="G31" s="159" t="n">
        <f aca="false">SUM(B31:F31)</f>
        <v>5975228.8631958</v>
      </c>
      <c r="I31" s="152" t="n">
        <f aca="false">'ColGulf-LA'!F36</f>
        <v>0</v>
      </c>
      <c r="J31" s="152" t="n">
        <f aca="false">'TGT ZSL'!F36</f>
        <v>0</v>
      </c>
      <c r="K31" s="152" t="n">
        <f aca="false">'Transco Z3'!F36</f>
        <v>1532385.00838504</v>
      </c>
      <c r="L31" s="152" t="n">
        <f aca="false">'Tetco ELA'!F36</f>
        <v>0</v>
      </c>
      <c r="N31" s="152" t="n">
        <f aca="false">SUM(I31:M31)</f>
        <v>1532385.00838504</v>
      </c>
      <c r="P31" s="161" t="n">
        <f aca="false">G31/N31</f>
        <v>3.8993</v>
      </c>
    </row>
    <row r="32" customFormat="false" ht="12.75" hidden="false" customHeight="false" outlineLevel="0" collapsed="false">
      <c r="A32" s="69" t="n">
        <f aca="false">EDATE(A31,1)</f>
        <v>37803</v>
      </c>
      <c r="B32" s="159" t="n">
        <f aca="false">'ColGulf-LA'!AX37</f>
        <v>0</v>
      </c>
      <c r="C32" s="159" t="n">
        <f aca="false">'TGT ZSL'!AX37</f>
        <v>0</v>
      </c>
      <c r="D32" s="159" t="n">
        <f aca="false">'Transco Z3'!AX37</f>
        <v>6144173.98432095</v>
      </c>
      <c r="E32" s="159" t="n">
        <f aca="false">'Tetco ELA'!AX37</f>
        <v>0</v>
      </c>
      <c r="G32" s="159" t="n">
        <f aca="false">SUM(B32:F32)</f>
        <v>6144173.98432095</v>
      </c>
      <c r="I32" s="152" t="n">
        <f aca="false">'ColGulf-LA'!F37</f>
        <v>0</v>
      </c>
      <c r="J32" s="152" t="n">
        <f aca="false">'TGT ZSL'!F37</f>
        <v>0</v>
      </c>
      <c r="K32" s="152" t="n">
        <f aca="false">'Transco Z3'!F37</f>
        <v>1575712.04685994</v>
      </c>
      <c r="L32" s="152" t="n">
        <f aca="false">'Tetco ELA'!F37</f>
        <v>0</v>
      </c>
      <c r="N32" s="152" t="n">
        <f aca="false">SUM(I32:M32)</f>
        <v>1575712.04685994</v>
      </c>
      <c r="P32" s="161" t="n">
        <f aca="false">G32/N32</f>
        <v>3.8993</v>
      </c>
    </row>
    <row r="33" customFormat="false" ht="12.75" hidden="false" customHeight="false" outlineLevel="0" collapsed="false">
      <c r="A33" s="69" t="n">
        <f aca="false">EDATE(A32,1)</f>
        <v>37834</v>
      </c>
      <c r="B33" s="159" t="n">
        <f aca="false">'ColGulf-LA'!AX38</f>
        <v>0</v>
      </c>
      <c r="C33" s="159" t="n">
        <f aca="false">'TGT ZSL'!AX38</f>
        <v>0</v>
      </c>
      <c r="D33" s="159" t="n">
        <f aca="false">'Transco Z3'!AX38</f>
        <v>6114078.31014343</v>
      </c>
      <c r="E33" s="159" t="n">
        <f aca="false">'Tetco ELA'!AX38</f>
        <v>0</v>
      </c>
      <c r="G33" s="159" t="n">
        <f aca="false">SUM(B33:F33)</f>
        <v>6114078.31014343</v>
      </c>
      <c r="I33" s="152" t="n">
        <f aca="false">'ColGulf-LA'!F38</f>
        <v>0</v>
      </c>
      <c r="J33" s="152" t="n">
        <f aca="false">'TGT ZSL'!F38</f>
        <v>0</v>
      </c>
      <c r="K33" s="152" t="n">
        <f aca="false">'Transco Z3'!F38</f>
        <v>1567993.82200483</v>
      </c>
      <c r="L33" s="152" t="n">
        <f aca="false">'Tetco ELA'!F38</f>
        <v>0</v>
      </c>
      <c r="N33" s="152" t="n">
        <f aca="false">SUM(I33:M33)</f>
        <v>1567993.82200483</v>
      </c>
      <c r="P33" s="161" t="n">
        <f aca="false">G33/N33</f>
        <v>3.8993</v>
      </c>
    </row>
    <row r="34" customFormat="false" ht="12.75" hidden="false" customHeight="false" outlineLevel="0" collapsed="false">
      <c r="A34" s="69" t="n">
        <f aca="false">EDATE(A33,1)</f>
        <v>37865</v>
      </c>
      <c r="B34" s="159" t="n">
        <f aca="false">'ColGulf-LA'!AX39</f>
        <v>0</v>
      </c>
      <c r="C34" s="159" t="n">
        <f aca="false">'TGT ZSL'!AX39</f>
        <v>0</v>
      </c>
      <c r="D34" s="159" t="n">
        <f aca="false">'Transco Z3'!AX39</f>
        <v>5888749.29076083</v>
      </c>
      <c r="E34" s="159" t="n">
        <f aca="false">'Tetco ELA'!AX39</f>
        <v>0</v>
      </c>
      <c r="G34" s="159" t="n">
        <f aca="false">SUM(B34:F34)</f>
        <v>5888749.29076083</v>
      </c>
      <c r="I34" s="152" t="n">
        <f aca="false">'ColGulf-LA'!F39</f>
        <v>0</v>
      </c>
      <c r="J34" s="152" t="n">
        <f aca="false">'TGT ZSL'!F39</f>
        <v>0</v>
      </c>
      <c r="K34" s="152" t="n">
        <f aca="false">'Transco Z3'!F39</f>
        <v>1510206.77833478</v>
      </c>
      <c r="L34" s="152" t="n">
        <f aca="false">'Tetco ELA'!F39</f>
        <v>0</v>
      </c>
      <c r="N34" s="152" t="n">
        <f aca="false">SUM(I34:M34)</f>
        <v>1510206.77833478</v>
      </c>
      <c r="P34" s="161" t="n">
        <f aca="false">G34/N34</f>
        <v>3.8993</v>
      </c>
    </row>
    <row r="35" customFormat="false" ht="12.75" hidden="false" customHeight="false" outlineLevel="0" collapsed="false">
      <c r="A35" s="69" t="n">
        <f aca="false">EDATE(A34,1)</f>
        <v>37895</v>
      </c>
      <c r="B35" s="159" t="n">
        <f aca="false">'ColGulf-LA'!AX40</f>
        <v>0</v>
      </c>
      <c r="C35" s="159" t="n">
        <f aca="false">'TGT ZSL'!AX40</f>
        <v>0</v>
      </c>
      <c r="D35" s="159" t="n">
        <f aca="false">'Transco Z3'!AX40</f>
        <v>6055113.62247499</v>
      </c>
      <c r="E35" s="159" t="n">
        <f aca="false">'Tetco ELA'!AX40</f>
        <v>0</v>
      </c>
      <c r="G35" s="159" t="n">
        <f aca="false">SUM(B35:F35)</f>
        <v>6055113.62247499</v>
      </c>
      <c r="I35" s="152" t="n">
        <f aca="false">'ColGulf-LA'!F40</f>
        <v>0</v>
      </c>
      <c r="J35" s="152" t="n">
        <f aca="false">'TGT ZSL'!F40</f>
        <v>0</v>
      </c>
      <c r="K35" s="152" t="n">
        <f aca="false">'Transco Z3'!F40</f>
        <v>1552871.95713974</v>
      </c>
      <c r="L35" s="152" t="n">
        <f aca="false">'Tetco ELA'!F40</f>
        <v>0</v>
      </c>
      <c r="N35" s="152" t="n">
        <f aca="false">SUM(I35:M35)</f>
        <v>1552871.95713974</v>
      </c>
      <c r="P35" s="161" t="n">
        <f aca="false">G35/N35</f>
        <v>3.8993</v>
      </c>
    </row>
    <row r="36" customFormat="false" ht="12.75" hidden="false" customHeight="false" outlineLevel="0" collapsed="false">
      <c r="A36" s="69" t="n">
        <f aca="false">EDATE(A35,1)</f>
        <v>37926</v>
      </c>
      <c r="B36" s="159" t="n">
        <f aca="false">'ColGulf-LA'!AX41</f>
        <v>0</v>
      </c>
      <c r="C36" s="159" t="n">
        <f aca="false">'TGT ZSL'!AX41</f>
        <v>0</v>
      </c>
      <c r="D36" s="159" t="n">
        <f aca="false">'Transco Z3'!AX41</f>
        <v>5831877.2633001</v>
      </c>
      <c r="E36" s="159" t="n">
        <f aca="false">'Tetco ELA'!AX41</f>
        <v>0</v>
      </c>
      <c r="G36" s="159" t="n">
        <f aca="false">SUM(B36:F36)</f>
        <v>5831877.2633001</v>
      </c>
      <c r="I36" s="152" t="n">
        <f aca="false">'ColGulf-LA'!F41</f>
        <v>0</v>
      </c>
      <c r="J36" s="152" t="n">
        <f aca="false">'TGT ZSL'!F41</f>
        <v>0</v>
      </c>
      <c r="K36" s="152" t="n">
        <f aca="false">'Transco Z3'!F41</f>
        <v>1495621.58933657</v>
      </c>
      <c r="L36" s="152" t="n">
        <f aca="false">'Tetco ELA'!F41</f>
        <v>0</v>
      </c>
      <c r="N36" s="152" t="n">
        <f aca="false">SUM(I36:M36)</f>
        <v>1495621.58933657</v>
      </c>
      <c r="P36" s="161" t="n">
        <f aca="false">G36/N36</f>
        <v>3.8993</v>
      </c>
    </row>
    <row r="37" customFormat="false" ht="12.75" hidden="false" customHeight="false" outlineLevel="0" collapsed="false">
      <c r="A37" s="69" t="n">
        <f aca="false">EDATE(A36,1)</f>
        <v>37956</v>
      </c>
      <c r="B37" s="159" t="n">
        <f aca="false">'ColGulf-LA'!AX42</f>
        <v>0</v>
      </c>
      <c r="C37" s="159" t="n">
        <f aca="false">'TGT ZSL'!AX42</f>
        <v>0</v>
      </c>
      <c r="D37" s="159" t="n">
        <f aca="false">'Transco Z3'!AX42</f>
        <v>5996421.81329976</v>
      </c>
      <c r="E37" s="159" t="n">
        <f aca="false">'Tetco ELA'!AX42</f>
        <v>0</v>
      </c>
      <c r="G37" s="159" t="n">
        <f aca="false">SUM(B37:F37)</f>
        <v>5996421.81329976</v>
      </c>
      <c r="I37" s="152" t="n">
        <f aca="false">'ColGulf-LA'!F42</f>
        <v>0</v>
      </c>
      <c r="J37" s="152" t="n">
        <f aca="false">'TGT ZSL'!F42</f>
        <v>0</v>
      </c>
      <c r="K37" s="152" t="n">
        <f aca="false">'Transco Z3'!F42</f>
        <v>1537820.07367983</v>
      </c>
      <c r="L37" s="152" t="n">
        <f aca="false">'Tetco ELA'!F42</f>
        <v>0</v>
      </c>
      <c r="N37" s="152" t="n">
        <f aca="false">SUM(I37:M37)</f>
        <v>1537820.07367983</v>
      </c>
      <c r="P37" s="161" t="n">
        <f aca="false">G37/N37</f>
        <v>3.8993</v>
      </c>
    </row>
    <row r="38" customFormat="false" ht="12.75" hidden="false" customHeight="false" outlineLevel="0" collapsed="false">
      <c r="A38" s="69" t="n">
        <f aca="false">EDATE(A37,1)</f>
        <v>37987</v>
      </c>
      <c r="B38" s="159" t="n">
        <f aca="false">'ColGulf-LA'!AX43</f>
        <v>0</v>
      </c>
      <c r="C38" s="159" t="n">
        <f aca="false">'TGT ZSL'!AX43</f>
        <v>0</v>
      </c>
      <c r="D38" s="159" t="n">
        <f aca="false">'Transco Z3'!AX43</f>
        <v>5966498.82578305</v>
      </c>
      <c r="E38" s="159" t="n">
        <f aca="false">'Tetco ELA'!AX43</f>
        <v>0</v>
      </c>
      <c r="G38" s="159" t="n">
        <f aca="false">SUM(B38:F38)</f>
        <v>5966498.82578305</v>
      </c>
      <c r="I38" s="152" t="n">
        <f aca="false">'ColGulf-LA'!F43</f>
        <v>0</v>
      </c>
      <c r="J38" s="152" t="n">
        <f aca="false">'TGT ZSL'!F43</f>
        <v>0</v>
      </c>
      <c r="K38" s="152" t="n">
        <f aca="false">'Transco Z3'!F43</f>
        <v>1530146.13540457</v>
      </c>
      <c r="L38" s="152" t="n">
        <f aca="false">'Tetco ELA'!F43</f>
        <v>0</v>
      </c>
      <c r="N38" s="152" t="n">
        <f aca="false">SUM(I38:M38)</f>
        <v>1530146.13540457</v>
      </c>
      <c r="P38" s="161" t="n">
        <f aca="false">G38/N38</f>
        <v>3.8993</v>
      </c>
    </row>
    <row r="39" customFormat="false" ht="12.75" hidden="false" customHeight="false" outlineLevel="0" collapsed="false">
      <c r="A39" s="69" t="n">
        <f aca="false">EDATE(A38,1)</f>
        <v>38018</v>
      </c>
      <c r="B39" s="159" t="n">
        <f aca="false">'ColGulf-LA'!AX44</f>
        <v>0</v>
      </c>
      <c r="C39" s="159" t="n">
        <f aca="false">'TGT ZSL'!AX44</f>
        <v>0</v>
      </c>
      <c r="D39" s="159" t="n">
        <f aca="false">'Transco Z3'!AX44</f>
        <v>5555470.30165637</v>
      </c>
      <c r="E39" s="159" t="n">
        <f aca="false">'Tetco ELA'!AX44</f>
        <v>0</v>
      </c>
      <c r="G39" s="159" t="n">
        <f aca="false">SUM(B39:F39)</f>
        <v>5555470.30165637</v>
      </c>
      <c r="I39" s="152" t="n">
        <f aca="false">'ColGulf-LA'!F44</f>
        <v>0</v>
      </c>
      <c r="J39" s="152" t="n">
        <f aca="false">'TGT ZSL'!F44</f>
        <v>0</v>
      </c>
      <c r="K39" s="152" t="n">
        <f aca="false">'Transco Z3'!F44</f>
        <v>1424735.28624532</v>
      </c>
      <c r="L39" s="152" t="n">
        <f aca="false">'Tetco ELA'!F44</f>
        <v>0</v>
      </c>
      <c r="N39" s="152" t="n">
        <f aca="false">SUM(I39:M39)</f>
        <v>1424735.28624532</v>
      </c>
      <c r="P39" s="161" t="n">
        <f aca="false">G39/N39</f>
        <v>3.8993</v>
      </c>
    </row>
    <row r="40" customFormat="false" ht="12.75" hidden="false" customHeight="false" outlineLevel="0" collapsed="false">
      <c r="A40" s="69" t="n">
        <f aca="false">EDATE(A39,1)</f>
        <v>38047</v>
      </c>
      <c r="B40" s="159" t="n">
        <f aca="false">'ColGulf-LA'!AX45</f>
        <v>0</v>
      </c>
      <c r="C40" s="159" t="n">
        <f aca="false">'TGT ZSL'!AX45</f>
        <v>0</v>
      </c>
      <c r="D40" s="159" t="n">
        <f aca="false">'Transco Z3'!AX45</f>
        <v>5909054.70274192</v>
      </c>
      <c r="E40" s="159" t="n">
        <f aca="false">'Tetco ELA'!AX45</f>
        <v>0</v>
      </c>
      <c r="G40" s="159" t="n">
        <f aca="false">SUM(B40:F40)</f>
        <v>5909054.70274192</v>
      </c>
      <c r="I40" s="152" t="n">
        <f aca="false">'ColGulf-LA'!F45</f>
        <v>0</v>
      </c>
      <c r="J40" s="152" t="n">
        <f aca="false">'TGT ZSL'!F45</f>
        <v>0</v>
      </c>
      <c r="K40" s="152" t="n">
        <f aca="false">'Transco Z3'!F45</f>
        <v>1515414.22889799</v>
      </c>
      <c r="L40" s="152" t="n">
        <f aca="false">'Tetco ELA'!F45</f>
        <v>0</v>
      </c>
      <c r="N40" s="152" t="n">
        <f aca="false">SUM(I40:M40)</f>
        <v>1515414.22889799</v>
      </c>
      <c r="P40" s="161" t="n">
        <f aca="false">G40/N40</f>
        <v>3.8993</v>
      </c>
    </row>
    <row r="41" customFormat="false" ht="12.75" hidden="false" customHeight="false" outlineLevel="0" collapsed="false">
      <c r="A41" s="69" t="n">
        <f aca="false">EDATE(A40,1)</f>
        <v>38078</v>
      </c>
      <c r="B41" s="159" t="n">
        <f aca="false">'ColGulf-LA'!AX46</f>
        <v>0</v>
      </c>
      <c r="C41" s="159" t="n">
        <f aca="false">'TGT ZSL'!AX46</f>
        <v>0</v>
      </c>
      <c r="D41" s="159" t="n">
        <f aca="false">'Transco Z3'!AX46</f>
        <v>5690953.91495168</v>
      </c>
      <c r="E41" s="159" t="n">
        <f aca="false">'Tetco ELA'!AX46</f>
        <v>0</v>
      </c>
      <c r="G41" s="159" t="n">
        <f aca="false">SUM(B41:F41)</f>
        <v>5690953.91495168</v>
      </c>
      <c r="I41" s="152" t="n">
        <f aca="false">'ColGulf-LA'!F46</f>
        <v>0</v>
      </c>
      <c r="J41" s="152" t="n">
        <f aca="false">'TGT ZSL'!F46</f>
        <v>0</v>
      </c>
      <c r="K41" s="152" t="n">
        <f aca="false">'Transco Z3'!F46</f>
        <v>1501412.49339164</v>
      </c>
      <c r="L41" s="152" t="n">
        <f aca="false">'Tetco ELA'!F46</f>
        <v>0</v>
      </c>
      <c r="N41" s="152" t="n">
        <f aca="false">SUM(I41:M41)</f>
        <v>1501412.49339164</v>
      </c>
      <c r="P41" s="161" t="n">
        <f aca="false">G41/N41</f>
        <v>3.7904</v>
      </c>
    </row>
    <row r="42" customFormat="false" ht="12.75" hidden="false" customHeight="false" outlineLevel="0" collapsed="false">
      <c r="A42" s="69" t="n">
        <f aca="false">EDATE(A41,1)</f>
        <v>38108</v>
      </c>
      <c r="B42" s="159" t="n">
        <f aca="false">'ColGulf-LA'!AX47</f>
        <v>0</v>
      </c>
      <c r="C42" s="159" t="n">
        <f aca="false">'TGT ZSL'!AX47</f>
        <v>0</v>
      </c>
      <c r="D42" s="159" t="n">
        <f aca="false">'Transco Z3'!AX47</f>
        <v>5851508.93783891</v>
      </c>
      <c r="E42" s="159" t="n">
        <f aca="false">'Tetco ELA'!AX47</f>
        <v>0</v>
      </c>
      <c r="G42" s="159" t="n">
        <f aca="false">SUM(B42:F42)</f>
        <v>5851508.93783891</v>
      </c>
      <c r="I42" s="152" t="n">
        <f aca="false">'ColGulf-LA'!F47</f>
        <v>0</v>
      </c>
      <c r="J42" s="152" t="n">
        <f aca="false">'TGT ZSL'!F47</f>
        <v>0</v>
      </c>
      <c r="K42" s="152" t="n">
        <f aca="false">'Transco Z3'!F47</f>
        <v>1543770.82572787</v>
      </c>
      <c r="L42" s="152" t="n">
        <f aca="false">'Tetco ELA'!F47</f>
        <v>0</v>
      </c>
      <c r="N42" s="152" t="n">
        <f aca="false">SUM(I42:M42)</f>
        <v>1543770.82572787</v>
      </c>
      <c r="P42" s="161" t="n">
        <f aca="false">G42/N42</f>
        <v>3.7904</v>
      </c>
    </row>
    <row r="43" customFormat="false" ht="12.75" hidden="false" customHeight="false" outlineLevel="0" collapsed="false">
      <c r="A43" s="69" t="n">
        <f aca="false">EDATE(A42,1)</f>
        <v>38139</v>
      </c>
      <c r="B43" s="159" t="n">
        <f aca="false">'ColGulf-LA'!AX48</f>
        <v>0</v>
      </c>
      <c r="C43" s="159" t="n">
        <f aca="false">'TGT ZSL'!AX48</f>
        <v>0</v>
      </c>
      <c r="D43" s="159" t="n">
        <f aca="false">'Transco Z3'!AX48</f>
        <v>5635535.41158188</v>
      </c>
      <c r="E43" s="159" t="n">
        <f aca="false">'Tetco ELA'!AX48</f>
        <v>0</v>
      </c>
      <c r="G43" s="159" t="n">
        <f aca="false">SUM(B43:F43)</f>
        <v>5635535.41158188</v>
      </c>
      <c r="I43" s="152" t="n">
        <f aca="false">'ColGulf-LA'!F48</f>
        <v>0</v>
      </c>
      <c r="J43" s="152" t="n">
        <f aca="false">'TGT ZSL'!F48</f>
        <v>0</v>
      </c>
      <c r="K43" s="152" t="n">
        <f aca="false">'Transco Z3'!F48</f>
        <v>1486791.74007542</v>
      </c>
      <c r="L43" s="152" t="n">
        <f aca="false">'Tetco ELA'!F48</f>
        <v>0</v>
      </c>
      <c r="N43" s="152" t="n">
        <f aca="false">SUM(I43:M43)</f>
        <v>1486791.74007542</v>
      </c>
      <c r="P43" s="161" t="n">
        <f aca="false">G43/N43</f>
        <v>3.7904</v>
      </c>
    </row>
    <row r="44" customFormat="false" ht="12.75" hidden="false" customHeight="false" outlineLevel="0" collapsed="false">
      <c r="A44" s="69" t="n">
        <f aca="false">EDATE(A43,1)</f>
        <v>38169</v>
      </c>
      <c r="B44" s="159" t="n">
        <f aca="false">'ColGulf-LA'!AX49</f>
        <v>0</v>
      </c>
      <c r="C44" s="159" t="n">
        <f aca="false">'TGT ZSL'!AX49</f>
        <v>0</v>
      </c>
      <c r="D44" s="159" t="n">
        <f aca="false">'Transco Z3'!AX49</f>
        <v>5794405.70260872</v>
      </c>
      <c r="E44" s="159" t="n">
        <f aca="false">'Tetco ELA'!AX49</f>
        <v>0</v>
      </c>
      <c r="G44" s="159" t="n">
        <f aca="false">SUM(B44:F44)</f>
        <v>5794405.70260872</v>
      </c>
      <c r="I44" s="152" t="n">
        <f aca="false">'ColGulf-LA'!F49</f>
        <v>0</v>
      </c>
      <c r="J44" s="152" t="n">
        <f aca="false">'TGT ZSL'!F49</f>
        <v>0</v>
      </c>
      <c r="K44" s="152" t="n">
        <f aca="false">'Transco Z3'!F49</f>
        <v>1528705.59904198</v>
      </c>
      <c r="L44" s="152" t="n">
        <f aca="false">'Tetco ELA'!F49</f>
        <v>0</v>
      </c>
      <c r="N44" s="152" t="n">
        <f aca="false">SUM(I44:M44)</f>
        <v>1528705.59904198</v>
      </c>
      <c r="P44" s="161" t="n">
        <f aca="false">G44/N44</f>
        <v>3.7904</v>
      </c>
    </row>
    <row r="45" customFormat="false" ht="12.75" hidden="false" customHeight="false" outlineLevel="0" collapsed="false">
      <c r="A45" s="69" t="n">
        <f aca="false">EDATE(A44,1)</f>
        <v>38200</v>
      </c>
      <c r="B45" s="159" t="n">
        <f aca="false">'ColGulf-LA'!AX50</f>
        <v>0</v>
      </c>
      <c r="C45" s="159" t="n">
        <f aca="false">'TGT ZSL'!AX50</f>
        <v>0</v>
      </c>
      <c r="D45" s="159" t="n">
        <f aca="false">'Transco Z3'!AX50</f>
        <v>5765543.82255491</v>
      </c>
      <c r="E45" s="159" t="n">
        <f aca="false">'Tetco ELA'!AX50</f>
        <v>0</v>
      </c>
      <c r="G45" s="159" t="n">
        <f aca="false">SUM(B45:F45)</f>
        <v>5765543.82255491</v>
      </c>
      <c r="I45" s="152" t="n">
        <f aca="false">'ColGulf-LA'!F50</f>
        <v>0</v>
      </c>
      <c r="J45" s="152" t="n">
        <f aca="false">'TGT ZSL'!F50</f>
        <v>0</v>
      </c>
      <c r="K45" s="152" t="n">
        <f aca="false">'Transco Z3'!F50</f>
        <v>1521091.13089777</v>
      </c>
      <c r="L45" s="152" t="n">
        <f aca="false">'Tetco ELA'!F50</f>
        <v>0</v>
      </c>
      <c r="N45" s="152" t="n">
        <f aca="false">SUM(I45:M45)</f>
        <v>1521091.13089777</v>
      </c>
      <c r="P45" s="161" t="n">
        <f aca="false">G45/N45</f>
        <v>3.7904</v>
      </c>
    </row>
    <row r="46" customFormat="false" ht="12.75" hidden="false" customHeight="false" outlineLevel="0" collapsed="false">
      <c r="A46" s="69" t="n">
        <f aca="false">EDATE(A45,1)</f>
        <v>38231</v>
      </c>
      <c r="B46" s="159" t="n">
        <f aca="false">'ColGulf-LA'!AX51</f>
        <v>0</v>
      </c>
      <c r="C46" s="159" t="n">
        <f aca="false">'TGT ZSL'!AX51</f>
        <v>0</v>
      </c>
      <c r="D46" s="159" t="n">
        <f aca="false">'Transco Z3'!AX51</f>
        <v>5552614.32060305</v>
      </c>
      <c r="E46" s="159" t="n">
        <f aca="false">'Tetco ELA'!AX51</f>
        <v>0</v>
      </c>
      <c r="G46" s="159" t="n">
        <f aca="false">SUM(B46:F46)</f>
        <v>5552614.32060305</v>
      </c>
      <c r="I46" s="152" t="n">
        <f aca="false">'ColGulf-LA'!F51</f>
        <v>0</v>
      </c>
      <c r="J46" s="152" t="n">
        <f aca="false">'TGT ZSL'!F51</f>
        <v>0</v>
      </c>
      <c r="K46" s="152" t="n">
        <f aca="false">'Transco Z3'!F51</f>
        <v>1464915.1331266</v>
      </c>
      <c r="L46" s="152" t="n">
        <f aca="false">'Tetco ELA'!F51</f>
        <v>0</v>
      </c>
      <c r="N46" s="152" t="n">
        <f aca="false">SUM(I46:M46)</f>
        <v>1464915.1331266</v>
      </c>
      <c r="P46" s="161" t="n">
        <f aca="false">G46/N46</f>
        <v>3.7904</v>
      </c>
    </row>
    <row r="47" customFormat="false" ht="12.75" hidden="false" customHeight="false" outlineLevel="0" collapsed="false">
      <c r="A47" s="69" t="n">
        <f aca="false">EDATE(A46,1)</f>
        <v>38261</v>
      </c>
      <c r="B47" s="159" t="n">
        <f aca="false">'ColGulf-LA'!AX52</f>
        <v>0</v>
      </c>
      <c r="C47" s="159" t="n">
        <f aca="false">'TGT ZSL'!AX52</f>
        <v>0</v>
      </c>
      <c r="D47" s="159" t="n">
        <f aca="false">'Transco Z3'!AX52</f>
        <v>5709022.62518425</v>
      </c>
      <c r="E47" s="159" t="n">
        <f aca="false">'Tetco ELA'!AX52</f>
        <v>0</v>
      </c>
      <c r="G47" s="159" t="n">
        <f aca="false">SUM(B47:F47)</f>
        <v>5709022.62518425</v>
      </c>
      <c r="I47" s="152" t="n">
        <f aca="false">'ColGulf-LA'!F52</f>
        <v>0</v>
      </c>
      <c r="J47" s="152" t="n">
        <f aca="false">'TGT ZSL'!F52</f>
        <v>0</v>
      </c>
      <c r="K47" s="152" t="n">
        <f aca="false">'Transco Z3'!F52</f>
        <v>1506179.46000007</v>
      </c>
      <c r="L47" s="152" t="n">
        <f aca="false">'Tetco ELA'!F52</f>
        <v>0</v>
      </c>
      <c r="N47" s="152" t="n">
        <f aca="false">SUM(I47:M47)</f>
        <v>1506179.46000007</v>
      </c>
      <c r="P47" s="161" t="n">
        <f aca="false">G47/N47</f>
        <v>3.7904</v>
      </c>
    </row>
    <row r="48" customFormat="false" ht="12.75" hidden="false" customHeight="false" outlineLevel="0" collapsed="false">
      <c r="A48" s="69" t="n">
        <f aca="false">EDATE(A47,1)</f>
        <v>38292</v>
      </c>
      <c r="B48" s="159" t="n">
        <f aca="false">'ColGulf-LA'!AX53</f>
        <v>0</v>
      </c>
      <c r="C48" s="159" t="n">
        <f aca="false">'TGT ZSL'!AX53</f>
        <v>0</v>
      </c>
      <c r="D48" s="159" t="n">
        <f aca="false">'Transco Z3'!AX53</f>
        <v>5498109.38494779</v>
      </c>
      <c r="E48" s="159" t="n">
        <f aca="false">'Tetco ELA'!AX53</f>
        <v>0</v>
      </c>
      <c r="G48" s="159" t="n">
        <f aca="false">SUM(B48:F48)</f>
        <v>5498109.38494779</v>
      </c>
      <c r="I48" s="152" t="n">
        <f aca="false">'ColGulf-LA'!F53</f>
        <v>0</v>
      </c>
      <c r="J48" s="152" t="n">
        <f aca="false">'TGT ZSL'!F53</f>
        <v>0</v>
      </c>
      <c r="K48" s="152" t="n">
        <f aca="false">'Transco Z3'!F53</f>
        <v>1450535.40126314</v>
      </c>
      <c r="L48" s="152" t="n">
        <f aca="false">'Tetco ELA'!F53</f>
        <v>0</v>
      </c>
      <c r="N48" s="152" t="n">
        <f aca="false">SUM(I48:M48)</f>
        <v>1450535.40126314</v>
      </c>
      <c r="P48" s="161" t="n">
        <f aca="false">G48/N48</f>
        <v>3.7904</v>
      </c>
    </row>
    <row r="49" customFormat="false" ht="12.75" hidden="false" customHeight="false" outlineLevel="0" collapsed="false">
      <c r="A49" s="69" t="n">
        <f aca="false">EDATE(A48,1)</f>
        <v>38322</v>
      </c>
      <c r="B49" s="159" t="n">
        <f aca="false">'ColGulf-LA'!AX54</f>
        <v>0</v>
      </c>
      <c r="C49" s="159" t="n">
        <f aca="false">'TGT ZSL'!AX54</f>
        <v>0</v>
      </c>
      <c r="D49" s="159" t="n">
        <f aca="false">'Transco Z3'!AX54</f>
        <v>5652746.77724789</v>
      </c>
      <c r="E49" s="159" t="n">
        <f aca="false">'Tetco ELA'!AX54</f>
        <v>0</v>
      </c>
      <c r="G49" s="159" t="n">
        <f aca="false">SUM(B49:F49)</f>
        <v>5652746.77724789</v>
      </c>
      <c r="I49" s="152" t="n">
        <f aca="false">'ColGulf-LA'!F54</f>
        <v>0</v>
      </c>
      <c r="J49" s="152" t="n">
        <f aca="false">'TGT ZSL'!F54</f>
        <v>0</v>
      </c>
      <c r="K49" s="152" t="n">
        <f aca="false">'Transco Z3'!F54</f>
        <v>1491332.51826928</v>
      </c>
      <c r="L49" s="152" t="n">
        <f aca="false">'Tetco ELA'!F54</f>
        <v>0</v>
      </c>
      <c r="N49" s="152" t="n">
        <f aca="false">SUM(I49:M49)</f>
        <v>1491332.51826928</v>
      </c>
      <c r="P49" s="161" t="n">
        <f aca="false">G49/N49</f>
        <v>3.7904</v>
      </c>
    </row>
    <row r="50" customFormat="false" ht="12.75" hidden="false" customHeight="false" outlineLevel="0" collapsed="false">
      <c r="A50" s="69" t="n">
        <f aca="false">EDATE(A49,1)</f>
        <v>38353</v>
      </c>
      <c r="B50" s="159" t="n">
        <f aca="false">'ColGulf-LA'!AX55</f>
        <v>0</v>
      </c>
      <c r="C50" s="159" t="n">
        <f aca="false">'TGT ZSL'!AX55</f>
        <v>0</v>
      </c>
      <c r="D50" s="159" t="n">
        <f aca="false">'Transco Z3'!AX55</f>
        <v>5624071.03011289</v>
      </c>
      <c r="E50" s="159" t="n">
        <f aca="false">'Tetco ELA'!AX55</f>
        <v>0</v>
      </c>
      <c r="G50" s="159" t="n">
        <f aca="false">SUM(B50:F50)</f>
        <v>5624071.03011289</v>
      </c>
      <c r="I50" s="152" t="n">
        <f aca="false">'ColGulf-LA'!F55</f>
        <v>0</v>
      </c>
      <c r="J50" s="152" t="n">
        <f aca="false">'TGT ZSL'!F55</f>
        <v>0</v>
      </c>
      <c r="K50" s="152" t="n">
        <f aca="false">'Transco Z3'!F55</f>
        <v>1483767.15653042</v>
      </c>
      <c r="L50" s="152" t="n">
        <f aca="false">'Tetco ELA'!F55</f>
        <v>0</v>
      </c>
      <c r="N50" s="152" t="n">
        <f aca="false">SUM(I50:M50)</f>
        <v>1483767.15653042</v>
      </c>
      <c r="P50" s="161" t="n">
        <f aca="false">G50/N50</f>
        <v>3.7904</v>
      </c>
    </row>
    <row r="51" customFormat="false" ht="12.75" hidden="false" customHeight="false" outlineLevel="0" collapsed="false">
      <c r="A51" s="69" t="n">
        <f aca="false">EDATE(A50,1)</f>
        <v>38384</v>
      </c>
      <c r="B51" s="159" t="n">
        <f aca="false">'ColGulf-LA'!AX56</f>
        <v>0</v>
      </c>
      <c r="C51" s="159" t="n">
        <f aca="false">'TGT ZSL'!AX56</f>
        <v>0</v>
      </c>
      <c r="D51" s="159" t="n">
        <f aca="false">'Transco Z3'!AX56</f>
        <v>5056493.57740044</v>
      </c>
      <c r="E51" s="159" t="n">
        <f aca="false">'Tetco ELA'!AX56</f>
        <v>0</v>
      </c>
      <c r="G51" s="159" t="n">
        <f aca="false">SUM(B51:F51)</f>
        <v>5056493.57740044</v>
      </c>
      <c r="I51" s="152" t="n">
        <f aca="false">'ColGulf-LA'!F56</f>
        <v>0</v>
      </c>
      <c r="J51" s="152" t="n">
        <f aca="false">'TGT ZSL'!F56</f>
        <v>0</v>
      </c>
      <c r="K51" s="152" t="n">
        <f aca="false">'Transco Z3'!F56</f>
        <v>1334026.37647753</v>
      </c>
      <c r="L51" s="152" t="n">
        <f aca="false">'Tetco ELA'!F56</f>
        <v>0</v>
      </c>
      <c r="N51" s="152" t="n">
        <f aca="false">SUM(I51:M51)</f>
        <v>1334026.37647753</v>
      </c>
      <c r="P51" s="161" t="n">
        <f aca="false">G51/N51</f>
        <v>3.7904</v>
      </c>
    </row>
    <row r="52" customFormat="false" ht="12.75" hidden="false" customHeight="false" outlineLevel="0" collapsed="false">
      <c r="A52" s="69" t="n">
        <f aca="false">EDATE(A51,1)</f>
        <v>38412</v>
      </c>
      <c r="B52" s="159" t="n">
        <f aca="false">'ColGulf-LA'!AX57</f>
        <v>0</v>
      </c>
      <c r="C52" s="159" t="n">
        <f aca="false">'TGT ZSL'!AX57</f>
        <v>0</v>
      </c>
      <c r="D52" s="159" t="n">
        <f aca="false">'Transco Z3'!AX57</f>
        <v>5570072.6892723</v>
      </c>
      <c r="E52" s="159" t="n">
        <f aca="false">'Tetco ELA'!AX57</f>
        <v>0</v>
      </c>
      <c r="G52" s="159" t="n">
        <f aca="false">SUM(B52:F52)</f>
        <v>5570072.6892723</v>
      </c>
      <c r="I52" s="152" t="n">
        <f aca="false">'ColGulf-LA'!F57</f>
        <v>0</v>
      </c>
      <c r="J52" s="152" t="n">
        <f aca="false">'TGT ZSL'!F57</f>
        <v>0</v>
      </c>
      <c r="K52" s="152" t="n">
        <f aca="false">'Transco Z3'!F57</f>
        <v>1469521.07673921</v>
      </c>
      <c r="L52" s="152" t="n">
        <f aca="false">'Tetco ELA'!F57</f>
        <v>0</v>
      </c>
      <c r="N52" s="152" t="n">
        <f aca="false">SUM(I52:M52)</f>
        <v>1469521.07673921</v>
      </c>
      <c r="P52" s="161" t="n">
        <f aca="false">G52/N52</f>
        <v>3.7904</v>
      </c>
    </row>
    <row r="53" customFormat="false" ht="12.75" hidden="false" customHeight="false" outlineLevel="0" collapsed="false">
      <c r="A53" s="69" t="n">
        <f aca="false">EDATE(A52,1)</f>
        <v>38443</v>
      </c>
      <c r="B53" s="159" t="n">
        <f aca="false">'ColGulf-LA'!AX58</f>
        <v>0</v>
      </c>
      <c r="C53" s="159" t="n">
        <f aca="false">'TGT ZSL'!AX58</f>
        <v>0</v>
      </c>
      <c r="D53" s="159" t="n">
        <f aca="false">'Transco Z3'!AX58</f>
        <v>5364323.43574306</v>
      </c>
      <c r="E53" s="159" t="n">
        <f aca="false">'Tetco ELA'!AX58</f>
        <v>0</v>
      </c>
      <c r="G53" s="159" t="n">
        <f aca="false">SUM(B53:F53)</f>
        <v>5364323.43574306</v>
      </c>
      <c r="I53" s="152" t="n">
        <f aca="false">'ColGulf-LA'!F58</f>
        <v>0</v>
      </c>
      <c r="J53" s="152" t="n">
        <f aca="false">'TGT ZSL'!F58</f>
        <v>0</v>
      </c>
      <c r="K53" s="152" t="n">
        <f aca="false">'Transco Z3'!F58</f>
        <v>1415239.40368907</v>
      </c>
      <c r="L53" s="152" t="n">
        <f aca="false">'Tetco ELA'!F58</f>
        <v>0</v>
      </c>
      <c r="N53" s="152" t="n">
        <f aca="false">SUM(I53:M53)</f>
        <v>1415239.40368907</v>
      </c>
      <c r="P53" s="161" t="n">
        <f aca="false">G53/N53</f>
        <v>3.7904</v>
      </c>
    </row>
    <row r="54" customFormat="false" ht="12.75" hidden="false" customHeight="false" outlineLevel="0" collapsed="false">
      <c r="A54" s="69" t="n">
        <f aca="false">EDATE(A53,1)</f>
        <v>38473</v>
      </c>
      <c r="B54" s="159" t="n">
        <f aca="false">'ColGulf-LA'!AX59</f>
        <v>0</v>
      </c>
      <c r="C54" s="159" t="n">
        <f aca="false">'TGT ZSL'!AX59</f>
        <v>0</v>
      </c>
      <c r="D54" s="159" t="n">
        <f aca="false">'Transco Z3'!AX59</f>
        <v>5515415.61849104</v>
      </c>
      <c r="E54" s="159" t="n">
        <f aca="false">'Tetco ELA'!AX59</f>
        <v>0</v>
      </c>
      <c r="G54" s="159" t="n">
        <f aca="false">SUM(B54:F54)</f>
        <v>5515415.61849104</v>
      </c>
      <c r="I54" s="152" t="n">
        <f aca="false">'ColGulf-LA'!F59</f>
        <v>0</v>
      </c>
      <c r="J54" s="152" t="n">
        <f aca="false">'TGT ZSL'!F59</f>
        <v>0</v>
      </c>
      <c r="K54" s="152" t="n">
        <f aca="false">'Transco Z3'!F59</f>
        <v>1455101.20791764</v>
      </c>
      <c r="L54" s="152" t="n">
        <f aca="false">'Tetco ELA'!F59</f>
        <v>0</v>
      </c>
      <c r="N54" s="152" t="n">
        <f aca="false">SUM(I54:M54)</f>
        <v>1455101.20791764</v>
      </c>
      <c r="P54" s="161" t="n">
        <f aca="false">G54/N54</f>
        <v>3.7904</v>
      </c>
    </row>
    <row r="55" customFormat="false" ht="12.75" hidden="false" customHeight="false" outlineLevel="0" collapsed="false">
      <c r="A55" s="69" t="n">
        <f aca="false">EDATE(A54,1)</f>
        <v>38504</v>
      </c>
      <c r="B55" s="159" t="n">
        <f aca="false">'ColGulf-LA'!AX60</f>
        <v>0</v>
      </c>
      <c r="C55" s="159" t="n">
        <f aca="false">'TGT ZSL'!AX60</f>
        <v>0</v>
      </c>
      <c r="D55" s="159" t="n">
        <f aca="false">'Transco Z3'!AX60</f>
        <v>5311649.81972425</v>
      </c>
      <c r="E55" s="159" t="n">
        <f aca="false">'Tetco ELA'!AX60</f>
        <v>0</v>
      </c>
      <c r="G55" s="159" t="n">
        <f aca="false">SUM(B55:F55)</f>
        <v>5311649.81972425</v>
      </c>
      <c r="I55" s="152" t="n">
        <f aca="false">'ColGulf-LA'!F60</f>
        <v>0</v>
      </c>
      <c r="J55" s="152" t="n">
        <f aca="false">'TGT ZSL'!F60</f>
        <v>0</v>
      </c>
      <c r="K55" s="152" t="n">
        <f aca="false">'Transco Z3'!F60</f>
        <v>1401342.81862712</v>
      </c>
      <c r="L55" s="152" t="n">
        <f aca="false">'Tetco ELA'!F60</f>
        <v>0</v>
      </c>
      <c r="N55" s="152" t="n">
        <f aca="false">SUM(I55:M55)</f>
        <v>1401342.81862712</v>
      </c>
      <c r="P55" s="161" t="n">
        <f aca="false">G55/N55</f>
        <v>3.7904</v>
      </c>
    </row>
    <row r="56" customFormat="false" ht="12.75" hidden="false" customHeight="false" outlineLevel="0" collapsed="false">
      <c r="A56" s="69" t="n">
        <f aca="false">EDATE(A55,1)</f>
        <v>38534</v>
      </c>
      <c r="B56" s="159" t="n">
        <f aca="false">'ColGulf-LA'!AX61</f>
        <v>0</v>
      </c>
      <c r="C56" s="159" t="n">
        <f aca="false">'TGT ZSL'!AX61</f>
        <v>0</v>
      </c>
      <c r="D56" s="159" t="n">
        <f aca="false">'Transco Z3'!AX61</f>
        <v>5461220.68927792</v>
      </c>
      <c r="E56" s="159" t="n">
        <f aca="false">'Tetco ELA'!AX61</f>
        <v>0</v>
      </c>
      <c r="G56" s="159" t="n">
        <f aca="false">SUM(B56:F56)</f>
        <v>5461220.68927792</v>
      </c>
      <c r="I56" s="152" t="n">
        <f aca="false">'ColGulf-LA'!F61</f>
        <v>0</v>
      </c>
      <c r="J56" s="152" t="n">
        <f aca="false">'TGT ZSL'!F61</f>
        <v>0</v>
      </c>
      <c r="K56" s="152" t="n">
        <f aca="false">'Transco Z3'!F61</f>
        <v>1440803.26331731</v>
      </c>
      <c r="L56" s="152" t="n">
        <f aca="false">'Tetco ELA'!F61</f>
        <v>0</v>
      </c>
      <c r="N56" s="152" t="n">
        <f aca="false">SUM(I56:M56)</f>
        <v>1440803.26331731</v>
      </c>
      <c r="P56" s="161" t="n">
        <f aca="false">G56/N56</f>
        <v>3.7904</v>
      </c>
    </row>
    <row r="57" customFormat="false" ht="12.75" hidden="false" customHeight="false" outlineLevel="0" collapsed="false">
      <c r="A57" s="69" t="n">
        <f aca="false">EDATE(A56,1)</f>
        <v>38565</v>
      </c>
      <c r="B57" s="159" t="n">
        <f aca="false">'ColGulf-LA'!AX62</f>
        <v>0</v>
      </c>
      <c r="C57" s="159" t="n">
        <f aca="false">'TGT ZSL'!AX62</f>
        <v>0</v>
      </c>
      <c r="D57" s="159" t="n">
        <f aca="false">'Transco Z3'!AX62</f>
        <v>5433855.12533602</v>
      </c>
      <c r="E57" s="159" t="n">
        <f aca="false">'Tetco ELA'!AX62</f>
        <v>0</v>
      </c>
      <c r="G57" s="159" t="n">
        <f aca="false">SUM(B57:F57)</f>
        <v>5433855.12533602</v>
      </c>
      <c r="I57" s="152" t="n">
        <f aca="false">'ColGulf-LA'!F62</f>
        <v>0</v>
      </c>
      <c r="J57" s="152" t="n">
        <f aca="false">'TGT ZSL'!F62</f>
        <v>0</v>
      </c>
      <c r="K57" s="152" t="n">
        <f aca="false">'Transco Z3'!F62</f>
        <v>1433583.55987126</v>
      </c>
      <c r="L57" s="152" t="n">
        <f aca="false">'Tetco ELA'!F62</f>
        <v>0</v>
      </c>
      <c r="N57" s="152" t="n">
        <f aca="false">SUM(I57:M57)</f>
        <v>1433583.55987126</v>
      </c>
      <c r="P57" s="161" t="n">
        <f aca="false">G57/N57</f>
        <v>3.7904</v>
      </c>
    </row>
    <row r="58" customFormat="false" ht="12.75" hidden="false" customHeight="false" outlineLevel="0" collapsed="false">
      <c r="A58" s="69" t="n">
        <f aca="false">EDATE(A57,1)</f>
        <v>38596</v>
      </c>
      <c r="B58" s="159" t="n">
        <f aca="false">'ColGulf-LA'!AX63</f>
        <v>0</v>
      </c>
      <c r="C58" s="159" t="n">
        <f aca="false">'TGT ZSL'!AX63</f>
        <v>0</v>
      </c>
      <c r="D58" s="159" t="n">
        <f aca="false">'Transco Z3'!AX63</f>
        <v>5233049.83355096</v>
      </c>
      <c r="E58" s="159" t="n">
        <f aca="false">'Tetco ELA'!AX63</f>
        <v>0</v>
      </c>
      <c r="G58" s="159" t="n">
        <f aca="false">SUM(B58:F58)</f>
        <v>5233049.83355096</v>
      </c>
      <c r="I58" s="152" t="n">
        <f aca="false">'ColGulf-LA'!F63</f>
        <v>0</v>
      </c>
      <c r="J58" s="152" t="n">
        <f aca="false">'TGT ZSL'!F63</f>
        <v>0</v>
      </c>
      <c r="K58" s="152" t="n">
        <f aca="false">'Transco Z3'!F63</f>
        <v>1380606.22455439</v>
      </c>
      <c r="L58" s="152" t="n">
        <f aca="false">'Tetco ELA'!F63</f>
        <v>0</v>
      </c>
      <c r="N58" s="152" t="n">
        <f aca="false">SUM(I58:M58)</f>
        <v>1380606.22455439</v>
      </c>
      <c r="P58" s="161" t="n">
        <f aca="false">G58/N58</f>
        <v>3.7904</v>
      </c>
    </row>
    <row r="59" customFormat="false" ht="12.75" hidden="false" customHeight="false" outlineLevel="0" collapsed="false">
      <c r="A59" s="69" t="n">
        <f aca="false">EDATE(A58,1)</f>
        <v>38626</v>
      </c>
      <c r="B59" s="159" t="n">
        <f aca="false">'ColGulf-LA'!AX64</f>
        <v>0</v>
      </c>
      <c r="C59" s="159" t="n">
        <f aca="false">'TGT ZSL'!AX64</f>
        <v>0</v>
      </c>
      <c r="D59" s="159" t="n">
        <f aca="false">'Transco Z3'!AX64</f>
        <v>5380351.3866687</v>
      </c>
      <c r="E59" s="159" t="n">
        <f aca="false">'Tetco ELA'!AX64</f>
        <v>0</v>
      </c>
      <c r="G59" s="159" t="n">
        <f aca="false">SUM(B59:F59)</f>
        <v>5380351.3866687</v>
      </c>
      <c r="I59" s="152" t="n">
        <f aca="false">'ColGulf-LA'!F64</f>
        <v>0</v>
      </c>
      <c r="J59" s="152" t="n">
        <f aca="false">'TGT ZSL'!F64</f>
        <v>0</v>
      </c>
      <c r="K59" s="152" t="n">
        <f aca="false">'Transco Z3'!F64</f>
        <v>1419467.9682009</v>
      </c>
      <c r="L59" s="152" t="n">
        <f aca="false">'Tetco ELA'!F64</f>
        <v>0</v>
      </c>
      <c r="N59" s="152" t="n">
        <f aca="false">SUM(I59:M59)</f>
        <v>1419467.9682009</v>
      </c>
      <c r="P59" s="161" t="n">
        <f aca="false">G59/N59</f>
        <v>3.7904</v>
      </c>
    </row>
    <row r="60" customFormat="false" ht="12.75" hidden="false" customHeight="false" outlineLevel="0" collapsed="false">
      <c r="A60" s="69" t="n">
        <f aca="false">EDATE(A59,1)</f>
        <v>38657</v>
      </c>
      <c r="B60" s="159" t="n">
        <f aca="false">'ColGulf-LA'!AX65</f>
        <v>0</v>
      </c>
      <c r="C60" s="159" t="n">
        <f aca="false">'TGT ZSL'!AX65</f>
        <v>0</v>
      </c>
      <c r="D60" s="159" t="n">
        <f aca="false">'Transco Z3'!AX65</f>
        <v>5181488.68313696</v>
      </c>
      <c r="E60" s="159" t="n">
        <f aca="false">'Tetco ELA'!AX65</f>
        <v>0</v>
      </c>
      <c r="G60" s="159" t="n">
        <f aca="false">SUM(B60:F60)</f>
        <v>5181488.68313696</v>
      </c>
      <c r="I60" s="152" t="n">
        <f aca="false">'ColGulf-LA'!F65</f>
        <v>0</v>
      </c>
      <c r="J60" s="152" t="n">
        <f aca="false">'TGT ZSL'!F65</f>
        <v>0</v>
      </c>
      <c r="K60" s="152" t="n">
        <f aca="false">'Transco Z3'!F65</f>
        <v>1367003.13506146</v>
      </c>
      <c r="L60" s="152" t="n">
        <f aca="false">'Tetco ELA'!F65</f>
        <v>0</v>
      </c>
      <c r="N60" s="152" t="n">
        <f aca="false">SUM(I60:M60)</f>
        <v>1367003.13506146</v>
      </c>
      <c r="P60" s="161" t="n">
        <f aca="false">G60/N60</f>
        <v>3.7904</v>
      </c>
    </row>
    <row r="61" customFormat="false" ht="12.75" hidden="false" customHeight="false" outlineLevel="0" collapsed="false">
      <c r="A61" s="69" t="n">
        <f aca="false">EDATE(A60,1)</f>
        <v>38687</v>
      </c>
      <c r="B61" s="159" t="n">
        <f aca="false">'ColGulf-LA'!AX66</f>
        <v>0</v>
      </c>
      <c r="C61" s="159" t="n">
        <f aca="false">'TGT ZSL'!AX66</f>
        <v>0</v>
      </c>
      <c r="D61" s="159" t="n">
        <f aca="false">'Transco Z3'!AX66</f>
        <v>0</v>
      </c>
      <c r="E61" s="159" t="n">
        <f aca="false">'Tetco ELA'!AX66</f>
        <v>0</v>
      </c>
      <c r="G61" s="159" t="n">
        <f aca="false">SUM(B61:F61)</f>
        <v>0</v>
      </c>
      <c r="I61" s="152" t="n">
        <f aca="false">'ColGulf-LA'!F66</f>
        <v>0</v>
      </c>
      <c r="J61" s="152" t="n">
        <f aca="false">'TGT ZSL'!F66</f>
        <v>0</v>
      </c>
      <c r="K61" s="152" t="n">
        <f aca="false">'Transco Z3'!F66</f>
        <v>0</v>
      </c>
      <c r="L61" s="152" t="n">
        <f aca="false">'Tetco ELA'!F66</f>
        <v>0</v>
      </c>
      <c r="N61" s="152" t="n">
        <f aca="false">SUM(I61:M61)</f>
        <v>0</v>
      </c>
      <c r="P61" s="161" t="e">
        <f aca="false">G61/N61</f>
        <v>#DIV/0!</v>
      </c>
    </row>
    <row r="63" customFormat="false" ht="12.75" hidden="false" customHeight="false" outlineLevel="0" collapsed="false">
      <c r="B63" s="159" t="n">
        <f aca="false">SUM(B5:B62)</f>
        <v>0</v>
      </c>
      <c r="C63" s="159" t="n">
        <f aca="false">SUM(C5:C62)</f>
        <v>0</v>
      </c>
      <c r="D63" s="159" t="n">
        <f aca="false">SUM(D5:D62)</f>
        <v>337699263.944321</v>
      </c>
      <c r="E63" s="159" t="n">
        <f aca="false">SUM(E5:E62)</f>
        <v>0</v>
      </c>
      <c r="G63" s="159" t="n">
        <f aca="false">SUM(B63:F63)</f>
        <v>337699263.944321</v>
      </c>
      <c r="I63" s="152" t="n">
        <f aca="false">SUM(I5:I62)</f>
        <v>0</v>
      </c>
      <c r="J63" s="152" t="n">
        <f aca="false">SUM(J5:J62)</f>
        <v>0</v>
      </c>
      <c r="K63" s="152" t="n">
        <f aca="false">SUM(K5:K62)</f>
        <v>80230545.1120771</v>
      </c>
      <c r="L63" s="152" t="n">
        <f aca="false">SUM(L5:L62)</f>
        <v>0</v>
      </c>
      <c r="N63" s="152" t="n">
        <f aca="false">SUM(N5:N62)</f>
        <v>80230545.1120771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5.13"/>
    <col collapsed="false" customWidth="true" hidden="false" outlineLevel="0" max="3" min="3" style="0" width="12.7"/>
    <col collapsed="false" customWidth="true" hidden="false" outlineLevel="0" max="4" min="4" style="0" width="14.85"/>
    <col collapsed="false" customWidth="true" hidden="false" outlineLevel="0" max="5" min="5" style="0" width="13.56"/>
    <col collapsed="false" customWidth="true" hidden="false" outlineLevel="0" max="7" min="7" style="0" width="12.7"/>
  </cols>
  <sheetData>
    <row r="1" customFormat="false" ht="12.75" hidden="false" customHeight="false" outlineLevel="0" collapsed="false">
      <c r="A1" s="1" t="s">
        <v>214</v>
      </c>
    </row>
    <row r="2" customFormat="false" ht="12.75" hidden="false" customHeight="false" outlineLevel="0" collapsed="false">
      <c r="A2" s="1" t="s">
        <v>207</v>
      </c>
      <c r="B2" s="160" t="n">
        <f aca="false">Summary!B5</f>
        <v>36888</v>
      </c>
    </row>
    <row r="3" customFormat="false" ht="12.75" hidden="false" customHeight="false" outlineLevel="0" collapsed="false">
      <c r="A3" s="1"/>
    </row>
    <row r="4" customFormat="false" ht="12.75" hidden="false" customHeight="false" outlineLevel="0" collapsed="false">
      <c r="A4" s="158" t="s">
        <v>164</v>
      </c>
      <c r="B4" s="158" t="s">
        <v>202</v>
      </c>
      <c r="C4" s="158" t="s">
        <v>200</v>
      </c>
      <c r="D4" s="158" t="s">
        <v>152</v>
      </c>
      <c r="E4" s="158" t="s">
        <v>204</v>
      </c>
      <c r="F4" s="158"/>
      <c r="G4" s="158" t="s">
        <v>67</v>
      </c>
    </row>
    <row r="5" customFormat="false" ht="12.75" hidden="false" customHeight="false" outlineLevel="0" collapsed="false">
      <c r="A5" s="69" t="n">
        <f aca="false">Summary!C5</f>
        <v>36982</v>
      </c>
      <c r="B5" s="159" t="n">
        <f aca="false">'ColGulf-LA'!AZ10</f>
        <v>0</v>
      </c>
      <c r="C5" s="159" t="n">
        <f aca="false">'TGT ZSL'!AZ10</f>
        <v>0</v>
      </c>
      <c r="D5" s="159" t="n">
        <f aca="false">'Transco Z3'!AZ10</f>
        <v>6925176</v>
      </c>
      <c r="E5" s="159" t="n">
        <f aca="false">'Tetco ELA'!AZ10</f>
        <v>0</v>
      </c>
      <c r="G5" s="159" t="n">
        <f aca="false">SUM(B5:F5)</f>
        <v>6925176</v>
      </c>
    </row>
    <row r="6" customFormat="false" ht="12.75" hidden="false" customHeight="false" outlineLevel="0" collapsed="false">
      <c r="A6" s="69" t="n">
        <f aca="false">EDATE(A5,1)</f>
        <v>37012</v>
      </c>
      <c r="B6" s="159" t="n">
        <f aca="false">'ColGulf-LA'!AZ11</f>
        <v>0</v>
      </c>
      <c r="C6" s="159" t="n">
        <f aca="false">'TGT ZSL'!AZ11</f>
        <v>0</v>
      </c>
      <c r="D6" s="159" t="n">
        <f aca="false">'Transco Z3'!AZ11</f>
        <v>7156015.2</v>
      </c>
      <c r="E6" s="159" t="n">
        <f aca="false">'Tetco ELA'!AZ11</f>
        <v>0</v>
      </c>
      <c r="G6" s="159" t="n">
        <f aca="false">SUM(B6:F6)</f>
        <v>7156015.2</v>
      </c>
    </row>
    <row r="7" customFormat="false" ht="12.75" hidden="false" customHeight="false" outlineLevel="0" collapsed="false">
      <c r="A7" s="69" t="n">
        <f aca="false">EDATE(A6,1)</f>
        <v>37043</v>
      </c>
      <c r="B7" s="159" t="n">
        <f aca="false">'ColGulf-LA'!AZ12</f>
        <v>0</v>
      </c>
      <c r="C7" s="159" t="n">
        <f aca="false">'TGT ZSL'!AZ12</f>
        <v>0</v>
      </c>
      <c r="D7" s="159" t="n">
        <f aca="false">'Transco Z3'!AZ12</f>
        <v>6925176</v>
      </c>
      <c r="E7" s="159" t="n">
        <f aca="false">'Tetco ELA'!AZ12</f>
        <v>0</v>
      </c>
      <c r="G7" s="159" t="n">
        <f aca="false">SUM(B7:F7)</f>
        <v>6925176</v>
      </c>
    </row>
    <row r="8" customFormat="false" ht="12.75" hidden="false" customHeight="false" outlineLevel="0" collapsed="false">
      <c r="A8" s="69" t="n">
        <f aca="false">EDATE(A7,1)</f>
        <v>37073</v>
      </c>
      <c r="B8" s="159" t="n">
        <f aca="false">'ColGulf-LA'!AZ13</f>
        <v>0</v>
      </c>
      <c r="C8" s="159" t="n">
        <f aca="false">'TGT ZSL'!AZ13</f>
        <v>0</v>
      </c>
      <c r="D8" s="159" t="n">
        <f aca="false">'Transco Z3'!AZ13</f>
        <v>7156015.2</v>
      </c>
      <c r="E8" s="159" t="n">
        <f aca="false">'Tetco ELA'!AZ13</f>
        <v>0</v>
      </c>
      <c r="G8" s="159" t="n">
        <f aca="false">SUM(B8:F8)</f>
        <v>7156015.2</v>
      </c>
    </row>
    <row r="9" customFormat="false" ht="12.75" hidden="false" customHeight="false" outlineLevel="0" collapsed="false">
      <c r="A9" s="69" t="n">
        <f aca="false">EDATE(A8,1)</f>
        <v>37104</v>
      </c>
      <c r="B9" s="159" t="n">
        <f aca="false">'ColGulf-LA'!AZ14</f>
        <v>0</v>
      </c>
      <c r="C9" s="159" t="n">
        <f aca="false">'TGT ZSL'!AZ14</f>
        <v>0</v>
      </c>
      <c r="D9" s="159" t="n">
        <f aca="false">'Transco Z3'!AZ14</f>
        <v>7156015.2</v>
      </c>
      <c r="E9" s="159" t="n">
        <f aca="false">'Tetco ELA'!AZ14</f>
        <v>0</v>
      </c>
      <c r="G9" s="159" t="n">
        <f aca="false">SUM(B9:F9)</f>
        <v>7156015.2</v>
      </c>
    </row>
    <row r="10" customFormat="false" ht="12.75" hidden="false" customHeight="false" outlineLevel="0" collapsed="false">
      <c r="A10" s="69" t="n">
        <f aca="false">EDATE(A9,1)</f>
        <v>37135</v>
      </c>
      <c r="B10" s="159" t="n">
        <f aca="false">'ColGulf-LA'!AZ15</f>
        <v>0</v>
      </c>
      <c r="C10" s="159" t="n">
        <f aca="false">'TGT ZSL'!AZ15</f>
        <v>0</v>
      </c>
      <c r="D10" s="159" t="n">
        <f aca="false">'Transco Z3'!AZ15</f>
        <v>6925176</v>
      </c>
      <c r="E10" s="159" t="n">
        <f aca="false">'Tetco ELA'!AZ15</f>
        <v>0</v>
      </c>
      <c r="G10" s="159" t="n">
        <f aca="false">SUM(B10:F10)</f>
        <v>6925176</v>
      </c>
    </row>
    <row r="11" customFormat="false" ht="12.75" hidden="false" customHeight="false" outlineLevel="0" collapsed="false">
      <c r="A11" s="69" t="n">
        <f aca="false">EDATE(A10,1)</f>
        <v>37165</v>
      </c>
      <c r="B11" s="159" t="n">
        <f aca="false">'ColGulf-LA'!AZ16</f>
        <v>0</v>
      </c>
      <c r="C11" s="159" t="n">
        <f aca="false">'TGT ZSL'!AZ16</f>
        <v>0</v>
      </c>
      <c r="D11" s="159" t="n">
        <f aca="false">'Transco Z3'!AZ16</f>
        <v>7156015.2</v>
      </c>
      <c r="E11" s="159" t="n">
        <f aca="false">'Tetco ELA'!AZ16</f>
        <v>0</v>
      </c>
      <c r="G11" s="159" t="n">
        <f aca="false">SUM(B11:F11)</f>
        <v>7156015.2</v>
      </c>
    </row>
    <row r="12" customFormat="false" ht="12.75" hidden="false" customHeight="false" outlineLevel="0" collapsed="false">
      <c r="A12" s="69" t="n">
        <f aca="false">EDATE(A11,1)</f>
        <v>37196</v>
      </c>
      <c r="B12" s="159" t="n">
        <f aca="false">'ColGulf-LA'!AZ17</f>
        <v>0</v>
      </c>
      <c r="C12" s="159" t="n">
        <f aca="false">'TGT ZSL'!AZ17</f>
        <v>0</v>
      </c>
      <c r="D12" s="159" t="n">
        <f aca="false">'Transco Z3'!AZ17</f>
        <v>6925176</v>
      </c>
      <c r="E12" s="159" t="n">
        <f aca="false">'Tetco ELA'!AZ17</f>
        <v>0</v>
      </c>
      <c r="G12" s="159" t="n">
        <f aca="false">SUM(B12:F12)</f>
        <v>6925176</v>
      </c>
    </row>
    <row r="13" customFormat="false" ht="12.75" hidden="false" customHeight="false" outlineLevel="0" collapsed="false">
      <c r="A13" s="69" t="n">
        <f aca="false">EDATE(A12,1)</f>
        <v>37226</v>
      </c>
      <c r="B13" s="159" t="n">
        <f aca="false">'ColGulf-LA'!AZ18</f>
        <v>0</v>
      </c>
      <c r="C13" s="159" t="n">
        <f aca="false">'TGT ZSL'!AZ18</f>
        <v>0</v>
      </c>
      <c r="D13" s="159" t="n">
        <f aca="false">'Transco Z3'!AZ18</f>
        <v>7156015.2</v>
      </c>
      <c r="E13" s="159" t="n">
        <f aca="false">'Tetco ELA'!AZ18</f>
        <v>0</v>
      </c>
      <c r="G13" s="159" t="n">
        <f aca="false">SUM(B13:F13)</f>
        <v>7156015.2</v>
      </c>
    </row>
    <row r="14" customFormat="false" ht="12.75" hidden="false" customHeight="false" outlineLevel="0" collapsed="false">
      <c r="A14" s="69" t="n">
        <f aca="false">EDATE(A13,1)</f>
        <v>37257</v>
      </c>
      <c r="B14" s="159" t="n">
        <f aca="false">'ColGulf-LA'!AZ19</f>
        <v>0</v>
      </c>
      <c r="C14" s="159" t="n">
        <f aca="false">'TGT ZSL'!AZ19</f>
        <v>0</v>
      </c>
      <c r="D14" s="159" t="n">
        <f aca="false">'Transco Z3'!AZ19</f>
        <v>7156015.2</v>
      </c>
      <c r="E14" s="159" t="n">
        <f aca="false">'Tetco ELA'!AZ19</f>
        <v>0</v>
      </c>
      <c r="G14" s="159" t="n">
        <f aca="false">SUM(B14:F14)</f>
        <v>7156015.2</v>
      </c>
    </row>
    <row r="15" customFormat="false" ht="12.75" hidden="false" customHeight="false" outlineLevel="0" collapsed="false">
      <c r="A15" s="69" t="n">
        <f aca="false">EDATE(A14,1)</f>
        <v>37288</v>
      </c>
      <c r="B15" s="159" t="n">
        <f aca="false">'ColGulf-LA'!AZ20</f>
        <v>0</v>
      </c>
      <c r="C15" s="159" t="n">
        <f aca="false">'TGT ZSL'!AZ20</f>
        <v>0</v>
      </c>
      <c r="D15" s="159" t="n">
        <f aca="false">'Transco Z3'!AZ20</f>
        <v>6463497.6</v>
      </c>
      <c r="E15" s="159" t="n">
        <f aca="false">'Tetco ELA'!AZ20</f>
        <v>0</v>
      </c>
      <c r="G15" s="159" t="n">
        <f aca="false">SUM(B15:F15)</f>
        <v>6463497.6</v>
      </c>
    </row>
    <row r="16" customFormat="false" ht="12.75" hidden="false" customHeight="false" outlineLevel="0" collapsed="false">
      <c r="A16" s="69" t="n">
        <f aca="false">EDATE(A15,1)</f>
        <v>37316</v>
      </c>
      <c r="B16" s="159" t="n">
        <f aca="false">'ColGulf-LA'!AZ21</f>
        <v>0</v>
      </c>
      <c r="C16" s="159" t="n">
        <f aca="false">'TGT ZSL'!AZ21</f>
        <v>0</v>
      </c>
      <c r="D16" s="159" t="n">
        <f aca="false">'Transco Z3'!AZ21</f>
        <v>7156015.2</v>
      </c>
      <c r="E16" s="159" t="n">
        <f aca="false">'Tetco ELA'!AZ21</f>
        <v>0</v>
      </c>
      <c r="G16" s="159" t="n">
        <f aca="false">SUM(B16:F16)</f>
        <v>7156015.2</v>
      </c>
    </row>
    <row r="17" customFormat="false" ht="12.75" hidden="false" customHeight="false" outlineLevel="0" collapsed="false">
      <c r="A17" s="69" t="n">
        <f aca="false">EDATE(A16,1)</f>
        <v>37347</v>
      </c>
      <c r="B17" s="159" t="n">
        <f aca="false">'ColGulf-LA'!AZ22</f>
        <v>0</v>
      </c>
      <c r="C17" s="159" t="n">
        <f aca="false">'TGT ZSL'!AZ22</f>
        <v>0</v>
      </c>
      <c r="D17" s="159" t="n">
        <f aca="false">'Transco Z3'!AZ22</f>
        <v>6925134</v>
      </c>
      <c r="E17" s="159" t="n">
        <f aca="false">'Tetco ELA'!AZ22</f>
        <v>0</v>
      </c>
      <c r="G17" s="159" t="n">
        <f aca="false">SUM(B17:F17)</f>
        <v>6925134</v>
      </c>
    </row>
    <row r="18" customFormat="false" ht="12.75" hidden="false" customHeight="false" outlineLevel="0" collapsed="false">
      <c r="A18" s="69" t="n">
        <f aca="false">EDATE(A17,1)</f>
        <v>37377</v>
      </c>
      <c r="B18" s="159" t="n">
        <f aca="false">'ColGulf-LA'!AZ23</f>
        <v>0</v>
      </c>
      <c r="C18" s="159" t="n">
        <f aca="false">'TGT ZSL'!AZ23</f>
        <v>0</v>
      </c>
      <c r="D18" s="159" t="n">
        <f aca="false">'Transco Z3'!AZ23</f>
        <v>7155971.8</v>
      </c>
      <c r="E18" s="159" t="n">
        <f aca="false">'Tetco ELA'!AZ23</f>
        <v>0</v>
      </c>
      <c r="G18" s="159" t="n">
        <f aca="false">SUM(B18:F18)</f>
        <v>7155971.8</v>
      </c>
    </row>
    <row r="19" customFormat="false" ht="12.75" hidden="false" customHeight="false" outlineLevel="0" collapsed="false">
      <c r="A19" s="69" t="n">
        <f aca="false">EDATE(A18,1)</f>
        <v>37408</v>
      </c>
      <c r="B19" s="159" t="n">
        <f aca="false">'ColGulf-LA'!AZ24</f>
        <v>0</v>
      </c>
      <c r="C19" s="159" t="n">
        <f aca="false">'TGT ZSL'!AZ24</f>
        <v>0</v>
      </c>
      <c r="D19" s="159" t="n">
        <f aca="false">'Transco Z3'!AZ24</f>
        <v>6925134</v>
      </c>
      <c r="E19" s="159" t="n">
        <f aca="false">'Tetco ELA'!AZ24</f>
        <v>0</v>
      </c>
      <c r="G19" s="159" t="n">
        <f aca="false">SUM(B19:F19)</f>
        <v>6925134</v>
      </c>
    </row>
    <row r="20" customFormat="false" ht="12.75" hidden="false" customHeight="false" outlineLevel="0" collapsed="false">
      <c r="A20" s="69" t="n">
        <f aca="false">EDATE(A19,1)</f>
        <v>37438</v>
      </c>
      <c r="B20" s="159" t="n">
        <f aca="false">'ColGulf-LA'!AZ25</f>
        <v>0</v>
      </c>
      <c r="C20" s="159" t="n">
        <f aca="false">'TGT ZSL'!AZ25</f>
        <v>0</v>
      </c>
      <c r="D20" s="159" t="n">
        <f aca="false">'Transco Z3'!AZ25</f>
        <v>7155971.8</v>
      </c>
      <c r="E20" s="159" t="n">
        <f aca="false">'Tetco ELA'!AZ25</f>
        <v>0</v>
      </c>
      <c r="G20" s="159" t="n">
        <f aca="false">SUM(B20:F20)</f>
        <v>7155971.8</v>
      </c>
    </row>
    <row r="21" customFormat="false" ht="12.75" hidden="false" customHeight="false" outlineLevel="0" collapsed="false">
      <c r="A21" s="69" t="n">
        <f aca="false">EDATE(A20,1)</f>
        <v>37469</v>
      </c>
      <c r="B21" s="159" t="n">
        <f aca="false">'ColGulf-LA'!AZ26</f>
        <v>0</v>
      </c>
      <c r="C21" s="159" t="n">
        <f aca="false">'TGT ZSL'!AZ26</f>
        <v>0</v>
      </c>
      <c r="D21" s="159" t="n">
        <f aca="false">'Transco Z3'!AZ26</f>
        <v>7155971.8</v>
      </c>
      <c r="E21" s="159" t="n">
        <f aca="false">'Tetco ELA'!AZ26</f>
        <v>0</v>
      </c>
      <c r="G21" s="159" t="n">
        <f aca="false">SUM(B21:F21)</f>
        <v>7155971.8</v>
      </c>
    </row>
    <row r="22" customFormat="false" ht="12.75" hidden="false" customHeight="false" outlineLevel="0" collapsed="false">
      <c r="A22" s="69" t="n">
        <f aca="false">EDATE(A21,1)</f>
        <v>37500</v>
      </c>
      <c r="B22" s="159" t="n">
        <f aca="false">'ColGulf-LA'!AZ27</f>
        <v>0</v>
      </c>
      <c r="C22" s="159" t="n">
        <f aca="false">'TGT ZSL'!AZ27</f>
        <v>0</v>
      </c>
      <c r="D22" s="159" t="n">
        <f aca="false">'Transco Z3'!AZ27</f>
        <v>6925134</v>
      </c>
      <c r="E22" s="159" t="n">
        <f aca="false">'Tetco ELA'!AZ27</f>
        <v>0</v>
      </c>
      <c r="G22" s="159" t="n">
        <f aca="false">SUM(B22:F22)</f>
        <v>6925134</v>
      </c>
    </row>
    <row r="23" customFormat="false" ht="12.75" hidden="false" customHeight="false" outlineLevel="0" collapsed="false">
      <c r="A23" s="69" t="n">
        <f aca="false">EDATE(A22,1)</f>
        <v>37530</v>
      </c>
      <c r="B23" s="159" t="n">
        <f aca="false">'ColGulf-LA'!AZ28</f>
        <v>0</v>
      </c>
      <c r="C23" s="159" t="n">
        <f aca="false">'TGT ZSL'!AZ28</f>
        <v>0</v>
      </c>
      <c r="D23" s="159" t="n">
        <f aca="false">'Transco Z3'!AZ28</f>
        <v>7155971.8</v>
      </c>
      <c r="E23" s="159" t="n">
        <f aca="false">'Tetco ELA'!AZ28</f>
        <v>0</v>
      </c>
      <c r="G23" s="159" t="n">
        <f aca="false">SUM(B23:F23)</f>
        <v>7155971.8</v>
      </c>
    </row>
    <row r="24" customFormat="false" ht="12.75" hidden="false" customHeight="false" outlineLevel="0" collapsed="false">
      <c r="A24" s="69" t="n">
        <f aca="false">EDATE(A23,1)</f>
        <v>37561</v>
      </c>
      <c r="B24" s="159" t="n">
        <f aca="false">'ColGulf-LA'!AZ29</f>
        <v>0</v>
      </c>
      <c r="C24" s="159" t="n">
        <f aca="false">'TGT ZSL'!AZ29</f>
        <v>0</v>
      </c>
      <c r="D24" s="159" t="n">
        <f aca="false">'Transco Z3'!AZ29</f>
        <v>6925134</v>
      </c>
      <c r="E24" s="159" t="n">
        <f aca="false">'Tetco ELA'!AZ29</f>
        <v>0</v>
      </c>
      <c r="G24" s="159" t="n">
        <f aca="false">SUM(B24:F24)</f>
        <v>6925134</v>
      </c>
    </row>
    <row r="25" customFormat="false" ht="12.75" hidden="false" customHeight="false" outlineLevel="0" collapsed="false">
      <c r="A25" s="69" t="n">
        <f aca="false">EDATE(A24,1)</f>
        <v>37591</v>
      </c>
      <c r="B25" s="159" t="n">
        <f aca="false">'ColGulf-LA'!AZ30</f>
        <v>0</v>
      </c>
      <c r="C25" s="159" t="n">
        <f aca="false">'TGT ZSL'!AZ30</f>
        <v>0</v>
      </c>
      <c r="D25" s="159" t="n">
        <f aca="false">'Transco Z3'!AZ30</f>
        <v>7155971.8</v>
      </c>
      <c r="E25" s="159" t="n">
        <f aca="false">'Tetco ELA'!AZ30</f>
        <v>0</v>
      </c>
      <c r="G25" s="159" t="n">
        <f aca="false">SUM(B25:F25)</f>
        <v>7155971.8</v>
      </c>
    </row>
    <row r="26" customFormat="false" ht="12.75" hidden="false" customHeight="false" outlineLevel="0" collapsed="false">
      <c r="A26" s="69" t="n">
        <f aca="false">EDATE(A25,1)</f>
        <v>37622</v>
      </c>
      <c r="B26" s="159" t="n">
        <f aca="false">'ColGulf-LA'!AZ31</f>
        <v>0</v>
      </c>
      <c r="C26" s="159" t="n">
        <f aca="false">'TGT ZSL'!AZ31</f>
        <v>0</v>
      </c>
      <c r="D26" s="159" t="n">
        <f aca="false">'Transco Z3'!AZ31</f>
        <v>7155971.8</v>
      </c>
      <c r="E26" s="159" t="n">
        <f aca="false">'Tetco ELA'!AZ31</f>
        <v>0</v>
      </c>
      <c r="G26" s="159" t="n">
        <f aca="false">SUM(B26:F26)</f>
        <v>7155971.8</v>
      </c>
    </row>
    <row r="27" customFormat="false" ht="12.75" hidden="false" customHeight="false" outlineLevel="0" collapsed="false">
      <c r="A27" s="69" t="n">
        <f aca="false">EDATE(A26,1)</f>
        <v>37653</v>
      </c>
      <c r="B27" s="159" t="n">
        <f aca="false">'ColGulf-LA'!AZ32</f>
        <v>0</v>
      </c>
      <c r="C27" s="159" t="n">
        <f aca="false">'TGT ZSL'!AZ32</f>
        <v>0</v>
      </c>
      <c r="D27" s="159" t="n">
        <f aca="false">'Transco Z3'!AZ32</f>
        <v>6463458.4</v>
      </c>
      <c r="E27" s="159" t="n">
        <f aca="false">'Tetco ELA'!AZ32</f>
        <v>0</v>
      </c>
      <c r="G27" s="159" t="n">
        <f aca="false">SUM(B27:F27)</f>
        <v>6463458.4</v>
      </c>
    </row>
    <row r="28" customFormat="false" ht="12.75" hidden="false" customHeight="false" outlineLevel="0" collapsed="false">
      <c r="A28" s="69" t="n">
        <f aca="false">EDATE(A27,1)</f>
        <v>37681</v>
      </c>
      <c r="B28" s="159" t="n">
        <f aca="false">'ColGulf-LA'!AZ33</f>
        <v>0</v>
      </c>
      <c r="C28" s="159" t="n">
        <f aca="false">'TGT ZSL'!AZ33</f>
        <v>0</v>
      </c>
      <c r="D28" s="159" t="n">
        <f aca="false">'Transco Z3'!AZ33</f>
        <v>7155971.8</v>
      </c>
      <c r="E28" s="159" t="n">
        <f aca="false">'Tetco ELA'!AZ33</f>
        <v>0</v>
      </c>
      <c r="G28" s="159" t="n">
        <f aca="false">SUM(B28:F28)</f>
        <v>7155971.8</v>
      </c>
    </row>
    <row r="29" customFormat="false" ht="12.75" hidden="false" customHeight="false" outlineLevel="0" collapsed="false">
      <c r="A29" s="69" t="n">
        <f aca="false">EDATE(A28,1)</f>
        <v>37712</v>
      </c>
      <c r="B29" s="159" t="n">
        <f aca="false">'ColGulf-LA'!AZ34</f>
        <v>0</v>
      </c>
      <c r="C29" s="159" t="n">
        <f aca="false">'TGT ZSL'!AZ34</f>
        <v>0</v>
      </c>
      <c r="D29" s="159" t="n">
        <f aca="false">'Transco Z3'!AZ34</f>
        <v>6925156.8</v>
      </c>
      <c r="E29" s="159" t="n">
        <f aca="false">'Tetco ELA'!AZ34</f>
        <v>0</v>
      </c>
      <c r="G29" s="159" t="n">
        <f aca="false">SUM(B29:F29)</f>
        <v>6925156.8</v>
      </c>
    </row>
    <row r="30" customFormat="false" ht="12.75" hidden="false" customHeight="false" outlineLevel="0" collapsed="false">
      <c r="A30" s="69" t="n">
        <f aca="false">EDATE(A29,1)</f>
        <v>37742</v>
      </c>
      <c r="B30" s="159" t="n">
        <f aca="false">'ColGulf-LA'!AZ35</f>
        <v>0</v>
      </c>
      <c r="C30" s="159" t="n">
        <f aca="false">'TGT ZSL'!AZ35</f>
        <v>0</v>
      </c>
      <c r="D30" s="159" t="n">
        <f aca="false">'Transco Z3'!AZ35</f>
        <v>7155995.36</v>
      </c>
      <c r="E30" s="159" t="n">
        <f aca="false">'Tetco ELA'!AZ35</f>
        <v>0</v>
      </c>
      <c r="G30" s="159" t="n">
        <f aca="false">SUM(B30:F30)</f>
        <v>7155995.36</v>
      </c>
    </row>
    <row r="31" customFormat="false" ht="12.75" hidden="false" customHeight="false" outlineLevel="0" collapsed="false">
      <c r="A31" s="69" t="n">
        <f aca="false">EDATE(A30,1)</f>
        <v>37773</v>
      </c>
      <c r="B31" s="159" t="n">
        <f aca="false">'ColGulf-LA'!AZ36</f>
        <v>0</v>
      </c>
      <c r="C31" s="159" t="n">
        <f aca="false">'TGT ZSL'!AZ36</f>
        <v>0</v>
      </c>
      <c r="D31" s="159" t="n">
        <f aca="false">'Transco Z3'!AZ36</f>
        <v>6925156.8</v>
      </c>
      <c r="E31" s="159" t="n">
        <f aca="false">'Tetco ELA'!AZ36</f>
        <v>0</v>
      </c>
      <c r="G31" s="159" t="n">
        <f aca="false">SUM(B31:F31)</f>
        <v>6925156.8</v>
      </c>
    </row>
    <row r="32" customFormat="false" ht="12.75" hidden="false" customHeight="false" outlineLevel="0" collapsed="false">
      <c r="A32" s="69" t="n">
        <f aca="false">EDATE(A31,1)</f>
        <v>37803</v>
      </c>
      <c r="B32" s="159" t="n">
        <f aca="false">'ColGulf-LA'!AZ37</f>
        <v>0</v>
      </c>
      <c r="C32" s="159" t="n">
        <f aca="false">'TGT ZSL'!AZ37</f>
        <v>0</v>
      </c>
      <c r="D32" s="159" t="n">
        <f aca="false">'Transco Z3'!AZ37</f>
        <v>7155995.36</v>
      </c>
      <c r="E32" s="159" t="n">
        <f aca="false">'Tetco ELA'!AZ37</f>
        <v>0</v>
      </c>
      <c r="G32" s="159" t="n">
        <f aca="false">SUM(B32:F32)</f>
        <v>7155995.36</v>
      </c>
    </row>
    <row r="33" customFormat="false" ht="12.75" hidden="false" customHeight="false" outlineLevel="0" collapsed="false">
      <c r="A33" s="69" t="n">
        <f aca="false">EDATE(A32,1)</f>
        <v>37834</v>
      </c>
      <c r="B33" s="159" t="n">
        <f aca="false">'ColGulf-LA'!AZ38</f>
        <v>0</v>
      </c>
      <c r="C33" s="159" t="n">
        <f aca="false">'TGT ZSL'!AZ38</f>
        <v>0</v>
      </c>
      <c r="D33" s="159" t="n">
        <f aca="false">'Transco Z3'!AZ38</f>
        <v>7155995.36</v>
      </c>
      <c r="E33" s="159" t="n">
        <f aca="false">'Tetco ELA'!AZ38</f>
        <v>0</v>
      </c>
      <c r="G33" s="159" t="n">
        <f aca="false">SUM(B33:F33)</f>
        <v>7155995.36</v>
      </c>
    </row>
    <row r="34" customFormat="false" ht="12.75" hidden="false" customHeight="false" outlineLevel="0" collapsed="false">
      <c r="A34" s="69" t="n">
        <f aca="false">EDATE(A33,1)</f>
        <v>37865</v>
      </c>
      <c r="B34" s="159" t="n">
        <f aca="false">'ColGulf-LA'!AZ39</f>
        <v>0</v>
      </c>
      <c r="C34" s="159" t="n">
        <f aca="false">'TGT ZSL'!AZ39</f>
        <v>0</v>
      </c>
      <c r="D34" s="159" t="n">
        <f aca="false">'Transco Z3'!AZ39</f>
        <v>6925156.8</v>
      </c>
      <c r="E34" s="159" t="n">
        <f aca="false">'Tetco ELA'!AZ39</f>
        <v>0</v>
      </c>
      <c r="G34" s="159" t="n">
        <f aca="false">SUM(B34:F34)</f>
        <v>6925156.8</v>
      </c>
    </row>
    <row r="35" customFormat="false" ht="12.75" hidden="false" customHeight="false" outlineLevel="0" collapsed="false">
      <c r="A35" s="69" t="n">
        <f aca="false">EDATE(A34,1)</f>
        <v>37895</v>
      </c>
      <c r="B35" s="159" t="n">
        <f aca="false">'ColGulf-LA'!AZ40</f>
        <v>0</v>
      </c>
      <c r="C35" s="159" t="n">
        <f aca="false">'TGT ZSL'!AZ40</f>
        <v>0</v>
      </c>
      <c r="D35" s="159" t="n">
        <f aca="false">'Transco Z3'!AZ40</f>
        <v>7155995.36</v>
      </c>
      <c r="E35" s="159" t="n">
        <f aca="false">'Tetco ELA'!AZ40</f>
        <v>0</v>
      </c>
      <c r="G35" s="159" t="n">
        <f aca="false">SUM(B35:F35)</f>
        <v>7155995.36</v>
      </c>
    </row>
    <row r="36" customFormat="false" ht="12.75" hidden="false" customHeight="false" outlineLevel="0" collapsed="false">
      <c r="A36" s="69" t="n">
        <f aca="false">EDATE(A35,1)</f>
        <v>37926</v>
      </c>
      <c r="B36" s="159" t="n">
        <f aca="false">'ColGulf-LA'!AZ41</f>
        <v>0</v>
      </c>
      <c r="C36" s="159" t="n">
        <f aca="false">'TGT ZSL'!AZ41</f>
        <v>0</v>
      </c>
      <c r="D36" s="159" t="n">
        <f aca="false">'Transco Z3'!AZ41</f>
        <v>6925156.8</v>
      </c>
      <c r="E36" s="159" t="n">
        <f aca="false">'Tetco ELA'!AZ41</f>
        <v>0</v>
      </c>
      <c r="G36" s="159" t="n">
        <f aca="false">SUM(B36:F36)</f>
        <v>6925156.8</v>
      </c>
    </row>
    <row r="37" customFormat="false" ht="12.75" hidden="false" customHeight="false" outlineLevel="0" collapsed="false">
      <c r="A37" s="69" t="n">
        <f aca="false">EDATE(A36,1)</f>
        <v>37956</v>
      </c>
      <c r="B37" s="159" t="n">
        <f aca="false">'ColGulf-LA'!AZ42</f>
        <v>0</v>
      </c>
      <c r="C37" s="159" t="n">
        <f aca="false">'TGT ZSL'!AZ42</f>
        <v>0</v>
      </c>
      <c r="D37" s="159" t="n">
        <f aca="false">'Transco Z3'!AZ42</f>
        <v>7155995.36</v>
      </c>
      <c r="E37" s="159" t="n">
        <f aca="false">'Tetco ELA'!AZ42</f>
        <v>0</v>
      </c>
      <c r="G37" s="159" t="n">
        <f aca="false">SUM(B37:F37)</f>
        <v>7155995.36</v>
      </c>
    </row>
    <row r="38" customFormat="false" ht="12.75" hidden="false" customHeight="false" outlineLevel="0" collapsed="false">
      <c r="A38" s="69" t="n">
        <f aca="false">EDATE(A37,1)</f>
        <v>37987</v>
      </c>
      <c r="B38" s="159" t="n">
        <f aca="false">'ColGulf-LA'!AZ43</f>
        <v>0</v>
      </c>
      <c r="C38" s="159" t="n">
        <f aca="false">'TGT ZSL'!AZ43</f>
        <v>0</v>
      </c>
      <c r="D38" s="159" t="n">
        <f aca="false">'Transco Z3'!AZ43</f>
        <v>7155995.36</v>
      </c>
      <c r="E38" s="159" t="n">
        <f aca="false">'Tetco ELA'!AZ43</f>
        <v>0</v>
      </c>
      <c r="G38" s="159" t="n">
        <f aca="false">SUM(B38:F38)</f>
        <v>7155995.36</v>
      </c>
    </row>
    <row r="39" customFormat="false" ht="12.75" hidden="false" customHeight="false" outlineLevel="0" collapsed="false">
      <c r="A39" s="69" t="n">
        <f aca="false">EDATE(A38,1)</f>
        <v>38018</v>
      </c>
      <c r="B39" s="159" t="n">
        <f aca="false">'ColGulf-LA'!AZ44</f>
        <v>0</v>
      </c>
      <c r="C39" s="159" t="n">
        <f aca="false">'TGT ZSL'!AZ44</f>
        <v>0</v>
      </c>
      <c r="D39" s="159" t="n">
        <f aca="false">'Transco Z3'!AZ44</f>
        <v>6694318.24</v>
      </c>
      <c r="E39" s="159" t="n">
        <f aca="false">'Tetco ELA'!AZ44</f>
        <v>0</v>
      </c>
      <c r="G39" s="159" t="n">
        <f aca="false">SUM(B39:F39)</f>
        <v>6694318.24</v>
      </c>
    </row>
    <row r="40" customFormat="false" ht="12.75" hidden="false" customHeight="false" outlineLevel="0" collapsed="false">
      <c r="A40" s="69" t="n">
        <f aca="false">EDATE(A39,1)</f>
        <v>38047</v>
      </c>
      <c r="B40" s="159" t="n">
        <f aca="false">'ColGulf-LA'!AZ45</f>
        <v>0</v>
      </c>
      <c r="C40" s="159" t="n">
        <f aca="false">'TGT ZSL'!AZ45</f>
        <v>0</v>
      </c>
      <c r="D40" s="159" t="n">
        <f aca="false">'Transco Z3'!AZ45</f>
        <v>7155995.36</v>
      </c>
      <c r="E40" s="159" t="n">
        <f aca="false">'Tetco ELA'!AZ45</f>
        <v>0</v>
      </c>
      <c r="G40" s="159" t="n">
        <f aca="false">SUM(B40:F40)</f>
        <v>7155995.36</v>
      </c>
    </row>
    <row r="41" customFormat="false" ht="12.75" hidden="false" customHeight="false" outlineLevel="0" collapsed="false">
      <c r="A41" s="69" t="n">
        <f aca="false">EDATE(A40,1)</f>
        <v>38078</v>
      </c>
      <c r="B41" s="159" t="n">
        <f aca="false">'ColGulf-LA'!AZ46</f>
        <v>0</v>
      </c>
      <c r="C41" s="159" t="n">
        <f aca="false">'TGT ZSL'!AZ46</f>
        <v>0</v>
      </c>
      <c r="D41" s="159" t="n">
        <f aca="false">'Transco Z3'!AZ46</f>
        <v>6925060.8</v>
      </c>
      <c r="E41" s="159" t="n">
        <f aca="false">'Tetco ELA'!AZ46</f>
        <v>0</v>
      </c>
      <c r="G41" s="159" t="n">
        <f aca="false">SUM(B41:F41)</f>
        <v>6925060.8</v>
      </c>
    </row>
    <row r="42" customFormat="false" ht="12.75" hidden="false" customHeight="false" outlineLevel="0" collapsed="false">
      <c r="A42" s="69" t="n">
        <f aca="false">EDATE(A41,1)</f>
        <v>38108</v>
      </c>
      <c r="B42" s="159" t="n">
        <f aca="false">'ColGulf-LA'!AZ47</f>
        <v>0</v>
      </c>
      <c r="C42" s="159" t="n">
        <f aca="false">'TGT ZSL'!AZ47</f>
        <v>0</v>
      </c>
      <c r="D42" s="159" t="n">
        <f aca="false">'Transco Z3'!AZ47</f>
        <v>7155896.16</v>
      </c>
      <c r="E42" s="159" t="n">
        <f aca="false">'Tetco ELA'!AZ47</f>
        <v>0</v>
      </c>
      <c r="G42" s="159" t="n">
        <f aca="false">SUM(B42:F42)</f>
        <v>7155896.16</v>
      </c>
    </row>
    <row r="43" customFormat="false" ht="12.75" hidden="false" customHeight="false" outlineLevel="0" collapsed="false">
      <c r="A43" s="69" t="n">
        <f aca="false">EDATE(A42,1)</f>
        <v>38139</v>
      </c>
      <c r="B43" s="159" t="n">
        <f aca="false">'ColGulf-LA'!AZ48</f>
        <v>0</v>
      </c>
      <c r="C43" s="159" t="n">
        <f aca="false">'TGT ZSL'!AZ48</f>
        <v>0</v>
      </c>
      <c r="D43" s="159" t="n">
        <f aca="false">'Transco Z3'!AZ48</f>
        <v>6925060.8</v>
      </c>
      <c r="E43" s="159" t="n">
        <f aca="false">'Tetco ELA'!AZ48</f>
        <v>0</v>
      </c>
      <c r="G43" s="159" t="n">
        <f aca="false">SUM(B43:F43)</f>
        <v>6925060.8</v>
      </c>
    </row>
    <row r="44" customFormat="false" ht="12.75" hidden="false" customHeight="false" outlineLevel="0" collapsed="false">
      <c r="A44" s="69" t="n">
        <f aca="false">EDATE(A43,1)</f>
        <v>38169</v>
      </c>
      <c r="B44" s="159" t="n">
        <f aca="false">'ColGulf-LA'!AZ49</f>
        <v>0</v>
      </c>
      <c r="C44" s="159" t="n">
        <f aca="false">'TGT ZSL'!AZ49</f>
        <v>0</v>
      </c>
      <c r="D44" s="159" t="n">
        <f aca="false">'Transco Z3'!AZ49</f>
        <v>7155896.16</v>
      </c>
      <c r="E44" s="159" t="n">
        <f aca="false">'Tetco ELA'!AZ49</f>
        <v>0</v>
      </c>
      <c r="G44" s="159" t="n">
        <f aca="false">SUM(B44:F44)</f>
        <v>7155896.16</v>
      </c>
    </row>
    <row r="45" customFormat="false" ht="12.75" hidden="false" customHeight="false" outlineLevel="0" collapsed="false">
      <c r="A45" s="69" t="n">
        <f aca="false">EDATE(A44,1)</f>
        <v>38200</v>
      </c>
      <c r="B45" s="159" t="n">
        <f aca="false">'ColGulf-LA'!AZ50</f>
        <v>0</v>
      </c>
      <c r="C45" s="159" t="n">
        <f aca="false">'TGT ZSL'!AZ50</f>
        <v>0</v>
      </c>
      <c r="D45" s="159" t="n">
        <f aca="false">'Transco Z3'!AZ50</f>
        <v>7155896.16</v>
      </c>
      <c r="E45" s="159" t="n">
        <f aca="false">'Tetco ELA'!AZ50</f>
        <v>0</v>
      </c>
      <c r="G45" s="159" t="n">
        <f aca="false">SUM(B45:F45)</f>
        <v>7155896.16</v>
      </c>
    </row>
    <row r="46" customFormat="false" ht="12.75" hidden="false" customHeight="false" outlineLevel="0" collapsed="false">
      <c r="A46" s="69" t="n">
        <f aca="false">EDATE(A45,1)</f>
        <v>38231</v>
      </c>
      <c r="B46" s="159" t="n">
        <f aca="false">'ColGulf-LA'!AZ51</f>
        <v>0</v>
      </c>
      <c r="C46" s="159" t="n">
        <f aca="false">'TGT ZSL'!AZ51</f>
        <v>0</v>
      </c>
      <c r="D46" s="159" t="n">
        <f aca="false">'Transco Z3'!AZ51</f>
        <v>6925060.8</v>
      </c>
      <c r="E46" s="159" t="n">
        <f aca="false">'Tetco ELA'!AZ51</f>
        <v>0</v>
      </c>
      <c r="G46" s="159" t="n">
        <f aca="false">SUM(B46:F46)</f>
        <v>6925060.8</v>
      </c>
    </row>
    <row r="47" customFormat="false" ht="12.75" hidden="false" customHeight="false" outlineLevel="0" collapsed="false">
      <c r="A47" s="69" t="n">
        <f aca="false">EDATE(A46,1)</f>
        <v>38261</v>
      </c>
      <c r="B47" s="159" t="n">
        <f aca="false">'ColGulf-LA'!AZ52</f>
        <v>0</v>
      </c>
      <c r="C47" s="159" t="n">
        <f aca="false">'TGT ZSL'!AZ52</f>
        <v>0</v>
      </c>
      <c r="D47" s="159" t="n">
        <f aca="false">'Transco Z3'!AZ52</f>
        <v>7155896.16</v>
      </c>
      <c r="E47" s="159" t="n">
        <f aca="false">'Tetco ELA'!AZ52</f>
        <v>0</v>
      </c>
      <c r="G47" s="159" t="n">
        <f aca="false">SUM(B47:F47)</f>
        <v>7155896.16</v>
      </c>
    </row>
    <row r="48" customFormat="false" ht="12.75" hidden="false" customHeight="false" outlineLevel="0" collapsed="false">
      <c r="A48" s="69" t="n">
        <f aca="false">EDATE(A47,1)</f>
        <v>38292</v>
      </c>
      <c r="B48" s="159" t="n">
        <f aca="false">'ColGulf-LA'!AZ53</f>
        <v>0</v>
      </c>
      <c r="C48" s="159" t="n">
        <f aca="false">'TGT ZSL'!AZ53</f>
        <v>0</v>
      </c>
      <c r="D48" s="159" t="n">
        <f aca="false">'Transco Z3'!AZ53</f>
        <v>6925060.8</v>
      </c>
      <c r="E48" s="159" t="n">
        <f aca="false">'Tetco ELA'!AZ53</f>
        <v>0</v>
      </c>
      <c r="G48" s="159" t="n">
        <f aca="false">SUM(B48:F48)</f>
        <v>6925060.8</v>
      </c>
    </row>
    <row r="49" customFormat="false" ht="12.75" hidden="false" customHeight="false" outlineLevel="0" collapsed="false">
      <c r="A49" s="69" t="n">
        <f aca="false">EDATE(A48,1)</f>
        <v>38322</v>
      </c>
      <c r="B49" s="159" t="n">
        <f aca="false">'ColGulf-LA'!AZ54</f>
        <v>0</v>
      </c>
      <c r="C49" s="159" t="n">
        <f aca="false">'TGT ZSL'!AZ54</f>
        <v>0</v>
      </c>
      <c r="D49" s="159" t="n">
        <f aca="false">'Transco Z3'!AZ54</f>
        <v>7155896.16</v>
      </c>
      <c r="E49" s="159" t="n">
        <f aca="false">'Tetco ELA'!AZ54</f>
        <v>0</v>
      </c>
      <c r="G49" s="159" t="n">
        <f aca="false">SUM(B49:F49)</f>
        <v>7155896.16</v>
      </c>
    </row>
    <row r="50" customFormat="false" ht="12.75" hidden="false" customHeight="false" outlineLevel="0" collapsed="false">
      <c r="A50" s="69" t="n">
        <f aca="false">EDATE(A49,1)</f>
        <v>38353</v>
      </c>
      <c r="B50" s="159" t="n">
        <f aca="false">'ColGulf-LA'!AZ55</f>
        <v>0</v>
      </c>
      <c r="C50" s="159" t="n">
        <f aca="false">'TGT ZSL'!AZ55</f>
        <v>0</v>
      </c>
      <c r="D50" s="159" t="n">
        <f aca="false">'Transco Z3'!AZ55</f>
        <v>7155896.16</v>
      </c>
      <c r="E50" s="159" t="n">
        <f aca="false">'Tetco ELA'!AZ55</f>
        <v>0</v>
      </c>
      <c r="G50" s="159" t="n">
        <f aca="false">SUM(B50:F50)</f>
        <v>7155896.16</v>
      </c>
    </row>
    <row r="51" customFormat="false" ht="12.75" hidden="false" customHeight="false" outlineLevel="0" collapsed="false">
      <c r="A51" s="69" t="n">
        <f aca="false">EDATE(A50,1)</f>
        <v>38384</v>
      </c>
      <c r="B51" s="159" t="n">
        <f aca="false">'ColGulf-LA'!AZ56</f>
        <v>0</v>
      </c>
      <c r="C51" s="159" t="n">
        <f aca="false">'TGT ZSL'!AZ56</f>
        <v>0</v>
      </c>
      <c r="D51" s="159" t="n">
        <f aca="false">'Transco Z3'!AZ56</f>
        <v>6463390.08</v>
      </c>
      <c r="E51" s="159" t="n">
        <f aca="false">'Tetco ELA'!AZ56</f>
        <v>0</v>
      </c>
      <c r="G51" s="159" t="n">
        <f aca="false">SUM(B51:F51)</f>
        <v>6463390.08</v>
      </c>
    </row>
    <row r="52" customFormat="false" ht="12.75" hidden="false" customHeight="false" outlineLevel="0" collapsed="false">
      <c r="A52" s="69" t="n">
        <f aca="false">EDATE(A51,1)</f>
        <v>38412</v>
      </c>
      <c r="B52" s="159" t="n">
        <f aca="false">'ColGulf-LA'!AZ57</f>
        <v>0</v>
      </c>
      <c r="C52" s="159" t="n">
        <f aca="false">'TGT ZSL'!AZ57</f>
        <v>0</v>
      </c>
      <c r="D52" s="159" t="n">
        <f aca="false">'Transco Z3'!AZ57</f>
        <v>7155896.16</v>
      </c>
      <c r="E52" s="159" t="n">
        <f aca="false">'Tetco ELA'!AZ57</f>
        <v>0</v>
      </c>
      <c r="G52" s="159" t="n">
        <f aca="false">SUM(B52:F52)</f>
        <v>7155896.16</v>
      </c>
    </row>
    <row r="53" customFormat="false" ht="12.75" hidden="false" customHeight="false" outlineLevel="0" collapsed="false">
      <c r="A53" s="69" t="n">
        <f aca="false">EDATE(A52,1)</f>
        <v>38443</v>
      </c>
      <c r="B53" s="159" t="n">
        <f aca="false">'ColGulf-LA'!AZ58</f>
        <v>0</v>
      </c>
      <c r="C53" s="159" t="n">
        <f aca="false">'TGT ZSL'!AZ58</f>
        <v>0</v>
      </c>
      <c r="D53" s="159" t="n">
        <f aca="false">'Transco Z3'!AZ58</f>
        <v>6925060.8</v>
      </c>
      <c r="E53" s="159" t="n">
        <f aca="false">'Tetco ELA'!AZ58</f>
        <v>0</v>
      </c>
      <c r="G53" s="159" t="n">
        <f aca="false">SUM(B53:F53)</f>
        <v>6925060.8</v>
      </c>
    </row>
    <row r="54" customFormat="false" ht="12.75" hidden="false" customHeight="false" outlineLevel="0" collapsed="false">
      <c r="A54" s="69" t="n">
        <f aca="false">EDATE(A53,1)</f>
        <v>38473</v>
      </c>
      <c r="B54" s="159" t="n">
        <f aca="false">'ColGulf-LA'!AZ59</f>
        <v>0</v>
      </c>
      <c r="C54" s="159" t="n">
        <f aca="false">'TGT ZSL'!AZ59</f>
        <v>0</v>
      </c>
      <c r="D54" s="159" t="n">
        <f aca="false">'Transco Z3'!AZ59</f>
        <v>7155896.16</v>
      </c>
      <c r="E54" s="159" t="n">
        <f aca="false">'Tetco ELA'!AZ59</f>
        <v>0</v>
      </c>
      <c r="G54" s="159" t="n">
        <f aca="false">SUM(B54:F54)</f>
        <v>7155896.16</v>
      </c>
    </row>
    <row r="55" customFormat="false" ht="12.75" hidden="false" customHeight="false" outlineLevel="0" collapsed="false">
      <c r="A55" s="69" t="n">
        <f aca="false">EDATE(A54,1)</f>
        <v>38504</v>
      </c>
      <c r="B55" s="159" t="n">
        <f aca="false">'ColGulf-LA'!AZ60</f>
        <v>0</v>
      </c>
      <c r="C55" s="159" t="n">
        <f aca="false">'TGT ZSL'!AZ60</f>
        <v>0</v>
      </c>
      <c r="D55" s="159" t="n">
        <f aca="false">'Transco Z3'!AZ60</f>
        <v>6925060.8</v>
      </c>
      <c r="E55" s="159" t="n">
        <f aca="false">'Tetco ELA'!AZ60</f>
        <v>0</v>
      </c>
      <c r="G55" s="159" t="n">
        <f aca="false">SUM(B55:F55)</f>
        <v>6925060.8</v>
      </c>
    </row>
    <row r="56" customFormat="false" ht="12.75" hidden="false" customHeight="false" outlineLevel="0" collapsed="false">
      <c r="A56" s="69" t="n">
        <f aca="false">EDATE(A55,1)</f>
        <v>38534</v>
      </c>
      <c r="B56" s="159" t="n">
        <f aca="false">'ColGulf-LA'!AZ61</f>
        <v>0</v>
      </c>
      <c r="C56" s="159" t="n">
        <f aca="false">'TGT ZSL'!AZ61</f>
        <v>0</v>
      </c>
      <c r="D56" s="159" t="n">
        <f aca="false">'Transco Z3'!AZ61</f>
        <v>7155896.16</v>
      </c>
      <c r="E56" s="159" t="n">
        <f aca="false">'Tetco ELA'!AZ61</f>
        <v>0</v>
      </c>
      <c r="G56" s="159" t="n">
        <f aca="false">SUM(B56:F56)</f>
        <v>7155896.16</v>
      </c>
    </row>
    <row r="57" customFormat="false" ht="12.75" hidden="false" customHeight="false" outlineLevel="0" collapsed="false">
      <c r="A57" s="69" t="n">
        <f aca="false">EDATE(A56,1)</f>
        <v>38565</v>
      </c>
      <c r="B57" s="159" t="n">
        <f aca="false">'ColGulf-LA'!AZ62</f>
        <v>0</v>
      </c>
      <c r="C57" s="159" t="n">
        <f aca="false">'TGT ZSL'!AZ62</f>
        <v>0</v>
      </c>
      <c r="D57" s="159" t="n">
        <f aca="false">'Transco Z3'!AZ62</f>
        <v>7155896.16</v>
      </c>
      <c r="E57" s="159" t="n">
        <f aca="false">'Tetco ELA'!AZ62</f>
        <v>0</v>
      </c>
      <c r="G57" s="159" t="n">
        <f aca="false">SUM(B57:F57)</f>
        <v>7155896.16</v>
      </c>
    </row>
    <row r="58" customFormat="false" ht="12.75" hidden="false" customHeight="false" outlineLevel="0" collapsed="false">
      <c r="A58" s="69" t="n">
        <f aca="false">EDATE(A57,1)</f>
        <v>38596</v>
      </c>
      <c r="B58" s="159" t="n">
        <f aca="false">'ColGulf-LA'!AZ63</f>
        <v>0</v>
      </c>
      <c r="C58" s="159" t="n">
        <f aca="false">'TGT ZSL'!AZ63</f>
        <v>0</v>
      </c>
      <c r="D58" s="159" t="n">
        <f aca="false">'Transco Z3'!AZ63</f>
        <v>6925060.8</v>
      </c>
      <c r="E58" s="159" t="n">
        <f aca="false">'Tetco ELA'!AZ63</f>
        <v>0</v>
      </c>
      <c r="G58" s="159" t="n">
        <f aca="false">SUM(B58:F58)</f>
        <v>6925060.8</v>
      </c>
    </row>
    <row r="59" customFormat="false" ht="12.75" hidden="false" customHeight="false" outlineLevel="0" collapsed="false">
      <c r="A59" s="69" t="n">
        <f aca="false">EDATE(A58,1)</f>
        <v>38626</v>
      </c>
      <c r="B59" s="159" t="n">
        <f aca="false">'ColGulf-LA'!AZ64</f>
        <v>0</v>
      </c>
      <c r="C59" s="159" t="n">
        <f aca="false">'TGT ZSL'!AZ64</f>
        <v>0</v>
      </c>
      <c r="D59" s="159" t="n">
        <f aca="false">'Transco Z3'!AZ64</f>
        <v>7155896.16</v>
      </c>
      <c r="E59" s="159" t="n">
        <f aca="false">'Tetco ELA'!AZ64</f>
        <v>0</v>
      </c>
      <c r="G59" s="159" t="n">
        <f aca="false">SUM(B59:F59)</f>
        <v>7155896.16</v>
      </c>
    </row>
    <row r="60" customFormat="false" ht="12.75" hidden="false" customHeight="false" outlineLevel="0" collapsed="false">
      <c r="A60" s="69" t="n">
        <f aca="false">EDATE(A59,1)</f>
        <v>38657</v>
      </c>
      <c r="B60" s="159" t="n">
        <f aca="false">'ColGulf-LA'!AZ65</f>
        <v>0</v>
      </c>
      <c r="C60" s="159" t="n">
        <f aca="false">'TGT ZSL'!AZ65</f>
        <v>0</v>
      </c>
      <c r="D60" s="159" t="n">
        <f aca="false">'Transco Z3'!AZ65</f>
        <v>6925060.8</v>
      </c>
      <c r="E60" s="159" t="n">
        <f aca="false">'Tetco ELA'!AZ65</f>
        <v>0</v>
      </c>
      <c r="G60" s="159" t="n">
        <f aca="false">SUM(B60:F60)</f>
        <v>6925060.8</v>
      </c>
    </row>
    <row r="61" customFormat="false" ht="12.75" hidden="false" customHeight="false" outlineLevel="0" collapsed="false">
      <c r="A61" s="69" t="n">
        <f aca="false">EDATE(A60,1)</f>
        <v>38687</v>
      </c>
      <c r="B61" s="159" t="n">
        <f aca="false">'ColGulf-LA'!AZ66</f>
        <v>0</v>
      </c>
      <c r="C61" s="159" t="n">
        <f aca="false">'TGT ZSL'!AZ66</f>
        <v>0</v>
      </c>
      <c r="D61" s="159" t="n">
        <f aca="false">'Transco Z3'!AZ66</f>
        <v>0</v>
      </c>
      <c r="E61" s="159" t="n">
        <f aca="false">'Tetco ELA'!AZ66</f>
        <v>0</v>
      </c>
      <c r="G61" s="159" t="n">
        <f aca="false">SUM(B61:F61)</f>
        <v>0</v>
      </c>
    </row>
    <row r="63" customFormat="false" ht="12.75" hidden="false" customHeight="false" outlineLevel="0" collapsed="false">
      <c r="B63" s="159" t="n">
        <f aca="false">SUM(B5:B62)</f>
        <v>0</v>
      </c>
      <c r="C63" s="159" t="n">
        <f aca="false">SUM(C5:C62)</f>
        <v>0</v>
      </c>
      <c r="D63" s="159" t="n">
        <f aca="false">SUM(D5:D62)</f>
        <v>393577752.2</v>
      </c>
      <c r="E63" s="159" t="n">
        <f aca="false">SUM(E5:E62)</f>
        <v>0</v>
      </c>
      <c r="G63" s="159" t="n">
        <f aca="false">SUM(B63:F63)</f>
        <v>393577752.2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3" min="2" style="0" width="15.85"/>
    <col collapsed="false" customWidth="true" hidden="false" outlineLevel="0" max="4" min="4" style="0" width="14.85"/>
    <col collapsed="false" customWidth="true" hidden="false" outlineLevel="0" max="5" min="5" style="0" width="14.56"/>
    <col collapsed="false" customWidth="true" hidden="false" outlineLevel="0" max="6" min="6" style="0" width="13.28"/>
    <col collapsed="false" customWidth="true" hidden="false" outlineLevel="0" max="7" min="7" style="0" width="21.28"/>
    <col collapsed="false" customWidth="true" hidden="false" outlineLevel="0" max="8" min="8" style="0" width="15.13"/>
    <col collapsed="false" customWidth="true" hidden="false" outlineLevel="0" max="9" min="9" style="0" width="10.99"/>
    <col collapsed="false" customWidth="true" hidden="false" outlineLevel="0" max="10" min="10" style="0" width="14.85"/>
    <col collapsed="false" customWidth="true" hidden="false" outlineLevel="0" max="11" min="11" style="0" width="13.56"/>
    <col collapsed="false" customWidth="true" hidden="false" outlineLevel="0" max="13" min="12" style="0" width="8.7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2.75" hidden="false" customHeight="false" outlineLevel="0" collapsed="false">
      <c r="A2" s="1"/>
      <c r="B2" s="1" t="s">
        <v>215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customFormat="false" ht="12.75" hidden="false" customHeight="false" outlineLevel="0" collapsed="false">
      <c r="A4" s="158"/>
      <c r="B4" s="158" t="s">
        <v>207</v>
      </c>
      <c r="C4" s="158" t="s">
        <v>216</v>
      </c>
      <c r="D4" s="158" t="s">
        <v>217</v>
      </c>
      <c r="E4" s="158"/>
      <c r="F4" s="158"/>
      <c r="G4" s="158"/>
      <c r="H4" s="158"/>
      <c r="I4" s="158"/>
      <c r="J4" s="158"/>
      <c r="K4" s="158"/>
      <c r="L4" s="158"/>
      <c r="M4" s="158"/>
    </row>
    <row r="5" customFormat="false" ht="12.75" hidden="false" customHeight="false" outlineLevel="0" collapsed="false">
      <c r="B5" s="162" t="n">
        <v>36888</v>
      </c>
      <c r="C5" s="163" t="n">
        <v>36982</v>
      </c>
      <c r="D5" s="163" t="n">
        <v>38657</v>
      </c>
    </row>
    <row r="7" customFormat="false" ht="12.75" hidden="false" customHeight="false" outlineLevel="0" collapsed="false">
      <c r="A7" s="1"/>
      <c r="B7" s="1" t="s">
        <v>218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customFormat="false" ht="12.75" hidden="false" customHeight="fals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customFormat="false" ht="12.75" hidden="false" customHeight="false" outlineLevel="0" collapsed="false">
      <c r="A9" s="158"/>
      <c r="B9" s="158" t="s">
        <v>219</v>
      </c>
      <c r="C9" s="158" t="s">
        <v>220</v>
      </c>
      <c r="D9" s="158" t="s">
        <v>221</v>
      </c>
      <c r="E9" s="158"/>
      <c r="F9" s="158"/>
      <c r="G9" s="158"/>
      <c r="H9" s="158"/>
      <c r="I9" s="158"/>
      <c r="J9" s="158"/>
      <c r="K9" s="158"/>
      <c r="L9" s="158"/>
      <c r="M9" s="158"/>
    </row>
    <row r="10" customFormat="false" ht="12.75" hidden="false" customHeight="false" outlineLevel="0" collapsed="false">
      <c r="A10" s="1" t="s">
        <v>39</v>
      </c>
      <c r="B10" s="159" t="n">
        <f aca="false">'Transco Z3'!AV8</f>
        <v>130500.600030132</v>
      </c>
      <c r="C10" s="159" t="n">
        <f aca="false">'Transco Z3'!AX8</f>
        <v>337699263.944321</v>
      </c>
      <c r="D10" s="152" t="n">
        <f aca="false">'Transco Z3'!F8*-1</f>
        <v>-80230545.1120771</v>
      </c>
      <c r="E10" s="161"/>
      <c r="F10" s="161"/>
      <c r="H10" s="158"/>
    </row>
    <row r="11" customFormat="false" ht="12.75" hidden="false" customHeight="false" outlineLevel="0" collapsed="false">
      <c r="A11" s="1" t="s">
        <v>40</v>
      </c>
      <c r="B11" s="159" t="n">
        <f aca="false">'TGT ZSL'!AV8</f>
        <v>0</v>
      </c>
      <c r="C11" s="159" t="n">
        <f aca="false">+'TGT ZSL'!AX8</f>
        <v>0</v>
      </c>
      <c r="D11" s="152" t="n">
        <f aca="false">'TGT ZSL'!F8*-1</f>
        <v>-0</v>
      </c>
      <c r="E11" s="161"/>
      <c r="F11" s="161"/>
      <c r="H11" s="158"/>
    </row>
    <row r="12" customFormat="false" ht="12.75" hidden="false" customHeight="false" outlineLevel="0" collapsed="false">
      <c r="A12" s="1" t="s">
        <v>222</v>
      </c>
      <c r="B12" s="159" t="n">
        <f aca="false">'ColGulf-LA'!AV8</f>
        <v>0</v>
      </c>
      <c r="C12" s="159" t="n">
        <f aca="false">'ColGulf-LA'!AX8</f>
        <v>0</v>
      </c>
      <c r="D12" s="152" t="n">
        <f aca="false">'ColGulf-LA'!F8*-1</f>
        <v>-0</v>
      </c>
      <c r="E12" s="161"/>
      <c r="F12" s="161"/>
      <c r="H12" s="158"/>
    </row>
    <row r="13" customFormat="false" ht="12.75" hidden="false" customHeight="false" outlineLevel="0" collapsed="false">
      <c r="A13" s="1" t="s">
        <v>43</v>
      </c>
      <c r="B13" s="159" t="n">
        <f aca="false">'Tetco ELA'!AV8</f>
        <v>0</v>
      </c>
      <c r="C13" s="159" t="n">
        <f aca="false">'Tetco ELA'!AX8</f>
        <v>0</v>
      </c>
      <c r="D13" s="152" t="n">
        <f aca="false">'Tetco ELA'!F8*-1</f>
        <v>-0</v>
      </c>
      <c r="E13" s="161"/>
      <c r="F13" s="161"/>
      <c r="H13" s="158"/>
    </row>
    <row r="15" customFormat="false" ht="12.75" hidden="false" customHeight="false" outlineLevel="0" collapsed="false">
      <c r="B15" s="159" t="n">
        <f aca="false">SUM(B10:B14)</f>
        <v>130500.600030132</v>
      </c>
      <c r="C15" s="159" t="n">
        <f aca="false">SUM(C10:C14)</f>
        <v>337699263.944321</v>
      </c>
      <c r="D15" s="152" t="n">
        <f aca="false">SUM(D10:D14)</f>
        <v>-80230545.1120771</v>
      </c>
      <c r="E15" s="159"/>
      <c r="F15" s="152"/>
    </row>
    <row r="17" customFormat="false" ht="12.75" hidden="false" customHeight="false" outlineLevel="0" collapsed="false">
      <c r="B17" s="164" t="s">
        <v>223</v>
      </c>
      <c r="C17" s="165" t="n">
        <v>330000000</v>
      </c>
    </row>
    <row r="19" customFormat="false" ht="12.75" hidden="false" customHeight="false" outlineLevel="0" collapsed="false">
      <c r="B19" s="164" t="s">
        <v>224</v>
      </c>
      <c r="C19" s="165" t="n">
        <f aca="false">C15-C17</f>
        <v>7699263.94432145</v>
      </c>
    </row>
    <row r="20" customFormat="false" ht="12.75" hidden="false" customHeight="false" outlineLevel="0" collapsed="false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customFormat="false" ht="12.75" hidden="false" customHeight="false" outlineLevel="0" collapsed="false">
      <c r="A21" s="1" t="s">
        <v>225</v>
      </c>
      <c r="B21" s="94"/>
      <c r="C21" s="94"/>
      <c r="D21" s="94"/>
      <c r="E21" s="94"/>
      <c r="F21" s="94"/>
      <c r="G21" s="1" t="s">
        <v>226</v>
      </c>
      <c r="H21" s="94"/>
      <c r="I21" s="94"/>
      <c r="J21" s="94"/>
      <c r="K21" s="94"/>
      <c r="L21" s="94"/>
      <c r="M21" s="94"/>
    </row>
    <row r="22" customFormat="false" ht="12.75" hidden="false" customHeight="false" outlineLevel="0" collapsed="false">
      <c r="A22" s="158" t="s">
        <v>19</v>
      </c>
      <c r="B22" s="158" t="s">
        <v>202</v>
      </c>
      <c r="C22" s="158" t="s">
        <v>200</v>
      </c>
      <c r="D22" s="158" t="s">
        <v>152</v>
      </c>
      <c r="E22" s="158" t="s">
        <v>204</v>
      </c>
      <c r="F22" s="158"/>
      <c r="G22" s="158" t="s">
        <v>19</v>
      </c>
      <c r="H22" s="158" t="s">
        <v>202</v>
      </c>
      <c r="I22" s="158" t="s">
        <v>200</v>
      </c>
      <c r="J22" s="158" t="s">
        <v>152</v>
      </c>
      <c r="K22" s="158" t="s">
        <v>204</v>
      </c>
      <c r="L22" s="158" t="s">
        <v>67</v>
      </c>
      <c r="M22" s="158"/>
    </row>
    <row r="23" customFormat="false" ht="12.75" hidden="false" customHeight="false" outlineLevel="0" collapsed="false">
      <c r="A23" s="69" t="n">
        <f aca="false">C5</f>
        <v>36982</v>
      </c>
      <c r="B23" s="161" t="n">
        <v>0</v>
      </c>
      <c r="C23" s="161" t="n">
        <v>0</v>
      </c>
      <c r="D23" s="161" t="n">
        <v>5.3435</v>
      </c>
      <c r="E23" s="161" t="n">
        <v>0</v>
      </c>
      <c r="G23" s="69" t="n">
        <f aca="false">C5</f>
        <v>36982</v>
      </c>
      <c r="H23" s="152" t="n">
        <v>0</v>
      </c>
      <c r="I23" s="152" t="n">
        <f aca="false">H23</f>
        <v>0</v>
      </c>
      <c r="J23" s="152" t="n">
        <v>43200</v>
      </c>
      <c r="K23" s="152" t="n">
        <v>0</v>
      </c>
      <c r="L23" s="152" t="n">
        <f aca="false">SUM(H23:K23)</f>
        <v>43200</v>
      </c>
    </row>
    <row r="24" customFormat="false" ht="12.75" hidden="false" customHeight="false" outlineLevel="0" collapsed="false">
      <c r="A24" s="69" t="n">
        <f aca="false">EDATE(A23,1)</f>
        <v>37012</v>
      </c>
      <c r="B24" s="161" t="n">
        <f aca="false">B23</f>
        <v>0</v>
      </c>
      <c r="C24" s="161" t="n">
        <f aca="false">C23</f>
        <v>0</v>
      </c>
      <c r="D24" s="161" t="n">
        <f aca="false">D23</f>
        <v>5.3435</v>
      </c>
      <c r="E24" s="161" t="n">
        <f aca="false">E23</f>
        <v>0</v>
      </c>
      <c r="G24" s="69" t="n">
        <f aca="false">EDATE(G23,1)</f>
        <v>37012</v>
      </c>
      <c r="H24" s="152" t="n">
        <f aca="false">H23</f>
        <v>0</v>
      </c>
      <c r="I24" s="152" t="n">
        <f aca="false">I23</f>
        <v>0</v>
      </c>
      <c r="J24" s="152" t="n">
        <f aca="false">J23</f>
        <v>43200</v>
      </c>
      <c r="K24" s="152" t="n">
        <f aca="false">K23</f>
        <v>0</v>
      </c>
      <c r="L24" s="152" t="n">
        <f aca="false">SUM(H24:K24)</f>
        <v>43200</v>
      </c>
    </row>
    <row r="25" customFormat="false" ht="12.75" hidden="false" customHeight="false" outlineLevel="0" collapsed="false">
      <c r="A25" s="69" t="n">
        <f aca="false">EDATE(A24,1)</f>
        <v>37043</v>
      </c>
      <c r="B25" s="161" t="n">
        <f aca="false">B24</f>
        <v>0</v>
      </c>
      <c r="C25" s="161" t="n">
        <f aca="false">C24</f>
        <v>0</v>
      </c>
      <c r="D25" s="161" t="n">
        <f aca="false">D24</f>
        <v>5.3435</v>
      </c>
      <c r="E25" s="161" t="n">
        <f aca="false">E24</f>
        <v>0</v>
      </c>
      <c r="G25" s="69" t="n">
        <f aca="false">EDATE(G24,1)</f>
        <v>37043</v>
      </c>
      <c r="H25" s="152" t="n">
        <f aca="false">H24</f>
        <v>0</v>
      </c>
      <c r="I25" s="152" t="n">
        <f aca="false">I24</f>
        <v>0</v>
      </c>
      <c r="J25" s="152" t="n">
        <f aca="false">J24</f>
        <v>43200</v>
      </c>
      <c r="K25" s="152" t="n">
        <f aca="false">K24</f>
        <v>0</v>
      </c>
      <c r="L25" s="152" t="n">
        <f aca="false">SUM(H25:K25)</f>
        <v>43200</v>
      </c>
    </row>
    <row r="26" customFormat="false" ht="12.75" hidden="false" customHeight="false" outlineLevel="0" collapsed="false">
      <c r="A26" s="69" t="n">
        <f aca="false">EDATE(A25,1)</f>
        <v>37073</v>
      </c>
      <c r="B26" s="161" t="n">
        <f aca="false">B25</f>
        <v>0</v>
      </c>
      <c r="C26" s="161" t="n">
        <f aca="false">C25</f>
        <v>0</v>
      </c>
      <c r="D26" s="161" t="n">
        <f aca="false">D25</f>
        <v>5.3435</v>
      </c>
      <c r="E26" s="161" t="n">
        <f aca="false">E25</f>
        <v>0</v>
      </c>
      <c r="G26" s="69" t="n">
        <f aca="false">EDATE(G25,1)</f>
        <v>37073</v>
      </c>
      <c r="H26" s="152" t="n">
        <f aca="false">H25</f>
        <v>0</v>
      </c>
      <c r="I26" s="152" t="n">
        <f aca="false">I25</f>
        <v>0</v>
      </c>
      <c r="J26" s="152" t="n">
        <f aca="false">J25</f>
        <v>43200</v>
      </c>
      <c r="K26" s="152" t="n">
        <f aca="false">K25</f>
        <v>0</v>
      </c>
      <c r="L26" s="152" t="n">
        <f aca="false">SUM(H26:K26)</f>
        <v>43200</v>
      </c>
    </row>
    <row r="27" customFormat="false" ht="12.75" hidden="false" customHeight="false" outlineLevel="0" collapsed="false">
      <c r="A27" s="69" t="n">
        <f aca="false">EDATE(A26,1)</f>
        <v>37104</v>
      </c>
      <c r="B27" s="161" t="n">
        <f aca="false">B26</f>
        <v>0</v>
      </c>
      <c r="C27" s="161" t="n">
        <f aca="false">C26</f>
        <v>0</v>
      </c>
      <c r="D27" s="161" t="n">
        <f aca="false">D26</f>
        <v>5.3435</v>
      </c>
      <c r="E27" s="161" t="n">
        <f aca="false">E26</f>
        <v>0</v>
      </c>
      <c r="G27" s="69" t="n">
        <f aca="false">EDATE(G26,1)</f>
        <v>37104</v>
      </c>
      <c r="H27" s="152" t="n">
        <f aca="false">H26</f>
        <v>0</v>
      </c>
      <c r="I27" s="152" t="n">
        <f aca="false">I26</f>
        <v>0</v>
      </c>
      <c r="J27" s="152" t="n">
        <f aca="false">J26</f>
        <v>43200</v>
      </c>
      <c r="K27" s="152" t="n">
        <f aca="false">K26</f>
        <v>0</v>
      </c>
      <c r="L27" s="152" t="n">
        <f aca="false">SUM(H27:K27)</f>
        <v>43200</v>
      </c>
    </row>
    <row r="28" customFormat="false" ht="12.75" hidden="false" customHeight="false" outlineLevel="0" collapsed="false">
      <c r="A28" s="69" t="n">
        <f aca="false">EDATE(A27,1)</f>
        <v>37135</v>
      </c>
      <c r="B28" s="161" t="n">
        <f aca="false">B27</f>
        <v>0</v>
      </c>
      <c r="C28" s="161" t="n">
        <f aca="false">C27</f>
        <v>0</v>
      </c>
      <c r="D28" s="161" t="n">
        <f aca="false">D27</f>
        <v>5.3435</v>
      </c>
      <c r="E28" s="161" t="n">
        <f aca="false">E27</f>
        <v>0</v>
      </c>
      <c r="G28" s="69" t="n">
        <f aca="false">EDATE(G27,1)</f>
        <v>37135</v>
      </c>
      <c r="H28" s="152" t="n">
        <f aca="false">H27</f>
        <v>0</v>
      </c>
      <c r="I28" s="152" t="n">
        <f aca="false">I27</f>
        <v>0</v>
      </c>
      <c r="J28" s="152" t="n">
        <f aca="false">J27</f>
        <v>43200</v>
      </c>
      <c r="K28" s="152" t="n">
        <f aca="false">K27</f>
        <v>0</v>
      </c>
      <c r="L28" s="152" t="n">
        <f aca="false">SUM(H28:K28)</f>
        <v>43200</v>
      </c>
    </row>
    <row r="29" customFormat="false" ht="12.75" hidden="false" customHeight="false" outlineLevel="0" collapsed="false">
      <c r="A29" s="69" t="n">
        <f aca="false">EDATE(A28,1)</f>
        <v>37165</v>
      </c>
      <c r="B29" s="161" t="n">
        <f aca="false">B28</f>
        <v>0</v>
      </c>
      <c r="C29" s="161" t="n">
        <f aca="false">C28</f>
        <v>0</v>
      </c>
      <c r="D29" s="161" t="n">
        <f aca="false">D28</f>
        <v>5.3435</v>
      </c>
      <c r="E29" s="161" t="n">
        <f aca="false">E28</f>
        <v>0</v>
      </c>
      <c r="G29" s="69" t="n">
        <f aca="false">EDATE(G28,1)</f>
        <v>37165</v>
      </c>
      <c r="H29" s="152" t="n">
        <f aca="false">H28</f>
        <v>0</v>
      </c>
      <c r="I29" s="152" t="n">
        <f aca="false">I28</f>
        <v>0</v>
      </c>
      <c r="J29" s="152" t="n">
        <f aca="false">J28</f>
        <v>43200</v>
      </c>
      <c r="K29" s="152" t="n">
        <f aca="false">K28</f>
        <v>0</v>
      </c>
      <c r="L29" s="152" t="n">
        <f aca="false">SUM(H29:K29)</f>
        <v>43200</v>
      </c>
    </row>
    <row r="30" customFormat="false" ht="12.75" hidden="false" customHeight="false" outlineLevel="0" collapsed="false">
      <c r="A30" s="69" t="n">
        <f aca="false">EDATE(A29,1)</f>
        <v>37196</v>
      </c>
      <c r="B30" s="161" t="n">
        <f aca="false">B29</f>
        <v>0</v>
      </c>
      <c r="C30" s="161" t="n">
        <f aca="false">C29</f>
        <v>0</v>
      </c>
      <c r="D30" s="161" t="n">
        <f aca="false">D29</f>
        <v>5.3435</v>
      </c>
      <c r="E30" s="161" t="n">
        <f aca="false">E29</f>
        <v>0</v>
      </c>
      <c r="G30" s="69" t="n">
        <f aca="false">EDATE(G29,1)</f>
        <v>37196</v>
      </c>
      <c r="H30" s="152" t="n">
        <f aca="false">H29</f>
        <v>0</v>
      </c>
      <c r="I30" s="152" t="n">
        <f aca="false">I29</f>
        <v>0</v>
      </c>
      <c r="J30" s="152" t="n">
        <f aca="false">J29</f>
        <v>43200</v>
      </c>
      <c r="K30" s="152" t="n">
        <f aca="false">K29</f>
        <v>0</v>
      </c>
      <c r="L30" s="152" t="n">
        <f aca="false">SUM(H30:K30)</f>
        <v>43200</v>
      </c>
    </row>
    <row r="31" customFormat="false" ht="12.75" hidden="false" customHeight="false" outlineLevel="0" collapsed="false">
      <c r="A31" s="69" t="n">
        <f aca="false">EDATE(A30,1)</f>
        <v>37226</v>
      </c>
      <c r="B31" s="161" t="n">
        <f aca="false">B30</f>
        <v>0</v>
      </c>
      <c r="C31" s="161" t="n">
        <f aca="false">C30</f>
        <v>0</v>
      </c>
      <c r="D31" s="161" t="n">
        <f aca="false">D30</f>
        <v>5.3435</v>
      </c>
      <c r="E31" s="161" t="n">
        <f aca="false">E30</f>
        <v>0</v>
      </c>
      <c r="G31" s="69" t="n">
        <f aca="false">EDATE(G30,1)</f>
        <v>37226</v>
      </c>
      <c r="H31" s="152" t="n">
        <f aca="false">H30</f>
        <v>0</v>
      </c>
      <c r="I31" s="152" t="n">
        <f aca="false">I30</f>
        <v>0</v>
      </c>
      <c r="J31" s="152" t="n">
        <f aca="false">J30</f>
        <v>43200</v>
      </c>
      <c r="K31" s="152" t="n">
        <f aca="false">K30</f>
        <v>0</v>
      </c>
      <c r="L31" s="152" t="n">
        <f aca="false">SUM(H31:K31)</f>
        <v>43200</v>
      </c>
    </row>
    <row r="32" customFormat="false" ht="12.75" hidden="false" customHeight="false" outlineLevel="0" collapsed="false">
      <c r="A32" s="69" t="n">
        <f aca="false">EDATE(A31,1)</f>
        <v>37257</v>
      </c>
      <c r="B32" s="161" t="n">
        <f aca="false">B31</f>
        <v>0</v>
      </c>
      <c r="C32" s="161" t="n">
        <f aca="false">C31</f>
        <v>0</v>
      </c>
      <c r="D32" s="161" t="n">
        <f aca="false">D31</f>
        <v>5.3435</v>
      </c>
      <c r="E32" s="161" t="n">
        <f aca="false">E31</f>
        <v>0</v>
      </c>
      <c r="G32" s="69" t="n">
        <f aca="false">EDATE(G31,1)</f>
        <v>37257</v>
      </c>
      <c r="H32" s="152" t="n">
        <f aca="false">H31</f>
        <v>0</v>
      </c>
      <c r="I32" s="152" t="n">
        <f aca="false">I31</f>
        <v>0</v>
      </c>
      <c r="J32" s="152" t="n">
        <f aca="false">J31</f>
        <v>43200</v>
      </c>
      <c r="K32" s="152" t="n">
        <f aca="false">K31</f>
        <v>0</v>
      </c>
      <c r="L32" s="152" t="n">
        <f aca="false">SUM(H32:K32)</f>
        <v>43200</v>
      </c>
    </row>
    <row r="33" customFormat="false" ht="12.75" hidden="false" customHeight="false" outlineLevel="0" collapsed="false">
      <c r="A33" s="69" t="n">
        <f aca="false">EDATE(A32,1)</f>
        <v>37288</v>
      </c>
      <c r="B33" s="161" t="n">
        <f aca="false">B32</f>
        <v>0</v>
      </c>
      <c r="C33" s="161" t="n">
        <f aca="false">C32</f>
        <v>0</v>
      </c>
      <c r="D33" s="161" t="n">
        <f aca="false">D32</f>
        <v>5.3435</v>
      </c>
      <c r="E33" s="161" t="n">
        <f aca="false">E32</f>
        <v>0</v>
      </c>
      <c r="G33" s="69" t="n">
        <f aca="false">EDATE(G32,1)</f>
        <v>37288</v>
      </c>
      <c r="H33" s="152" t="n">
        <f aca="false">H32</f>
        <v>0</v>
      </c>
      <c r="I33" s="152" t="n">
        <f aca="false">I32</f>
        <v>0</v>
      </c>
      <c r="J33" s="152" t="n">
        <f aca="false">J32</f>
        <v>43200</v>
      </c>
      <c r="K33" s="152" t="n">
        <f aca="false">K32</f>
        <v>0</v>
      </c>
      <c r="L33" s="152" t="n">
        <f aca="false">SUM(H33:K33)</f>
        <v>43200</v>
      </c>
    </row>
    <row r="34" customFormat="false" ht="12.75" hidden="false" customHeight="false" outlineLevel="0" collapsed="false">
      <c r="A34" s="69" t="n">
        <f aca="false">EDATE(A33,1)</f>
        <v>37316</v>
      </c>
      <c r="B34" s="161" t="n">
        <f aca="false">B33</f>
        <v>0</v>
      </c>
      <c r="C34" s="161" t="n">
        <f aca="false">C33</f>
        <v>0</v>
      </c>
      <c r="D34" s="161" t="n">
        <f aca="false">D33</f>
        <v>5.3435</v>
      </c>
      <c r="E34" s="161" t="n">
        <f aca="false">E33</f>
        <v>0</v>
      </c>
      <c r="G34" s="69" t="n">
        <f aca="false">EDATE(G33,1)</f>
        <v>37316</v>
      </c>
      <c r="H34" s="152" t="n">
        <f aca="false">H33</f>
        <v>0</v>
      </c>
      <c r="I34" s="152" t="n">
        <f aca="false">I33</f>
        <v>0</v>
      </c>
      <c r="J34" s="152" t="n">
        <f aca="false">J33</f>
        <v>43200</v>
      </c>
      <c r="K34" s="152" t="n">
        <f aca="false">K33</f>
        <v>0</v>
      </c>
      <c r="L34" s="152" t="n">
        <f aca="false">SUM(H34:K34)</f>
        <v>43200</v>
      </c>
    </row>
    <row r="35" customFormat="false" ht="12.75" hidden="false" customHeight="false" outlineLevel="0" collapsed="false">
      <c r="A35" s="69" t="n">
        <f aca="false">EDATE(A34,1)</f>
        <v>37347</v>
      </c>
      <c r="B35" s="161" t="n">
        <f aca="false">B34</f>
        <v>0</v>
      </c>
      <c r="C35" s="161" t="n">
        <f aca="false">C34</f>
        <v>0</v>
      </c>
      <c r="D35" s="161" t="n">
        <v>4.259</v>
      </c>
      <c r="E35" s="161" t="n">
        <f aca="false">E34</f>
        <v>0</v>
      </c>
      <c r="G35" s="69" t="n">
        <f aca="false">EDATE(G34,1)</f>
        <v>37347</v>
      </c>
      <c r="H35" s="152" t="n">
        <f aca="false">H34</f>
        <v>0</v>
      </c>
      <c r="I35" s="152" t="n">
        <f aca="false">I34</f>
        <v>0</v>
      </c>
      <c r="J35" s="152" t="n">
        <v>54200</v>
      </c>
      <c r="K35" s="152" t="n">
        <f aca="false">K34</f>
        <v>0</v>
      </c>
      <c r="L35" s="152" t="n">
        <f aca="false">SUM(H35:K35)</f>
        <v>54200</v>
      </c>
    </row>
    <row r="36" customFormat="false" ht="12.75" hidden="false" customHeight="false" outlineLevel="0" collapsed="false">
      <c r="A36" s="69" t="n">
        <f aca="false">EDATE(A35,1)</f>
        <v>37377</v>
      </c>
      <c r="B36" s="161" t="n">
        <f aca="false">B35</f>
        <v>0</v>
      </c>
      <c r="C36" s="161" t="n">
        <f aca="false">C35</f>
        <v>0</v>
      </c>
      <c r="D36" s="161" t="n">
        <f aca="false">D35</f>
        <v>4.259</v>
      </c>
      <c r="E36" s="161" t="n">
        <f aca="false">E35</f>
        <v>0</v>
      </c>
      <c r="G36" s="69" t="n">
        <f aca="false">EDATE(G35,1)</f>
        <v>37377</v>
      </c>
      <c r="H36" s="152" t="n">
        <f aca="false">H35</f>
        <v>0</v>
      </c>
      <c r="I36" s="152" t="n">
        <f aca="false">I35</f>
        <v>0</v>
      </c>
      <c r="J36" s="152" t="n">
        <f aca="false">J35</f>
        <v>54200</v>
      </c>
      <c r="K36" s="152" t="n">
        <f aca="false">K35</f>
        <v>0</v>
      </c>
      <c r="L36" s="152" t="n">
        <f aca="false">SUM(H36:K36)</f>
        <v>54200</v>
      </c>
    </row>
    <row r="37" customFormat="false" ht="12.75" hidden="false" customHeight="false" outlineLevel="0" collapsed="false">
      <c r="A37" s="69" t="n">
        <f aca="false">EDATE(A36,1)</f>
        <v>37408</v>
      </c>
      <c r="B37" s="161" t="n">
        <f aca="false">B36</f>
        <v>0</v>
      </c>
      <c r="C37" s="161" t="n">
        <f aca="false">C36</f>
        <v>0</v>
      </c>
      <c r="D37" s="161" t="n">
        <f aca="false">D36</f>
        <v>4.259</v>
      </c>
      <c r="E37" s="161" t="n">
        <f aca="false">E36</f>
        <v>0</v>
      </c>
      <c r="G37" s="69" t="n">
        <f aca="false">EDATE(G36,1)</f>
        <v>37408</v>
      </c>
      <c r="H37" s="152" t="n">
        <f aca="false">H36</f>
        <v>0</v>
      </c>
      <c r="I37" s="152" t="n">
        <f aca="false">I36</f>
        <v>0</v>
      </c>
      <c r="J37" s="152" t="n">
        <f aca="false">J36</f>
        <v>54200</v>
      </c>
      <c r="K37" s="152" t="n">
        <f aca="false">K36</f>
        <v>0</v>
      </c>
      <c r="L37" s="152" t="n">
        <f aca="false">SUM(H37:K37)</f>
        <v>54200</v>
      </c>
    </row>
    <row r="38" customFormat="false" ht="12.75" hidden="false" customHeight="false" outlineLevel="0" collapsed="false">
      <c r="A38" s="69" t="n">
        <f aca="false">EDATE(A37,1)</f>
        <v>37438</v>
      </c>
      <c r="B38" s="161" t="n">
        <f aca="false">B37</f>
        <v>0</v>
      </c>
      <c r="C38" s="161" t="n">
        <f aca="false">C37</f>
        <v>0</v>
      </c>
      <c r="D38" s="161" t="n">
        <f aca="false">D37</f>
        <v>4.259</v>
      </c>
      <c r="E38" s="161" t="n">
        <f aca="false">E37</f>
        <v>0</v>
      </c>
      <c r="G38" s="69" t="n">
        <f aca="false">EDATE(G37,1)</f>
        <v>37438</v>
      </c>
      <c r="H38" s="152" t="n">
        <f aca="false">H37</f>
        <v>0</v>
      </c>
      <c r="I38" s="152" t="n">
        <f aca="false">I37</f>
        <v>0</v>
      </c>
      <c r="J38" s="152" t="n">
        <f aca="false">J37</f>
        <v>54200</v>
      </c>
      <c r="K38" s="152" t="n">
        <f aca="false">K37</f>
        <v>0</v>
      </c>
      <c r="L38" s="152" t="n">
        <f aca="false">SUM(H38:K38)</f>
        <v>54200</v>
      </c>
    </row>
    <row r="39" customFormat="false" ht="12.75" hidden="false" customHeight="false" outlineLevel="0" collapsed="false">
      <c r="A39" s="69" t="n">
        <f aca="false">EDATE(A38,1)</f>
        <v>37469</v>
      </c>
      <c r="B39" s="161" t="n">
        <f aca="false">B38</f>
        <v>0</v>
      </c>
      <c r="C39" s="161" t="n">
        <f aca="false">C38</f>
        <v>0</v>
      </c>
      <c r="D39" s="161" t="n">
        <f aca="false">D38</f>
        <v>4.259</v>
      </c>
      <c r="E39" s="161" t="n">
        <f aca="false">E38</f>
        <v>0</v>
      </c>
      <c r="G39" s="69" t="n">
        <f aca="false">EDATE(G38,1)</f>
        <v>37469</v>
      </c>
      <c r="H39" s="152" t="n">
        <f aca="false">H38</f>
        <v>0</v>
      </c>
      <c r="I39" s="152" t="n">
        <f aca="false">I38</f>
        <v>0</v>
      </c>
      <c r="J39" s="152" t="n">
        <f aca="false">J38</f>
        <v>54200</v>
      </c>
      <c r="K39" s="152" t="n">
        <f aca="false">K38</f>
        <v>0</v>
      </c>
      <c r="L39" s="152" t="n">
        <f aca="false">SUM(H39:K39)</f>
        <v>54200</v>
      </c>
    </row>
    <row r="40" customFormat="false" ht="12.75" hidden="false" customHeight="false" outlineLevel="0" collapsed="false">
      <c r="A40" s="69" t="n">
        <f aca="false">EDATE(A39,1)</f>
        <v>37500</v>
      </c>
      <c r="B40" s="161" t="n">
        <f aca="false">B39</f>
        <v>0</v>
      </c>
      <c r="C40" s="161" t="n">
        <f aca="false">C39</f>
        <v>0</v>
      </c>
      <c r="D40" s="161" t="n">
        <f aca="false">D39</f>
        <v>4.259</v>
      </c>
      <c r="E40" s="161" t="n">
        <f aca="false">E39</f>
        <v>0</v>
      </c>
      <c r="G40" s="69" t="n">
        <f aca="false">EDATE(G39,1)</f>
        <v>37500</v>
      </c>
      <c r="H40" s="152" t="n">
        <f aca="false">H39</f>
        <v>0</v>
      </c>
      <c r="I40" s="152" t="n">
        <f aca="false">I39</f>
        <v>0</v>
      </c>
      <c r="J40" s="152" t="n">
        <f aca="false">J39</f>
        <v>54200</v>
      </c>
      <c r="K40" s="152" t="n">
        <f aca="false">K39</f>
        <v>0</v>
      </c>
      <c r="L40" s="152" t="n">
        <f aca="false">SUM(H40:K40)</f>
        <v>54200</v>
      </c>
    </row>
    <row r="41" customFormat="false" ht="12.75" hidden="false" customHeight="false" outlineLevel="0" collapsed="false">
      <c r="A41" s="69" t="n">
        <f aca="false">EDATE(A40,1)</f>
        <v>37530</v>
      </c>
      <c r="B41" s="161" t="n">
        <f aca="false">B40</f>
        <v>0</v>
      </c>
      <c r="C41" s="161" t="n">
        <f aca="false">C40</f>
        <v>0</v>
      </c>
      <c r="D41" s="161" t="n">
        <f aca="false">D40</f>
        <v>4.259</v>
      </c>
      <c r="E41" s="161" t="n">
        <f aca="false">E40</f>
        <v>0</v>
      </c>
      <c r="G41" s="69" t="n">
        <f aca="false">EDATE(G40,1)</f>
        <v>37530</v>
      </c>
      <c r="H41" s="152" t="n">
        <f aca="false">H40</f>
        <v>0</v>
      </c>
      <c r="I41" s="152" t="n">
        <f aca="false">I40</f>
        <v>0</v>
      </c>
      <c r="J41" s="152" t="n">
        <f aca="false">J40</f>
        <v>54200</v>
      </c>
      <c r="K41" s="152" t="n">
        <f aca="false">K40</f>
        <v>0</v>
      </c>
      <c r="L41" s="152" t="n">
        <f aca="false">SUM(H41:K41)</f>
        <v>54200</v>
      </c>
    </row>
    <row r="42" customFormat="false" ht="12.75" hidden="false" customHeight="false" outlineLevel="0" collapsed="false">
      <c r="A42" s="69" t="n">
        <f aca="false">EDATE(A41,1)</f>
        <v>37561</v>
      </c>
      <c r="B42" s="161" t="n">
        <f aca="false">B41</f>
        <v>0</v>
      </c>
      <c r="C42" s="161" t="n">
        <f aca="false">C41</f>
        <v>0</v>
      </c>
      <c r="D42" s="161" t="n">
        <f aca="false">D41</f>
        <v>4.259</v>
      </c>
      <c r="E42" s="161" t="n">
        <f aca="false">E41</f>
        <v>0</v>
      </c>
      <c r="G42" s="69" t="n">
        <f aca="false">EDATE(G41,1)</f>
        <v>37561</v>
      </c>
      <c r="H42" s="152" t="n">
        <f aca="false">H41</f>
        <v>0</v>
      </c>
      <c r="I42" s="152" t="n">
        <f aca="false">I41</f>
        <v>0</v>
      </c>
      <c r="J42" s="152" t="n">
        <f aca="false">J41</f>
        <v>54200</v>
      </c>
      <c r="K42" s="152" t="n">
        <f aca="false">K41</f>
        <v>0</v>
      </c>
      <c r="L42" s="152" t="n">
        <f aca="false">SUM(H42:K42)</f>
        <v>54200</v>
      </c>
    </row>
    <row r="43" customFormat="false" ht="12.75" hidden="false" customHeight="false" outlineLevel="0" collapsed="false">
      <c r="A43" s="69" t="n">
        <f aca="false">EDATE(A42,1)</f>
        <v>37591</v>
      </c>
      <c r="B43" s="161" t="n">
        <f aca="false">B42</f>
        <v>0</v>
      </c>
      <c r="C43" s="161" t="n">
        <f aca="false">C42</f>
        <v>0</v>
      </c>
      <c r="D43" s="161" t="n">
        <f aca="false">D42</f>
        <v>4.259</v>
      </c>
      <c r="E43" s="161" t="n">
        <f aca="false">E42</f>
        <v>0</v>
      </c>
      <c r="G43" s="69" t="n">
        <f aca="false">EDATE(G42,1)</f>
        <v>37591</v>
      </c>
      <c r="H43" s="152" t="n">
        <f aca="false">H42</f>
        <v>0</v>
      </c>
      <c r="I43" s="152" t="n">
        <f aca="false">I42</f>
        <v>0</v>
      </c>
      <c r="J43" s="152" t="n">
        <f aca="false">J42</f>
        <v>54200</v>
      </c>
      <c r="K43" s="152" t="n">
        <f aca="false">K42</f>
        <v>0</v>
      </c>
      <c r="L43" s="152" t="n">
        <f aca="false">SUM(H43:K43)</f>
        <v>54200</v>
      </c>
    </row>
    <row r="44" customFormat="false" ht="12.75" hidden="false" customHeight="false" outlineLevel="0" collapsed="false">
      <c r="A44" s="69" t="n">
        <f aca="false">EDATE(A43,1)</f>
        <v>37622</v>
      </c>
      <c r="B44" s="161" t="n">
        <f aca="false">B43</f>
        <v>0</v>
      </c>
      <c r="C44" s="161" t="n">
        <f aca="false">C43</f>
        <v>0</v>
      </c>
      <c r="D44" s="161" t="n">
        <f aca="false">D43</f>
        <v>4.259</v>
      </c>
      <c r="E44" s="161" t="n">
        <f aca="false">E43</f>
        <v>0</v>
      </c>
      <c r="G44" s="69" t="n">
        <f aca="false">EDATE(G43,1)</f>
        <v>37622</v>
      </c>
      <c r="H44" s="152" t="n">
        <f aca="false">H43</f>
        <v>0</v>
      </c>
      <c r="I44" s="152" t="n">
        <f aca="false">I43</f>
        <v>0</v>
      </c>
      <c r="J44" s="152" t="n">
        <f aca="false">J43</f>
        <v>54200</v>
      </c>
      <c r="K44" s="152" t="n">
        <f aca="false">K43</f>
        <v>0</v>
      </c>
      <c r="L44" s="152" t="n">
        <f aca="false">SUM(H44:K44)</f>
        <v>54200</v>
      </c>
    </row>
    <row r="45" customFormat="false" ht="12.75" hidden="false" customHeight="false" outlineLevel="0" collapsed="false">
      <c r="A45" s="69" t="n">
        <f aca="false">EDATE(A44,1)</f>
        <v>37653</v>
      </c>
      <c r="B45" s="161" t="n">
        <f aca="false">B44</f>
        <v>0</v>
      </c>
      <c r="C45" s="161" t="n">
        <f aca="false">C44</f>
        <v>0</v>
      </c>
      <c r="D45" s="161" t="n">
        <f aca="false">D44</f>
        <v>4.259</v>
      </c>
      <c r="E45" s="161" t="n">
        <f aca="false">E44</f>
        <v>0</v>
      </c>
      <c r="G45" s="69" t="n">
        <f aca="false">EDATE(G44,1)</f>
        <v>37653</v>
      </c>
      <c r="H45" s="152" t="n">
        <f aca="false">H44</f>
        <v>0</v>
      </c>
      <c r="I45" s="152" t="n">
        <f aca="false">I44</f>
        <v>0</v>
      </c>
      <c r="J45" s="152" t="n">
        <f aca="false">J44</f>
        <v>54200</v>
      </c>
      <c r="K45" s="152" t="n">
        <f aca="false">K44</f>
        <v>0</v>
      </c>
      <c r="L45" s="152" t="n">
        <f aca="false">SUM(H45:K45)</f>
        <v>54200</v>
      </c>
    </row>
    <row r="46" customFormat="false" ht="12.75" hidden="false" customHeight="false" outlineLevel="0" collapsed="false">
      <c r="A46" s="69" t="n">
        <f aca="false">EDATE(A45,1)</f>
        <v>37681</v>
      </c>
      <c r="B46" s="161" t="n">
        <f aca="false">B45</f>
        <v>0</v>
      </c>
      <c r="C46" s="161" t="n">
        <f aca="false">C45</f>
        <v>0</v>
      </c>
      <c r="D46" s="161" t="n">
        <f aca="false">D45</f>
        <v>4.259</v>
      </c>
      <c r="E46" s="161" t="n">
        <f aca="false">E45</f>
        <v>0</v>
      </c>
      <c r="G46" s="69" t="n">
        <f aca="false">EDATE(G45,1)</f>
        <v>37681</v>
      </c>
      <c r="H46" s="152" t="n">
        <f aca="false">H45</f>
        <v>0</v>
      </c>
      <c r="I46" s="152" t="n">
        <f aca="false">I45</f>
        <v>0</v>
      </c>
      <c r="J46" s="152" t="n">
        <f aca="false">J45</f>
        <v>54200</v>
      </c>
      <c r="K46" s="152" t="n">
        <f aca="false">K45</f>
        <v>0</v>
      </c>
      <c r="L46" s="152" t="n">
        <f aca="false">SUM(H46:K46)</f>
        <v>54200</v>
      </c>
    </row>
    <row r="47" customFormat="false" ht="12.75" hidden="false" customHeight="false" outlineLevel="0" collapsed="false">
      <c r="A47" s="69" t="n">
        <f aca="false">EDATE(A46,1)</f>
        <v>37712</v>
      </c>
      <c r="B47" s="161" t="n">
        <f aca="false">B46</f>
        <v>0</v>
      </c>
      <c r="C47" s="161" t="n">
        <f aca="false">C46</f>
        <v>0</v>
      </c>
      <c r="D47" s="161" t="n">
        <v>3.8993</v>
      </c>
      <c r="E47" s="161" t="n">
        <f aca="false">E46</f>
        <v>0</v>
      </c>
      <c r="G47" s="69" t="n">
        <f aca="false">EDATE(G46,1)</f>
        <v>37712</v>
      </c>
      <c r="H47" s="152" t="n">
        <f aca="false">H46</f>
        <v>0</v>
      </c>
      <c r="I47" s="152" t="n">
        <f aca="false">I46</f>
        <v>0</v>
      </c>
      <c r="J47" s="152" t="n">
        <v>59200</v>
      </c>
      <c r="K47" s="152" t="n">
        <f aca="false">K46</f>
        <v>0</v>
      </c>
      <c r="L47" s="152" t="n">
        <f aca="false">SUM(H47:K47)</f>
        <v>59200</v>
      </c>
    </row>
    <row r="48" customFormat="false" ht="12.75" hidden="false" customHeight="false" outlineLevel="0" collapsed="false">
      <c r="A48" s="69" t="n">
        <f aca="false">EDATE(A47,1)</f>
        <v>37742</v>
      </c>
      <c r="B48" s="161" t="n">
        <f aca="false">B47</f>
        <v>0</v>
      </c>
      <c r="C48" s="161" t="n">
        <f aca="false">C47</f>
        <v>0</v>
      </c>
      <c r="D48" s="161" t="n">
        <f aca="false">D47</f>
        <v>3.8993</v>
      </c>
      <c r="E48" s="161" t="n">
        <f aca="false">E47</f>
        <v>0</v>
      </c>
      <c r="G48" s="69" t="n">
        <f aca="false">EDATE(G47,1)</f>
        <v>37742</v>
      </c>
      <c r="H48" s="152" t="n">
        <f aca="false">H47</f>
        <v>0</v>
      </c>
      <c r="I48" s="152" t="n">
        <f aca="false">I47</f>
        <v>0</v>
      </c>
      <c r="J48" s="152" t="n">
        <f aca="false">J47</f>
        <v>59200</v>
      </c>
      <c r="K48" s="152" t="n">
        <f aca="false">K47</f>
        <v>0</v>
      </c>
      <c r="L48" s="152" t="n">
        <f aca="false">SUM(H48:K48)</f>
        <v>59200</v>
      </c>
    </row>
    <row r="49" customFormat="false" ht="12.75" hidden="false" customHeight="false" outlineLevel="0" collapsed="false">
      <c r="A49" s="69" t="n">
        <f aca="false">EDATE(A48,1)</f>
        <v>37773</v>
      </c>
      <c r="B49" s="161" t="n">
        <f aca="false">B48</f>
        <v>0</v>
      </c>
      <c r="C49" s="161" t="n">
        <f aca="false">C48</f>
        <v>0</v>
      </c>
      <c r="D49" s="161" t="n">
        <f aca="false">D48</f>
        <v>3.8993</v>
      </c>
      <c r="E49" s="161" t="n">
        <f aca="false">E48</f>
        <v>0</v>
      </c>
      <c r="G49" s="69" t="n">
        <f aca="false">EDATE(G48,1)</f>
        <v>37773</v>
      </c>
      <c r="H49" s="152" t="n">
        <f aca="false">H48</f>
        <v>0</v>
      </c>
      <c r="I49" s="152" t="n">
        <f aca="false">I48</f>
        <v>0</v>
      </c>
      <c r="J49" s="152" t="n">
        <f aca="false">J48</f>
        <v>59200</v>
      </c>
      <c r="K49" s="152" t="n">
        <f aca="false">K48</f>
        <v>0</v>
      </c>
      <c r="L49" s="152" t="n">
        <f aca="false">SUM(H49:K49)</f>
        <v>59200</v>
      </c>
    </row>
    <row r="50" customFormat="false" ht="12.75" hidden="false" customHeight="false" outlineLevel="0" collapsed="false">
      <c r="A50" s="69" t="n">
        <f aca="false">EDATE(A49,1)</f>
        <v>37803</v>
      </c>
      <c r="B50" s="161" t="n">
        <f aca="false">B49</f>
        <v>0</v>
      </c>
      <c r="C50" s="161" t="n">
        <f aca="false">C49</f>
        <v>0</v>
      </c>
      <c r="D50" s="161" t="n">
        <f aca="false">D49</f>
        <v>3.8993</v>
      </c>
      <c r="E50" s="161" t="n">
        <f aca="false">E49</f>
        <v>0</v>
      </c>
      <c r="G50" s="69" t="n">
        <f aca="false">EDATE(G49,1)</f>
        <v>37803</v>
      </c>
      <c r="H50" s="152" t="n">
        <f aca="false">H49</f>
        <v>0</v>
      </c>
      <c r="I50" s="152" t="n">
        <f aca="false">I49</f>
        <v>0</v>
      </c>
      <c r="J50" s="152" t="n">
        <f aca="false">J49</f>
        <v>59200</v>
      </c>
      <c r="K50" s="152" t="n">
        <f aca="false">K49</f>
        <v>0</v>
      </c>
      <c r="L50" s="152" t="n">
        <f aca="false">SUM(H50:K50)</f>
        <v>59200</v>
      </c>
    </row>
    <row r="51" customFormat="false" ht="12.75" hidden="false" customHeight="false" outlineLevel="0" collapsed="false">
      <c r="A51" s="69" t="n">
        <f aca="false">EDATE(A50,1)</f>
        <v>37834</v>
      </c>
      <c r="B51" s="161" t="n">
        <f aca="false">B50</f>
        <v>0</v>
      </c>
      <c r="C51" s="161" t="n">
        <f aca="false">C50</f>
        <v>0</v>
      </c>
      <c r="D51" s="161" t="n">
        <f aca="false">D50</f>
        <v>3.8993</v>
      </c>
      <c r="E51" s="161" t="n">
        <f aca="false">E50</f>
        <v>0</v>
      </c>
      <c r="G51" s="69" t="n">
        <f aca="false">EDATE(G50,1)</f>
        <v>37834</v>
      </c>
      <c r="H51" s="152" t="n">
        <f aca="false">H50</f>
        <v>0</v>
      </c>
      <c r="I51" s="152" t="n">
        <f aca="false">I50</f>
        <v>0</v>
      </c>
      <c r="J51" s="152" t="n">
        <f aca="false">J50</f>
        <v>59200</v>
      </c>
      <c r="K51" s="152" t="n">
        <f aca="false">K50</f>
        <v>0</v>
      </c>
      <c r="L51" s="152" t="n">
        <f aca="false">SUM(H51:K51)</f>
        <v>59200</v>
      </c>
    </row>
    <row r="52" customFormat="false" ht="12.75" hidden="false" customHeight="false" outlineLevel="0" collapsed="false">
      <c r="A52" s="69" t="n">
        <f aca="false">EDATE(A51,1)</f>
        <v>37865</v>
      </c>
      <c r="B52" s="161" t="n">
        <f aca="false">B51</f>
        <v>0</v>
      </c>
      <c r="C52" s="161" t="n">
        <f aca="false">C51</f>
        <v>0</v>
      </c>
      <c r="D52" s="161" t="n">
        <f aca="false">D51</f>
        <v>3.8993</v>
      </c>
      <c r="E52" s="161" t="n">
        <f aca="false">E51</f>
        <v>0</v>
      </c>
      <c r="G52" s="69" t="n">
        <f aca="false">EDATE(G51,1)</f>
        <v>37865</v>
      </c>
      <c r="H52" s="152" t="n">
        <f aca="false">H51</f>
        <v>0</v>
      </c>
      <c r="I52" s="152" t="n">
        <f aca="false">I51</f>
        <v>0</v>
      </c>
      <c r="J52" s="152" t="n">
        <f aca="false">J51</f>
        <v>59200</v>
      </c>
      <c r="K52" s="152" t="n">
        <f aca="false">K51</f>
        <v>0</v>
      </c>
      <c r="L52" s="152" t="n">
        <f aca="false">SUM(H52:K52)</f>
        <v>59200</v>
      </c>
    </row>
    <row r="53" customFormat="false" ht="12.75" hidden="false" customHeight="false" outlineLevel="0" collapsed="false">
      <c r="A53" s="69" t="n">
        <f aca="false">EDATE(A52,1)</f>
        <v>37895</v>
      </c>
      <c r="B53" s="161" t="n">
        <f aca="false">B52</f>
        <v>0</v>
      </c>
      <c r="C53" s="161" t="n">
        <f aca="false">C52</f>
        <v>0</v>
      </c>
      <c r="D53" s="161" t="n">
        <f aca="false">D52</f>
        <v>3.8993</v>
      </c>
      <c r="E53" s="161" t="n">
        <f aca="false">E52</f>
        <v>0</v>
      </c>
      <c r="G53" s="69" t="n">
        <f aca="false">EDATE(G52,1)</f>
        <v>37895</v>
      </c>
      <c r="H53" s="152" t="n">
        <f aca="false">H52</f>
        <v>0</v>
      </c>
      <c r="I53" s="152" t="n">
        <f aca="false">I52</f>
        <v>0</v>
      </c>
      <c r="J53" s="152" t="n">
        <f aca="false">J52</f>
        <v>59200</v>
      </c>
      <c r="K53" s="152" t="n">
        <f aca="false">K52</f>
        <v>0</v>
      </c>
      <c r="L53" s="152" t="n">
        <f aca="false">SUM(H53:K53)</f>
        <v>59200</v>
      </c>
    </row>
    <row r="54" customFormat="false" ht="12.75" hidden="false" customHeight="false" outlineLevel="0" collapsed="false">
      <c r="A54" s="69" t="n">
        <f aca="false">EDATE(A53,1)</f>
        <v>37926</v>
      </c>
      <c r="B54" s="161" t="n">
        <f aca="false">B53</f>
        <v>0</v>
      </c>
      <c r="C54" s="161" t="n">
        <f aca="false">C53</f>
        <v>0</v>
      </c>
      <c r="D54" s="161" t="n">
        <f aca="false">D53</f>
        <v>3.8993</v>
      </c>
      <c r="E54" s="161" t="n">
        <f aca="false">E53</f>
        <v>0</v>
      </c>
      <c r="G54" s="69" t="n">
        <f aca="false">EDATE(G53,1)</f>
        <v>37926</v>
      </c>
      <c r="H54" s="152" t="n">
        <f aca="false">H53</f>
        <v>0</v>
      </c>
      <c r="I54" s="152" t="n">
        <f aca="false">I53</f>
        <v>0</v>
      </c>
      <c r="J54" s="152" t="n">
        <f aca="false">J53</f>
        <v>59200</v>
      </c>
      <c r="K54" s="152" t="n">
        <f aca="false">K53</f>
        <v>0</v>
      </c>
      <c r="L54" s="152" t="n">
        <f aca="false">SUM(H54:K54)</f>
        <v>59200</v>
      </c>
    </row>
    <row r="55" customFormat="false" ht="12.75" hidden="false" customHeight="false" outlineLevel="0" collapsed="false">
      <c r="A55" s="69" t="n">
        <f aca="false">EDATE(A54,1)</f>
        <v>37956</v>
      </c>
      <c r="B55" s="161" t="n">
        <f aca="false">B54</f>
        <v>0</v>
      </c>
      <c r="C55" s="161" t="n">
        <f aca="false">C54</f>
        <v>0</v>
      </c>
      <c r="D55" s="161" t="n">
        <f aca="false">D54</f>
        <v>3.8993</v>
      </c>
      <c r="E55" s="161" t="n">
        <f aca="false">E54</f>
        <v>0</v>
      </c>
      <c r="G55" s="69" t="n">
        <f aca="false">EDATE(G54,1)</f>
        <v>37956</v>
      </c>
      <c r="H55" s="152" t="n">
        <f aca="false">H54</f>
        <v>0</v>
      </c>
      <c r="I55" s="152" t="n">
        <f aca="false">I54</f>
        <v>0</v>
      </c>
      <c r="J55" s="152" t="n">
        <f aca="false">J54</f>
        <v>59200</v>
      </c>
      <c r="K55" s="152" t="n">
        <f aca="false">K54</f>
        <v>0</v>
      </c>
      <c r="L55" s="152" t="n">
        <f aca="false">SUM(H55:K55)</f>
        <v>59200</v>
      </c>
    </row>
    <row r="56" customFormat="false" ht="12.75" hidden="false" customHeight="false" outlineLevel="0" collapsed="false">
      <c r="A56" s="69" t="n">
        <f aca="false">EDATE(A55,1)</f>
        <v>37987</v>
      </c>
      <c r="B56" s="161" t="n">
        <f aca="false">B55</f>
        <v>0</v>
      </c>
      <c r="C56" s="161" t="n">
        <f aca="false">C55</f>
        <v>0</v>
      </c>
      <c r="D56" s="161" t="n">
        <f aca="false">D55</f>
        <v>3.8993</v>
      </c>
      <c r="E56" s="161" t="n">
        <f aca="false">E55</f>
        <v>0</v>
      </c>
      <c r="G56" s="69" t="n">
        <f aca="false">EDATE(G55,1)</f>
        <v>37987</v>
      </c>
      <c r="H56" s="152" t="n">
        <f aca="false">H55</f>
        <v>0</v>
      </c>
      <c r="I56" s="152" t="n">
        <f aca="false">I55</f>
        <v>0</v>
      </c>
      <c r="J56" s="152" t="n">
        <f aca="false">J55</f>
        <v>59200</v>
      </c>
      <c r="K56" s="152" t="n">
        <f aca="false">K55</f>
        <v>0</v>
      </c>
      <c r="L56" s="152" t="n">
        <f aca="false">SUM(H56:K56)</f>
        <v>59200</v>
      </c>
    </row>
    <row r="57" customFormat="false" ht="12.75" hidden="false" customHeight="false" outlineLevel="0" collapsed="false">
      <c r="A57" s="69" t="n">
        <f aca="false">EDATE(A56,1)</f>
        <v>38018</v>
      </c>
      <c r="B57" s="161" t="n">
        <f aca="false">B56</f>
        <v>0</v>
      </c>
      <c r="C57" s="161" t="n">
        <f aca="false">C56</f>
        <v>0</v>
      </c>
      <c r="D57" s="161" t="n">
        <f aca="false">D56</f>
        <v>3.8993</v>
      </c>
      <c r="E57" s="161" t="n">
        <f aca="false">E56</f>
        <v>0</v>
      </c>
      <c r="G57" s="69" t="n">
        <f aca="false">EDATE(G56,1)</f>
        <v>38018</v>
      </c>
      <c r="H57" s="152" t="n">
        <f aca="false">H56</f>
        <v>0</v>
      </c>
      <c r="I57" s="152" t="n">
        <f aca="false">I56</f>
        <v>0</v>
      </c>
      <c r="J57" s="152" t="n">
        <f aca="false">J56</f>
        <v>59200</v>
      </c>
      <c r="K57" s="152" t="n">
        <f aca="false">K56</f>
        <v>0</v>
      </c>
      <c r="L57" s="152" t="n">
        <f aca="false">SUM(H57:K57)</f>
        <v>59200</v>
      </c>
    </row>
    <row r="58" customFormat="false" ht="12.75" hidden="false" customHeight="false" outlineLevel="0" collapsed="false">
      <c r="A58" s="69" t="n">
        <f aca="false">EDATE(A57,1)</f>
        <v>38047</v>
      </c>
      <c r="B58" s="161" t="n">
        <f aca="false">B57</f>
        <v>0</v>
      </c>
      <c r="C58" s="161" t="n">
        <f aca="false">C57</f>
        <v>0</v>
      </c>
      <c r="D58" s="161" t="n">
        <f aca="false">D57</f>
        <v>3.8993</v>
      </c>
      <c r="E58" s="161" t="n">
        <f aca="false">E57</f>
        <v>0</v>
      </c>
      <c r="G58" s="69" t="n">
        <f aca="false">EDATE(G57,1)</f>
        <v>38047</v>
      </c>
      <c r="H58" s="152" t="n">
        <f aca="false">H57</f>
        <v>0</v>
      </c>
      <c r="I58" s="152" t="n">
        <f aca="false">I57</f>
        <v>0</v>
      </c>
      <c r="J58" s="152" t="n">
        <f aca="false">J57</f>
        <v>59200</v>
      </c>
      <c r="K58" s="152" t="n">
        <f aca="false">K57</f>
        <v>0</v>
      </c>
      <c r="L58" s="152" t="n">
        <f aca="false">SUM(H58:K58)</f>
        <v>59200</v>
      </c>
    </row>
    <row r="59" customFormat="false" ht="12.75" hidden="false" customHeight="false" outlineLevel="0" collapsed="false">
      <c r="A59" s="69" t="n">
        <f aca="false">EDATE(A58,1)</f>
        <v>38078</v>
      </c>
      <c r="B59" s="161" t="n">
        <f aca="false">B58</f>
        <v>0</v>
      </c>
      <c r="C59" s="161" t="n">
        <f aca="false">C58</f>
        <v>0</v>
      </c>
      <c r="D59" s="161" t="n">
        <v>3.7904</v>
      </c>
      <c r="E59" s="161" t="n">
        <f aca="false">E58</f>
        <v>0</v>
      </c>
      <c r="G59" s="69" t="n">
        <f aca="false">EDATE(G58,1)</f>
        <v>38078</v>
      </c>
      <c r="H59" s="152" t="n">
        <f aca="false">H58</f>
        <v>0</v>
      </c>
      <c r="I59" s="152" t="n">
        <f aca="false">I58</f>
        <v>0</v>
      </c>
      <c r="J59" s="152" t="n">
        <v>60900</v>
      </c>
      <c r="K59" s="152" t="n">
        <f aca="false">K58</f>
        <v>0</v>
      </c>
      <c r="L59" s="152" t="n">
        <f aca="false">SUM(H59:K59)</f>
        <v>60900</v>
      </c>
    </row>
    <row r="60" customFormat="false" ht="12.75" hidden="false" customHeight="false" outlineLevel="0" collapsed="false">
      <c r="A60" s="69" t="n">
        <f aca="false">EDATE(A59,1)</f>
        <v>38108</v>
      </c>
      <c r="B60" s="161" t="n">
        <f aca="false">B59</f>
        <v>0</v>
      </c>
      <c r="C60" s="161" t="n">
        <f aca="false">C59</f>
        <v>0</v>
      </c>
      <c r="D60" s="161" t="n">
        <f aca="false">D59</f>
        <v>3.7904</v>
      </c>
      <c r="E60" s="161" t="n">
        <f aca="false">E59</f>
        <v>0</v>
      </c>
      <c r="G60" s="69" t="n">
        <f aca="false">EDATE(G59,1)</f>
        <v>38108</v>
      </c>
      <c r="H60" s="152" t="n">
        <f aca="false">H59</f>
        <v>0</v>
      </c>
      <c r="I60" s="152" t="n">
        <f aca="false">I59</f>
        <v>0</v>
      </c>
      <c r="J60" s="152" t="n">
        <f aca="false">J59</f>
        <v>60900</v>
      </c>
      <c r="K60" s="152" t="n">
        <f aca="false">K59</f>
        <v>0</v>
      </c>
      <c r="L60" s="152" t="n">
        <f aca="false">SUM(H60:K60)</f>
        <v>60900</v>
      </c>
    </row>
    <row r="61" customFormat="false" ht="12.75" hidden="false" customHeight="false" outlineLevel="0" collapsed="false">
      <c r="A61" s="69" t="n">
        <f aca="false">EDATE(A60,1)</f>
        <v>38139</v>
      </c>
      <c r="B61" s="161" t="n">
        <f aca="false">B60</f>
        <v>0</v>
      </c>
      <c r="C61" s="161" t="n">
        <f aca="false">C60</f>
        <v>0</v>
      </c>
      <c r="D61" s="161" t="n">
        <f aca="false">D60</f>
        <v>3.7904</v>
      </c>
      <c r="E61" s="161" t="n">
        <f aca="false">E60</f>
        <v>0</v>
      </c>
      <c r="G61" s="69" t="n">
        <f aca="false">EDATE(G60,1)</f>
        <v>38139</v>
      </c>
      <c r="H61" s="152" t="n">
        <f aca="false">H60</f>
        <v>0</v>
      </c>
      <c r="I61" s="152" t="n">
        <f aca="false">I60</f>
        <v>0</v>
      </c>
      <c r="J61" s="152" t="n">
        <f aca="false">J60</f>
        <v>60900</v>
      </c>
      <c r="K61" s="152" t="n">
        <f aca="false">K60</f>
        <v>0</v>
      </c>
      <c r="L61" s="152" t="n">
        <f aca="false">SUM(H61:K61)</f>
        <v>60900</v>
      </c>
    </row>
    <row r="62" customFormat="false" ht="12.75" hidden="false" customHeight="false" outlineLevel="0" collapsed="false">
      <c r="A62" s="69" t="n">
        <f aca="false">EDATE(A61,1)</f>
        <v>38169</v>
      </c>
      <c r="B62" s="161" t="n">
        <f aca="false">B61</f>
        <v>0</v>
      </c>
      <c r="C62" s="161" t="n">
        <f aca="false">C61</f>
        <v>0</v>
      </c>
      <c r="D62" s="161" t="n">
        <f aca="false">D61</f>
        <v>3.7904</v>
      </c>
      <c r="E62" s="161" t="n">
        <f aca="false">E61</f>
        <v>0</v>
      </c>
      <c r="G62" s="69" t="n">
        <f aca="false">EDATE(G61,1)</f>
        <v>38169</v>
      </c>
      <c r="H62" s="152" t="n">
        <f aca="false">H61</f>
        <v>0</v>
      </c>
      <c r="I62" s="152" t="n">
        <f aca="false">I61</f>
        <v>0</v>
      </c>
      <c r="J62" s="152" t="n">
        <f aca="false">J61</f>
        <v>60900</v>
      </c>
      <c r="K62" s="152" t="n">
        <f aca="false">K61</f>
        <v>0</v>
      </c>
      <c r="L62" s="152" t="n">
        <f aca="false">SUM(H62:K62)</f>
        <v>60900</v>
      </c>
    </row>
    <row r="63" customFormat="false" ht="12.75" hidden="false" customHeight="false" outlineLevel="0" collapsed="false">
      <c r="A63" s="69" t="n">
        <f aca="false">EDATE(A62,1)</f>
        <v>38200</v>
      </c>
      <c r="B63" s="161" t="n">
        <f aca="false">B62</f>
        <v>0</v>
      </c>
      <c r="C63" s="161" t="n">
        <f aca="false">C62</f>
        <v>0</v>
      </c>
      <c r="D63" s="161" t="n">
        <f aca="false">D62</f>
        <v>3.7904</v>
      </c>
      <c r="E63" s="161" t="n">
        <f aca="false">E62</f>
        <v>0</v>
      </c>
      <c r="G63" s="69" t="n">
        <f aca="false">EDATE(G62,1)</f>
        <v>38200</v>
      </c>
      <c r="H63" s="152" t="n">
        <f aca="false">H62</f>
        <v>0</v>
      </c>
      <c r="I63" s="152" t="n">
        <f aca="false">I62</f>
        <v>0</v>
      </c>
      <c r="J63" s="152" t="n">
        <f aca="false">J62</f>
        <v>60900</v>
      </c>
      <c r="K63" s="152" t="n">
        <f aca="false">K62</f>
        <v>0</v>
      </c>
      <c r="L63" s="152" t="n">
        <f aca="false">SUM(H63:K63)</f>
        <v>60900</v>
      </c>
    </row>
    <row r="64" customFormat="false" ht="12.75" hidden="false" customHeight="false" outlineLevel="0" collapsed="false">
      <c r="A64" s="69" t="n">
        <f aca="false">EDATE(A63,1)</f>
        <v>38231</v>
      </c>
      <c r="B64" s="161" t="n">
        <f aca="false">B63</f>
        <v>0</v>
      </c>
      <c r="C64" s="161" t="n">
        <f aca="false">C63</f>
        <v>0</v>
      </c>
      <c r="D64" s="161" t="n">
        <f aca="false">D63</f>
        <v>3.7904</v>
      </c>
      <c r="E64" s="161" t="n">
        <f aca="false">E63</f>
        <v>0</v>
      </c>
      <c r="G64" s="69" t="n">
        <f aca="false">EDATE(G63,1)</f>
        <v>38231</v>
      </c>
      <c r="H64" s="152" t="n">
        <f aca="false">H63</f>
        <v>0</v>
      </c>
      <c r="I64" s="152" t="n">
        <f aca="false">I63</f>
        <v>0</v>
      </c>
      <c r="J64" s="152" t="n">
        <f aca="false">J63</f>
        <v>60900</v>
      </c>
      <c r="K64" s="152" t="n">
        <f aca="false">K63</f>
        <v>0</v>
      </c>
      <c r="L64" s="152" t="n">
        <f aca="false">SUM(H64:K64)</f>
        <v>60900</v>
      </c>
    </row>
    <row r="65" customFormat="false" ht="12.75" hidden="false" customHeight="false" outlineLevel="0" collapsed="false">
      <c r="A65" s="69" t="n">
        <f aca="false">EDATE(A64,1)</f>
        <v>38261</v>
      </c>
      <c r="B65" s="161" t="n">
        <f aca="false">B64</f>
        <v>0</v>
      </c>
      <c r="C65" s="161" t="n">
        <f aca="false">C64</f>
        <v>0</v>
      </c>
      <c r="D65" s="161" t="n">
        <f aca="false">D64</f>
        <v>3.7904</v>
      </c>
      <c r="E65" s="161" t="n">
        <f aca="false">E64</f>
        <v>0</v>
      </c>
      <c r="G65" s="69" t="n">
        <f aca="false">EDATE(G64,1)</f>
        <v>38261</v>
      </c>
      <c r="H65" s="152" t="n">
        <f aca="false">H64</f>
        <v>0</v>
      </c>
      <c r="I65" s="152" t="n">
        <f aca="false">I64</f>
        <v>0</v>
      </c>
      <c r="J65" s="152" t="n">
        <f aca="false">J64</f>
        <v>60900</v>
      </c>
      <c r="K65" s="152" t="n">
        <f aca="false">K64</f>
        <v>0</v>
      </c>
      <c r="L65" s="152" t="n">
        <f aca="false">SUM(H65:K65)</f>
        <v>60900</v>
      </c>
    </row>
    <row r="66" customFormat="false" ht="12.75" hidden="false" customHeight="false" outlineLevel="0" collapsed="false">
      <c r="A66" s="69" t="n">
        <f aca="false">EDATE(A65,1)</f>
        <v>38292</v>
      </c>
      <c r="B66" s="161" t="n">
        <f aca="false">B65</f>
        <v>0</v>
      </c>
      <c r="C66" s="161" t="n">
        <f aca="false">C65</f>
        <v>0</v>
      </c>
      <c r="D66" s="161" t="n">
        <f aca="false">D65</f>
        <v>3.7904</v>
      </c>
      <c r="E66" s="161" t="n">
        <f aca="false">E65</f>
        <v>0</v>
      </c>
      <c r="G66" s="69" t="n">
        <f aca="false">EDATE(G65,1)</f>
        <v>38292</v>
      </c>
      <c r="H66" s="152" t="n">
        <f aca="false">H65</f>
        <v>0</v>
      </c>
      <c r="I66" s="152" t="n">
        <f aca="false">I65</f>
        <v>0</v>
      </c>
      <c r="J66" s="152" t="n">
        <f aca="false">J65</f>
        <v>60900</v>
      </c>
      <c r="K66" s="152" t="n">
        <f aca="false">K65</f>
        <v>0</v>
      </c>
      <c r="L66" s="152" t="n">
        <f aca="false">SUM(H66:K66)</f>
        <v>60900</v>
      </c>
    </row>
    <row r="67" customFormat="false" ht="12.75" hidden="false" customHeight="false" outlineLevel="0" collapsed="false">
      <c r="A67" s="69" t="n">
        <f aca="false">EDATE(A66,1)</f>
        <v>38322</v>
      </c>
      <c r="B67" s="161" t="n">
        <f aca="false">B66</f>
        <v>0</v>
      </c>
      <c r="C67" s="161" t="n">
        <f aca="false">C66</f>
        <v>0</v>
      </c>
      <c r="D67" s="161" t="n">
        <f aca="false">D66</f>
        <v>3.7904</v>
      </c>
      <c r="E67" s="161" t="n">
        <f aca="false">E66</f>
        <v>0</v>
      </c>
      <c r="G67" s="69" t="n">
        <f aca="false">EDATE(G66,1)</f>
        <v>38322</v>
      </c>
      <c r="H67" s="152" t="n">
        <f aca="false">H66</f>
        <v>0</v>
      </c>
      <c r="I67" s="152" t="n">
        <f aca="false">I66</f>
        <v>0</v>
      </c>
      <c r="J67" s="152" t="n">
        <f aca="false">J66</f>
        <v>60900</v>
      </c>
      <c r="K67" s="152" t="n">
        <f aca="false">K66</f>
        <v>0</v>
      </c>
      <c r="L67" s="152" t="n">
        <f aca="false">SUM(H67:K67)</f>
        <v>60900</v>
      </c>
    </row>
    <row r="68" customFormat="false" ht="12.75" hidden="false" customHeight="false" outlineLevel="0" collapsed="false">
      <c r="A68" s="69" t="n">
        <f aca="false">EDATE(A67,1)</f>
        <v>38353</v>
      </c>
      <c r="B68" s="161" t="n">
        <f aca="false">B67</f>
        <v>0</v>
      </c>
      <c r="C68" s="161" t="n">
        <f aca="false">C67</f>
        <v>0</v>
      </c>
      <c r="D68" s="161" t="n">
        <f aca="false">D67</f>
        <v>3.7904</v>
      </c>
      <c r="E68" s="161" t="n">
        <f aca="false">E67</f>
        <v>0</v>
      </c>
      <c r="G68" s="69" t="n">
        <f aca="false">EDATE(G67,1)</f>
        <v>38353</v>
      </c>
      <c r="H68" s="152" t="n">
        <f aca="false">H67</f>
        <v>0</v>
      </c>
      <c r="I68" s="152" t="n">
        <f aca="false">I67</f>
        <v>0</v>
      </c>
      <c r="J68" s="152" t="n">
        <f aca="false">J67</f>
        <v>60900</v>
      </c>
      <c r="K68" s="152" t="n">
        <f aca="false">K67</f>
        <v>0</v>
      </c>
      <c r="L68" s="152" t="n">
        <f aca="false">SUM(H68:K68)</f>
        <v>60900</v>
      </c>
    </row>
    <row r="69" customFormat="false" ht="12.75" hidden="false" customHeight="false" outlineLevel="0" collapsed="false">
      <c r="A69" s="69" t="n">
        <f aca="false">EDATE(A68,1)</f>
        <v>38384</v>
      </c>
      <c r="B69" s="161" t="n">
        <f aca="false">B68</f>
        <v>0</v>
      </c>
      <c r="C69" s="161" t="n">
        <f aca="false">C68</f>
        <v>0</v>
      </c>
      <c r="D69" s="161" t="n">
        <f aca="false">D68</f>
        <v>3.7904</v>
      </c>
      <c r="E69" s="161" t="n">
        <f aca="false">E68</f>
        <v>0</v>
      </c>
      <c r="G69" s="69" t="n">
        <f aca="false">EDATE(G68,1)</f>
        <v>38384</v>
      </c>
      <c r="H69" s="152" t="n">
        <f aca="false">H68</f>
        <v>0</v>
      </c>
      <c r="I69" s="152" t="n">
        <f aca="false">I68</f>
        <v>0</v>
      </c>
      <c r="J69" s="152" t="n">
        <f aca="false">J68</f>
        <v>60900</v>
      </c>
      <c r="K69" s="152" t="n">
        <f aca="false">K68</f>
        <v>0</v>
      </c>
      <c r="L69" s="152" t="n">
        <f aca="false">SUM(H69:K69)</f>
        <v>60900</v>
      </c>
    </row>
    <row r="70" customFormat="false" ht="12.75" hidden="false" customHeight="false" outlineLevel="0" collapsed="false">
      <c r="A70" s="69" t="n">
        <f aca="false">EDATE(A69,1)</f>
        <v>38412</v>
      </c>
      <c r="B70" s="161" t="n">
        <f aca="false">B69</f>
        <v>0</v>
      </c>
      <c r="C70" s="161" t="n">
        <f aca="false">C69</f>
        <v>0</v>
      </c>
      <c r="D70" s="161" t="n">
        <f aca="false">D69</f>
        <v>3.7904</v>
      </c>
      <c r="E70" s="161" t="n">
        <f aca="false">E69</f>
        <v>0</v>
      </c>
      <c r="G70" s="69" t="n">
        <f aca="false">EDATE(G69,1)</f>
        <v>38412</v>
      </c>
      <c r="H70" s="152" t="n">
        <f aca="false">H69</f>
        <v>0</v>
      </c>
      <c r="I70" s="152" t="n">
        <f aca="false">I69</f>
        <v>0</v>
      </c>
      <c r="J70" s="152" t="n">
        <f aca="false">J69</f>
        <v>60900</v>
      </c>
      <c r="K70" s="152" t="n">
        <f aca="false">K69</f>
        <v>0</v>
      </c>
      <c r="L70" s="152" t="n">
        <f aca="false">SUM(H70:K70)</f>
        <v>60900</v>
      </c>
    </row>
    <row r="71" customFormat="false" ht="12.75" hidden="false" customHeight="false" outlineLevel="0" collapsed="false">
      <c r="A71" s="69" t="n">
        <f aca="false">EDATE(A70,1)</f>
        <v>38443</v>
      </c>
      <c r="B71" s="161" t="n">
        <f aca="false">B70</f>
        <v>0</v>
      </c>
      <c r="C71" s="161" t="n">
        <f aca="false">C70</f>
        <v>0</v>
      </c>
      <c r="D71" s="161" t="n">
        <f aca="false">D70</f>
        <v>3.7904</v>
      </c>
      <c r="E71" s="161" t="n">
        <f aca="false">E70</f>
        <v>0</v>
      </c>
      <c r="G71" s="69" t="n">
        <f aca="false">EDATE(G70,1)</f>
        <v>38443</v>
      </c>
      <c r="H71" s="152" t="n">
        <f aca="false">H70</f>
        <v>0</v>
      </c>
      <c r="I71" s="152" t="n">
        <f aca="false">I70</f>
        <v>0</v>
      </c>
      <c r="J71" s="152" t="n">
        <f aca="false">J70</f>
        <v>60900</v>
      </c>
      <c r="K71" s="152" t="n">
        <f aca="false">K70</f>
        <v>0</v>
      </c>
      <c r="L71" s="152" t="n">
        <f aca="false">SUM(H71:K71)</f>
        <v>60900</v>
      </c>
    </row>
    <row r="72" customFormat="false" ht="12.75" hidden="false" customHeight="false" outlineLevel="0" collapsed="false">
      <c r="A72" s="69" t="n">
        <f aca="false">EDATE(A71,1)</f>
        <v>38473</v>
      </c>
      <c r="B72" s="161" t="n">
        <f aca="false">B71</f>
        <v>0</v>
      </c>
      <c r="C72" s="161" t="n">
        <f aca="false">C71</f>
        <v>0</v>
      </c>
      <c r="D72" s="161" t="n">
        <f aca="false">D71</f>
        <v>3.7904</v>
      </c>
      <c r="E72" s="161" t="n">
        <f aca="false">E71</f>
        <v>0</v>
      </c>
      <c r="G72" s="69" t="n">
        <f aca="false">EDATE(G71,1)</f>
        <v>38473</v>
      </c>
      <c r="H72" s="152" t="n">
        <f aca="false">H71</f>
        <v>0</v>
      </c>
      <c r="I72" s="152" t="n">
        <f aca="false">I71</f>
        <v>0</v>
      </c>
      <c r="J72" s="152" t="n">
        <f aca="false">J71</f>
        <v>60900</v>
      </c>
      <c r="K72" s="152" t="n">
        <f aca="false">K71</f>
        <v>0</v>
      </c>
      <c r="L72" s="152" t="n">
        <f aca="false">SUM(H72:K72)</f>
        <v>60900</v>
      </c>
    </row>
    <row r="73" customFormat="false" ht="12.75" hidden="false" customHeight="false" outlineLevel="0" collapsed="false">
      <c r="A73" s="69" t="n">
        <f aca="false">EDATE(A72,1)</f>
        <v>38504</v>
      </c>
      <c r="B73" s="161" t="n">
        <f aca="false">B72</f>
        <v>0</v>
      </c>
      <c r="C73" s="161" t="n">
        <f aca="false">C72</f>
        <v>0</v>
      </c>
      <c r="D73" s="161" t="n">
        <f aca="false">D72</f>
        <v>3.7904</v>
      </c>
      <c r="E73" s="161" t="n">
        <f aca="false">E72</f>
        <v>0</v>
      </c>
      <c r="G73" s="69" t="n">
        <f aca="false">EDATE(G72,1)</f>
        <v>38504</v>
      </c>
      <c r="H73" s="152" t="n">
        <f aca="false">H72</f>
        <v>0</v>
      </c>
      <c r="I73" s="152" t="n">
        <f aca="false">I72</f>
        <v>0</v>
      </c>
      <c r="J73" s="152" t="n">
        <f aca="false">J72</f>
        <v>60900</v>
      </c>
      <c r="K73" s="152" t="n">
        <f aca="false">K72</f>
        <v>0</v>
      </c>
      <c r="L73" s="152" t="n">
        <f aca="false">SUM(H73:K73)</f>
        <v>60900</v>
      </c>
    </row>
    <row r="74" customFormat="false" ht="12.75" hidden="false" customHeight="false" outlineLevel="0" collapsed="false">
      <c r="A74" s="69" t="n">
        <f aca="false">EDATE(A73,1)</f>
        <v>38534</v>
      </c>
      <c r="B74" s="161" t="n">
        <f aca="false">B73</f>
        <v>0</v>
      </c>
      <c r="C74" s="161" t="n">
        <f aca="false">C73</f>
        <v>0</v>
      </c>
      <c r="D74" s="161" t="n">
        <f aca="false">D73</f>
        <v>3.7904</v>
      </c>
      <c r="E74" s="161" t="n">
        <f aca="false">E73</f>
        <v>0</v>
      </c>
      <c r="G74" s="69" t="n">
        <f aca="false">EDATE(G73,1)</f>
        <v>38534</v>
      </c>
      <c r="H74" s="152" t="n">
        <f aca="false">H73</f>
        <v>0</v>
      </c>
      <c r="I74" s="152" t="n">
        <f aca="false">I73</f>
        <v>0</v>
      </c>
      <c r="J74" s="152" t="n">
        <f aca="false">J73</f>
        <v>60900</v>
      </c>
      <c r="K74" s="152" t="n">
        <f aca="false">K73</f>
        <v>0</v>
      </c>
      <c r="L74" s="152" t="n">
        <f aca="false">SUM(H74:K74)</f>
        <v>60900</v>
      </c>
    </row>
    <row r="75" customFormat="false" ht="12.75" hidden="false" customHeight="false" outlineLevel="0" collapsed="false">
      <c r="A75" s="69" t="n">
        <f aca="false">EDATE(A74,1)</f>
        <v>38565</v>
      </c>
      <c r="B75" s="161" t="n">
        <f aca="false">B74</f>
        <v>0</v>
      </c>
      <c r="C75" s="161" t="n">
        <f aca="false">C74</f>
        <v>0</v>
      </c>
      <c r="D75" s="161" t="n">
        <f aca="false">D74</f>
        <v>3.7904</v>
      </c>
      <c r="E75" s="161" t="n">
        <f aca="false">E74</f>
        <v>0</v>
      </c>
      <c r="G75" s="69" t="n">
        <f aca="false">EDATE(G74,1)</f>
        <v>38565</v>
      </c>
      <c r="H75" s="152" t="n">
        <f aca="false">H74</f>
        <v>0</v>
      </c>
      <c r="I75" s="152" t="n">
        <f aca="false">I74</f>
        <v>0</v>
      </c>
      <c r="J75" s="152" t="n">
        <f aca="false">J74</f>
        <v>60900</v>
      </c>
      <c r="K75" s="152" t="n">
        <f aca="false">K74</f>
        <v>0</v>
      </c>
      <c r="L75" s="152" t="n">
        <f aca="false">SUM(H75:K75)</f>
        <v>60900</v>
      </c>
    </row>
    <row r="76" customFormat="false" ht="12.75" hidden="false" customHeight="false" outlineLevel="0" collapsed="false">
      <c r="A76" s="69" t="n">
        <f aca="false">EDATE(A75,1)</f>
        <v>38596</v>
      </c>
      <c r="B76" s="161" t="n">
        <f aca="false">B75</f>
        <v>0</v>
      </c>
      <c r="C76" s="161" t="n">
        <f aca="false">C75</f>
        <v>0</v>
      </c>
      <c r="D76" s="161" t="n">
        <f aca="false">D75</f>
        <v>3.7904</v>
      </c>
      <c r="E76" s="161" t="n">
        <f aca="false">E75</f>
        <v>0</v>
      </c>
      <c r="G76" s="69" t="n">
        <f aca="false">EDATE(G75,1)</f>
        <v>38596</v>
      </c>
      <c r="H76" s="152" t="n">
        <f aca="false">H75</f>
        <v>0</v>
      </c>
      <c r="I76" s="152" t="n">
        <f aca="false">I75</f>
        <v>0</v>
      </c>
      <c r="J76" s="152" t="n">
        <f aca="false">J75</f>
        <v>60900</v>
      </c>
      <c r="K76" s="152" t="n">
        <f aca="false">K75</f>
        <v>0</v>
      </c>
      <c r="L76" s="152" t="n">
        <f aca="false">SUM(H76:K76)</f>
        <v>60900</v>
      </c>
    </row>
    <row r="77" customFormat="false" ht="12.75" hidden="false" customHeight="false" outlineLevel="0" collapsed="false">
      <c r="A77" s="69" t="n">
        <f aca="false">EDATE(A76,1)</f>
        <v>38626</v>
      </c>
      <c r="B77" s="161" t="n">
        <f aca="false">B76</f>
        <v>0</v>
      </c>
      <c r="C77" s="161" t="n">
        <f aca="false">C76</f>
        <v>0</v>
      </c>
      <c r="D77" s="161" t="n">
        <f aca="false">D76</f>
        <v>3.7904</v>
      </c>
      <c r="E77" s="161" t="n">
        <f aca="false">E76</f>
        <v>0</v>
      </c>
      <c r="G77" s="69" t="n">
        <f aca="false">EDATE(G76,1)</f>
        <v>38626</v>
      </c>
      <c r="H77" s="152" t="n">
        <f aca="false">H76</f>
        <v>0</v>
      </c>
      <c r="I77" s="152" t="n">
        <f aca="false">I76</f>
        <v>0</v>
      </c>
      <c r="J77" s="152" t="n">
        <f aca="false">J76</f>
        <v>60900</v>
      </c>
      <c r="K77" s="152" t="n">
        <f aca="false">K76</f>
        <v>0</v>
      </c>
      <c r="L77" s="152" t="n">
        <f aca="false">SUM(H77:K77)</f>
        <v>60900</v>
      </c>
    </row>
    <row r="78" customFormat="false" ht="12.75" hidden="false" customHeight="false" outlineLevel="0" collapsed="false">
      <c r="A78" s="69" t="n">
        <f aca="false">EDATE(A77,1)</f>
        <v>38657</v>
      </c>
      <c r="B78" s="161" t="n">
        <f aca="false">B77</f>
        <v>0</v>
      </c>
      <c r="C78" s="161" t="n">
        <f aca="false">C77</f>
        <v>0</v>
      </c>
      <c r="D78" s="161" t="n">
        <f aca="false">D77</f>
        <v>3.7904</v>
      </c>
      <c r="E78" s="161" t="n">
        <f aca="false">E77</f>
        <v>0</v>
      </c>
      <c r="G78" s="69" t="n">
        <f aca="false">EDATE(G77,1)</f>
        <v>38657</v>
      </c>
      <c r="H78" s="152" t="n">
        <f aca="false">H77</f>
        <v>0</v>
      </c>
      <c r="I78" s="152" t="n">
        <f aca="false">I77</f>
        <v>0</v>
      </c>
      <c r="J78" s="152" t="n">
        <f aca="false">J77</f>
        <v>60900</v>
      </c>
      <c r="K78" s="152" t="n">
        <f aca="false">K77</f>
        <v>0</v>
      </c>
      <c r="L78" s="152" t="n">
        <f aca="false">SUM(H78:K78)</f>
        <v>60900</v>
      </c>
    </row>
    <row r="79" customFormat="false" ht="12.75" hidden="false" customHeight="false" outlineLevel="0" collapsed="false">
      <c r="A79" s="69" t="n">
        <f aca="false">EDATE(A78,1)</f>
        <v>38687</v>
      </c>
      <c r="B79" s="161" t="n">
        <f aca="false">B78</f>
        <v>0</v>
      </c>
      <c r="C79" s="161" t="n">
        <f aca="false">C78</f>
        <v>0</v>
      </c>
      <c r="D79" s="161" t="n">
        <f aca="false">D78</f>
        <v>3.7904</v>
      </c>
      <c r="E79" s="161" t="n">
        <f aca="false">E78</f>
        <v>0</v>
      </c>
      <c r="G79" s="69" t="n">
        <f aca="false">EDATE(G78,1)</f>
        <v>38687</v>
      </c>
      <c r="H79" s="152" t="n">
        <f aca="false">H78</f>
        <v>0</v>
      </c>
      <c r="I79" s="152" t="n">
        <f aca="false">I78</f>
        <v>0</v>
      </c>
      <c r="J79" s="152" t="n">
        <f aca="false">J78</f>
        <v>60900</v>
      </c>
      <c r="K79" s="152" t="n">
        <f aca="false">K78</f>
        <v>0</v>
      </c>
      <c r="L79" s="152" t="n">
        <f aca="false">SUM(H79:K79)</f>
        <v>60900</v>
      </c>
    </row>
    <row r="80" customFormat="false" ht="12.75" hidden="false" customHeight="false" outlineLevel="0" collapsed="false">
      <c r="A80" s="1"/>
      <c r="B80" s="161" t="n">
        <f aca="false">B79</f>
        <v>0</v>
      </c>
      <c r="C80" s="161" t="n">
        <f aca="false">C79</f>
        <v>0</v>
      </c>
      <c r="D80" s="161" t="n">
        <f aca="false">D79</f>
        <v>3.7904</v>
      </c>
      <c r="E80" s="161" t="n">
        <f aca="false">E79</f>
        <v>0</v>
      </c>
      <c r="H80" s="152" t="n">
        <f aca="false">H79</f>
        <v>0</v>
      </c>
      <c r="I80" s="152" t="n">
        <f aca="false">I79</f>
        <v>0</v>
      </c>
      <c r="J80" s="152" t="n">
        <f aca="false">J79</f>
        <v>60900</v>
      </c>
      <c r="K80" s="152" t="n">
        <f aca="false">K79</f>
        <v>0</v>
      </c>
      <c r="L80" s="152" t="n">
        <f aca="false">SUM(H80:K80)</f>
        <v>60900</v>
      </c>
    </row>
    <row r="81" customFormat="false" ht="12.75" hidden="false" customHeight="false" outlineLevel="0" collapsed="false">
      <c r="A81" s="160"/>
      <c r="B81" s="161" t="n">
        <f aca="false">B80</f>
        <v>0</v>
      </c>
      <c r="C81" s="161" t="n">
        <f aca="false">C80</f>
        <v>0</v>
      </c>
      <c r="D81" s="161" t="n">
        <f aca="false">D80</f>
        <v>3.7904</v>
      </c>
      <c r="E81" s="161" t="n">
        <f aca="false">E80</f>
        <v>0</v>
      </c>
      <c r="H81" s="152" t="n">
        <f aca="false">H80</f>
        <v>0</v>
      </c>
      <c r="I81" s="152" t="n">
        <f aca="false">I80</f>
        <v>0</v>
      </c>
      <c r="J81" s="152" t="n">
        <f aca="false">J80</f>
        <v>60900</v>
      </c>
      <c r="K81" s="152" t="n">
        <f aca="false">K80</f>
        <v>0</v>
      </c>
      <c r="L81" s="152" t="n">
        <f aca="false">SUM(H81:K81)</f>
        <v>60900</v>
      </c>
    </row>
    <row r="82" customFormat="false" ht="12.75" hidden="false" customHeight="false" outlineLevel="0" collapsed="false">
      <c r="A82" s="160"/>
      <c r="B82" s="161" t="n">
        <f aca="false">B81</f>
        <v>0</v>
      </c>
      <c r="C82" s="161" t="n">
        <f aca="false">C81</f>
        <v>0</v>
      </c>
      <c r="D82" s="161" t="n">
        <f aca="false">D81</f>
        <v>3.7904</v>
      </c>
      <c r="E82" s="161" t="n">
        <f aca="false">E81</f>
        <v>0</v>
      </c>
      <c r="H82" s="152" t="n">
        <f aca="false">H81</f>
        <v>0</v>
      </c>
      <c r="I82" s="152" t="n">
        <f aca="false">I81</f>
        <v>0</v>
      </c>
      <c r="J82" s="152" t="n">
        <f aca="false">J81</f>
        <v>60900</v>
      </c>
      <c r="K82" s="152" t="n">
        <f aca="false">K81</f>
        <v>0</v>
      </c>
      <c r="L82" s="152" t="n">
        <f aca="false">SUM(H82:K82)</f>
        <v>60900</v>
      </c>
    </row>
    <row r="83" customFormat="false" ht="12.75" hidden="false" customHeight="false" outlineLevel="0" collapsed="false">
      <c r="A83" s="160"/>
      <c r="B83" s="161" t="n">
        <f aca="false">B82</f>
        <v>0</v>
      </c>
      <c r="C83" s="161" t="n">
        <f aca="false">C82</f>
        <v>0</v>
      </c>
      <c r="D83" s="161" t="n">
        <f aca="false">D82</f>
        <v>3.7904</v>
      </c>
      <c r="E83" s="161" t="n">
        <f aca="false">E82</f>
        <v>0</v>
      </c>
      <c r="H83" s="152" t="n">
        <f aca="false">H82</f>
        <v>0</v>
      </c>
      <c r="I83" s="152" t="n">
        <f aca="false">I82</f>
        <v>0</v>
      </c>
      <c r="J83" s="152" t="n">
        <f aca="false">J82</f>
        <v>60900</v>
      </c>
      <c r="K83" s="152" t="n">
        <f aca="false">K82</f>
        <v>0</v>
      </c>
      <c r="L83" s="152" t="n">
        <f aca="false">SUM(H83:K83)</f>
        <v>60900</v>
      </c>
    </row>
    <row r="84" customFormat="false" ht="12.75" hidden="false" customHeight="false" outlineLevel="0" collapsed="false">
      <c r="A84" s="160"/>
      <c r="B84" s="161" t="n">
        <f aca="false">B83</f>
        <v>0</v>
      </c>
      <c r="C84" s="161" t="n">
        <f aca="false">C83</f>
        <v>0</v>
      </c>
      <c r="D84" s="161" t="n">
        <f aca="false">D83</f>
        <v>3.7904</v>
      </c>
      <c r="E84" s="161" t="n">
        <f aca="false">E83</f>
        <v>0</v>
      </c>
      <c r="H84" s="152" t="n">
        <f aca="false">H83</f>
        <v>0</v>
      </c>
      <c r="I84" s="152" t="n">
        <f aca="false">I83</f>
        <v>0</v>
      </c>
      <c r="J84" s="152" t="n">
        <f aca="false">J83</f>
        <v>60900</v>
      </c>
      <c r="K84" s="152" t="n">
        <f aca="false">K83</f>
        <v>0</v>
      </c>
      <c r="L84" s="152" t="n">
        <f aca="false">SUM(H84:K84)</f>
        <v>60900</v>
      </c>
    </row>
    <row r="85" customFormat="false" ht="12.75" hidden="false" customHeight="false" outlineLevel="0" collapsed="false">
      <c r="A85" s="160"/>
      <c r="B85" s="161" t="n">
        <v>0</v>
      </c>
      <c r="C85" s="161" t="n">
        <v>0</v>
      </c>
      <c r="D85" s="161" t="n">
        <v>0</v>
      </c>
      <c r="E85" s="161" t="n">
        <v>0</v>
      </c>
      <c r="H85" s="152" t="n">
        <v>0</v>
      </c>
      <c r="I85" s="152" t="n">
        <v>0</v>
      </c>
      <c r="J85" s="152" t="n">
        <v>0</v>
      </c>
      <c r="K85" s="152" t="n">
        <v>0</v>
      </c>
      <c r="L85" s="152" t="n">
        <f aca="false">SUM(H85:K85)</f>
        <v>0</v>
      </c>
    </row>
    <row r="86" customFormat="false" ht="12.75" hidden="false" customHeight="false" outlineLevel="0" collapsed="false">
      <c r="B86" s="1"/>
      <c r="C86" s="1"/>
      <c r="D86" s="1"/>
      <c r="E86" s="1"/>
      <c r="F86" s="1"/>
      <c r="K86" s="1"/>
      <c r="L86" s="1"/>
      <c r="M86" s="1"/>
    </row>
    <row r="87" customFormat="false" ht="12.75" hidden="false" customHeight="false" outlineLevel="0" collapsed="false">
      <c r="B87" s="160"/>
    </row>
    <row r="88" customFormat="false" ht="12.75" hidden="false" customHeight="false" outlineLevel="0" collapsed="false">
      <c r="B88" s="160"/>
    </row>
    <row r="89" customFormat="false" ht="12.75" hidden="false" customHeight="false" outlineLevel="0" collapsed="false">
      <c r="B89" s="160"/>
    </row>
    <row r="90" customFormat="false" ht="12.75" hidden="false" customHeight="false" outlineLevel="0" collapsed="false">
      <c r="B90" s="160"/>
    </row>
    <row r="91" customFormat="false" ht="12.75" hidden="false" customHeight="false" outlineLevel="0" collapsed="false">
      <c r="B91" s="160"/>
    </row>
    <row r="124" customFormat="false" ht="12.75" hidden="false" customHeight="false" outlineLevel="0" collapsed="false">
      <c r="G124" s="1"/>
    </row>
    <row r="130" customFormat="false" ht="12.75" hidden="false" customHeight="false" outlineLevel="0" collapsed="false">
      <c r="H130" s="1"/>
      <c r="I130" s="1"/>
      <c r="J130" s="1"/>
    </row>
  </sheetData>
  <printOptions headings="false" gridLines="false" gridLinesSet="true" horizontalCentered="false" verticalCentered="fals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61"/>
  <sheetViews>
    <sheetView showFormulas="false" showGridLines="true" showRowColHeaders="true" showZeros="true" rightToLeft="false" tabSelected="false" showOutlineSymbols="true" defaultGridColor="true" view="normal" topLeftCell="P1" colorId="64" zoomScale="100" zoomScaleNormal="100" zoomScalePageLayoutView="100" workbookViewId="0">
      <selection pane="topLeft" activeCell="U5" activeCellId="0" sqref="U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false" outlineLevel="0" max="3" min="3" style="0" width="9.56"/>
    <col collapsed="false" customWidth="true" hidden="false" outlineLevel="0" max="4" min="4" style="0" width="16.42"/>
    <col collapsed="false" customWidth="true" hidden="false" outlineLevel="0" max="5" min="5" style="0" width="15.56"/>
    <col collapsed="false" customWidth="true" hidden="false" outlineLevel="0" max="6" min="6" style="0" width="12.28"/>
    <col collapsed="false" customWidth="true" hidden="false" outlineLevel="0" max="7" min="7" style="0" width="11.42"/>
    <col collapsed="false" customWidth="true" hidden="false" outlineLevel="0" max="8" min="8" style="0" width="16.42"/>
    <col collapsed="false" customWidth="true" hidden="false" outlineLevel="0" max="9" min="9" style="0" width="15.56"/>
    <col collapsed="false" customWidth="true" hidden="false" outlineLevel="0" max="10" min="10" style="0" width="15.13"/>
    <col collapsed="false" customWidth="true" hidden="false" outlineLevel="0" max="11" min="11" style="0" width="14.28"/>
    <col collapsed="false" customWidth="true" hidden="false" outlineLevel="0" max="13" min="13" style="0" width="18.99"/>
    <col collapsed="false" customWidth="true" hidden="false" outlineLevel="0" max="14" min="14" style="0" width="15.13"/>
    <col collapsed="false" customWidth="true" hidden="false" outlineLevel="0" max="15" min="15" style="0" width="19.28"/>
    <col collapsed="false" customWidth="true" hidden="false" outlineLevel="0" max="16" min="16" style="0" width="17.7"/>
    <col collapsed="false" customWidth="true" hidden="false" outlineLevel="0" max="19" min="19" style="0" width="9.85"/>
    <col collapsed="false" customWidth="true" hidden="false" outlineLevel="0" max="20" min="20" style="0" width="12.14"/>
    <col collapsed="false" customWidth="true" hidden="false" outlineLevel="0" max="21" min="21" style="0" width="12.85"/>
    <col collapsed="false" customWidth="true" hidden="false" outlineLevel="0" max="22" min="22" style="0" width="16.99"/>
  </cols>
  <sheetData>
    <row r="1" customFormat="false" ht="12.75" hidden="false" customHeight="false" outlineLevel="0" collapsed="false">
      <c r="A1" s="0" t="s">
        <v>227</v>
      </c>
    </row>
    <row r="2" customFormat="false" ht="12.75" hidden="false" customHeight="false" outlineLevel="0" collapsed="false">
      <c r="A2" s="0" t="s">
        <v>207</v>
      </c>
      <c r="B2" s="56" t="n">
        <v>36881</v>
      </c>
    </row>
    <row r="4" customFormat="false" ht="12.75" hidden="false" customHeight="false" outlineLevel="0" collapsed="false">
      <c r="A4" s="158" t="s">
        <v>164</v>
      </c>
      <c r="B4" s="158" t="s">
        <v>155</v>
      </c>
      <c r="C4" s="158" t="s">
        <v>157</v>
      </c>
      <c r="D4" s="158" t="s">
        <v>228</v>
      </c>
      <c r="E4" s="158" t="s">
        <v>229</v>
      </c>
      <c r="F4" s="158" t="s">
        <v>230</v>
      </c>
      <c r="G4" s="158" t="s">
        <v>231</v>
      </c>
      <c r="H4" s="158" t="s">
        <v>232</v>
      </c>
      <c r="I4" s="158" t="s">
        <v>233</v>
      </c>
      <c r="J4" s="158" t="s">
        <v>234</v>
      </c>
      <c r="K4" s="158" t="s">
        <v>235</v>
      </c>
      <c r="L4" s="158"/>
      <c r="M4" s="158" t="s">
        <v>152</v>
      </c>
      <c r="N4" s="158" t="s">
        <v>200</v>
      </c>
      <c r="O4" s="158" t="s">
        <v>202</v>
      </c>
      <c r="P4" s="158" t="s">
        <v>204</v>
      </c>
      <c r="Q4" s="158"/>
      <c r="R4" s="158" t="s">
        <v>236</v>
      </c>
      <c r="S4" s="158" t="s">
        <v>237</v>
      </c>
      <c r="T4" s="158" t="s">
        <v>238</v>
      </c>
      <c r="U4" s="158" t="s">
        <v>239</v>
      </c>
      <c r="V4" s="158" t="s">
        <v>240</v>
      </c>
    </row>
    <row r="5" customFormat="false" ht="12.75" hidden="false" customHeight="false" outlineLevel="0" collapsed="false">
      <c r="A5" s="69" t="n">
        <v>36982</v>
      </c>
      <c r="B5" s="142" t="n">
        <v>6.01</v>
      </c>
      <c r="C5" s="142" t="n">
        <v>0.066009899863733</v>
      </c>
      <c r="D5" s="142" t="n">
        <v>0.02</v>
      </c>
      <c r="E5" s="142" t="n">
        <v>0.015</v>
      </c>
      <c r="F5" s="142" t="n">
        <v>-0.025</v>
      </c>
      <c r="G5" s="142" t="n">
        <v>0.0075</v>
      </c>
      <c r="H5" s="142" t="n">
        <v>-0.0225</v>
      </c>
      <c r="I5" s="142" t="n">
        <v>0.0075</v>
      </c>
      <c r="J5" s="142" t="n">
        <v>-0.0625</v>
      </c>
      <c r="K5" s="142" t="n">
        <v>0.0075</v>
      </c>
      <c r="M5" s="75" t="n">
        <f aca="false">D5+E5</f>
        <v>0.035</v>
      </c>
      <c r="N5" s="75" t="n">
        <f aca="false">F5+G5</f>
        <v>-0.0175</v>
      </c>
      <c r="O5" s="75" t="n">
        <f aca="false">H5+I5</f>
        <v>-0.015</v>
      </c>
      <c r="P5" s="75" t="n">
        <f aca="false">J5+K5</f>
        <v>-0.055</v>
      </c>
      <c r="R5" s="166" t="n">
        <f aca="false">C5</f>
        <v>0.066009899863733</v>
      </c>
      <c r="S5" s="72" t="n">
        <f aca="false">(1+R5)^(360/365)-1</f>
        <v>0.0650768544913425</v>
      </c>
      <c r="T5" s="72" t="n">
        <f aca="false">(1+S5/2)^2-1</f>
        <v>0.0661356037389644</v>
      </c>
      <c r="U5" s="72" t="n">
        <f aca="false">12*((1+T5)^(1/12)-1)</f>
        <v>0.0642117129257942</v>
      </c>
      <c r="V5" s="72" t="n">
        <f aca="false">U5+'Financing Assumptions'!$F$6</f>
        <v>0.0729617129257942</v>
      </c>
    </row>
    <row r="6" customFormat="false" ht="12.75" hidden="false" customHeight="false" outlineLevel="0" collapsed="false">
      <c r="A6" s="69" t="n">
        <v>37012</v>
      </c>
      <c r="B6" s="142" t="n">
        <v>5.36</v>
      </c>
      <c r="C6" s="142" t="n">
        <v>0.06498049692698</v>
      </c>
      <c r="D6" s="142" t="n">
        <v>0.02</v>
      </c>
      <c r="E6" s="142" t="n">
        <v>0.015</v>
      </c>
      <c r="F6" s="142" t="n">
        <v>-0.025</v>
      </c>
      <c r="G6" s="142" t="n">
        <v>0.0075</v>
      </c>
      <c r="H6" s="142" t="n">
        <v>-0.0225</v>
      </c>
      <c r="I6" s="142" t="n">
        <v>0.0075</v>
      </c>
      <c r="J6" s="142" t="n">
        <v>-0.0625</v>
      </c>
      <c r="K6" s="142" t="n">
        <v>0.0075</v>
      </c>
      <c r="M6" s="75" t="n">
        <f aca="false">D6+E6</f>
        <v>0.035</v>
      </c>
      <c r="N6" s="75" t="n">
        <f aca="false">F6+G6</f>
        <v>-0.0175</v>
      </c>
      <c r="O6" s="75" t="n">
        <f aca="false">H6+I6</f>
        <v>-0.015</v>
      </c>
      <c r="P6" s="75" t="n">
        <f aca="false">J6+K6</f>
        <v>-0.055</v>
      </c>
      <c r="R6" s="166" t="n">
        <f aca="false">C6</f>
        <v>0.06498049692698</v>
      </c>
      <c r="S6" s="72" t="n">
        <f aca="false">(1+R6)^(360/365)-1</f>
        <v>0.0640624349149626</v>
      </c>
      <c r="T6" s="72" t="n">
        <f aca="false">(1+S6/2)^2-1</f>
        <v>0.065088433806771</v>
      </c>
      <c r="U6" s="72" t="n">
        <f aca="false">12*((1+T6)^(1/12)-1)</f>
        <v>0.0632238014961191</v>
      </c>
      <c r="V6" s="72" t="n">
        <f aca="false">U6+'Financing Assumptions'!$F$6</f>
        <v>0.0719738014961191</v>
      </c>
    </row>
    <row r="7" customFormat="false" ht="12.75" hidden="false" customHeight="false" outlineLevel="0" collapsed="false">
      <c r="A7" s="69" t="n">
        <v>37043</v>
      </c>
      <c r="B7" s="142" t="n">
        <v>5.31</v>
      </c>
      <c r="C7" s="142" t="n">
        <v>0.063916780928</v>
      </c>
      <c r="D7" s="142" t="n">
        <v>0.02</v>
      </c>
      <c r="E7" s="142" t="n">
        <v>0.015</v>
      </c>
      <c r="F7" s="142" t="n">
        <v>-0.025</v>
      </c>
      <c r="G7" s="142" t="n">
        <v>0.0075</v>
      </c>
      <c r="H7" s="142" t="n">
        <v>-0.0225</v>
      </c>
      <c r="I7" s="142" t="n">
        <v>0.0075</v>
      </c>
      <c r="J7" s="142" t="n">
        <v>-0.0625</v>
      </c>
      <c r="K7" s="142" t="n">
        <v>0.0075</v>
      </c>
      <c r="M7" s="75" t="n">
        <f aca="false">D7+E7</f>
        <v>0.035</v>
      </c>
      <c r="N7" s="75" t="n">
        <f aca="false">F7+G7</f>
        <v>-0.0175</v>
      </c>
      <c r="O7" s="75" t="n">
        <f aca="false">H7+I7</f>
        <v>-0.015</v>
      </c>
      <c r="P7" s="75" t="n">
        <f aca="false">J7+K7</f>
        <v>-0.055</v>
      </c>
      <c r="R7" s="166" t="n">
        <f aca="false">C7</f>
        <v>0.063916780928</v>
      </c>
      <c r="S7" s="72" t="n">
        <f aca="false">(1+R7)^(360/365)-1</f>
        <v>0.0630141876050967</v>
      </c>
      <c r="T7" s="72" t="n">
        <f aca="false">(1+S7/2)^2-1</f>
        <v>0.0640068845649793</v>
      </c>
      <c r="U7" s="72" t="n">
        <f aca="false">12*((1+T7)^(1/12)-1)</f>
        <v>0.0622025211370056</v>
      </c>
      <c r="V7" s="72" t="n">
        <f aca="false">U7+'Financing Assumptions'!$F$6</f>
        <v>0.0709525211370057</v>
      </c>
    </row>
    <row r="8" customFormat="false" ht="12.75" hidden="false" customHeight="false" outlineLevel="0" collapsed="false">
      <c r="A8" s="69" t="n">
        <v>37073</v>
      </c>
      <c r="B8" s="142" t="n">
        <v>5.295</v>
      </c>
      <c r="C8" s="142" t="n">
        <v>0.063006250837977</v>
      </c>
      <c r="D8" s="142" t="n">
        <v>0.02</v>
      </c>
      <c r="E8" s="142" t="n">
        <v>0.015</v>
      </c>
      <c r="F8" s="142" t="n">
        <v>-0.025</v>
      </c>
      <c r="G8" s="142" t="n">
        <v>0.0075</v>
      </c>
      <c r="H8" s="142" t="n">
        <v>-0.0225</v>
      </c>
      <c r="I8" s="142" t="n">
        <v>0.0075</v>
      </c>
      <c r="J8" s="142" t="n">
        <v>-0.0625</v>
      </c>
      <c r="K8" s="142" t="n">
        <v>0.0075</v>
      </c>
      <c r="M8" s="75" t="n">
        <f aca="false">D8+E8</f>
        <v>0.035</v>
      </c>
      <c r="N8" s="75" t="n">
        <f aca="false">F8+G8</f>
        <v>-0.0175</v>
      </c>
      <c r="O8" s="75" t="n">
        <f aca="false">H8+I8</f>
        <v>-0.015</v>
      </c>
      <c r="P8" s="75" t="n">
        <f aca="false">J8+K8</f>
        <v>-0.055</v>
      </c>
      <c r="R8" s="166" t="n">
        <f aca="false">C8</f>
        <v>0.063006250837977</v>
      </c>
      <c r="S8" s="72" t="n">
        <f aca="false">(1+R8)^(360/365)-1</f>
        <v>0.0621168871518831</v>
      </c>
      <c r="T8" s="72" t="n">
        <f aca="false">(1+S8/2)^2-1</f>
        <v>0.0630815140692431</v>
      </c>
      <c r="U8" s="72" t="n">
        <f aca="false">12*((1+T8)^(1/12)-1)</f>
        <v>0.0613279608392352</v>
      </c>
      <c r="V8" s="72" t="n">
        <f aca="false">U8+'Financing Assumptions'!$F$6</f>
        <v>0.0700779608392352</v>
      </c>
    </row>
    <row r="9" customFormat="false" ht="12.75" hidden="false" customHeight="false" outlineLevel="0" collapsed="false">
      <c r="A9" s="69" t="n">
        <v>37104</v>
      </c>
      <c r="B9" s="142" t="n">
        <v>5.275</v>
      </c>
      <c r="C9" s="142" t="n">
        <v>0.062286806097195</v>
      </c>
      <c r="D9" s="142" t="n">
        <v>0.02</v>
      </c>
      <c r="E9" s="142" t="n">
        <v>0.015</v>
      </c>
      <c r="F9" s="142" t="n">
        <v>-0.025</v>
      </c>
      <c r="G9" s="142" t="n">
        <v>0.0075</v>
      </c>
      <c r="H9" s="142" t="n">
        <v>-0.0225</v>
      </c>
      <c r="I9" s="142" t="n">
        <v>0.0075</v>
      </c>
      <c r="J9" s="142" t="n">
        <v>-0.0625</v>
      </c>
      <c r="K9" s="142" t="n">
        <v>0.0075</v>
      </c>
      <c r="M9" s="75" t="n">
        <f aca="false">D9+E9</f>
        <v>0.035</v>
      </c>
      <c r="N9" s="75" t="n">
        <f aca="false">F9+G9</f>
        <v>-0.0175</v>
      </c>
      <c r="O9" s="75" t="n">
        <f aca="false">H9+I9</f>
        <v>-0.015</v>
      </c>
      <c r="P9" s="75" t="n">
        <f aca="false">J9+K9</f>
        <v>-0.055</v>
      </c>
      <c r="R9" s="166" t="n">
        <f aca="false">C9</f>
        <v>0.062286806097195</v>
      </c>
      <c r="S9" s="72" t="n">
        <f aca="false">(1+R9)^(360/365)-1</f>
        <v>0.0614078882087021</v>
      </c>
      <c r="T9" s="72" t="n">
        <f aca="false">(1+S9/2)^2-1</f>
        <v>0.0623506203922652</v>
      </c>
      <c r="U9" s="72" t="n">
        <f aca="false">12*((1+T9)^(1/12)-1)</f>
        <v>0.0606367056408494</v>
      </c>
      <c r="V9" s="72" t="n">
        <f aca="false">U9+'Financing Assumptions'!$F$6</f>
        <v>0.0693867056408495</v>
      </c>
    </row>
    <row r="10" customFormat="false" ht="12.75" hidden="false" customHeight="false" outlineLevel="0" collapsed="false">
      <c r="A10" s="69" t="n">
        <v>37135</v>
      </c>
      <c r="B10" s="142" t="n">
        <v>5.245</v>
      </c>
      <c r="C10" s="142" t="n">
        <v>0.061567361528203</v>
      </c>
      <c r="D10" s="142" t="n">
        <v>0.02</v>
      </c>
      <c r="E10" s="142" t="n">
        <v>0.015</v>
      </c>
      <c r="F10" s="142" t="n">
        <v>-0.025</v>
      </c>
      <c r="G10" s="142" t="n">
        <v>0.0075</v>
      </c>
      <c r="H10" s="142" t="n">
        <v>-0.0225</v>
      </c>
      <c r="I10" s="142" t="n">
        <v>0.0075</v>
      </c>
      <c r="J10" s="142" t="n">
        <v>-0.0625</v>
      </c>
      <c r="K10" s="142" t="n">
        <v>0.0075</v>
      </c>
      <c r="M10" s="75" t="n">
        <f aca="false">D10+E10</f>
        <v>0.035</v>
      </c>
      <c r="N10" s="75" t="n">
        <f aca="false">F10+G10</f>
        <v>-0.0175</v>
      </c>
      <c r="O10" s="75" t="n">
        <f aca="false">H10+I10</f>
        <v>-0.015</v>
      </c>
      <c r="P10" s="75" t="n">
        <f aca="false">J10+K10</f>
        <v>-0.055</v>
      </c>
      <c r="R10" s="166" t="n">
        <f aca="false">C10</f>
        <v>0.061567361528203</v>
      </c>
      <c r="S10" s="72" t="n">
        <f aca="false">(1+R10)^(360/365)-1</f>
        <v>0.0606988828570225</v>
      </c>
      <c r="T10" s="72" t="n">
        <f aca="false">(1+S10/2)^2-1</f>
        <v>0.0616199714520451</v>
      </c>
      <c r="U10" s="72" t="n">
        <f aca="false">12*((1+T10)^(1/12)-1)</f>
        <v>0.0599452460384686</v>
      </c>
      <c r="V10" s="72" t="n">
        <f aca="false">U10+'Financing Assumptions'!$F$6</f>
        <v>0.0686952460384686</v>
      </c>
    </row>
    <row r="11" customFormat="false" ht="12.75" hidden="false" customHeight="false" outlineLevel="0" collapsed="false">
      <c r="A11" s="69" t="n">
        <v>37165</v>
      </c>
      <c r="B11" s="142" t="n">
        <v>5.225</v>
      </c>
      <c r="C11" s="142" t="n">
        <v>0.060951245077802</v>
      </c>
      <c r="D11" s="142" t="n">
        <v>0.02</v>
      </c>
      <c r="E11" s="142" t="n">
        <v>0.015</v>
      </c>
      <c r="F11" s="142" t="n">
        <v>-0.025</v>
      </c>
      <c r="G11" s="142" t="n">
        <v>0.0075</v>
      </c>
      <c r="H11" s="142" t="n">
        <v>-0.0225</v>
      </c>
      <c r="I11" s="142" t="n">
        <v>0.0075</v>
      </c>
      <c r="J11" s="142" t="n">
        <v>-0.0625</v>
      </c>
      <c r="K11" s="142" t="n">
        <v>0.0075</v>
      </c>
      <c r="M11" s="75" t="n">
        <f aca="false">D11+E11</f>
        <v>0.035</v>
      </c>
      <c r="N11" s="75" t="n">
        <f aca="false">F11+G11</f>
        <v>-0.0175</v>
      </c>
      <c r="O11" s="75" t="n">
        <f aca="false">H11+I11</f>
        <v>-0.015</v>
      </c>
      <c r="P11" s="75" t="n">
        <f aca="false">J11+K11</f>
        <v>-0.055</v>
      </c>
      <c r="R11" s="166" t="n">
        <f aca="false">C11</f>
        <v>0.060951245077802</v>
      </c>
      <c r="S11" s="72" t="n">
        <f aca="false">(1+R11)^(360/365)-1</f>
        <v>0.0600917010899493</v>
      </c>
      <c r="T11" s="72" t="n">
        <f aca="false">(1+S11/2)^2-1</f>
        <v>0.0609944542249206</v>
      </c>
      <c r="U11" s="72" t="n">
        <f aca="false">12*((1+T11)^(1/12)-1)</f>
        <v>0.0593529325857727</v>
      </c>
      <c r="V11" s="72" t="n">
        <f aca="false">U11+'Financing Assumptions'!$F$6</f>
        <v>0.0681029325857727</v>
      </c>
    </row>
    <row r="12" customFormat="false" ht="12.75" hidden="false" customHeight="false" outlineLevel="0" collapsed="false">
      <c r="A12" s="69" t="n">
        <v>37196</v>
      </c>
      <c r="B12" s="142" t="n">
        <v>5.3</v>
      </c>
      <c r="C12" s="142" t="n">
        <v>0.060444702340902</v>
      </c>
      <c r="D12" s="142" t="n">
        <v>0.01</v>
      </c>
      <c r="E12" s="142" t="n">
        <v>0.02</v>
      </c>
      <c r="F12" s="142" t="n">
        <v>-0.0275</v>
      </c>
      <c r="G12" s="142" t="n">
        <v>0.0075</v>
      </c>
      <c r="H12" s="142" t="n">
        <v>-0.0225</v>
      </c>
      <c r="I12" s="142" t="n">
        <v>0.01</v>
      </c>
      <c r="J12" s="142" t="n">
        <v>-0.065</v>
      </c>
      <c r="K12" s="142" t="n">
        <v>0.005</v>
      </c>
      <c r="M12" s="75" t="n">
        <f aca="false">D12+E12</f>
        <v>0.03</v>
      </c>
      <c r="N12" s="75" t="n">
        <f aca="false">F12+G12</f>
        <v>-0.02</v>
      </c>
      <c r="O12" s="75" t="n">
        <f aca="false">H12+I12</f>
        <v>-0.0125</v>
      </c>
      <c r="P12" s="75" t="n">
        <f aca="false">J12+K12</f>
        <v>-0.06</v>
      </c>
      <c r="R12" s="166" t="n">
        <f aca="false">C12</f>
        <v>0.060444702340902</v>
      </c>
      <c r="S12" s="72" t="n">
        <f aca="false">(1+R12)^(360/365)-1</f>
        <v>0.0595925004226972</v>
      </c>
      <c r="T12" s="72" t="n">
        <f aca="false">(1+S12/2)^2-1</f>
        <v>0.0604803169493546</v>
      </c>
      <c r="U12" s="72" t="n">
        <f aca="false">12*((1+T12)^(1/12)-1)</f>
        <v>0.0588658470724148</v>
      </c>
      <c r="V12" s="72" t="n">
        <f aca="false">U12+'Financing Assumptions'!$F$6</f>
        <v>0.0676158470724148</v>
      </c>
    </row>
    <row r="13" customFormat="false" ht="12.75" hidden="false" customHeight="false" outlineLevel="0" collapsed="false">
      <c r="A13" s="69" t="n">
        <v>37226</v>
      </c>
      <c r="B13" s="142" t="n">
        <v>5.375</v>
      </c>
      <c r="C13" s="142" t="n">
        <v>0.059954499773445</v>
      </c>
      <c r="D13" s="142" t="n">
        <v>0.01</v>
      </c>
      <c r="E13" s="142" t="n">
        <v>0.02</v>
      </c>
      <c r="F13" s="142" t="n">
        <v>-0.0275</v>
      </c>
      <c r="G13" s="142" t="n">
        <v>0.0075</v>
      </c>
      <c r="H13" s="142" t="n">
        <v>-0.0225</v>
      </c>
      <c r="I13" s="142" t="n">
        <v>0.01</v>
      </c>
      <c r="J13" s="142" t="n">
        <v>-0.065</v>
      </c>
      <c r="K13" s="142" t="n">
        <v>0.005</v>
      </c>
      <c r="M13" s="75" t="n">
        <f aca="false">D13+E13</f>
        <v>0.03</v>
      </c>
      <c r="N13" s="75" t="n">
        <f aca="false">F13+G13</f>
        <v>-0.02</v>
      </c>
      <c r="O13" s="75" t="n">
        <f aca="false">H13+I13</f>
        <v>-0.0125</v>
      </c>
      <c r="P13" s="75" t="n">
        <f aca="false">J13+K13</f>
        <v>-0.06</v>
      </c>
      <c r="R13" s="166" t="n">
        <f aca="false">C13</f>
        <v>0.059954499773445</v>
      </c>
      <c r="S13" s="72" t="n">
        <f aca="false">(1+R13)^(360/365)-1</f>
        <v>0.0591093999726349</v>
      </c>
      <c r="T13" s="72" t="n">
        <f aca="false">(1+S13/2)^2-1</f>
        <v>0.0599828802639162</v>
      </c>
      <c r="U13" s="72" t="n">
        <f aca="false">12*((1+T13)^(1/12)-1)</f>
        <v>0.0583943773552385</v>
      </c>
      <c r="V13" s="72" t="n">
        <f aca="false">U13+'Financing Assumptions'!$F$6</f>
        <v>0.0671443773552385</v>
      </c>
    </row>
    <row r="14" customFormat="false" ht="12.75" hidden="false" customHeight="false" outlineLevel="0" collapsed="false">
      <c r="A14" s="69" t="n">
        <v>37257</v>
      </c>
      <c r="B14" s="142" t="n">
        <v>5.365</v>
      </c>
      <c r="C14" s="142" t="n">
        <v>0.059560032629286</v>
      </c>
      <c r="D14" s="142" t="n">
        <v>0.01</v>
      </c>
      <c r="E14" s="142" t="n">
        <v>0.02</v>
      </c>
      <c r="F14" s="142" t="n">
        <v>0.001</v>
      </c>
      <c r="G14" s="142" t="n">
        <v>0.01</v>
      </c>
      <c r="H14" s="142" t="n">
        <v>-0.0225</v>
      </c>
      <c r="I14" s="142" t="n">
        <v>0.01</v>
      </c>
      <c r="J14" s="142" t="n">
        <v>-0.065</v>
      </c>
      <c r="K14" s="142" t="n">
        <v>0.01</v>
      </c>
      <c r="M14" s="75" t="n">
        <f aca="false">D14+E14</f>
        <v>0.03</v>
      </c>
      <c r="N14" s="75" t="n">
        <f aca="false">F14+G14</f>
        <v>0.011</v>
      </c>
      <c r="O14" s="75" t="n">
        <f aca="false">H14+I14</f>
        <v>-0.0125</v>
      </c>
      <c r="P14" s="75" t="n">
        <f aca="false">J14+K14</f>
        <v>-0.055</v>
      </c>
      <c r="R14" s="166" t="n">
        <f aca="false">C14</f>
        <v>0.059560032629286</v>
      </c>
      <c r="S14" s="72" t="n">
        <f aca="false">(1+R14)^(360/365)-1</f>
        <v>0.058720645696537</v>
      </c>
      <c r="T14" s="72" t="n">
        <f aca="false">(1+S14/2)^2-1</f>
        <v>0.0595826742542918</v>
      </c>
      <c r="U14" s="72" t="n">
        <f aca="false">12*((1+T14)^(1/12)-1)</f>
        <v>0.0580149154720058</v>
      </c>
      <c r="V14" s="72" t="n">
        <f aca="false">U14+'Financing Assumptions'!$F$6</f>
        <v>0.0667649154720058</v>
      </c>
    </row>
    <row r="15" customFormat="false" ht="12.75" hidden="false" customHeight="false" outlineLevel="0" collapsed="false">
      <c r="A15" s="69" t="n">
        <v>37288</v>
      </c>
      <c r="B15" s="142" t="n">
        <v>5.11</v>
      </c>
      <c r="C15" s="142" t="n">
        <v>0.059320746881078</v>
      </c>
      <c r="D15" s="142" t="n">
        <v>0.01</v>
      </c>
      <c r="E15" s="142" t="n">
        <v>0.02</v>
      </c>
      <c r="F15" s="142" t="n">
        <v>-0.009</v>
      </c>
      <c r="G15" s="142" t="n">
        <v>0.01</v>
      </c>
      <c r="H15" s="142" t="n">
        <v>-0.0225</v>
      </c>
      <c r="I15" s="142" t="n">
        <v>0.01</v>
      </c>
      <c r="J15" s="142" t="n">
        <v>-0.065</v>
      </c>
      <c r="K15" s="142" t="n">
        <v>0.01</v>
      </c>
      <c r="M15" s="75" t="n">
        <f aca="false">D15+E15</f>
        <v>0.03</v>
      </c>
      <c r="N15" s="75" t="n">
        <f aca="false">F15+G15</f>
        <v>0.000999999999999999</v>
      </c>
      <c r="O15" s="75" t="n">
        <f aca="false">H15+I15</f>
        <v>-0.0125</v>
      </c>
      <c r="P15" s="75" t="n">
        <f aca="false">J15+K15</f>
        <v>-0.055</v>
      </c>
      <c r="R15" s="166" t="n">
        <f aca="false">C15</f>
        <v>0.059320746881078</v>
      </c>
      <c r="S15" s="72" t="n">
        <f aca="false">(1+R15)^(360/365)-1</f>
        <v>0.0584848244366933</v>
      </c>
      <c r="T15" s="72" t="n">
        <f aca="false">(1+S15/2)^2-1</f>
        <v>0.0593399431090409</v>
      </c>
      <c r="U15" s="72" t="n">
        <f aca="false">12*((1+T15)^(1/12)-1)</f>
        <v>0.0577847019491342</v>
      </c>
      <c r="V15" s="72" t="n">
        <f aca="false">U15+'Financing Assumptions'!$F$6</f>
        <v>0.0665347019491342</v>
      </c>
    </row>
    <row r="16" customFormat="false" ht="12.75" hidden="false" customHeight="false" outlineLevel="0" collapsed="false">
      <c r="A16" s="69" t="n">
        <v>37316</v>
      </c>
      <c r="B16" s="142" t="n">
        <v>4.777</v>
      </c>
      <c r="C16" s="142" t="n">
        <v>0.059104617834538</v>
      </c>
      <c r="D16" s="142" t="n">
        <v>0.01</v>
      </c>
      <c r="E16" s="142" t="n">
        <v>0.02</v>
      </c>
      <c r="F16" s="142" t="n">
        <v>-0.009</v>
      </c>
      <c r="G16" s="142" t="n">
        <v>0.01</v>
      </c>
      <c r="H16" s="142" t="n">
        <v>-0.0225</v>
      </c>
      <c r="I16" s="142" t="n">
        <v>0.01</v>
      </c>
      <c r="J16" s="142" t="n">
        <v>-0.065</v>
      </c>
      <c r="K16" s="142" t="n">
        <v>0.01</v>
      </c>
      <c r="M16" s="75" t="n">
        <f aca="false">D16+E16</f>
        <v>0.03</v>
      </c>
      <c r="N16" s="75" t="n">
        <f aca="false">F16+G16</f>
        <v>0.000999999999999999</v>
      </c>
      <c r="O16" s="75" t="n">
        <f aca="false">H16+I16</f>
        <v>-0.0125</v>
      </c>
      <c r="P16" s="75" t="n">
        <f aca="false">J16+K16</f>
        <v>-0.055</v>
      </c>
      <c r="R16" s="166" t="n">
        <f aca="false">C16</f>
        <v>0.059104617834538</v>
      </c>
      <c r="S16" s="72" t="n">
        <f aca="false">(1+R16)^(360/365)-1</f>
        <v>0.0582718239780169</v>
      </c>
      <c r="T16" s="72" t="n">
        <f aca="false">(1+S16/2)^2-1</f>
        <v>0.0591207253454482</v>
      </c>
      <c r="U16" s="72" t="n">
        <f aca="false">12*((1+T16)^(1/12)-1)</f>
        <v>0.0575767476664684</v>
      </c>
      <c r="V16" s="72" t="n">
        <f aca="false">U16+'Financing Assumptions'!$F$6</f>
        <v>0.0663267476664684</v>
      </c>
    </row>
    <row r="17" customFormat="false" ht="12.75" hidden="false" customHeight="false" outlineLevel="0" collapsed="false">
      <c r="A17" s="69" t="n">
        <v>37347</v>
      </c>
      <c r="B17" s="142" t="n">
        <v>4.317</v>
      </c>
      <c r="C17" s="142" t="n">
        <v>0.058893741036666</v>
      </c>
      <c r="D17" s="142" t="n">
        <v>0.021</v>
      </c>
      <c r="E17" s="142" t="n">
        <v>0.015</v>
      </c>
      <c r="F17" s="142" t="n">
        <v>-0.024</v>
      </c>
      <c r="G17" s="142" t="n">
        <v>0.0075</v>
      </c>
      <c r="H17" s="142" t="n">
        <v>-0.0225</v>
      </c>
      <c r="I17" s="142" t="n">
        <v>0.0075</v>
      </c>
      <c r="J17" s="142" t="n">
        <v>-0.0625</v>
      </c>
      <c r="K17" s="142" t="n">
        <v>0.0075</v>
      </c>
      <c r="M17" s="75" t="n">
        <f aca="false">D17+E17</f>
        <v>0.036</v>
      </c>
      <c r="N17" s="75" t="n">
        <f aca="false">F17+G17</f>
        <v>-0.0165</v>
      </c>
      <c r="O17" s="75" t="n">
        <f aca="false">H17+I17</f>
        <v>-0.015</v>
      </c>
      <c r="P17" s="75" t="n">
        <f aca="false">J17+K17</f>
        <v>-0.055</v>
      </c>
      <c r="R17" s="166" t="n">
        <f aca="false">C17</f>
        <v>0.058893741036666</v>
      </c>
      <c r="S17" s="72" t="n">
        <f aca="false">(1+R17)^(360/365)-1</f>
        <v>0.0580639991648924</v>
      </c>
      <c r="T17" s="72" t="n">
        <f aca="false">(1+S17/2)^2-1</f>
        <v>0.0589068561646475</v>
      </c>
      <c r="U17" s="72" t="n">
        <f aca="false">12*((1+T17)^(1/12)-1)</f>
        <v>0.0573738291277257</v>
      </c>
      <c r="V17" s="72" t="n">
        <f aca="false">U17+'Financing Assumptions'!$F$6</f>
        <v>0.0661238291277257</v>
      </c>
    </row>
    <row r="18" customFormat="false" ht="12.75" hidden="false" customHeight="false" outlineLevel="0" collapsed="false">
      <c r="A18" s="69" t="n">
        <v>37377</v>
      </c>
      <c r="B18" s="142" t="n">
        <v>4.212</v>
      </c>
      <c r="C18" s="142" t="n">
        <v>0.058728342249746</v>
      </c>
      <c r="D18" s="142" t="n">
        <v>0.021</v>
      </c>
      <c r="E18" s="142" t="n">
        <v>0.015</v>
      </c>
      <c r="F18" s="142" t="n">
        <v>-0.024</v>
      </c>
      <c r="G18" s="142" t="n">
        <v>0.0075</v>
      </c>
      <c r="H18" s="142" t="n">
        <v>-0.0225</v>
      </c>
      <c r="I18" s="142" t="n">
        <v>0.0075</v>
      </c>
      <c r="J18" s="142" t="n">
        <v>-0.0625</v>
      </c>
      <c r="K18" s="142" t="n">
        <v>0.0075</v>
      </c>
      <c r="M18" s="75" t="n">
        <f aca="false">D18+E18</f>
        <v>0.036</v>
      </c>
      <c r="N18" s="75" t="n">
        <f aca="false">F18+G18</f>
        <v>-0.0165</v>
      </c>
      <c r="O18" s="75" t="n">
        <f aca="false">H18+I18</f>
        <v>-0.015</v>
      </c>
      <c r="P18" s="75" t="n">
        <f aca="false">J18+K18</f>
        <v>-0.055</v>
      </c>
      <c r="R18" s="166" t="n">
        <f aca="false">C18</f>
        <v>0.058728342249746</v>
      </c>
      <c r="S18" s="72" t="n">
        <f aca="false">(1+R18)^(360/365)-1</f>
        <v>0.0579009937703163</v>
      </c>
      <c r="T18" s="72" t="n">
        <f aca="false">(1+S18/2)^2-1</f>
        <v>0.0587391250402138</v>
      </c>
      <c r="U18" s="72" t="n">
        <f aca="false">12*((1+T18)^(1/12)-1)</f>
        <v>0.0572146599729653</v>
      </c>
      <c r="V18" s="72" t="n">
        <f aca="false">U18+'Financing Assumptions'!$F$6</f>
        <v>0.0659646599729653</v>
      </c>
    </row>
    <row r="19" customFormat="false" ht="12.75" hidden="false" customHeight="false" outlineLevel="0" collapsed="false">
      <c r="A19" s="69" t="n">
        <v>37408</v>
      </c>
      <c r="B19" s="142" t="n">
        <v>4.192</v>
      </c>
      <c r="C19" s="142" t="n">
        <v>0.058557430179484</v>
      </c>
      <c r="D19" s="142" t="n">
        <v>0.021</v>
      </c>
      <c r="E19" s="142" t="n">
        <v>0.015</v>
      </c>
      <c r="F19" s="142" t="n">
        <v>-0.024</v>
      </c>
      <c r="G19" s="142" t="n">
        <v>0.0075</v>
      </c>
      <c r="H19" s="142" t="n">
        <v>-0.0225</v>
      </c>
      <c r="I19" s="142" t="n">
        <v>0.0075</v>
      </c>
      <c r="J19" s="142" t="n">
        <v>-0.0625</v>
      </c>
      <c r="K19" s="142" t="n">
        <v>0.0075</v>
      </c>
      <c r="M19" s="75" t="n">
        <f aca="false">D19+E19</f>
        <v>0.036</v>
      </c>
      <c r="N19" s="75" t="n">
        <f aca="false">F19+G19</f>
        <v>-0.0165</v>
      </c>
      <c r="O19" s="75" t="n">
        <f aca="false">H19+I19</f>
        <v>-0.015</v>
      </c>
      <c r="P19" s="75" t="n">
        <f aca="false">J19+K19</f>
        <v>-0.055</v>
      </c>
      <c r="R19" s="166" t="n">
        <f aca="false">C19</f>
        <v>0.058557430179484</v>
      </c>
      <c r="S19" s="72" t="n">
        <f aca="false">(1+R19)^(360/365)-1</f>
        <v>0.0577325545055278</v>
      </c>
      <c r="T19" s="72" t="n">
        <f aca="false">(1+S19/2)^2-1</f>
        <v>0.0585658164679612</v>
      </c>
      <c r="U19" s="72" t="n">
        <f aca="false">12*((1+T19)^(1/12)-1)</f>
        <v>0.0570501737930487</v>
      </c>
      <c r="V19" s="72" t="n">
        <f aca="false">U19+'Financing Assumptions'!$F$6</f>
        <v>0.0658001737930487</v>
      </c>
    </row>
    <row r="20" customFormat="false" ht="12.75" hidden="false" customHeight="false" outlineLevel="0" collapsed="false">
      <c r="A20" s="69" t="n">
        <v>37438</v>
      </c>
      <c r="B20" s="142" t="n">
        <v>4.192</v>
      </c>
      <c r="C20" s="142" t="n">
        <v>0.058427393120956</v>
      </c>
      <c r="D20" s="142" t="n">
        <v>0.021</v>
      </c>
      <c r="E20" s="142" t="n">
        <v>0.015</v>
      </c>
      <c r="F20" s="142" t="n">
        <v>-0.024</v>
      </c>
      <c r="G20" s="142" t="n">
        <v>0.0075</v>
      </c>
      <c r="H20" s="142" t="n">
        <v>-0.0225</v>
      </c>
      <c r="I20" s="142" t="n">
        <v>0.0075</v>
      </c>
      <c r="J20" s="142" t="n">
        <v>-0.0625</v>
      </c>
      <c r="K20" s="142" t="n">
        <v>0.0075</v>
      </c>
      <c r="M20" s="75" t="n">
        <f aca="false">D20+E20</f>
        <v>0.036</v>
      </c>
      <c r="N20" s="75" t="n">
        <f aca="false">F20+G20</f>
        <v>-0.0165</v>
      </c>
      <c r="O20" s="75" t="n">
        <f aca="false">H20+I20</f>
        <v>-0.015</v>
      </c>
      <c r="P20" s="75" t="n">
        <f aca="false">J20+K20</f>
        <v>-0.055</v>
      </c>
      <c r="R20" s="166" t="n">
        <f aca="false">C20</f>
        <v>0.058427393120956</v>
      </c>
      <c r="S20" s="72" t="n">
        <f aca="false">(1+R20)^(360/365)-1</f>
        <v>0.0576043986113808</v>
      </c>
      <c r="T20" s="72" t="n">
        <f aca="false">(1+S20/2)^2-1</f>
        <v>0.0584339652962256</v>
      </c>
      <c r="U20" s="72" t="n">
        <f aca="false">12*((1+T20)^(1/12)-1)</f>
        <v>0.0569250180610359</v>
      </c>
      <c r="V20" s="72" t="n">
        <f aca="false">U20+'Financing Assumptions'!$F$6</f>
        <v>0.0656750180610359</v>
      </c>
    </row>
    <row r="21" customFormat="false" ht="12.75" hidden="false" customHeight="false" outlineLevel="0" collapsed="false">
      <c r="A21" s="69" t="n">
        <v>37469</v>
      </c>
      <c r="B21" s="142" t="n">
        <v>4.192</v>
      </c>
      <c r="C21" s="142" t="n">
        <v>0.058351099221517</v>
      </c>
      <c r="D21" s="142" t="n">
        <v>0.021</v>
      </c>
      <c r="E21" s="142" t="n">
        <v>0.015</v>
      </c>
      <c r="F21" s="142" t="n">
        <v>-0.024</v>
      </c>
      <c r="G21" s="142" t="n">
        <v>0.0075</v>
      </c>
      <c r="H21" s="142" t="n">
        <v>-0.0225</v>
      </c>
      <c r="I21" s="142" t="n">
        <v>0.0075</v>
      </c>
      <c r="J21" s="142" t="n">
        <v>-0.0625</v>
      </c>
      <c r="K21" s="142" t="n">
        <v>0.0075</v>
      </c>
      <c r="M21" s="75" t="n">
        <f aca="false">D21+E21</f>
        <v>0.036</v>
      </c>
      <c r="N21" s="75" t="n">
        <f aca="false">F21+G21</f>
        <v>-0.0165</v>
      </c>
      <c r="O21" s="75" t="n">
        <f aca="false">H21+I21</f>
        <v>-0.015</v>
      </c>
      <c r="P21" s="75" t="n">
        <f aca="false">J21+K21</f>
        <v>-0.055</v>
      </c>
      <c r="R21" s="166" t="n">
        <f aca="false">C21</f>
        <v>0.058351099221517</v>
      </c>
      <c r="S21" s="72" t="n">
        <f aca="false">(1+R21)^(360/365)-1</f>
        <v>0.0575292083074315</v>
      </c>
      <c r="T21" s="72" t="n">
        <f aca="false">(1+S21/2)^2-1</f>
        <v>0.0583566107595515</v>
      </c>
      <c r="U21" s="72" t="n">
        <f aca="false">12*((1+T21)^(1/12)-1)</f>
        <v>0.0568515849575393</v>
      </c>
      <c r="V21" s="72" t="n">
        <f aca="false">U21+'Financing Assumptions'!$F$6</f>
        <v>0.0656015849575393</v>
      </c>
    </row>
    <row r="22" customFormat="false" ht="12.75" hidden="false" customHeight="false" outlineLevel="0" collapsed="false">
      <c r="A22" s="69" t="n">
        <v>37500</v>
      </c>
      <c r="B22" s="142" t="n">
        <v>4.187</v>
      </c>
      <c r="C22" s="142" t="n">
        <v>0.058274805324013</v>
      </c>
      <c r="D22" s="142" t="n">
        <v>0.021</v>
      </c>
      <c r="E22" s="142" t="n">
        <v>0.015</v>
      </c>
      <c r="F22" s="142" t="n">
        <v>-0.024</v>
      </c>
      <c r="G22" s="142" t="n">
        <v>0.0075</v>
      </c>
      <c r="H22" s="142" t="n">
        <v>-0.0225</v>
      </c>
      <c r="I22" s="142" t="n">
        <v>0.0075</v>
      </c>
      <c r="J22" s="142" t="n">
        <v>-0.0625</v>
      </c>
      <c r="K22" s="142" t="n">
        <v>0.0075</v>
      </c>
      <c r="M22" s="75" t="n">
        <f aca="false">D22+E22</f>
        <v>0.036</v>
      </c>
      <c r="N22" s="75" t="n">
        <f aca="false">F22+G22</f>
        <v>-0.0165</v>
      </c>
      <c r="O22" s="75" t="n">
        <f aca="false">H22+I22</f>
        <v>-0.015</v>
      </c>
      <c r="P22" s="75" t="n">
        <f aca="false">J22+K22</f>
        <v>-0.055</v>
      </c>
      <c r="R22" s="166" t="n">
        <f aca="false">C22</f>
        <v>0.058274805324013</v>
      </c>
      <c r="S22" s="72" t="n">
        <f aca="false">(1+R22)^(360/365)-1</f>
        <v>0.0574540179311387</v>
      </c>
      <c r="T22" s="72" t="n">
        <f aca="false">(1+S22/2)^2-1</f>
        <v>0.0582792589752466</v>
      </c>
      <c r="U22" s="72" t="n">
        <f aca="false">12*((1+T22)^(1/12)-1)</f>
        <v>0.0567781495470721</v>
      </c>
      <c r="V22" s="72" t="n">
        <f aca="false">U22+'Financing Assumptions'!$F$6</f>
        <v>0.0655281495470721</v>
      </c>
    </row>
    <row r="23" customFormat="false" ht="12.75" hidden="false" customHeight="false" outlineLevel="0" collapsed="false">
      <c r="A23" s="69" t="n">
        <v>37530</v>
      </c>
      <c r="B23" s="142" t="n">
        <v>4.177</v>
      </c>
      <c r="C23" s="142" t="n">
        <v>0.058218953805259</v>
      </c>
      <c r="D23" s="142" t="n">
        <v>0.021</v>
      </c>
      <c r="E23" s="142" t="n">
        <v>0.015</v>
      </c>
      <c r="F23" s="142" t="n">
        <v>-0.024</v>
      </c>
      <c r="G23" s="142" t="n">
        <v>0.0075</v>
      </c>
      <c r="H23" s="142" t="n">
        <v>-0.0225</v>
      </c>
      <c r="I23" s="142" t="n">
        <v>0.0075</v>
      </c>
      <c r="J23" s="142" t="n">
        <v>-0.0625</v>
      </c>
      <c r="K23" s="142" t="n">
        <v>0.0075</v>
      </c>
      <c r="M23" s="75" t="n">
        <f aca="false">D23+E23</f>
        <v>0.036</v>
      </c>
      <c r="N23" s="75" t="n">
        <f aca="false">F23+G23</f>
        <v>-0.0165</v>
      </c>
      <c r="O23" s="75" t="n">
        <f aca="false">H23+I23</f>
        <v>-0.015</v>
      </c>
      <c r="P23" s="75" t="n">
        <f aca="false">J23+K23</f>
        <v>-0.055</v>
      </c>
      <c r="R23" s="166" t="n">
        <f aca="false">C23</f>
        <v>0.058218953805259</v>
      </c>
      <c r="S23" s="72" t="n">
        <f aca="false">(1+R23)^(360/365)-1</f>
        <v>0.0573989742062708</v>
      </c>
      <c r="T23" s="72" t="n">
        <f aca="false">(1+S23/2)^2-1</f>
        <v>0.0582226347662538</v>
      </c>
      <c r="U23" s="72" t="n">
        <f aca="false">12*((1+T23)^(1/12)-1)</f>
        <v>0.0567243891412943</v>
      </c>
      <c r="V23" s="72" t="n">
        <f aca="false">U23+'Financing Assumptions'!$F$6</f>
        <v>0.0654743891412943</v>
      </c>
    </row>
    <row r="24" customFormat="false" ht="12.75" hidden="false" customHeight="false" outlineLevel="0" collapsed="false">
      <c r="A24" s="69" t="n">
        <v>37561</v>
      </c>
      <c r="B24" s="142" t="n">
        <v>4.267</v>
      </c>
      <c r="C24" s="142" t="n">
        <v>0.058187001200475</v>
      </c>
      <c r="D24" s="142" t="n">
        <v>0.01</v>
      </c>
      <c r="E24" s="142" t="n">
        <v>0.015</v>
      </c>
      <c r="F24" s="142" t="n">
        <v>-0.0265</v>
      </c>
      <c r="G24" s="142" t="n">
        <v>0.0075</v>
      </c>
      <c r="H24" s="142" t="n">
        <v>-0.028</v>
      </c>
      <c r="I24" s="142" t="n">
        <v>0.0075</v>
      </c>
      <c r="J24" s="142" t="n">
        <v>-0.065</v>
      </c>
      <c r="K24" s="142" t="n">
        <v>0.005</v>
      </c>
      <c r="M24" s="75" t="n">
        <f aca="false">D24+E24</f>
        <v>0.025</v>
      </c>
      <c r="N24" s="75" t="n">
        <f aca="false">F24+G24</f>
        <v>-0.019</v>
      </c>
      <c r="O24" s="75" t="n">
        <f aca="false">H24+I24</f>
        <v>-0.0205</v>
      </c>
      <c r="P24" s="75" t="n">
        <f aca="false">J24+K24</f>
        <v>-0.06</v>
      </c>
      <c r="R24" s="166" t="n">
        <f aca="false">C24</f>
        <v>0.058187001200475</v>
      </c>
      <c r="S24" s="72" t="n">
        <f aca="false">(1+R24)^(360/365)-1</f>
        <v>0.0573674837217628</v>
      </c>
      <c r="T24" s="72" t="n">
        <f aca="false">(1+S24/2)^2-1</f>
        <v>0.0581902407689046</v>
      </c>
      <c r="U24" s="72" t="n">
        <f aca="false">12*((1+T24)^(1/12)-1)</f>
        <v>0.0566936323039213</v>
      </c>
      <c r="V24" s="72" t="n">
        <f aca="false">U24+'Financing Assumptions'!$F$6</f>
        <v>0.0654436323039213</v>
      </c>
    </row>
    <row r="25" customFormat="false" ht="12.75" hidden="false" customHeight="false" outlineLevel="0" collapsed="false">
      <c r="A25" s="69" t="n">
        <v>37591</v>
      </c>
      <c r="B25" s="142" t="n">
        <v>4.36</v>
      </c>
      <c r="C25" s="142" t="n">
        <v>0.058156079325201</v>
      </c>
      <c r="D25" s="142" t="n">
        <v>0.01</v>
      </c>
      <c r="E25" s="142" t="n">
        <v>0.015</v>
      </c>
      <c r="F25" s="142" t="n">
        <v>-0.0265</v>
      </c>
      <c r="G25" s="142" t="n">
        <v>0.0075</v>
      </c>
      <c r="H25" s="142" t="n">
        <v>-0.028</v>
      </c>
      <c r="I25" s="142" t="n">
        <v>0.0075</v>
      </c>
      <c r="J25" s="142" t="n">
        <v>-0.065</v>
      </c>
      <c r="K25" s="142" t="n">
        <v>0.005</v>
      </c>
      <c r="M25" s="75" t="n">
        <f aca="false">D25+E25</f>
        <v>0.025</v>
      </c>
      <c r="N25" s="75" t="n">
        <f aca="false">F25+G25</f>
        <v>-0.019</v>
      </c>
      <c r="O25" s="75" t="n">
        <f aca="false">H25+I25</f>
        <v>-0.0205</v>
      </c>
      <c r="P25" s="75" t="n">
        <f aca="false">J25+K25</f>
        <v>-0.06</v>
      </c>
      <c r="R25" s="166" t="n">
        <f aca="false">C25</f>
        <v>0.058156079325201</v>
      </c>
      <c r="S25" s="72" t="n">
        <f aca="false">(1+R25)^(360/365)-1</f>
        <v>0.0573370090472523</v>
      </c>
      <c r="T25" s="72" t="n">
        <f aca="false">(1+S25/2)^2-1</f>
        <v>0.0581588921988734</v>
      </c>
      <c r="U25" s="72" t="n">
        <f aca="false">12*((1+T25)^(1/12)-1)</f>
        <v>0.0566638672372566</v>
      </c>
      <c r="V25" s="72" t="n">
        <f aca="false">U25+'Financing Assumptions'!$F$6</f>
        <v>0.0654138672372566</v>
      </c>
    </row>
    <row r="26" customFormat="false" ht="12.75" hidden="false" customHeight="false" outlineLevel="0" collapsed="false">
      <c r="A26" s="69" t="n">
        <v>37622</v>
      </c>
      <c r="B26" s="142" t="n">
        <v>4.382</v>
      </c>
      <c r="C26" s="142" t="n">
        <v>0.058147967103</v>
      </c>
      <c r="D26" s="142" t="n">
        <v>0.01</v>
      </c>
      <c r="E26" s="142" t="n">
        <v>0.02</v>
      </c>
      <c r="F26" s="142" t="n">
        <v>0.002</v>
      </c>
      <c r="G26" s="142" t="n">
        <v>0.01</v>
      </c>
      <c r="H26" s="142" t="n">
        <v>-0.0225</v>
      </c>
      <c r="I26" s="142" t="n">
        <v>0.0075</v>
      </c>
      <c r="J26" s="142" t="n">
        <v>-0.065</v>
      </c>
      <c r="K26" s="142" t="n">
        <v>0.01</v>
      </c>
      <c r="M26" s="75" t="n">
        <f aca="false">D26+E26</f>
        <v>0.03</v>
      </c>
      <c r="N26" s="75" t="n">
        <f aca="false">F26+G26</f>
        <v>0.012</v>
      </c>
      <c r="O26" s="75" t="n">
        <f aca="false">H26+I26</f>
        <v>-0.015</v>
      </c>
      <c r="P26" s="75" t="n">
        <f aca="false">J26+K26</f>
        <v>-0.055</v>
      </c>
      <c r="R26" s="166" t="n">
        <f aca="false">C26</f>
        <v>0.058147967103</v>
      </c>
      <c r="S26" s="72" t="n">
        <f aca="false">(1+R26)^(360/365)-1</f>
        <v>0.0573290141442457</v>
      </c>
      <c r="T26" s="72" t="n">
        <f aca="false">(1+S26/2)^2-1</f>
        <v>0.0581506681099337</v>
      </c>
      <c r="U26" s="72" t="n">
        <f aca="false">12*((1+T26)^(1/12)-1)</f>
        <v>0.0566560584360536</v>
      </c>
      <c r="V26" s="72" t="n">
        <f aca="false">U26+'Financing Assumptions'!$F$6</f>
        <v>0.0654060584360536</v>
      </c>
    </row>
    <row r="27" customFormat="false" ht="12.75" hidden="false" customHeight="false" outlineLevel="0" collapsed="false">
      <c r="A27" s="69" t="n">
        <v>37653</v>
      </c>
      <c r="B27" s="142" t="n">
        <v>4.227</v>
      </c>
      <c r="C27" s="142" t="n">
        <v>0.058168803916155</v>
      </c>
      <c r="D27" s="142" t="n">
        <v>0.01</v>
      </c>
      <c r="E27" s="142" t="n">
        <v>0.02</v>
      </c>
      <c r="F27" s="142" t="n">
        <v>-0.008</v>
      </c>
      <c r="G27" s="142" t="n">
        <v>0.01</v>
      </c>
      <c r="H27" s="142" t="n">
        <v>-0.0225</v>
      </c>
      <c r="I27" s="142" t="n">
        <v>0.0075</v>
      </c>
      <c r="J27" s="142" t="n">
        <v>-0.065</v>
      </c>
      <c r="K27" s="142" t="n">
        <v>0.01</v>
      </c>
      <c r="M27" s="75" t="n">
        <f aca="false">D27+E27</f>
        <v>0.03</v>
      </c>
      <c r="N27" s="75" t="n">
        <f aca="false">F27+G27</f>
        <v>0.002</v>
      </c>
      <c r="O27" s="75" t="n">
        <f aca="false">H27+I27</f>
        <v>-0.015</v>
      </c>
      <c r="P27" s="75" t="n">
        <f aca="false">J27+K27</f>
        <v>-0.055</v>
      </c>
      <c r="R27" s="166" t="n">
        <f aca="false">C27</f>
        <v>0.058168803916155</v>
      </c>
      <c r="S27" s="72" t="n">
        <f aca="false">(1+R27)^(360/365)-1</f>
        <v>0.0573495496131087</v>
      </c>
      <c r="T27" s="72" t="n">
        <f aca="false">(1+S27/2)^2-1</f>
        <v>0.0581717923233154</v>
      </c>
      <c r="U27" s="72" t="n">
        <f aca="false">12*((1+T27)^(1/12)-1)</f>
        <v>0.0566761158384486</v>
      </c>
      <c r="V27" s="72" t="n">
        <f aca="false">U27+'Financing Assumptions'!$F$6</f>
        <v>0.0654261158384486</v>
      </c>
    </row>
    <row r="28" customFormat="false" ht="12.75" hidden="false" customHeight="false" outlineLevel="0" collapsed="false">
      <c r="A28" s="69" t="n">
        <v>37681</v>
      </c>
      <c r="B28" s="142" t="n">
        <v>4.027</v>
      </c>
      <c r="C28" s="142" t="n">
        <v>0.058187624263651</v>
      </c>
      <c r="D28" s="142" t="n">
        <v>0.01</v>
      </c>
      <c r="E28" s="142" t="n">
        <v>0.02</v>
      </c>
      <c r="F28" s="142" t="n">
        <v>-0.008</v>
      </c>
      <c r="G28" s="142" t="n">
        <v>0.01</v>
      </c>
      <c r="H28" s="142" t="n">
        <v>-0.0225</v>
      </c>
      <c r="I28" s="142" t="n">
        <v>0.0075</v>
      </c>
      <c r="J28" s="142" t="n">
        <v>-0.065</v>
      </c>
      <c r="K28" s="142" t="n">
        <v>0.01</v>
      </c>
      <c r="M28" s="75" t="n">
        <f aca="false">D28+E28</f>
        <v>0.03</v>
      </c>
      <c r="N28" s="75" t="n">
        <f aca="false">F28+G28</f>
        <v>0.002</v>
      </c>
      <c r="O28" s="75" t="n">
        <f aca="false">H28+I28</f>
        <v>-0.015</v>
      </c>
      <c r="P28" s="75" t="n">
        <f aca="false">J28+K28</f>
        <v>-0.055</v>
      </c>
      <c r="R28" s="166" t="n">
        <f aca="false">C28</f>
        <v>0.058187624263651</v>
      </c>
      <c r="S28" s="72" t="n">
        <f aca="false">(1+R28)^(360/365)-1</f>
        <v>0.0573680977739004</v>
      </c>
      <c r="T28" s="72" t="n">
        <f aca="false">(1+S28/2)^2-1</f>
        <v>0.0581908724344493</v>
      </c>
      <c r="U28" s="72" t="n">
        <f aca="false">12*((1+T28)^(1/12)-1)</f>
        <v>0.0566942320539763</v>
      </c>
      <c r="V28" s="72" t="n">
        <f aca="false">U28+'Financing Assumptions'!$F$6</f>
        <v>0.0654442320539763</v>
      </c>
    </row>
    <row r="29" customFormat="false" ht="12.75" hidden="false" customHeight="false" outlineLevel="0" collapsed="false">
      <c r="A29" s="69" t="n">
        <v>37712</v>
      </c>
      <c r="B29" s="142" t="n">
        <v>3.792</v>
      </c>
      <c r="C29" s="142" t="n">
        <v>0.058201856354669</v>
      </c>
      <c r="D29" s="142" t="n">
        <v>0.021</v>
      </c>
      <c r="E29" s="142" t="n">
        <v>0.015</v>
      </c>
      <c r="F29" s="142" t="n">
        <v>-0.023</v>
      </c>
      <c r="G29" s="142" t="n">
        <v>0.0075</v>
      </c>
      <c r="H29" s="142" t="n">
        <v>-0.0225</v>
      </c>
      <c r="I29" s="142" t="n">
        <v>0.0075</v>
      </c>
      <c r="J29" s="142" t="n">
        <v>-0.065</v>
      </c>
      <c r="K29" s="142" t="n">
        <v>0.0075</v>
      </c>
      <c r="M29" s="75" t="n">
        <f aca="false">D29+E29</f>
        <v>0.036</v>
      </c>
      <c r="N29" s="75" t="n">
        <f aca="false">F29+G29</f>
        <v>-0.0155</v>
      </c>
      <c r="O29" s="75" t="n">
        <f aca="false">H29+I29</f>
        <v>-0.015</v>
      </c>
      <c r="P29" s="75" t="n">
        <f aca="false">J29+K29</f>
        <v>-0.0575</v>
      </c>
      <c r="R29" s="166" t="n">
        <f aca="false">C29</f>
        <v>0.058201856354669</v>
      </c>
      <c r="S29" s="72" t="n">
        <f aca="false">(1+R29)^(360/365)-1</f>
        <v>0.0573821240322459</v>
      </c>
      <c r="T29" s="72" t="n">
        <f aca="false">(1+S29/2)^2-1</f>
        <v>0.0582053010718588</v>
      </c>
      <c r="U29" s="72" t="n">
        <f aca="false">12*((1+T29)^(1/12)-1)</f>
        <v>0.0567079315816965</v>
      </c>
      <c r="V29" s="72" t="n">
        <f aca="false">U29+'Financing Assumptions'!$F$6</f>
        <v>0.0654579315816965</v>
      </c>
    </row>
    <row r="30" customFormat="false" ht="12.75" hidden="false" customHeight="false" outlineLevel="0" collapsed="false">
      <c r="A30" s="69" t="n">
        <v>37742</v>
      </c>
      <c r="B30" s="142" t="n">
        <v>3.742</v>
      </c>
      <c r="C30" s="142" t="n">
        <v>0.05820672378151</v>
      </c>
      <c r="D30" s="142" t="n">
        <v>0.021</v>
      </c>
      <c r="E30" s="142" t="n">
        <v>0.015</v>
      </c>
      <c r="F30" s="142" t="n">
        <v>-0.023</v>
      </c>
      <c r="G30" s="142" t="n">
        <v>0.0075</v>
      </c>
      <c r="H30" s="142" t="n">
        <v>-0.0225</v>
      </c>
      <c r="I30" s="142" t="n">
        <v>0.0075</v>
      </c>
      <c r="J30" s="142" t="n">
        <v>-0.065</v>
      </c>
      <c r="K30" s="142" t="n">
        <v>0.0075</v>
      </c>
      <c r="M30" s="75" t="n">
        <f aca="false">D30+E30</f>
        <v>0.036</v>
      </c>
      <c r="N30" s="75" t="n">
        <f aca="false">F30+G30</f>
        <v>-0.0155</v>
      </c>
      <c r="O30" s="75" t="n">
        <f aca="false">H30+I30</f>
        <v>-0.015</v>
      </c>
      <c r="P30" s="75" t="n">
        <f aca="false">J30+K30</f>
        <v>-0.0575</v>
      </c>
      <c r="R30" s="166" t="n">
        <f aca="false">C30</f>
        <v>0.05820672378151</v>
      </c>
      <c r="S30" s="72" t="n">
        <f aca="false">(1+R30)^(360/365)-1</f>
        <v>0.0573869210629718</v>
      </c>
      <c r="T30" s="72" t="n">
        <f aca="false">(1+S30/2)^2-1</f>
        <v>0.0582102357402439</v>
      </c>
      <c r="U30" s="72" t="n">
        <f aca="false">12*((1+T30)^(1/12)-1)</f>
        <v>0.056712616851514</v>
      </c>
      <c r="V30" s="72" t="n">
        <f aca="false">U30+'Financing Assumptions'!$F$6</f>
        <v>0.065462616851514</v>
      </c>
    </row>
    <row r="31" customFormat="false" ht="12.75" hidden="false" customHeight="false" outlineLevel="0" collapsed="false">
      <c r="A31" s="69" t="n">
        <v>37773</v>
      </c>
      <c r="B31" s="142" t="n">
        <v>3.752</v>
      </c>
      <c r="C31" s="142" t="n">
        <v>0.058211753455922</v>
      </c>
      <c r="D31" s="142" t="n">
        <v>0.021</v>
      </c>
      <c r="E31" s="142" t="n">
        <v>0.015</v>
      </c>
      <c r="F31" s="142" t="n">
        <v>-0.023</v>
      </c>
      <c r="G31" s="142" t="n">
        <v>0.0075</v>
      </c>
      <c r="H31" s="142" t="n">
        <v>-0.0225</v>
      </c>
      <c r="I31" s="142" t="n">
        <v>0.0075</v>
      </c>
      <c r="J31" s="142" t="n">
        <v>-0.065</v>
      </c>
      <c r="K31" s="142" t="n">
        <v>0.0075</v>
      </c>
      <c r="M31" s="75" t="n">
        <f aca="false">D31+E31</f>
        <v>0.036</v>
      </c>
      <c r="N31" s="75" t="n">
        <f aca="false">F31+G31</f>
        <v>-0.0155</v>
      </c>
      <c r="O31" s="75" t="n">
        <f aca="false">H31+I31</f>
        <v>-0.015</v>
      </c>
      <c r="P31" s="75" t="n">
        <f aca="false">J31+K31</f>
        <v>-0.0575</v>
      </c>
      <c r="R31" s="166" t="n">
        <f aca="false">C31</f>
        <v>0.058211753455922</v>
      </c>
      <c r="S31" s="72" t="n">
        <f aca="false">(1+R31)^(360/365)-1</f>
        <v>0.0573918779944143</v>
      </c>
      <c r="T31" s="72" t="n">
        <f aca="false">(1+S31/2)^2-1</f>
        <v>0.0582153349093455</v>
      </c>
      <c r="U31" s="72" t="n">
        <f aca="false">12*((1+T31)^(1/12)-1)</f>
        <v>0.0567174582871264</v>
      </c>
      <c r="V31" s="72" t="n">
        <f aca="false">U31+'Financing Assumptions'!$F$6</f>
        <v>0.0654674582871264</v>
      </c>
    </row>
    <row r="32" customFormat="false" ht="12.75" hidden="false" customHeight="false" outlineLevel="0" collapsed="false">
      <c r="A32" s="69" t="n">
        <v>37803</v>
      </c>
      <c r="B32" s="142" t="n">
        <v>3.767</v>
      </c>
      <c r="C32" s="142" t="n">
        <v>0.058220406142149</v>
      </c>
      <c r="D32" s="142" t="n">
        <v>0.021</v>
      </c>
      <c r="E32" s="142" t="n">
        <v>0.015</v>
      </c>
      <c r="F32" s="142" t="n">
        <v>-0.023</v>
      </c>
      <c r="G32" s="142" t="n">
        <v>0.0075</v>
      </c>
      <c r="H32" s="142" t="n">
        <v>-0.0225</v>
      </c>
      <c r="I32" s="142" t="n">
        <v>0.0075</v>
      </c>
      <c r="J32" s="142" t="n">
        <v>-0.065</v>
      </c>
      <c r="K32" s="142" t="n">
        <v>0.0075</v>
      </c>
      <c r="M32" s="75" t="n">
        <f aca="false">D32+E32</f>
        <v>0.036</v>
      </c>
      <c r="N32" s="75" t="n">
        <f aca="false">F32+G32</f>
        <v>-0.0155</v>
      </c>
      <c r="O32" s="75" t="n">
        <f aca="false">H32+I32</f>
        <v>-0.015</v>
      </c>
      <c r="P32" s="75" t="n">
        <f aca="false">J32+K32</f>
        <v>-0.0575</v>
      </c>
      <c r="R32" s="166" t="n">
        <f aca="false">C32</f>
        <v>0.058220406142149</v>
      </c>
      <c r="S32" s="72" t="n">
        <f aca="false">(1+R32)^(360/365)-1</f>
        <v>0.0574004055381687</v>
      </c>
      <c r="T32" s="72" t="n">
        <f aca="false">(1+S32/2)^2-1</f>
        <v>0.0582241071771552</v>
      </c>
      <c r="U32" s="72" t="n">
        <f aca="false">12*((1+T32)^(1/12)-1)</f>
        <v>0.0567257871175277</v>
      </c>
      <c r="V32" s="72" t="n">
        <f aca="false">U32+'Financing Assumptions'!$F$6</f>
        <v>0.0654757871175278</v>
      </c>
    </row>
    <row r="33" customFormat="false" ht="12.75" hidden="false" customHeight="false" outlineLevel="0" collapsed="false">
      <c r="A33" s="69" t="n">
        <v>37834</v>
      </c>
      <c r="B33" s="142" t="n">
        <v>3.762</v>
      </c>
      <c r="C33" s="142" t="n">
        <v>0.058234784229674</v>
      </c>
      <c r="D33" s="142" t="n">
        <v>0.021</v>
      </c>
      <c r="E33" s="142" t="n">
        <v>0.015</v>
      </c>
      <c r="F33" s="142" t="n">
        <v>-0.023</v>
      </c>
      <c r="G33" s="142" t="n">
        <v>0.0075</v>
      </c>
      <c r="H33" s="142" t="n">
        <v>-0.0225</v>
      </c>
      <c r="I33" s="142" t="n">
        <v>0.0075</v>
      </c>
      <c r="J33" s="142" t="n">
        <v>-0.065</v>
      </c>
      <c r="K33" s="142" t="n">
        <v>0.0075</v>
      </c>
      <c r="M33" s="75" t="n">
        <f aca="false">D33+E33</f>
        <v>0.036</v>
      </c>
      <c r="N33" s="75" t="n">
        <f aca="false">F33+G33</f>
        <v>-0.0155</v>
      </c>
      <c r="O33" s="75" t="n">
        <f aca="false">H33+I33</f>
        <v>-0.015</v>
      </c>
      <c r="P33" s="75" t="n">
        <f aca="false">J33+K33</f>
        <v>-0.0575</v>
      </c>
      <c r="R33" s="166" t="n">
        <f aca="false">C33</f>
        <v>0.058234784229674</v>
      </c>
      <c r="S33" s="72" t="n">
        <f aca="false">(1+R33)^(360/365)-1</f>
        <v>0.0574145756755091</v>
      </c>
      <c r="T33" s="72" t="n">
        <f aca="false">(1+S33/2)^2-1</f>
        <v>0.0582386840505089</v>
      </c>
      <c r="U33" s="72" t="n">
        <f aca="false">12*((1+T33)^(1/12)-1)</f>
        <v>0.0567396269911802</v>
      </c>
      <c r="V33" s="72" t="n">
        <f aca="false">U33+'Financing Assumptions'!$F$6</f>
        <v>0.0654896269911802</v>
      </c>
    </row>
    <row r="34" customFormat="false" ht="12.75" hidden="false" customHeight="false" outlineLevel="0" collapsed="false">
      <c r="A34" s="69" t="n">
        <v>37865</v>
      </c>
      <c r="B34" s="142" t="n">
        <v>3.774</v>
      </c>
      <c r="C34" s="142" t="n">
        <v>0.058249162317267</v>
      </c>
      <c r="D34" s="142" t="n">
        <v>0.021</v>
      </c>
      <c r="E34" s="142" t="n">
        <v>0.015</v>
      </c>
      <c r="F34" s="142" t="n">
        <v>-0.023</v>
      </c>
      <c r="G34" s="142" t="n">
        <v>0.0075</v>
      </c>
      <c r="H34" s="142" t="n">
        <v>-0.0225</v>
      </c>
      <c r="I34" s="142" t="n">
        <v>0.0075</v>
      </c>
      <c r="J34" s="142" t="n">
        <v>-0.065</v>
      </c>
      <c r="K34" s="142" t="n">
        <v>0.0075</v>
      </c>
      <c r="M34" s="75" t="n">
        <f aca="false">D34+E34</f>
        <v>0.036</v>
      </c>
      <c r="N34" s="75" t="n">
        <f aca="false">F34+G34</f>
        <v>-0.0155</v>
      </c>
      <c r="O34" s="75" t="n">
        <f aca="false">H34+I34</f>
        <v>-0.015</v>
      </c>
      <c r="P34" s="75" t="n">
        <f aca="false">J34+K34</f>
        <v>-0.0575</v>
      </c>
      <c r="R34" s="166" t="n">
        <f aca="false">C34</f>
        <v>0.058249162317267</v>
      </c>
      <c r="S34" s="72" t="n">
        <f aca="false">(1+R34)^(360/365)-1</f>
        <v>0.0574287458102791</v>
      </c>
      <c r="T34" s="72" t="n">
        <f aca="false">(1+S34/2)^2-1</f>
        <v>0.0582532610216144</v>
      </c>
      <c r="U34" s="72" t="n">
        <f aca="false">12*((1+T34)^(1/12)-1)</f>
        <v>0.0567534667828902</v>
      </c>
      <c r="V34" s="72" t="n">
        <f aca="false">U34+'Financing Assumptions'!$F$6</f>
        <v>0.0655034667828902</v>
      </c>
    </row>
    <row r="35" customFormat="false" ht="12.75" hidden="false" customHeight="false" outlineLevel="0" collapsed="false">
      <c r="A35" s="69" t="n">
        <v>37895</v>
      </c>
      <c r="B35" s="142" t="n">
        <v>3.792</v>
      </c>
      <c r="C35" s="142" t="n">
        <v>0.058265422795858</v>
      </c>
      <c r="D35" s="142" t="n">
        <v>0.021</v>
      </c>
      <c r="E35" s="142" t="n">
        <v>0.015</v>
      </c>
      <c r="F35" s="142" t="n">
        <v>-0.023</v>
      </c>
      <c r="G35" s="142" t="n">
        <v>0.0075</v>
      </c>
      <c r="H35" s="142" t="n">
        <v>-0.0225</v>
      </c>
      <c r="I35" s="142" t="n">
        <v>0.0075</v>
      </c>
      <c r="J35" s="142" t="n">
        <v>-0.065</v>
      </c>
      <c r="K35" s="142" t="n">
        <v>0.0075</v>
      </c>
      <c r="M35" s="75" t="n">
        <f aca="false">D35+E35</f>
        <v>0.036</v>
      </c>
      <c r="N35" s="75" t="n">
        <f aca="false">F35+G35</f>
        <v>-0.0155</v>
      </c>
      <c r="O35" s="75" t="n">
        <f aca="false">H35+I35</f>
        <v>-0.015</v>
      </c>
      <c r="P35" s="75" t="n">
        <f aca="false">J35+K35</f>
        <v>-0.0575</v>
      </c>
      <c r="R35" s="166" t="n">
        <f aca="false">C35</f>
        <v>0.058265422795858</v>
      </c>
      <c r="S35" s="72" t="n">
        <f aca="false">(1+R35)^(360/365)-1</f>
        <v>0.0574447711075157</v>
      </c>
      <c r="T35" s="72" t="n">
        <f aca="false">(1+S35/2)^2-1</f>
        <v>0.0582697465394146</v>
      </c>
      <c r="U35" s="72" t="n">
        <f aca="false">12*((1+T35)^(1/12)-1)</f>
        <v>0.0567691183926424</v>
      </c>
      <c r="V35" s="72" t="n">
        <f aca="false">U35+'Financing Assumptions'!$F$6</f>
        <v>0.0655191183926424</v>
      </c>
    </row>
    <row r="36" customFormat="false" ht="12.75" hidden="false" customHeight="false" outlineLevel="0" collapsed="false">
      <c r="A36" s="69" t="n">
        <v>37926</v>
      </c>
      <c r="B36" s="142" t="n">
        <v>3.927</v>
      </c>
      <c r="C36" s="142" t="n">
        <v>0.058285170471645</v>
      </c>
      <c r="D36" s="142" t="n">
        <v>0.01</v>
      </c>
      <c r="E36" s="142" t="n">
        <v>0.015</v>
      </c>
      <c r="F36" s="142" t="n">
        <v>-0.0255</v>
      </c>
      <c r="G36" s="142" t="n">
        <v>0.0075</v>
      </c>
      <c r="H36" s="142" t="n">
        <v>-0.028</v>
      </c>
      <c r="I36" s="142" t="n">
        <v>0.0075</v>
      </c>
      <c r="J36" s="142" t="n">
        <v>-0.065</v>
      </c>
      <c r="K36" s="142" t="n">
        <v>0.005</v>
      </c>
      <c r="M36" s="75" t="n">
        <f aca="false">D36+E36</f>
        <v>0.025</v>
      </c>
      <c r="N36" s="75" t="n">
        <f aca="false">F36+G36</f>
        <v>-0.018</v>
      </c>
      <c r="O36" s="75" t="n">
        <f aca="false">H36+I36</f>
        <v>-0.0205</v>
      </c>
      <c r="P36" s="75" t="n">
        <f aca="false">J36+K36</f>
        <v>-0.06</v>
      </c>
      <c r="R36" s="166" t="n">
        <f aca="false">C36</f>
        <v>0.058285170471645</v>
      </c>
      <c r="S36" s="72" t="n">
        <f aca="false">(1+R36)^(360/365)-1</f>
        <v>0.0574642331607811</v>
      </c>
      <c r="T36" s="72" t="n">
        <f aca="false">(1+S36/2)^2-1</f>
        <v>0.05828976768397</v>
      </c>
      <c r="U36" s="72" t="n">
        <f aca="false">12*((1+T36)^(1/12)-1)</f>
        <v>0.056788126481484</v>
      </c>
      <c r="V36" s="72" t="n">
        <f aca="false">U36+'Financing Assumptions'!$F$6</f>
        <v>0.065538126481484</v>
      </c>
    </row>
    <row r="37" customFormat="false" ht="12.75" hidden="false" customHeight="false" outlineLevel="0" collapsed="false">
      <c r="A37" s="69" t="n">
        <v>37956</v>
      </c>
      <c r="B37" s="142" t="n">
        <v>4.052</v>
      </c>
      <c r="C37" s="142" t="n">
        <v>0.058304281125756</v>
      </c>
      <c r="D37" s="142" t="n">
        <v>0.01</v>
      </c>
      <c r="E37" s="142" t="n">
        <v>0.015</v>
      </c>
      <c r="F37" s="142" t="n">
        <v>-0.0255</v>
      </c>
      <c r="G37" s="142" t="n">
        <v>0.0075</v>
      </c>
      <c r="H37" s="142" t="n">
        <v>-0.028</v>
      </c>
      <c r="I37" s="142" t="n">
        <v>0.0075</v>
      </c>
      <c r="J37" s="142" t="n">
        <v>-0.065</v>
      </c>
      <c r="K37" s="142" t="n">
        <v>0.005</v>
      </c>
      <c r="M37" s="75" t="n">
        <f aca="false">D37+E37</f>
        <v>0.025</v>
      </c>
      <c r="N37" s="75" t="n">
        <f aca="false">F37+G37</f>
        <v>-0.018</v>
      </c>
      <c r="O37" s="75" t="n">
        <f aca="false">H37+I37</f>
        <v>-0.0205</v>
      </c>
      <c r="P37" s="75" t="n">
        <f aca="false">J37+K37</f>
        <v>-0.06</v>
      </c>
      <c r="R37" s="166" t="n">
        <f aca="false">C37</f>
        <v>0.058304281125756</v>
      </c>
      <c r="S37" s="72" t="n">
        <f aca="false">(1+R37)^(360/365)-1</f>
        <v>0.0574830674012619</v>
      </c>
      <c r="T37" s="72" t="n">
        <f aca="false">(1+S37/2)^2-1</f>
        <v>0.0583091431607263</v>
      </c>
      <c r="U37" s="72" t="n">
        <f aca="false">12*((1+T37)^(1/12)-1)</f>
        <v>0.0568065212589959</v>
      </c>
      <c r="V37" s="72" t="n">
        <f aca="false">U37+'Financing Assumptions'!$F$6</f>
        <v>0.0655565212589959</v>
      </c>
    </row>
    <row r="38" customFormat="false" ht="12.75" hidden="false" customHeight="false" outlineLevel="0" collapsed="false">
      <c r="A38" s="69" t="n">
        <v>37987</v>
      </c>
      <c r="B38" s="142" t="n">
        <v>4.132</v>
      </c>
      <c r="C38" s="142" t="n">
        <v>0.058333777934929</v>
      </c>
      <c r="D38" s="142" t="n">
        <v>0.01</v>
      </c>
      <c r="E38" s="142" t="n">
        <v>0.02</v>
      </c>
      <c r="F38" s="142" t="n">
        <v>0.003</v>
      </c>
      <c r="G38" s="142" t="n">
        <v>0.01</v>
      </c>
      <c r="H38" s="142" t="n">
        <v>-0.025</v>
      </c>
      <c r="I38" s="142" t="n">
        <v>0.0075</v>
      </c>
      <c r="J38" s="142" t="n">
        <v>-0.063</v>
      </c>
      <c r="K38" s="142" t="n">
        <v>0.01</v>
      </c>
      <c r="M38" s="75" t="n">
        <f aca="false">D38+E38</f>
        <v>0.03</v>
      </c>
      <c r="N38" s="75" t="n">
        <f aca="false">F38+G38</f>
        <v>0.013</v>
      </c>
      <c r="O38" s="75" t="n">
        <f aca="false">H38+I38</f>
        <v>-0.0175</v>
      </c>
      <c r="P38" s="75" t="n">
        <f aca="false">J38+K38</f>
        <v>-0.053</v>
      </c>
      <c r="R38" s="166" t="n">
        <f aca="false">C38</f>
        <v>0.058333777934929</v>
      </c>
      <c r="S38" s="72" t="n">
        <f aca="false">(1+R38)^(360/365)-1</f>
        <v>0.0575121375638734</v>
      </c>
      <c r="T38" s="72" t="n">
        <f aca="false">(1+S38/2)^2-1</f>
        <v>0.0583390490556646</v>
      </c>
      <c r="U38" s="72" t="n">
        <f aca="false">12*((1+T38)^(1/12)-1)</f>
        <v>0.0568349128464609</v>
      </c>
      <c r="V38" s="72" t="n">
        <f aca="false">U38+'Financing Assumptions'!$F$6</f>
        <v>0.0655849128464609</v>
      </c>
    </row>
    <row r="39" customFormat="false" ht="12.75" hidden="false" customHeight="false" outlineLevel="0" collapsed="false">
      <c r="A39" s="69" t="n">
        <v>38018</v>
      </c>
      <c r="B39" s="142" t="n">
        <v>4.017</v>
      </c>
      <c r="C39" s="142" t="n">
        <v>0.058373673819866</v>
      </c>
      <c r="D39" s="142" t="n">
        <v>0.01</v>
      </c>
      <c r="E39" s="142" t="n">
        <v>0.02</v>
      </c>
      <c r="F39" s="142" t="n">
        <v>-0.007</v>
      </c>
      <c r="G39" s="142" t="n">
        <v>0.01</v>
      </c>
      <c r="H39" s="142" t="n">
        <v>-0.025</v>
      </c>
      <c r="I39" s="142" t="n">
        <v>0.0075</v>
      </c>
      <c r="J39" s="142" t="n">
        <v>-0.063</v>
      </c>
      <c r="K39" s="142" t="n">
        <v>0.01</v>
      </c>
      <c r="M39" s="75" t="n">
        <f aca="false">D39+E39</f>
        <v>0.03</v>
      </c>
      <c r="N39" s="75" t="n">
        <f aca="false">F39+G39</f>
        <v>0.003</v>
      </c>
      <c r="O39" s="75" t="n">
        <f aca="false">H39+I39</f>
        <v>-0.0175</v>
      </c>
      <c r="P39" s="75" t="n">
        <f aca="false">J39+K39</f>
        <v>-0.053</v>
      </c>
      <c r="R39" s="166" t="n">
        <f aca="false">C39</f>
        <v>0.058373673819866</v>
      </c>
      <c r="S39" s="72" t="n">
        <f aca="false">(1+R39)^(360/365)-1</f>
        <v>0.0575514563706967</v>
      </c>
      <c r="T39" s="72" t="n">
        <f aca="false">(1+S39/2)^2-1</f>
        <v>0.058379498903294</v>
      </c>
      <c r="U39" s="72" t="n">
        <f aca="false">12*((1+T39)^(1/12)-1)</f>
        <v>0.0568733133156121</v>
      </c>
      <c r="V39" s="72" t="n">
        <f aca="false">U39+'Financing Assumptions'!$F$6</f>
        <v>0.0656233133156121</v>
      </c>
    </row>
    <row r="40" customFormat="false" ht="12.75" hidden="false" customHeight="false" outlineLevel="0" collapsed="false">
      <c r="A40" s="69" t="n">
        <v>38047</v>
      </c>
      <c r="B40" s="142" t="n">
        <v>3.877</v>
      </c>
      <c r="C40" s="142" t="n">
        <v>0.058410995777223</v>
      </c>
      <c r="D40" s="142" t="n">
        <v>0.01</v>
      </c>
      <c r="E40" s="142" t="n">
        <v>0.02</v>
      </c>
      <c r="F40" s="142" t="n">
        <v>-0.007</v>
      </c>
      <c r="G40" s="142" t="n">
        <v>0.01</v>
      </c>
      <c r="H40" s="142" t="n">
        <v>-0.025</v>
      </c>
      <c r="I40" s="142" t="n">
        <v>0.0075</v>
      </c>
      <c r="J40" s="142" t="n">
        <v>-0.063</v>
      </c>
      <c r="K40" s="142" t="n">
        <v>0.01</v>
      </c>
      <c r="M40" s="75" t="n">
        <f aca="false">D40+E40</f>
        <v>0.03</v>
      </c>
      <c r="N40" s="75" t="n">
        <f aca="false">F40+G40</f>
        <v>0.003</v>
      </c>
      <c r="O40" s="75" t="n">
        <f aca="false">H40+I40</f>
        <v>-0.0175</v>
      </c>
      <c r="P40" s="75" t="n">
        <f aca="false">J40+K40</f>
        <v>-0.053</v>
      </c>
      <c r="R40" s="166" t="n">
        <f aca="false">C40</f>
        <v>0.058410995777223</v>
      </c>
      <c r="S40" s="72" t="n">
        <f aca="false">(1+R40)^(360/365)-1</f>
        <v>0.0575882384623989</v>
      </c>
      <c r="T40" s="72" t="n">
        <f aca="false">(1+S40/2)^2-1</f>
        <v>0.0584173397646997</v>
      </c>
      <c r="U40" s="72" t="n">
        <f aca="false">12*((1+T40)^(1/12)-1)</f>
        <v>0.0569092357640519</v>
      </c>
      <c r="V40" s="72" t="n">
        <f aca="false">U40+'Financing Assumptions'!$F$6</f>
        <v>0.0656592357640519</v>
      </c>
    </row>
    <row r="41" customFormat="false" ht="12.75" hidden="false" customHeight="false" outlineLevel="0" collapsed="false">
      <c r="A41" s="69" t="n">
        <v>38078</v>
      </c>
      <c r="B41" s="142" t="n">
        <v>3.682</v>
      </c>
      <c r="C41" s="142" t="n">
        <v>0.05844259999348</v>
      </c>
      <c r="D41" s="142" t="n">
        <v>0.021</v>
      </c>
      <c r="E41" s="142" t="n">
        <v>0.015</v>
      </c>
      <c r="F41" s="142" t="n">
        <v>-0.022</v>
      </c>
      <c r="G41" s="142" t="n">
        <v>0.0075</v>
      </c>
      <c r="H41" s="142" t="n">
        <v>-0.025</v>
      </c>
      <c r="I41" s="142" t="n">
        <v>0.0075</v>
      </c>
      <c r="J41" s="142" t="n">
        <v>-0.063</v>
      </c>
      <c r="K41" s="142" t="n">
        <v>0.0075</v>
      </c>
      <c r="M41" s="75" t="n">
        <f aca="false">D41+E41</f>
        <v>0.036</v>
      </c>
      <c r="N41" s="75" t="n">
        <f aca="false">F41+G41</f>
        <v>-0.0145</v>
      </c>
      <c r="O41" s="75" t="n">
        <f aca="false">H41+I41</f>
        <v>-0.0175</v>
      </c>
      <c r="P41" s="75" t="n">
        <f aca="false">J41+K41</f>
        <v>-0.0555</v>
      </c>
      <c r="R41" s="166" t="n">
        <f aca="false">C41</f>
        <v>0.05844259999348</v>
      </c>
      <c r="S41" s="72" t="n">
        <f aca="false">(1+R41)^(360/365)-1</f>
        <v>0.0576193855067757</v>
      </c>
      <c r="T41" s="72" t="n">
        <f aca="false">(1+S41/2)^2-1</f>
        <v>0.0584493839033202</v>
      </c>
      <c r="U41" s="72" t="n">
        <f aca="false">12*((1+T41)^(1/12)-1)</f>
        <v>0.0569396544447969</v>
      </c>
      <c r="V41" s="72" t="n">
        <f aca="false">U41+'Financing Assumptions'!$F$6</f>
        <v>0.0656896544447969</v>
      </c>
    </row>
    <row r="42" customFormat="false" ht="12.75" hidden="false" customHeight="false" outlineLevel="0" collapsed="false">
      <c r="A42" s="69" t="n">
        <v>38108</v>
      </c>
      <c r="B42" s="142" t="n">
        <v>3.637</v>
      </c>
      <c r="C42" s="142" t="n">
        <v>0.058464625576222</v>
      </c>
      <c r="D42" s="142" t="n">
        <v>0.021</v>
      </c>
      <c r="E42" s="142" t="n">
        <v>0.015</v>
      </c>
      <c r="F42" s="142" t="n">
        <v>-0.022</v>
      </c>
      <c r="G42" s="142" t="n">
        <v>0.0075</v>
      </c>
      <c r="H42" s="142" t="n">
        <v>-0.025</v>
      </c>
      <c r="I42" s="142" t="n">
        <v>0.0075</v>
      </c>
      <c r="J42" s="142" t="n">
        <v>-0.063</v>
      </c>
      <c r="K42" s="142" t="n">
        <v>0.0075</v>
      </c>
      <c r="M42" s="75" t="n">
        <f aca="false">D42+E42</f>
        <v>0.036</v>
      </c>
      <c r="N42" s="75" t="n">
        <f aca="false">F42+G42</f>
        <v>-0.0145</v>
      </c>
      <c r="O42" s="75" t="n">
        <f aca="false">H42+I42</f>
        <v>-0.0175</v>
      </c>
      <c r="P42" s="75" t="n">
        <f aca="false">J42+K42</f>
        <v>-0.0555</v>
      </c>
      <c r="R42" s="166" t="n">
        <f aca="false">C42</f>
        <v>0.058464625576222</v>
      </c>
      <c r="S42" s="72" t="n">
        <f aca="false">(1+R42)^(360/365)-1</f>
        <v>0.0576410924701574</v>
      </c>
      <c r="T42" s="72" t="n">
        <f aca="false">(1+S42/2)^2-1</f>
        <v>0.0584717163554454</v>
      </c>
      <c r="U42" s="72" t="n">
        <f aca="false">12*((1+T42)^(1/12)-1)</f>
        <v>0.0569608535709154</v>
      </c>
      <c r="V42" s="72" t="n">
        <f aca="false">U42+'Financing Assumptions'!$F$6</f>
        <v>0.0657108535709154</v>
      </c>
    </row>
    <row r="43" customFormat="false" ht="12.75" hidden="false" customHeight="false" outlineLevel="0" collapsed="false">
      <c r="A43" s="69" t="n">
        <v>38139</v>
      </c>
      <c r="B43" s="142" t="n">
        <v>3.657</v>
      </c>
      <c r="C43" s="142" t="n">
        <v>0.058487385345225</v>
      </c>
      <c r="D43" s="142" t="n">
        <v>0.021</v>
      </c>
      <c r="E43" s="142" t="n">
        <v>0.015</v>
      </c>
      <c r="F43" s="142" t="n">
        <v>-0.022</v>
      </c>
      <c r="G43" s="142" t="n">
        <v>0.0075</v>
      </c>
      <c r="H43" s="142" t="n">
        <v>-0.025</v>
      </c>
      <c r="I43" s="142" t="n">
        <v>0.0075</v>
      </c>
      <c r="J43" s="142" t="n">
        <v>-0.063</v>
      </c>
      <c r="K43" s="142" t="n">
        <v>0.0075</v>
      </c>
      <c r="M43" s="75" t="n">
        <f aca="false">D43+E43</f>
        <v>0.036</v>
      </c>
      <c r="N43" s="75" t="n">
        <f aca="false">F43+G43</f>
        <v>-0.0145</v>
      </c>
      <c r="O43" s="75" t="n">
        <f aca="false">H43+I43</f>
        <v>-0.0175</v>
      </c>
      <c r="P43" s="75" t="n">
        <f aca="false">J43+K43</f>
        <v>-0.0555</v>
      </c>
      <c r="R43" s="166" t="n">
        <f aca="false">C43</f>
        <v>0.058487385345225</v>
      </c>
      <c r="S43" s="72" t="n">
        <f aca="false">(1+R43)^(360/365)-1</f>
        <v>0.0576635229926521</v>
      </c>
      <c r="T43" s="72" t="n">
        <f aca="false">(1+S43/2)^2-1</f>
        <v>0.0584947934636331</v>
      </c>
      <c r="U43" s="72" t="n">
        <f aca="false">12*((1+T43)^(1/12)-1)</f>
        <v>0.0569827591326026</v>
      </c>
      <c r="V43" s="72" t="n">
        <f aca="false">U43+'Financing Assumptions'!$F$6</f>
        <v>0.0657327591326027</v>
      </c>
    </row>
    <row r="44" customFormat="false" ht="12.75" hidden="false" customHeight="false" outlineLevel="0" collapsed="false">
      <c r="A44" s="69" t="n">
        <v>38169</v>
      </c>
      <c r="B44" s="142" t="n">
        <v>3.672</v>
      </c>
      <c r="C44" s="142" t="n">
        <v>0.058511178500586</v>
      </c>
      <c r="D44" s="142" t="n">
        <v>0.021</v>
      </c>
      <c r="E44" s="142" t="n">
        <v>0.015</v>
      </c>
      <c r="F44" s="142" t="n">
        <v>-0.022</v>
      </c>
      <c r="G44" s="142" t="n">
        <v>0.0075</v>
      </c>
      <c r="H44" s="142" t="n">
        <v>-0.025</v>
      </c>
      <c r="I44" s="142" t="n">
        <v>0.0075</v>
      </c>
      <c r="J44" s="142" t="n">
        <v>-0.063</v>
      </c>
      <c r="K44" s="142" t="n">
        <v>0.0075</v>
      </c>
      <c r="M44" s="75" t="n">
        <f aca="false">D44+E44</f>
        <v>0.036</v>
      </c>
      <c r="N44" s="75" t="n">
        <f aca="false">F44+G44</f>
        <v>-0.0145</v>
      </c>
      <c r="O44" s="75" t="n">
        <f aca="false">H44+I44</f>
        <v>-0.0175</v>
      </c>
      <c r="P44" s="75" t="n">
        <f aca="false">J44+K44</f>
        <v>-0.0555</v>
      </c>
      <c r="R44" s="166" t="n">
        <f aca="false">C44</f>
        <v>0.058511178500586</v>
      </c>
      <c r="S44" s="72" t="n">
        <f aca="false">(1+R44)^(360/365)-1</f>
        <v>0.0576869719453064</v>
      </c>
      <c r="T44" s="72" t="n">
        <f aca="false">(1+S44/2)^2-1</f>
        <v>0.058518918628361</v>
      </c>
      <c r="U44" s="72" t="n">
        <f aca="false">12*((1+T44)^(1/12)-1)</f>
        <v>0.0570056590764985</v>
      </c>
      <c r="V44" s="72" t="n">
        <f aca="false">U44+'Financing Assumptions'!$F$6</f>
        <v>0.0657556590764985</v>
      </c>
    </row>
    <row r="45" customFormat="false" ht="12.75" hidden="false" customHeight="false" outlineLevel="0" collapsed="false">
      <c r="A45" s="69" t="n">
        <v>38200</v>
      </c>
      <c r="B45" s="142" t="n">
        <v>3.682</v>
      </c>
      <c r="C45" s="142" t="n">
        <v>0.058537707389653</v>
      </c>
      <c r="D45" s="142" t="n">
        <v>0.021</v>
      </c>
      <c r="E45" s="142" t="n">
        <v>0.015</v>
      </c>
      <c r="F45" s="142" t="n">
        <v>-0.022</v>
      </c>
      <c r="G45" s="142" t="n">
        <v>0.0075</v>
      </c>
      <c r="H45" s="142" t="n">
        <v>-0.025</v>
      </c>
      <c r="I45" s="142" t="n">
        <v>0.0075</v>
      </c>
      <c r="J45" s="142" t="n">
        <v>-0.063</v>
      </c>
      <c r="K45" s="142" t="n">
        <v>0.0075</v>
      </c>
      <c r="M45" s="75" t="n">
        <f aca="false">D45+E45</f>
        <v>0.036</v>
      </c>
      <c r="N45" s="75" t="n">
        <f aca="false">F45+G45</f>
        <v>-0.0145</v>
      </c>
      <c r="O45" s="75" t="n">
        <f aca="false">H45+I45</f>
        <v>-0.0175</v>
      </c>
      <c r="P45" s="75" t="n">
        <f aca="false">J45+K45</f>
        <v>-0.0555</v>
      </c>
      <c r="R45" s="166" t="n">
        <f aca="false">C45</f>
        <v>0.058537707389653</v>
      </c>
      <c r="S45" s="72" t="n">
        <f aca="false">(1+R45)^(360/365)-1</f>
        <v>0.0577131170467737</v>
      </c>
      <c r="T45" s="72" t="n">
        <f aca="false">(1+S45/2)^2-1</f>
        <v>0.0585458180165874</v>
      </c>
      <c r="U45" s="72" t="n">
        <f aca="false">12*((1+T45)^(1/12)-1)</f>
        <v>0.0570311917880488</v>
      </c>
      <c r="V45" s="72" t="n">
        <f aca="false">U45+'Financing Assumptions'!$F$6</f>
        <v>0.0657811917880488</v>
      </c>
    </row>
    <row r="46" customFormat="false" ht="12.75" hidden="false" customHeight="false" outlineLevel="0" collapsed="false">
      <c r="A46" s="69" t="n">
        <v>38231</v>
      </c>
      <c r="B46" s="142" t="n">
        <v>3.699</v>
      </c>
      <c r="C46" s="142" t="n">
        <v>0.058564236278954</v>
      </c>
      <c r="D46" s="142" t="n">
        <v>0.021</v>
      </c>
      <c r="E46" s="142" t="n">
        <v>0.015</v>
      </c>
      <c r="F46" s="142" t="n">
        <v>-0.022</v>
      </c>
      <c r="G46" s="142" t="n">
        <v>0.0075</v>
      </c>
      <c r="H46" s="142" t="n">
        <v>-0.025</v>
      </c>
      <c r="I46" s="142" t="n">
        <v>0.0075</v>
      </c>
      <c r="J46" s="142" t="n">
        <v>-0.063</v>
      </c>
      <c r="K46" s="142" t="n">
        <v>0.0075</v>
      </c>
      <c r="M46" s="75" t="n">
        <f aca="false">D46+E46</f>
        <v>0.036</v>
      </c>
      <c r="N46" s="75" t="n">
        <f aca="false">F46+G46</f>
        <v>-0.0145</v>
      </c>
      <c r="O46" s="75" t="n">
        <f aca="false">H46+I46</f>
        <v>-0.0175</v>
      </c>
      <c r="P46" s="75" t="n">
        <f aca="false">J46+K46</f>
        <v>-0.0555</v>
      </c>
      <c r="R46" s="166" t="n">
        <f aca="false">C46</f>
        <v>0.058564236278954</v>
      </c>
      <c r="S46" s="72" t="n">
        <f aca="false">(1+R46)^(360/365)-1</f>
        <v>0.0577392621394959</v>
      </c>
      <c r="T46" s="72" t="n">
        <f aca="false">(1+S46/2)^2-1</f>
        <v>0.058572717737599</v>
      </c>
      <c r="U46" s="72" t="n">
        <f aca="false">12*((1+T46)^(1/12)-1)</f>
        <v>0.0570567242207103</v>
      </c>
      <c r="V46" s="72" t="n">
        <f aca="false">U46+'Financing Assumptions'!$F$6</f>
        <v>0.0658067242207103</v>
      </c>
    </row>
    <row r="47" customFormat="false" ht="12.75" hidden="false" customHeight="false" outlineLevel="0" collapsed="false">
      <c r="A47" s="69" t="n">
        <v>38261</v>
      </c>
      <c r="B47" s="142" t="n">
        <v>3.717</v>
      </c>
      <c r="C47" s="142" t="n">
        <v>0.058591058426884</v>
      </c>
      <c r="D47" s="142" t="n">
        <v>0.021</v>
      </c>
      <c r="E47" s="142" t="n">
        <v>0.015</v>
      </c>
      <c r="F47" s="142" t="n">
        <v>-0.022</v>
      </c>
      <c r="G47" s="142" t="n">
        <v>0.0075</v>
      </c>
      <c r="H47" s="142" t="n">
        <v>-0.025</v>
      </c>
      <c r="I47" s="142" t="n">
        <v>0.0075</v>
      </c>
      <c r="J47" s="142" t="n">
        <v>-0.063</v>
      </c>
      <c r="K47" s="142" t="n">
        <v>0.0075</v>
      </c>
      <c r="M47" s="75" t="n">
        <f aca="false">D47+E47</f>
        <v>0.036</v>
      </c>
      <c r="N47" s="75" t="n">
        <f aca="false">F47+G47</f>
        <v>-0.0145</v>
      </c>
      <c r="O47" s="75" t="n">
        <f aca="false">H47+I47</f>
        <v>-0.0175</v>
      </c>
      <c r="P47" s="75" t="n">
        <f aca="false">J47+K47</f>
        <v>-0.0555</v>
      </c>
      <c r="R47" s="166" t="n">
        <f aca="false">C47</f>
        <v>0.058591058426884</v>
      </c>
      <c r="S47" s="72" t="n">
        <f aca="false">(1+R47)^(360/365)-1</f>
        <v>0.0577656962391147</v>
      </c>
      <c r="T47" s="72" t="n">
        <f aca="false">(1+S47/2)^2-1</f>
        <v>0.0585999151546122</v>
      </c>
      <c r="U47" s="72" t="n">
        <f aca="false">12*((1+T47)^(1/12)-1)</f>
        <v>0.05708253861311</v>
      </c>
      <c r="V47" s="72" t="n">
        <f aca="false">U47+'Financing Assumptions'!$F$6</f>
        <v>0.06583253861311</v>
      </c>
    </row>
    <row r="48" customFormat="false" ht="12.75" hidden="false" customHeight="false" outlineLevel="0" collapsed="false">
      <c r="A48" s="69" t="n">
        <v>38292</v>
      </c>
      <c r="B48" s="142" t="n">
        <v>3.862</v>
      </c>
      <c r="C48" s="142" t="n">
        <v>0.058619880473754</v>
      </c>
      <c r="D48" s="142" t="n">
        <v>0.01</v>
      </c>
      <c r="E48" s="142" t="n">
        <v>0.015</v>
      </c>
      <c r="F48" s="142" t="n">
        <v>-0.0245</v>
      </c>
      <c r="G48" s="142" t="n">
        <v>0.0075</v>
      </c>
      <c r="H48" s="142" t="n">
        <v>-0.0305</v>
      </c>
      <c r="I48" s="142" t="n">
        <v>0.0087</v>
      </c>
      <c r="J48" s="142" t="n">
        <v>-0.063</v>
      </c>
      <c r="K48" s="142" t="n">
        <v>0.005</v>
      </c>
      <c r="M48" s="75" t="n">
        <f aca="false">D48+E48</f>
        <v>0.025</v>
      </c>
      <c r="N48" s="75" t="n">
        <f aca="false">F48+G48</f>
        <v>-0.017</v>
      </c>
      <c r="O48" s="75" t="n">
        <f aca="false">H48+I48</f>
        <v>-0.0218</v>
      </c>
      <c r="P48" s="75" t="n">
        <f aca="false">J48+K48</f>
        <v>-0.058</v>
      </c>
      <c r="R48" s="166" t="n">
        <f aca="false">C48</f>
        <v>0.058619880473754</v>
      </c>
      <c r="S48" s="72" t="n">
        <f aca="false">(1+R48)^(360/365)-1</f>
        <v>0.0577941012939918</v>
      </c>
      <c r="T48" s="72" t="n">
        <f aca="false">(1+S48/2)^2-1</f>
        <v>0.0586291408300867</v>
      </c>
      <c r="U48" s="72" t="n">
        <f aca="false">12*((1+T48)^(1/12)-1)</f>
        <v>0.0571102774467054</v>
      </c>
      <c r="V48" s="72" t="n">
        <f aca="false">U48+'Financing Assumptions'!$F$6</f>
        <v>0.0658602774467054</v>
      </c>
    </row>
    <row r="49" customFormat="false" ht="12.75" hidden="false" customHeight="false" outlineLevel="0" collapsed="false">
      <c r="A49" s="69" t="n">
        <v>38322</v>
      </c>
      <c r="B49" s="142" t="n">
        <v>3.997</v>
      </c>
      <c r="C49" s="142" t="n">
        <v>0.05864777277744</v>
      </c>
      <c r="D49" s="142" t="n">
        <v>0.01</v>
      </c>
      <c r="E49" s="142" t="n">
        <v>0.015</v>
      </c>
      <c r="F49" s="142" t="n">
        <v>-0.0245</v>
      </c>
      <c r="G49" s="142" t="n">
        <v>0.0075</v>
      </c>
      <c r="H49" s="142" t="n">
        <v>-0.0305</v>
      </c>
      <c r="I49" s="142" t="n">
        <v>0.0087</v>
      </c>
      <c r="J49" s="142" t="n">
        <v>-0.063</v>
      </c>
      <c r="K49" s="142" t="n">
        <v>0.005</v>
      </c>
      <c r="M49" s="75" t="n">
        <f aca="false">D49+E49</f>
        <v>0.025</v>
      </c>
      <c r="N49" s="75" t="n">
        <f aca="false">F49+G49</f>
        <v>-0.017</v>
      </c>
      <c r="O49" s="75" t="n">
        <f aca="false">H49+I49</f>
        <v>-0.0218</v>
      </c>
      <c r="P49" s="75" t="n">
        <f aca="false">J49+K49</f>
        <v>-0.058</v>
      </c>
      <c r="R49" s="166" t="n">
        <f aca="false">C49</f>
        <v>0.05864777277744</v>
      </c>
      <c r="S49" s="72" t="n">
        <f aca="false">(1+R49)^(360/365)-1</f>
        <v>0.0578215900469488</v>
      </c>
      <c r="T49" s="72" t="n">
        <f aca="false">(1+S49/2)^2-1</f>
        <v>0.0586574241158382</v>
      </c>
      <c r="U49" s="72" t="n">
        <f aca="false">12*((1+T49)^(1/12)-1)</f>
        <v>0.0571371211658143</v>
      </c>
      <c r="V49" s="72" t="n">
        <f aca="false">U49+'Financing Assumptions'!$F$6</f>
        <v>0.0658871211658143</v>
      </c>
    </row>
    <row r="50" customFormat="false" ht="12.75" hidden="false" customHeight="false" outlineLevel="0" collapsed="false">
      <c r="A50" s="69" t="n">
        <v>38353</v>
      </c>
      <c r="B50" s="142" t="n">
        <v>4.122</v>
      </c>
      <c r="C50" s="142" t="n">
        <v>0.058684757331705</v>
      </c>
      <c r="D50" s="142" t="n">
        <v>0.01</v>
      </c>
      <c r="E50" s="142" t="n">
        <v>0.02</v>
      </c>
      <c r="F50" s="142" t="n">
        <v>0.004</v>
      </c>
      <c r="G50" s="142" t="n">
        <v>0.01</v>
      </c>
      <c r="H50" s="142" t="n">
        <v>-0.025</v>
      </c>
      <c r="I50" s="142" t="n">
        <v>0.0087</v>
      </c>
      <c r="J50" s="142" t="n">
        <v>-0.061</v>
      </c>
      <c r="K50" s="142" t="n">
        <v>0.01</v>
      </c>
      <c r="M50" s="75" t="n">
        <f aca="false">D50+E50</f>
        <v>0.03</v>
      </c>
      <c r="N50" s="75" t="n">
        <f aca="false">F50+G50</f>
        <v>0.014</v>
      </c>
      <c r="O50" s="75" t="n">
        <f aca="false">H50+I50</f>
        <v>-0.0163</v>
      </c>
      <c r="P50" s="75" t="n">
        <f aca="false">J50+K50</f>
        <v>-0.051</v>
      </c>
      <c r="R50" s="166" t="n">
        <f aca="false">C50</f>
        <v>0.058684757331705</v>
      </c>
      <c r="S50" s="72" t="n">
        <f aca="false">(1+R50)^(360/365)-1</f>
        <v>0.0578580394869139</v>
      </c>
      <c r="T50" s="72" t="n">
        <f aca="false">(1+S50/2)^2-1</f>
        <v>0.0586949276702311</v>
      </c>
      <c r="U50" s="72" t="n">
        <f aca="false">12*((1+T50)^(1/12)-1)</f>
        <v>0.0571727148452634</v>
      </c>
      <c r="V50" s="72" t="n">
        <f aca="false">U50+'Financing Assumptions'!$F$6</f>
        <v>0.0659227148452634</v>
      </c>
    </row>
    <row r="51" customFormat="false" ht="12.75" hidden="false" customHeight="false" outlineLevel="0" collapsed="false">
      <c r="A51" s="69" t="n">
        <v>38384</v>
      </c>
      <c r="B51" s="142" t="n">
        <v>4.007</v>
      </c>
      <c r="C51" s="142" t="n">
        <v>0.058728463950989</v>
      </c>
      <c r="D51" s="142" t="n">
        <v>0.01</v>
      </c>
      <c r="E51" s="142" t="n">
        <v>0.02</v>
      </c>
      <c r="F51" s="142" t="n">
        <v>-0.006</v>
      </c>
      <c r="G51" s="142" t="n">
        <v>0.01</v>
      </c>
      <c r="H51" s="142" t="n">
        <v>-0.025</v>
      </c>
      <c r="I51" s="142" t="n">
        <v>0.0087</v>
      </c>
      <c r="J51" s="142" t="n">
        <v>-0.061</v>
      </c>
      <c r="K51" s="142" t="n">
        <v>0.01</v>
      </c>
      <c r="M51" s="75" t="n">
        <f aca="false">D51+E51</f>
        <v>0.03</v>
      </c>
      <c r="N51" s="75" t="n">
        <f aca="false">F51+G51</f>
        <v>0.004</v>
      </c>
      <c r="O51" s="75" t="n">
        <f aca="false">H51+I51</f>
        <v>-0.0163</v>
      </c>
      <c r="P51" s="75" t="n">
        <f aca="false">J51+K51</f>
        <v>-0.051</v>
      </c>
      <c r="R51" s="166" t="n">
        <f aca="false">C51</f>
        <v>0.058728463950989</v>
      </c>
      <c r="S51" s="72" t="n">
        <f aca="false">(1+R51)^(360/365)-1</f>
        <v>0.0579011137106178</v>
      </c>
      <c r="T51" s="72" t="n">
        <f aca="false">(1+S51/2)^2-1</f>
        <v>0.0587392484528504</v>
      </c>
      <c r="U51" s="72" t="n">
        <f aca="false">12*((1+T51)^(1/12)-1)</f>
        <v>0.0572147770944005</v>
      </c>
      <c r="V51" s="72" t="n">
        <f aca="false">U51+'Financing Assumptions'!$F$6</f>
        <v>0.0659647770944005</v>
      </c>
    </row>
    <row r="52" customFormat="false" ht="12.75" hidden="false" customHeight="false" outlineLevel="0" collapsed="false">
      <c r="A52" s="69" t="n">
        <v>38412</v>
      </c>
      <c r="B52" s="142" t="n">
        <v>3.867</v>
      </c>
      <c r="C52" s="142" t="n">
        <v>0.058767940897985</v>
      </c>
      <c r="D52" s="142" t="n">
        <v>0.01</v>
      </c>
      <c r="E52" s="142" t="n">
        <v>0.02</v>
      </c>
      <c r="F52" s="142" t="n">
        <v>-0.006</v>
      </c>
      <c r="G52" s="142" t="n">
        <v>0.01</v>
      </c>
      <c r="H52" s="142" t="n">
        <v>-0.025</v>
      </c>
      <c r="I52" s="142" t="n">
        <v>0.0087</v>
      </c>
      <c r="J52" s="142" t="n">
        <v>-0.061</v>
      </c>
      <c r="K52" s="142" t="n">
        <v>0.01</v>
      </c>
      <c r="M52" s="75" t="n">
        <f aca="false">D52+E52</f>
        <v>0.03</v>
      </c>
      <c r="N52" s="75" t="n">
        <f aca="false">F52+G52</f>
        <v>0.004</v>
      </c>
      <c r="O52" s="75" t="n">
        <f aca="false">H52+I52</f>
        <v>-0.0163</v>
      </c>
      <c r="P52" s="75" t="n">
        <f aca="false">J52+K52</f>
        <v>-0.051</v>
      </c>
      <c r="R52" s="166" t="n">
        <f aca="false">C52</f>
        <v>0.058767940897985</v>
      </c>
      <c r="S52" s="72" t="n">
        <f aca="false">(1+R52)^(360/365)-1</f>
        <v>0.0579400194406612</v>
      </c>
      <c r="T52" s="72" t="n">
        <f aca="false">(1+S52/2)^2-1</f>
        <v>0.058779280903857</v>
      </c>
      <c r="U52" s="72" t="n">
        <f aca="false">12*((1+T52)^(1/12)-1)</f>
        <v>0.0572527681527744</v>
      </c>
      <c r="V52" s="72" t="n">
        <f aca="false">U52+'Financing Assumptions'!$F$6</f>
        <v>0.0660027681527744</v>
      </c>
    </row>
    <row r="53" customFormat="false" ht="12.75" hidden="false" customHeight="false" outlineLevel="0" collapsed="false">
      <c r="A53" s="69" t="n">
        <v>38443</v>
      </c>
      <c r="B53" s="142" t="n">
        <v>3.672</v>
      </c>
      <c r="C53" s="142" t="n">
        <v>0.058799350228651</v>
      </c>
      <c r="D53" s="142" t="n">
        <v>0.021</v>
      </c>
      <c r="E53" s="142" t="n">
        <v>0.015</v>
      </c>
      <c r="F53" s="142" t="n">
        <v>-0.021</v>
      </c>
      <c r="G53" s="142" t="n">
        <v>0.0075</v>
      </c>
      <c r="H53" s="142" t="n">
        <v>-0.025</v>
      </c>
      <c r="I53" s="142" t="n">
        <v>0.0085</v>
      </c>
      <c r="J53" s="142" t="n">
        <v>-0.061</v>
      </c>
      <c r="K53" s="142" t="n">
        <v>0.0075</v>
      </c>
      <c r="M53" s="75" t="n">
        <f aca="false">D53+E53</f>
        <v>0.036</v>
      </c>
      <c r="N53" s="75" t="n">
        <f aca="false">F53+G53</f>
        <v>-0.0135</v>
      </c>
      <c r="O53" s="75" t="n">
        <f aca="false">H53+I53</f>
        <v>-0.0165</v>
      </c>
      <c r="P53" s="75" t="n">
        <f aca="false">J53+K53</f>
        <v>-0.0535</v>
      </c>
      <c r="R53" s="166" t="n">
        <f aca="false">C53</f>
        <v>0.058799350228651</v>
      </c>
      <c r="S53" s="72" t="n">
        <f aca="false">(1+R53)^(360/365)-1</f>
        <v>0.0579709742756305</v>
      </c>
      <c r="T53" s="72" t="n">
        <f aca="false">(1+S53/2)^2-1</f>
        <v>0.058811132740247</v>
      </c>
      <c r="U53" s="72" t="n">
        <f aca="false">12*((1+T53)^(1/12)-1)</f>
        <v>0.0572829948136553</v>
      </c>
      <c r="V53" s="72" t="n">
        <f aca="false">U53+'Financing Assumptions'!$F$6</f>
        <v>0.0660329948136553</v>
      </c>
    </row>
    <row r="54" customFormat="false" ht="12.75" hidden="false" customHeight="false" outlineLevel="0" collapsed="false">
      <c r="A54" s="69" t="n">
        <v>38473</v>
      </c>
      <c r="B54" s="142" t="n">
        <v>3.627</v>
      </c>
      <c r="C54" s="142" t="n">
        <v>0.058819945858717</v>
      </c>
      <c r="D54" s="142" t="n">
        <v>0.021</v>
      </c>
      <c r="E54" s="142" t="n">
        <v>0.015</v>
      </c>
      <c r="F54" s="142" t="n">
        <v>-0.021</v>
      </c>
      <c r="G54" s="142" t="n">
        <v>0.0075</v>
      </c>
      <c r="H54" s="142" t="n">
        <v>-0.025</v>
      </c>
      <c r="I54" s="142" t="n">
        <v>0.0085</v>
      </c>
      <c r="J54" s="142" t="n">
        <v>-0.061</v>
      </c>
      <c r="K54" s="142" t="n">
        <v>0.0075</v>
      </c>
      <c r="M54" s="75" t="n">
        <f aca="false">D54+E54</f>
        <v>0.036</v>
      </c>
      <c r="N54" s="75" t="n">
        <f aca="false">F54+G54</f>
        <v>-0.0135</v>
      </c>
      <c r="O54" s="75" t="n">
        <f aca="false">H54+I54</f>
        <v>-0.0165</v>
      </c>
      <c r="P54" s="75" t="n">
        <f aca="false">J54+K54</f>
        <v>-0.0535</v>
      </c>
      <c r="R54" s="166" t="n">
        <f aca="false">C54</f>
        <v>0.058819945858717</v>
      </c>
      <c r="S54" s="72" t="n">
        <f aca="false">(1+R54)^(360/365)-1</f>
        <v>0.0579912718783424</v>
      </c>
      <c r="T54" s="72" t="n">
        <f aca="false">(1+S54/2)^2-1</f>
        <v>0.0588320187818594</v>
      </c>
      <c r="U54" s="72" t="n">
        <f aca="false">12*((1+T54)^(1/12)-1)</f>
        <v>0.0573028147347756</v>
      </c>
      <c r="V54" s="72" t="n">
        <f aca="false">U54+'Financing Assumptions'!$F$6</f>
        <v>0.0660528147347756</v>
      </c>
    </row>
    <row r="55" customFormat="false" ht="12.75" hidden="false" customHeight="false" outlineLevel="0" collapsed="false">
      <c r="A55" s="69" t="n">
        <v>38504</v>
      </c>
      <c r="B55" s="142" t="n">
        <v>3.647</v>
      </c>
      <c r="C55" s="142" t="n">
        <v>0.058841228009932</v>
      </c>
      <c r="D55" s="142" t="n">
        <v>0.021</v>
      </c>
      <c r="E55" s="142" t="n">
        <v>0.015</v>
      </c>
      <c r="F55" s="142" t="n">
        <v>-0.021</v>
      </c>
      <c r="G55" s="142" t="n">
        <v>0.0075</v>
      </c>
      <c r="H55" s="142" t="n">
        <v>-0.025</v>
      </c>
      <c r="I55" s="142" t="n">
        <v>0.0085</v>
      </c>
      <c r="J55" s="142" t="n">
        <v>-0.061</v>
      </c>
      <c r="K55" s="142" t="n">
        <v>0.0075</v>
      </c>
      <c r="M55" s="75" t="n">
        <f aca="false">D55+E55</f>
        <v>0.036</v>
      </c>
      <c r="N55" s="75" t="n">
        <f aca="false">F55+G55</f>
        <v>-0.0135</v>
      </c>
      <c r="O55" s="75" t="n">
        <f aca="false">H55+I55</f>
        <v>-0.0165</v>
      </c>
      <c r="P55" s="75" t="n">
        <f aca="false">J55+K55</f>
        <v>-0.0535</v>
      </c>
      <c r="R55" s="166" t="n">
        <f aca="false">C55</f>
        <v>0.058841228009932</v>
      </c>
      <c r="S55" s="72" t="n">
        <f aca="false">(1+R55)^(360/365)-1</f>
        <v>0.0580122460622741</v>
      </c>
      <c r="T55" s="72" t="n">
        <f aca="false">(1+S55/2)^2-1</f>
        <v>0.0588536012355718</v>
      </c>
      <c r="U55" s="72" t="n">
        <f aca="false">12*((1+T55)^(1/12)-1)</f>
        <v>0.0573232951433926</v>
      </c>
      <c r="V55" s="72" t="n">
        <f aca="false">U55+'Financing Assumptions'!$F$6</f>
        <v>0.0660732951433926</v>
      </c>
    </row>
    <row r="56" customFormat="false" ht="12.75" hidden="false" customHeight="false" outlineLevel="0" collapsed="false">
      <c r="A56" s="69" t="n">
        <v>38534</v>
      </c>
      <c r="B56" s="142" t="n">
        <v>3.662</v>
      </c>
      <c r="C56" s="142" t="n">
        <v>0.058861823640284</v>
      </c>
      <c r="D56" s="142" t="n">
        <v>0.021</v>
      </c>
      <c r="E56" s="142" t="n">
        <v>0.015</v>
      </c>
      <c r="F56" s="142" t="n">
        <v>-0.021</v>
      </c>
      <c r="G56" s="142" t="n">
        <v>0.0075</v>
      </c>
      <c r="H56" s="142" t="n">
        <v>-0.025</v>
      </c>
      <c r="I56" s="142" t="n">
        <v>0.0085</v>
      </c>
      <c r="J56" s="142" t="n">
        <v>-0.061</v>
      </c>
      <c r="K56" s="142" t="n">
        <v>0.0075</v>
      </c>
      <c r="M56" s="75" t="n">
        <f aca="false">D56+E56</f>
        <v>0.036</v>
      </c>
      <c r="N56" s="75" t="n">
        <f aca="false">F56+G56</f>
        <v>-0.0135</v>
      </c>
      <c r="O56" s="75" t="n">
        <f aca="false">H56+I56</f>
        <v>-0.0165</v>
      </c>
      <c r="P56" s="75" t="n">
        <f aca="false">J56+K56</f>
        <v>-0.0535</v>
      </c>
      <c r="R56" s="166" t="n">
        <f aca="false">C56</f>
        <v>0.058861823640284</v>
      </c>
      <c r="S56" s="72" t="n">
        <f aca="false">(1+R56)^(360/365)-1</f>
        <v>0.0580325436542708</v>
      </c>
      <c r="T56" s="72" t="n">
        <f aca="false">(1+S56/2)^2-1</f>
        <v>0.0588744876850169</v>
      </c>
      <c r="U56" s="72" t="n">
        <f aca="false">12*((1+T56)^(1/12)-1)</f>
        <v>0.0573431147228236</v>
      </c>
      <c r="V56" s="72" t="n">
        <f aca="false">U56+'Financing Assumptions'!$F$6</f>
        <v>0.0660931147228236</v>
      </c>
    </row>
    <row r="57" customFormat="false" ht="12.75" hidden="false" customHeight="false" outlineLevel="0" collapsed="false">
      <c r="A57" s="69" t="n">
        <v>38565</v>
      </c>
      <c r="B57" s="142" t="n">
        <v>3.672</v>
      </c>
      <c r="C57" s="142" t="n">
        <v>0.058883105791796</v>
      </c>
      <c r="D57" s="142" t="n">
        <v>0.021</v>
      </c>
      <c r="E57" s="142" t="n">
        <v>0.015</v>
      </c>
      <c r="F57" s="142" t="n">
        <v>-0.021</v>
      </c>
      <c r="G57" s="142" t="n">
        <v>0.0075</v>
      </c>
      <c r="H57" s="142" t="n">
        <v>-0.025</v>
      </c>
      <c r="I57" s="142" t="n">
        <v>0.0085</v>
      </c>
      <c r="J57" s="142" t="n">
        <v>-0.061</v>
      </c>
      <c r="K57" s="142" t="n">
        <v>0.0075</v>
      </c>
      <c r="M57" s="75" t="n">
        <f aca="false">D57+E57</f>
        <v>0.036</v>
      </c>
      <c r="N57" s="75" t="n">
        <f aca="false">F57+G57</f>
        <v>-0.0135</v>
      </c>
      <c r="O57" s="75" t="n">
        <f aca="false">H57+I57</f>
        <v>-0.0165</v>
      </c>
      <c r="P57" s="75" t="n">
        <f aca="false">J57+K57</f>
        <v>-0.0535</v>
      </c>
      <c r="R57" s="166" t="n">
        <f aca="false">C57</f>
        <v>0.058883105791796</v>
      </c>
      <c r="S57" s="72" t="n">
        <f aca="false">(1+R57)^(360/365)-1</f>
        <v>0.0580535178271318</v>
      </c>
      <c r="T57" s="72" t="n">
        <f aca="false">(1+S57/2)^2-1</f>
        <v>0.0588960705601578</v>
      </c>
      <c r="U57" s="72" t="n">
        <f aca="false">12*((1+T57)^(1/12)-1)</f>
        <v>0.0573635947783684</v>
      </c>
      <c r="V57" s="72" t="n">
        <f aca="false">U57+'Financing Assumptions'!$F$6</f>
        <v>0.0661135947783684</v>
      </c>
    </row>
    <row r="58" customFormat="false" ht="12.75" hidden="false" customHeight="false" outlineLevel="0" collapsed="false">
      <c r="A58" s="69" t="n">
        <v>38596</v>
      </c>
      <c r="B58" s="142" t="n">
        <v>3.689</v>
      </c>
      <c r="C58" s="142" t="n">
        <v>0.058904387943459</v>
      </c>
      <c r="D58" s="142" t="n">
        <v>0.021</v>
      </c>
      <c r="E58" s="142" t="n">
        <v>0.015</v>
      </c>
      <c r="F58" s="142" t="n">
        <v>-0.021</v>
      </c>
      <c r="G58" s="142" t="n">
        <v>0.0075</v>
      </c>
      <c r="H58" s="142" t="n">
        <v>-0.025</v>
      </c>
      <c r="I58" s="142" t="n">
        <v>0.0085</v>
      </c>
      <c r="J58" s="142" t="n">
        <v>-0.061</v>
      </c>
      <c r="K58" s="142" t="n">
        <v>0.0075</v>
      </c>
      <c r="M58" s="75" t="n">
        <f aca="false">D58+E58</f>
        <v>0.036</v>
      </c>
      <c r="N58" s="75" t="n">
        <f aca="false">F58+G58</f>
        <v>-0.0135</v>
      </c>
      <c r="O58" s="75" t="n">
        <f aca="false">H58+I58</f>
        <v>-0.0165</v>
      </c>
      <c r="P58" s="75" t="n">
        <f aca="false">J58+K58</f>
        <v>-0.0535</v>
      </c>
      <c r="R58" s="166" t="n">
        <f aca="false">C58</f>
        <v>0.058904387943459</v>
      </c>
      <c r="S58" s="72" t="n">
        <f aca="false">(1+R58)^(360/365)-1</f>
        <v>0.0580744919943668</v>
      </c>
      <c r="T58" s="72" t="n">
        <f aca="false">(1+S58/2)^2-1</f>
        <v>0.0589176536494676</v>
      </c>
      <c r="U58" s="72" t="n">
        <f aca="false">12*((1+T58)^(1/12)-1)</f>
        <v>0.0573840746544914</v>
      </c>
      <c r="V58" s="72" t="n">
        <f aca="false">U58+'Financing Assumptions'!$F$6</f>
        <v>0.0661340746544914</v>
      </c>
    </row>
    <row r="59" customFormat="false" ht="12.75" hidden="false" customHeight="false" outlineLevel="0" collapsed="false">
      <c r="A59" s="69" t="n">
        <v>38626</v>
      </c>
      <c r="B59" s="142" t="n">
        <v>3.707</v>
      </c>
      <c r="C59" s="142" t="n">
        <v>0.058924983574244</v>
      </c>
      <c r="D59" s="142" t="n">
        <v>0.021</v>
      </c>
      <c r="E59" s="142" t="n">
        <v>0.015</v>
      </c>
      <c r="F59" s="142" t="n">
        <v>-0.021</v>
      </c>
      <c r="G59" s="142" t="n">
        <v>0.0075</v>
      </c>
      <c r="H59" s="142" t="n">
        <v>-0.025</v>
      </c>
      <c r="I59" s="142" t="n">
        <v>0.0085</v>
      </c>
      <c r="J59" s="142" t="n">
        <v>-0.061</v>
      </c>
      <c r="K59" s="142" t="n">
        <v>0.0075</v>
      </c>
      <c r="M59" s="75" t="n">
        <f aca="false">D59+E59</f>
        <v>0.036</v>
      </c>
      <c r="N59" s="75" t="n">
        <f aca="false">F59+G59</f>
        <v>-0.0135</v>
      </c>
      <c r="O59" s="75" t="n">
        <f aca="false">H59+I59</f>
        <v>-0.0165</v>
      </c>
      <c r="P59" s="75" t="n">
        <f aca="false">J59+K59</f>
        <v>-0.0535</v>
      </c>
      <c r="R59" s="166" t="n">
        <f aca="false">C59</f>
        <v>0.058924983574244</v>
      </c>
      <c r="S59" s="72" t="n">
        <f aca="false">(1+R59)^(360/365)-1</f>
        <v>0.0580947895702053</v>
      </c>
      <c r="T59" s="72" t="n">
        <f aca="false">(1+S59/2)^2-1</f>
        <v>0.0589385407140068</v>
      </c>
      <c r="U59" s="72" t="n">
        <f aca="false">12*((1+T59)^(1/12)-1)</f>
        <v>0.0574038937186145</v>
      </c>
      <c r="V59" s="72" t="n">
        <f aca="false">U59+'Financing Assumptions'!$F$6</f>
        <v>0.0661538937186146</v>
      </c>
    </row>
    <row r="60" customFormat="false" ht="12.75" hidden="false" customHeight="false" outlineLevel="0" collapsed="false">
      <c r="A60" s="69" t="n">
        <v>38657</v>
      </c>
      <c r="B60" s="142" t="n">
        <v>3.852</v>
      </c>
      <c r="C60" s="142" t="n">
        <v>0.058946265726202</v>
      </c>
      <c r="D60" s="142" t="n">
        <v>0.011</v>
      </c>
      <c r="E60" s="142" t="n">
        <v>0.015</v>
      </c>
      <c r="F60" s="142" t="n">
        <v>-0.0235</v>
      </c>
      <c r="G60" s="142" t="n">
        <v>0.0075</v>
      </c>
      <c r="H60" s="142" t="n">
        <v>-0.0305</v>
      </c>
      <c r="I60" s="142" t="n">
        <v>0.0087</v>
      </c>
      <c r="J60" s="142" t="n">
        <v>-0.061</v>
      </c>
      <c r="K60" s="142" t="n">
        <v>0.005</v>
      </c>
      <c r="M60" s="75" t="n">
        <f aca="false">D60+E60</f>
        <v>0.026</v>
      </c>
      <c r="N60" s="75" t="n">
        <f aca="false">F60+G60</f>
        <v>-0.016</v>
      </c>
      <c r="O60" s="75" t="n">
        <f aca="false">H60+I60</f>
        <v>-0.0218</v>
      </c>
      <c r="P60" s="75" t="n">
        <f aca="false">J60+K60</f>
        <v>-0.056</v>
      </c>
      <c r="R60" s="166" t="n">
        <f aca="false">C60</f>
        <v>0.058946265726202</v>
      </c>
      <c r="S60" s="72" t="n">
        <f aca="false">(1+R60)^(360/365)-1</f>
        <v>0.0581157637263683</v>
      </c>
      <c r="T60" s="72" t="n">
        <f aca="false">(1+S60/2)^2-1</f>
        <v>0.0589601242247431</v>
      </c>
      <c r="U60" s="72" t="n">
        <f aca="false">12*((1+T60)^(1/12)-1)</f>
        <v>0.0574243732416866</v>
      </c>
      <c r="V60" s="72" t="n">
        <f aca="false">U60+'Financing Assumptions'!$F$6</f>
        <v>0.0661743732416866</v>
      </c>
    </row>
    <row r="61" customFormat="false" ht="12.75" hidden="false" customHeight="false" outlineLevel="0" collapsed="false">
      <c r="A61" s="69" t="n">
        <v>38687</v>
      </c>
      <c r="B61" s="142" t="n">
        <v>3.987</v>
      </c>
      <c r="C61" s="142" t="n">
        <v>0.058966861357273</v>
      </c>
      <c r="D61" s="142" t="n">
        <v>0.011</v>
      </c>
      <c r="E61" s="142" t="n">
        <v>0.015</v>
      </c>
      <c r="F61" s="142" t="n">
        <v>-0.0235</v>
      </c>
      <c r="G61" s="142" t="n">
        <v>0.0075</v>
      </c>
      <c r="H61" s="142" t="n">
        <v>-0.0305</v>
      </c>
      <c r="I61" s="142" t="n">
        <v>0.0087</v>
      </c>
      <c r="J61" s="142" t="n">
        <v>-0.061</v>
      </c>
      <c r="K61" s="142" t="n">
        <v>0.005</v>
      </c>
      <c r="M61" s="75" t="n">
        <f aca="false">D61+E61</f>
        <v>0.026</v>
      </c>
      <c r="N61" s="75" t="n">
        <f aca="false">F61+G61</f>
        <v>-0.016</v>
      </c>
      <c r="O61" s="75" t="n">
        <f aca="false">H61+I61</f>
        <v>-0.0218</v>
      </c>
      <c r="P61" s="75" t="n">
        <f aca="false">J61+K61</f>
        <v>-0.056</v>
      </c>
      <c r="R61" s="166" t="n">
        <f aca="false">C61</f>
        <v>0.058966861357273</v>
      </c>
      <c r="S61" s="72" t="n">
        <f aca="false">(1+R61)^(360/365)-1</f>
        <v>0.0581360612914923</v>
      </c>
      <c r="T61" s="72" t="n">
        <f aca="false">(1+S61/2)^2-1</f>
        <v>0.0589810116971141</v>
      </c>
      <c r="U61" s="72" t="n">
        <f aca="false">12*((1+T61)^(1/12)-1)</f>
        <v>0.0574441919641524</v>
      </c>
      <c r="V61" s="72" t="n">
        <f aca="false">U61+'Financing Assumptions'!$F$6</f>
        <v>0.0661941919641524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41"/>
    <col collapsed="false" customWidth="true" hidden="false" outlineLevel="0" max="2" min="2" style="0" width="4.99"/>
    <col collapsed="false" customWidth="true" hidden="false" outlineLevel="0" max="3" min="3" style="0" width="10.56"/>
    <col collapsed="false" customWidth="true" hidden="false" outlineLevel="0" max="5" min="5" style="0" width="14.7"/>
    <col collapsed="false" customWidth="true" hidden="false" outlineLevel="0" max="6" min="6" style="0" width="12.28"/>
    <col collapsed="false" customWidth="true" hidden="false" outlineLevel="0" max="7" min="7" style="0" width="10.85"/>
    <col collapsed="false" customWidth="true" hidden="false" outlineLevel="0" max="8" min="8" style="0" width="9.99"/>
    <col collapsed="false" customWidth="true" hidden="false" outlineLevel="0" max="9" min="9" style="0" width="3.85"/>
    <col collapsed="false" customWidth="true" hidden="false" outlineLevel="0" max="10" min="10" style="0" width="13.41"/>
    <col collapsed="false" customWidth="true" hidden="false" outlineLevel="0" max="11" min="11" style="0" width="9.99"/>
    <col collapsed="false" customWidth="true" hidden="false" outlineLevel="0" max="12" min="12" style="0" width="10.85"/>
    <col collapsed="false" customWidth="true" hidden="false" outlineLevel="0" max="14" min="14" style="0" width="11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4" customFormat="false" ht="12.75" hidden="false" customHeight="false" outlineLevel="0" collapsed="false">
      <c r="B4" s="2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/>
      <c r="J4" s="2" t="s">
        <v>7</v>
      </c>
    </row>
    <row r="5" customFormat="false" ht="12.75" hidden="false" customHeight="false" outlineLevel="0" collapsed="false">
      <c r="B5" s="4"/>
      <c r="C5" s="5"/>
      <c r="D5" s="6"/>
      <c r="E5" s="6"/>
      <c r="F5" s="6"/>
      <c r="G5" s="6"/>
      <c r="H5" s="7"/>
      <c r="J5" s="5"/>
      <c r="K5" s="6"/>
      <c r="L5" s="6"/>
      <c r="M5" s="6"/>
      <c r="N5" s="7"/>
    </row>
    <row r="6" customFormat="false" ht="12.75" hidden="false" customHeight="false" outlineLevel="0" collapsed="false">
      <c r="C6" s="8" t="s">
        <v>8</v>
      </c>
      <c r="D6" s="9"/>
      <c r="E6" s="10" t="n">
        <v>165000000</v>
      </c>
      <c r="F6" s="11" t="n">
        <f aca="false">0.00875</f>
        <v>0.00875</v>
      </c>
      <c r="G6" s="11" t="n">
        <v>0.0065</v>
      </c>
      <c r="H6" s="12" t="n">
        <v>437500</v>
      </c>
      <c r="I6" s="10"/>
      <c r="J6" s="8" t="s">
        <v>9</v>
      </c>
      <c r="K6" s="9"/>
      <c r="L6" s="9"/>
      <c r="M6" s="9"/>
      <c r="N6" s="13" t="n">
        <f aca="false">Drawdown!Q5</f>
        <v>0.0572318522260516</v>
      </c>
    </row>
    <row r="7" customFormat="false" ht="15" hidden="false" customHeight="false" outlineLevel="0" collapsed="false">
      <c r="C7" s="8" t="s">
        <v>10</v>
      </c>
      <c r="D7" s="9"/>
      <c r="E7" s="14" t="n">
        <v>165000000</v>
      </c>
      <c r="F7" s="11" t="n">
        <v>0.00875</v>
      </c>
      <c r="G7" s="11" t="n">
        <v>0.0065</v>
      </c>
      <c r="H7" s="15"/>
      <c r="J7" s="8" t="s">
        <v>11</v>
      </c>
      <c r="K7" s="9"/>
      <c r="L7" s="9"/>
      <c r="M7" s="9"/>
      <c r="N7" s="16" t="n">
        <f aca="false">Drawdown!AF5</f>
        <v>0.0715724098912185</v>
      </c>
    </row>
    <row r="8" customFormat="false" ht="6" hidden="false" customHeight="true" outlineLevel="0" collapsed="false">
      <c r="C8" s="8"/>
      <c r="D8" s="9"/>
      <c r="E8" s="9"/>
      <c r="F8" s="9"/>
      <c r="G8" s="9"/>
      <c r="H8" s="15"/>
      <c r="J8" s="8"/>
      <c r="K8" s="9"/>
      <c r="L8" s="9"/>
      <c r="M8" s="9"/>
      <c r="N8" s="15"/>
    </row>
    <row r="9" customFormat="false" ht="12.75" hidden="false" customHeight="false" outlineLevel="0" collapsed="false">
      <c r="C9" s="17" t="s">
        <v>12</v>
      </c>
      <c r="D9" s="18"/>
      <c r="E9" s="19" t="n">
        <f aca="false">SUM(E6:E7)</f>
        <v>330000000</v>
      </c>
      <c r="F9" s="18"/>
      <c r="G9" s="18"/>
      <c r="H9" s="20"/>
      <c r="J9" s="17" t="s">
        <v>13</v>
      </c>
      <c r="K9" s="18"/>
      <c r="L9" s="18"/>
      <c r="M9" s="18"/>
      <c r="N9" s="21" t="n">
        <f aca="false">N7-N6</f>
        <v>0.0143405576651669</v>
      </c>
    </row>
    <row r="11" customFormat="false" ht="12.75" hidden="false" customHeight="false" outlineLevel="0" collapsed="false">
      <c r="B11" s="2" t="s">
        <v>14</v>
      </c>
      <c r="E11" s="3" t="s">
        <v>3</v>
      </c>
      <c r="F11" s="3" t="s">
        <v>4</v>
      </c>
      <c r="J11" s="2" t="s">
        <v>15</v>
      </c>
    </row>
    <row r="12" customFormat="false" ht="12.75" hidden="false" customHeight="false" outlineLevel="0" collapsed="false">
      <c r="C12" s="5"/>
      <c r="D12" s="6"/>
      <c r="E12" s="6"/>
      <c r="F12" s="7"/>
      <c r="J12" s="5"/>
      <c r="K12" s="7"/>
    </row>
    <row r="13" customFormat="false" ht="12.75" hidden="false" customHeight="false" outlineLevel="0" collapsed="false">
      <c r="C13" s="8" t="s">
        <v>16</v>
      </c>
      <c r="D13" s="9"/>
      <c r="E13" s="10" t="n">
        <v>310000000</v>
      </c>
      <c r="F13" s="13" t="n">
        <v>0.002</v>
      </c>
      <c r="J13" s="22" t="n">
        <f aca="false">J16-J14</f>
        <v>277200000</v>
      </c>
      <c r="K13" s="13" t="n">
        <f aca="false">J13/J16</f>
        <v>0.84</v>
      </c>
    </row>
    <row r="14" customFormat="false" ht="15" hidden="false" customHeight="false" outlineLevel="0" collapsed="false">
      <c r="C14" s="8" t="s">
        <v>17</v>
      </c>
      <c r="D14" s="9"/>
      <c r="E14" s="14" t="n">
        <v>75000000</v>
      </c>
      <c r="F14" s="13" t="n">
        <v>0.0038</v>
      </c>
      <c r="J14" s="23" t="n">
        <f aca="false">K14*E9</f>
        <v>52800000</v>
      </c>
      <c r="K14" s="16" t="n">
        <v>0.16</v>
      </c>
    </row>
    <row r="15" customFormat="false" ht="6" hidden="false" customHeight="true" outlineLevel="0" collapsed="false">
      <c r="C15" s="8"/>
      <c r="D15" s="9"/>
      <c r="E15" s="9"/>
      <c r="F15" s="15"/>
      <c r="J15" s="8"/>
      <c r="K15" s="15"/>
    </row>
    <row r="16" customFormat="false" ht="12.75" hidden="false" customHeight="false" outlineLevel="0" collapsed="false">
      <c r="C16" s="17"/>
      <c r="D16" s="18"/>
      <c r="E16" s="19" t="n">
        <f aca="false">SUM(E13:E14)</f>
        <v>385000000</v>
      </c>
      <c r="F16" s="20"/>
      <c r="J16" s="24" t="n">
        <f aca="false">E9</f>
        <v>330000000</v>
      </c>
      <c r="K16" s="21" t="n">
        <f aca="false">SUM(K13:K14)</f>
        <v>1</v>
      </c>
    </row>
    <row r="18" customFormat="false" ht="12.75" hidden="false" customHeight="false" outlineLevel="0" collapsed="false">
      <c r="B18" s="2" t="s">
        <v>18</v>
      </c>
      <c r="E18" s="3" t="s">
        <v>19</v>
      </c>
      <c r="F18" s="3" t="s">
        <v>13</v>
      </c>
      <c r="G18" s="3" t="s">
        <v>20</v>
      </c>
      <c r="J18" s="2" t="s">
        <v>21</v>
      </c>
    </row>
    <row r="19" customFormat="false" ht="12.75" hidden="false" customHeight="false" outlineLevel="0" collapsed="false">
      <c r="B19" s="5"/>
      <c r="C19" s="6"/>
      <c r="D19" s="6"/>
      <c r="E19" s="6"/>
      <c r="F19" s="6"/>
      <c r="G19" s="25"/>
      <c r="J19" s="5"/>
      <c r="K19" s="6"/>
      <c r="L19" s="6"/>
      <c r="M19" s="6"/>
      <c r="N19" s="26"/>
    </row>
    <row r="20" customFormat="false" ht="12.75" hidden="false" customHeight="false" outlineLevel="0" collapsed="false">
      <c r="B20" s="8" t="s">
        <v>22</v>
      </c>
      <c r="C20" s="9"/>
      <c r="D20" s="9"/>
      <c r="E20" s="27" t="n">
        <f aca="false">30/360</f>
        <v>0.0833333333333333</v>
      </c>
      <c r="F20" s="11" t="n">
        <v>0.0025</v>
      </c>
      <c r="G20" s="28" t="n">
        <f aca="false">EDATE($C$21,12*E20)</f>
        <v>36906</v>
      </c>
      <c r="J20" s="8" t="s">
        <v>23</v>
      </c>
      <c r="K20" s="9"/>
      <c r="L20" s="9"/>
      <c r="M20" s="9"/>
      <c r="N20" s="29" t="n">
        <f aca="false">H6</f>
        <v>437500</v>
      </c>
    </row>
    <row r="21" customFormat="false" ht="12.75" hidden="false" customHeight="false" outlineLevel="0" collapsed="false">
      <c r="B21" s="8"/>
      <c r="C21" s="30" t="n">
        <v>36875</v>
      </c>
      <c r="D21" s="9"/>
      <c r="E21" s="27" t="n">
        <f aca="false">60/360</f>
        <v>0.166666666666667</v>
      </c>
      <c r="F21" s="11" t="n">
        <v>0.0027</v>
      </c>
      <c r="G21" s="28" t="n">
        <f aca="false">EDATE($C$21,12*E21)</f>
        <v>36937</v>
      </c>
      <c r="J21" s="8" t="s">
        <v>24</v>
      </c>
      <c r="K21" s="9"/>
      <c r="L21" s="9"/>
      <c r="M21" s="9"/>
      <c r="N21" s="29" t="n">
        <f aca="false">Drawdown!X5</f>
        <v>2175669.6068451</v>
      </c>
    </row>
    <row r="22" customFormat="false" ht="12.75" hidden="false" customHeight="false" outlineLevel="0" collapsed="false">
      <c r="B22" s="8"/>
      <c r="C22" s="9"/>
      <c r="D22" s="9"/>
      <c r="E22" s="31" t="n">
        <v>0.25</v>
      </c>
      <c r="F22" s="11" t="n">
        <v>0.003</v>
      </c>
      <c r="G22" s="28" t="n">
        <f aca="false">EDATE($C$21,12*E22)</f>
        <v>36965</v>
      </c>
      <c r="J22" s="8" t="s">
        <v>25</v>
      </c>
      <c r="K22" s="9"/>
      <c r="L22" s="9"/>
      <c r="M22" s="9"/>
      <c r="N22" s="32" t="n">
        <f aca="false">Drawdown!X6</f>
        <v>2145000</v>
      </c>
    </row>
    <row r="23" customFormat="false" ht="12.75" hidden="false" customHeight="false" outlineLevel="0" collapsed="false">
      <c r="B23" s="8"/>
      <c r="C23" s="9"/>
      <c r="D23" s="9"/>
      <c r="E23" s="31" t="n">
        <v>2</v>
      </c>
      <c r="F23" s="33" t="n">
        <v>0.005882</v>
      </c>
      <c r="G23" s="28" t="n">
        <f aca="false">EDATE($C$21,12*E23)</f>
        <v>37605</v>
      </c>
      <c r="J23" s="8" t="s">
        <v>26</v>
      </c>
      <c r="K23" s="9"/>
      <c r="L23" s="9"/>
      <c r="M23" s="9"/>
      <c r="N23" s="29" t="n">
        <f aca="false">SUM(N20:N22)</f>
        <v>4758169.6068451</v>
      </c>
    </row>
    <row r="24" customFormat="false" ht="12.75" hidden="false" customHeight="false" outlineLevel="0" collapsed="false">
      <c r="B24" s="8"/>
      <c r="C24" s="9"/>
      <c r="D24" s="9"/>
      <c r="E24" s="31" t="n">
        <v>3</v>
      </c>
      <c r="F24" s="11" t="n">
        <v>0.00639</v>
      </c>
      <c r="G24" s="28" t="n">
        <f aca="false">EDATE($C$21,12*E24)</f>
        <v>37970</v>
      </c>
      <c r="J24" s="8" t="s">
        <v>27</v>
      </c>
      <c r="K24" s="9"/>
      <c r="L24" s="9"/>
      <c r="M24" s="9"/>
      <c r="N24" s="32" t="n">
        <f aca="false">Drawdown!L14</f>
        <v>330000000</v>
      </c>
    </row>
    <row r="25" customFormat="false" ht="12.75" hidden="false" customHeight="false" outlineLevel="0" collapsed="false">
      <c r="B25" s="8"/>
      <c r="C25" s="9"/>
      <c r="D25" s="9"/>
      <c r="E25" s="31" t="n">
        <v>5</v>
      </c>
      <c r="F25" s="11" t="n">
        <v>0.00691</v>
      </c>
      <c r="G25" s="28" t="n">
        <f aca="false">EDATE($C$21,12*E25)</f>
        <v>38701</v>
      </c>
      <c r="J25" s="8"/>
      <c r="K25" s="9"/>
      <c r="L25" s="9"/>
      <c r="M25" s="9"/>
      <c r="N25" s="15"/>
    </row>
    <row r="26" customFormat="false" ht="12.75" hidden="false" customHeight="false" outlineLevel="0" collapsed="false">
      <c r="B26" s="8"/>
      <c r="C26" s="9"/>
      <c r="D26" s="9"/>
      <c r="E26" s="31" t="n">
        <v>7</v>
      </c>
      <c r="F26" s="33" t="n">
        <v>0.00814</v>
      </c>
      <c r="G26" s="28" t="n">
        <f aca="false">EDATE($C$21,12*E26)</f>
        <v>39431</v>
      </c>
      <c r="J26" s="34" t="s">
        <v>28</v>
      </c>
      <c r="K26" s="35"/>
      <c r="L26" s="35"/>
      <c r="M26" s="35"/>
      <c r="N26" s="36" t="n">
        <f aca="false">N24-N23</f>
        <v>325241830.393155</v>
      </c>
    </row>
    <row r="27" customFormat="false" ht="12.75" hidden="false" customHeight="false" outlineLevel="0" collapsed="false">
      <c r="B27" s="8"/>
      <c r="C27" s="9"/>
      <c r="D27" s="9"/>
      <c r="E27" s="31" t="n">
        <v>10</v>
      </c>
      <c r="F27" s="37" t="n">
        <v>0.00993</v>
      </c>
      <c r="G27" s="28" t="n">
        <f aca="false">EDATE($C$21,12*E27)</f>
        <v>40527</v>
      </c>
      <c r="J27" s="8" t="s">
        <v>29</v>
      </c>
      <c r="K27" s="9"/>
      <c r="L27" s="9"/>
      <c r="M27" s="9"/>
      <c r="N27" s="29" t="e">
        <f aca="false">'Mark to Market'!H5</f>
        <v>#NAME?</v>
      </c>
    </row>
    <row r="28" customFormat="false" ht="12.75" hidden="false" customHeight="false" outlineLevel="0" collapsed="false">
      <c r="B28" s="8"/>
      <c r="C28" s="9"/>
      <c r="D28" s="9"/>
      <c r="E28" s="31" t="n">
        <v>20</v>
      </c>
      <c r="F28" s="37" t="n">
        <v>0.01411</v>
      </c>
      <c r="G28" s="28" t="n">
        <f aca="false">EDATE($C$21,12*E28)</f>
        <v>44180</v>
      </c>
      <c r="J28" s="8" t="s">
        <v>30</v>
      </c>
      <c r="K28" s="9"/>
      <c r="L28" s="9"/>
      <c r="M28" s="9"/>
      <c r="N28" s="32" t="e">
        <f aca="false">'Mark to Market'!H6</f>
        <v>#NAME?</v>
      </c>
    </row>
    <row r="29" customFormat="false" ht="12.75" hidden="false" customHeight="false" outlineLevel="0" collapsed="false">
      <c r="B29" s="17"/>
      <c r="C29" s="18"/>
      <c r="D29" s="18"/>
      <c r="E29" s="38" t="n">
        <v>30</v>
      </c>
      <c r="F29" s="39" t="n">
        <v>0.0146</v>
      </c>
      <c r="G29" s="40" t="n">
        <f aca="false">EDATE($C$21,12*E29)</f>
        <v>47832</v>
      </c>
      <c r="J29" s="8"/>
      <c r="K29" s="9"/>
      <c r="L29" s="9"/>
      <c r="M29" s="9"/>
      <c r="N29" s="15"/>
    </row>
    <row r="30" customFormat="false" ht="12.75" hidden="false" customHeight="false" outlineLevel="0" collapsed="false">
      <c r="E30" s="41"/>
      <c r="F30" s="11"/>
      <c r="J30" s="42" t="s">
        <v>31</v>
      </c>
      <c r="K30" s="43"/>
      <c r="L30" s="43"/>
      <c r="M30" s="43"/>
      <c r="N30" s="44" t="e">
        <f aca="false">N23-N27-N28</f>
        <v>#NAME?</v>
      </c>
    </row>
    <row r="32" customFormat="false" ht="12.75" hidden="false" customHeight="false" outlineLevel="0" collapsed="false">
      <c r="B32" s="2" t="s">
        <v>32</v>
      </c>
      <c r="C32" s="2"/>
    </row>
    <row r="33" customFormat="false" ht="12.75" hidden="false" customHeight="false" outlineLevel="0" collapsed="false">
      <c r="B33" s="5"/>
      <c r="C33" s="6"/>
      <c r="D33" s="6"/>
      <c r="E33" s="45" t="n">
        <v>36885</v>
      </c>
    </row>
    <row r="34" customFormat="false" ht="12.75" hidden="false" customHeight="false" outlineLevel="0" collapsed="false">
      <c r="B34" s="8"/>
      <c r="C34" s="9"/>
      <c r="D34" s="9"/>
      <c r="E34" s="28" t="n">
        <f aca="false">EDATE(E33,12)</f>
        <v>37250</v>
      </c>
      <c r="J34" s="2" t="s">
        <v>33</v>
      </c>
    </row>
    <row r="35" customFormat="false" ht="12.75" hidden="false" customHeight="false" outlineLevel="0" collapsed="false">
      <c r="B35" s="8"/>
      <c r="C35" s="9"/>
      <c r="D35" s="9"/>
      <c r="E35" s="28" t="n">
        <f aca="false">EDATE(E34,12)</f>
        <v>37615</v>
      </c>
      <c r="J35" s="5"/>
      <c r="K35" s="46" t="s">
        <v>34</v>
      </c>
      <c r="L35" s="46" t="s">
        <v>35</v>
      </c>
      <c r="M35" s="46" t="s">
        <v>36</v>
      </c>
      <c r="N35" s="47" t="s">
        <v>37</v>
      </c>
    </row>
    <row r="36" customFormat="false" ht="12.75" hidden="false" customHeight="false" outlineLevel="0" collapsed="false">
      <c r="B36" s="8"/>
      <c r="C36" s="9"/>
      <c r="D36" s="9"/>
      <c r="E36" s="28" t="n">
        <f aca="false">EDATE(E35,12)</f>
        <v>37980</v>
      </c>
      <c r="J36" s="8"/>
      <c r="K36" s="9"/>
      <c r="L36" s="9"/>
      <c r="M36" s="9"/>
      <c r="N36" s="15"/>
    </row>
    <row r="37" customFormat="false" ht="12.75" hidden="false" customHeight="false" outlineLevel="0" collapsed="false">
      <c r="B37" s="8"/>
      <c r="C37" s="9"/>
      <c r="D37" s="9"/>
      <c r="E37" s="28" t="n">
        <f aca="false">EDATE(E36,12)</f>
        <v>38346</v>
      </c>
      <c r="J37" s="8"/>
      <c r="K37" s="48" t="n">
        <f aca="false">'Enron Proposal'!B13</f>
        <v>36982</v>
      </c>
      <c r="L37" s="48" t="n">
        <f aca="false">'Enron Proposal'!D23</f>
        <v>37340</v>
      </c>
      <c r="M37" s="49" t="n">
        <f aca="false">'Enron Proposal'!G13</f>
        <v>43200</v>
      </c>
      <c r="N37" s="50" t="n">
        <f aca="false">'Enron Proposal'!S13</f>
        <v>5.34346227152483</v>
      </c>
    </row>
    <row r="38" customFormat="false" ht="12.75" hidden="false" customHeight="false" outlineLevel="0" collapsed="false">
      <c r="B38" s="8"/>
      <c r="C38" s="9"/>
      <c r="D38" s="9"/>
      <c r="E38" s="28" t="n">
        <f aca="false">EDATE(E37,12)</f>
        <v>38711</v>
      </c>
      <c r="J38" s="8"/>
      <c r="K38" s="48" t="n">
        <f aca="false">'Enron Proposal'!B25</f>
        <v>37347</v>
      </c>
      <c r="L38" s="48" t="n">
        <f aca="false">'Enron Proposal'!D35</f>
        <v>37705</v>
      </c>
      <c r="M38" s="49" t="n">
        <f aca="false">'Enron Proposal'!G25</f>
        <v>54200</v>
      </c>
      <c r="N38" s="50" t="n">
        <f aca="false">'Enron Proposal'!S25</f>
        <v>4.25899575885374</v>
      </c>
    </row>
    <row r="39" customFormat="false" ht="12.75" hidden="false" customHeight="false" outlineLevel="0" collapsed="false">
      <c r="B39" s="17"/>
      <c r="C39" s="18"/>
      <c r="D39" s="18"/>
      <c r="E39" s="40" t="n">
        <f aca="false">EDATE(E38,12)</f>
        <v>39076</v>
      </c>
      <c r="J39" s="8"/>
      <c r="K39" s="48" t="n">
        <f aca="false">'Enron Proposal'!B37</f>
        <v>37712</v>
      </c>
      <c r="L39" s="48" t="n">
        <f aca="false">'Enron Proposal'!D47</f>
        <v>38071</v>
      </c>
      <c r="M39" s="49" t="n">
        <f aca="false">'Enron Proposal'!G37</f>
        <v>59200</v>
      </c>
      <c r="N39" s="50" t="n">
        <f aca="false">'Enron Proposal'!S37</f>
        <v>3.89928327922083</v>
      </c>
    </row>
    <row r="40" customFormat="false" ht="12.75" hidden="false" customHeight="false" outlineLevel="0" collapsed="false">
      <c r="J40" s="8"/>
      <c r="K40" s="48" t="n">
        <f aca="false">'Enron Proposal'!B49</f>
        <v>38078</v>
      </c>
      <c r="L40" s="48" t="n">
        <f aca="false">'Enron Proposal'!D59</f>
        <v>38436</v>
      </c>
      <c r="M40" s="49" t="n">
        <f aca="false">'Enron Proposal'!G49</f>
        <v>60900</v>
      </c>
      <c r="N40" s="50" t="n">
        <f aca="false">'Enron Proposal'!S49</f>
        <v>3.79043629113092</v>
      </c>
    </row>
    <row r="41" customFormat="false" ht="12.75" hidden="false" customHeight="false" outlineLevel="0" collapsed="false">
      <c r="B41" s="2" t="s">
        <v>38</v>
      </c>
      <c r="J41" s="17"/>
      <c r="K41" s="51" t="n">
        <f aca="false">'Enron Proposal'!B61</f>
        <v>38443</v>
      </c>
      <c r="L41" s="51" t="n">
        <f aca="false">'Enron Proposal'!D68</f>
        <v>38712</v>
      </c>
      <c r="M41" s="52" t="n">
        <f aca="false">'Enron Proposal'!G62</f>
        <v>60900</v>
      </c>
      <c r="N41" s="53" t="n">
        <f aca="false">'Enron Proposal'!S62</f>
        <v>3.79043629113092</v>
      </c>
    </row>
    <row r="42" customFormat="false" ht="12.75" hidden="false" customHeight="false" outlineLevel="0" collapsed="false">
      <c r="B42" s="5"/>
      <c r="C42" s="6" t="s">
        <v>39</v>
      </c>
      <c r="D42" s="6"/>
      <c r="E42" s="54" t="n">
        <v>53872.3354407041</v>
      </c>
    </row>
    <row r="43" customFormat="false" ht="12.75" hidden="false" customHeight="false" outlineLevel="0" collapsed="false">
      <c r="B43" s="8"/>
      <c r="C43" s="9" t="s">
        <v>40</v>
      </c>
      <c r="D43" s="9"/>
      <c r="E43" s="55" t="n">
        <v>0</v>
      </c>
      <c r="J43" s="1" t="s">
        <v>41</v>
      </c>
      <c r="L43" s="56" t="n">
        <f aca="false">Curves!B2</f>
        <v>36881</v>
      </c>
    </row>
    <row r="44" customFormat="false" ht="12.75" hidden="false" customHeight="false" outlineLevel="0" collapsed="false">
      <c r="B44" s="8"/>
      <c r="C44" s="9" t="s">
        <v>42</v>
      </c>
      <c r="D44" s="9"/>
      <c r="E44" s="55" t="n">
        <v>0</v>
      </c>
    </row>
    <row r="45" customFormat="false" ht="12.75" hidden="false" customHeight="false" outlineLevel="0" collapsed="false">
      <c r="B45" s="8"/>
      <c r="C45" s="9" t="s">
        <v>43</v>
      </c>
      <c r="D45" s="9"/>
      <c r="E45" s="57" t="n">
        <v>0</v>
      </c>
      <c r="J45" s="2" t="s">
        <v>44</v>
      </c>
    </row>
    <row r="46" customFormat="false" ht="12.75" hidden="false" customHeight="false" outlineLevel="0" collapsed="false">
      <c r="B46" s="8"/>
      <c r="C46" s="9"/>
      <c r="D46" s="9"/>
      <c r="E46" s="15"/>
      <c r="J46" s="5"/>
      <c r="K46" s="46" t="s">
        <v>34</v>
      </c>
      <c r="L46" s="46" t="s">
        <v>35</v>
      </c>
      <c r="M46" s="6"/>
      <c r="N46" s="47" t="s">
        <v>37</v>
      </c>
    </row>
    <row r="47" customFormat="false" ht="12.75" hidden="false" customHeight="false" outlineLevel="0" collapsed="false">
      <c r="B47" s="42" t="s">
        <v>45</v>
      </c>
      <c r="C47" s="18"/>
      <c r="D47" s="18"/>
      <c r="E47" s="58" t="n">
        <f aca="false">SUM(E42:E45)</f>
        <v>53872.3354407041</v>
      </c>
      <c r="J47" s="8"/>
      <c r="K47" s="48" t="n">
        <f aca="false">K37</f>
        <v>36982</v>
      </c>
      <c r="L47" s="48" t="n">
        <f aca="false">L37</f>
        <v>37340</v>
      </c>
      <c r="M47" s="9"/>
      <c r="N47" s="15" t="n">
        <f aca="false">'Mark to Market'!BF21</f>
        <v>5.3396</v>
      </c>
    </row>
    <row r="48" customFormat="false" ht="12.75" hidden="false" customHeight="false" outlineLevel="0" collapsed="false">
      <c r="J48" s="8"/>
      <c r="K48" s="48" t="n">
        <f aca="false">K38</f>
        <v>37347</v>
      </c>
      <c r="L48" s="48" t="n">
        <f aca="false">L38</f>
        <v>37705</v>
      </c>
      <c r="M48" s="9"/>
      <c r="N48" s="15" t="n">
        <f aca="false">'Mark to Market'!BF33</f>
        <v>4.2604</v>
      </c>
    </row>
    <row r="49" customFormat="false" ht="12.75" hidden="false" customHeight="false" outlineLevel="0" collapsed="false">
      <c r="J49" s="8"/>
      <c r="K49" s="48" t="n">
        <f aca="false">K39</f>
        <v>37712</v>
      </c>
      <c r="L49" s="48" t="n">
        <f aca="false">L39</f>
        <v>38071</v>
      </c>
      <c r="M49" s="9"/>
      <c r="N49" s="15" t="n">
        <f aca="false">'Mark to Market'!BF45</f>
        <v>3.8964</v>
      </c>
    </row>
    <row r="50" customFormat="false" ht="12.75" hidden="false" customHeight="false" outlineLevel="0" collapsed="false">
      <c r="J50" s="8"/>
      <c r="K50" s="48" t="n">
        <f aca="false">K40</f>
        <v>38078</v>
      </c>
      <c r="L50" s="48" t="n">
        <f aca="false">L40</f>
        <v>38436</v>
      </c>
      <c r="M50" s="9"/>
      <c r="N50" s="50" t="n">
        <f aca="false">'Mark to Market'!BF57</f>
        <v>3.789</v>
      </c>
    </row>
    <row r="51" customFormat="false" ht="12.75" hidden="false" customHeight="false" outlineLevel="0" collapsed="false">
      <c r="J51" s="17"/>
      <c r="K51" s="51" t="n">
        <f aca="false">K41</f>
        <v>38443</v>
      </c>
      <c r="L51" s="51" t="n">
        <f aca="false">L41</f>
        <v>38712</v>
      </c>
      <c r="M51" s="18"/>
      <c r="N51" s="53" t="n">
        <f aca="false">'Mark to Market'!BF70</f>
        <v>3.789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812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I20" activeCellId="0" sqref="AI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.41"/>
    <col collapsed="false" customWidth="true" hidden="false" outlineLevel="0" max="5" min="5" style="0" width="11.7"/>
    <col collapsed="false" customWidth="true" hidden="false" outlineLevel="0" max="8" min="6" style="0" width="10.85"/>
    <col collapsed="false" customWidth="true" hidden="false" outlineLevel="0" max="9" min="9" style="0" width="4.7"/>
    <col collapsed="false" customWidth="true" hidden="false" outlineLevel="0" max="10" min="10" style="0" width="9.85"/>
    <col collapsed="false" customWidth="true" hidden="false" outlineLevel="0" max="11" min="11" style="0" width="11.28"/>
    <col collapsed="false" customWidth="true" hidden="false" outlineLevel="0" max="12" min="12" style="0" width="11.99"/>
    <col collapsed="false" customWidth="true" hidden="false" outlineLevel="0" max="14" min="14" style="0" width="4.7"/>
    <col collapsed="false" customWidth="true" hidden="false" outlineLevel="0" max="15" min="15" style="0" width="9.85"/>
    <col collapsed="false" customWidth="true" hidden="false" outlineLevel="0" max="16" min="16" style="0" width="11.28"/>
    <col collapsed="false" customWidth="true" hidden="false" outlineLevel="0" max="17" min="17" style="0" width="13.56"/>
    <col collapsed="false" customWidth="true" hidden="false" outlineLevel="0" max="19" min="19" style="0" width="4.7"/>
    <col collapsed="false" customWidth="true" hidden="false" outlineLevel="0" max="20" min="20" style="0" width="11.99"/>
    <col collapsed="false" customWidth="true" hidden="false" outlineLevel="0" max="21" min="21" style="0" width="11.42"/>
    <col collapsed="false" customWidth="true" hidden="false" outlineLevel="0" max="22" min="22" style="0" width="1.56"/>
    <col collapsed="false" customWidth="true" hidden="false" outlineLevel="0" max="23" min="23" style="0" width="10.85"/>
    <col collapsed="false" customWidth="true" hidden="false" outlineLevel="0" max="24" min="24" style="0" width="10.99"/>
    <col collapsed="false" customWidth="true" hidden="false" outlineLevel="0" max="25" min="25" style="0" width="1.56"/>
    <col collapsed="false" customWidth="true" hidden="false" outlineLevel="0" max="26" min="26" style="0" width="11.99"/>
    <col collapsed="false" customWidth="true" hidden="false" outlineLevel="0" max="27" min="27" style="0" width="11.42"/>
    <col collapsed="false" customWidth="true" hidden="false" outlineLevel="0" max="28" min="28" style="0" width="4.7"/>
    <col collapsed="false" customWidth="true" hidden="false" outlineLevel="0" max="29" min="29" style="0" width="12.42"/>
    <col collapsed="false" customWidth="true" hidden="false" outlineLevel="0" max="30" min="30" style="0" width="11.28"/>
    <col collapsed="false" customWidth="true" hidden="false" outlineLevel="0" max="31" min="31" style="0" width="11.99"/>
    <col collapsed="false" customWidth="true" hidden="false" outlineLevel="0" max="32" min="32" style="0" width="9.85"/>
  </cols>
  <sheetData>
    <row r="1" customFormat="false" ht="12.75" hidden="false" customHeight="false" outlineLevel="0" collapsed="false">
      <c r="A1" s="1" t="s">
        <v>46</v>
      </c>
      <c r="J1" s="1" t="s">
        <v>47</v>
      </c>
      <c r="O1" s="1" t="s">
        <v>48</v>
      </c>
      <c r="T1" s="1" t="s">
        <v>49</v>
      </c>
      <c r="AC1" s="1" t="s">
        <v>50</v>
      </c>
    </row>
    <row r="3" customFormat="false" ht="12.75" hidden="false" customHeight="false" outlineLevel="0" collapsed="false">
      <c r="X3" s="59"/>
    </row>
    <row r="4" customFormat="false" ht="12.75" hidden="false" customHeight="false" outlineLevel="0" collapsed="false">
      <c r="A4" s="4" t="s">
        <v>51</v>
      </c>
      <c r="E4" s="60" t="s">
        <v>52</v>
      </c>
      <c r="F4" s="60" t="s">
        <v>53</v>
      </c>
      <c r="G4" s="60" t="s">
        <v>54</v>
      </c>
      <c r="H4" s="60" t="s">
        <v>55</v>
      </c>
    </row>
    <row r="5" customFormat="false" ht="12.75" hidden="false" customHeight="false" outlineLevel="0" collapsed="false">
      <c r="J5" s="1" t="s">
        <v>56</v>
      </c>
      <c r="K5" s="1"/>
      <c r="L5" s="61" t="n">
        <v>0.0659782631722878</v>
      </c>
      <c r="O5" s="1" t="s">
        <v>56</v>
      </c>
      <c r="P5" s="1"/>
      <c r="Q5" s="61" t="n">
        <v>0.0572318522260516</v>
      </c>
      <c r="T5" s="1" t="s">
        <v>57</v>
      </c>
      <c r="U5" s="1"/>
      <c r="V5" s="1"/>
      <c r="W5" s="1"/>
      <c r="X5" s="62" t="n">
        <f aca="false">SUM(AA15:AA74)</f>
        <v>2175669.6068451</v>
      </c>
      <c r="AC5" s="1" t="s">
        <v>56</v>
      </c>
      <c r="AD5" s="1"/>
      <c r="AF5" s="61" t="n">
        <v>0.0715724098912185</v>
      </c>
    </row>
    <row r="6" customFormat="false" ht="12.75" hidden="false" customHeight="false" outlineLevel="0" collapsed="false">
      <c r="B6" s="63" t="s">
        <v>58</v>
      </c>
      <c r="E6" s="59" t="n">
        <f aca="false">'Point 1 - Transco'!F4*'Point 1 - Transco'!K19</f>
        <v>230837.570129873</v>
      </c>
      <c r="F6" s="59" t="n">
        <f aca="false">'Point 2 - TGT'!F4*'Point 2 - TGT'!K19</f>
        <v>0</v>
      </c>
      <c r="G6" s="59" t="n">
        <f aca="false">'Point 3 - ColGulf'!F4*'Point 3 - ColGulf'!K19</f>
        <v>0</v>
      </c>
      <c r="H6" s="59" t="n">
        <f aca="false">'Point 4 - Tetco'!F4*'Point 4 - Tetco'!K19</f>
        <v>0</v>
      </c>
      <c r="J6" s="1" t="s">
        <v>59</v>
      </c>
      <c r="K6" s="1"/>
      <c r="L6" s="64" t="n">
        <f aca="false">SUMPRODUCT(M15:M75,J15:J75)/L14</f>
        <v>3.2215209404182</v>
      </c>
      <c r="O6" s="1" t="s">
        <v>59</v>
      </c>
      <c r="P6" s="1"/>
      <c r="Q6" s="64" t="n">
        <f aca="false">SUMPRODUCT(R15:R75,O15:O75)/Q14</f>
        <v>3.14878557371991</v>
      </c>
      <c r="T6" s="1" t="s">
        <v>60</v>
      </c>
      <c r="U6" s="1"/>
      <c r="V6" s="1"/>
      <c r="W6" s="1"/>
      <c r="X6" s="62" t="n">
        <f aca="false">L14*'Financing Assumptions'!$G$6</f>
        <v>2145000</v>
      </c>
      <c r="AC6" s="1" t="s">
        <v>61</v>
      </c>
      <c r="AF6" s="65" t="n">
        <f aca="false">AF5-L5</f>
        <v>0.00559414671893073</v>
      </c>
    </row>
    <row r="7" customFormat="false" ht="12.75" hidden="false" customHeight="false" outlineLevel="0" collapsed="false">
      <c r="B7" s="63" t="s">
        <v>62</v>
      </c>
      <c r="E7" s="59" t="n">
        <f aca="false">'Point 1 - Transco'!F5</f>
        <v>337622834.406625</v>
      </c>
      <c r="F7" s="59" t="n">
        <f aca="false">'Point 2 - TGT'!F5</f>
        <v>0</v>
      </c>
      <c r="G7" s="59" t="n">
        <f aca="false">'Point 3 - ColGulf'!F5</f>
        <v>0</v>
      </c>
      <c r="H7" s="59" t="n">
        <f aca="false">'Point 4 - Tetco'!F5</f>
        <v>0</v>
      </c>
      <c r="J7" s="1" t="s">
        <v>63</v>
      </c>
      <c r="K7" s="1"/>
      <c r="L7" s="62" t="n">
        <f aca="false">L74</f>
        <v>4.2840838432312E-008</v>
      </c>
      <c r="O7" s="1" t="s">
        <v>64</v>
      </c>
      <c r="Q7" s="65" t="n">
        <f aca="false">L5-Q5</f>
        <v>0.00874641094623617</v>
      </c>
      <c r="T7" s="1" t="s">
        <v>23</v>
      </c>
      <c r="X7" s="62" t="n">
        <f aca="false">'Financing Assumptions'!H6</f>
        <v>437500</v>
      </c>
      <c r="AC7" s="1" t="s">
        <v>65</v>
      </c>
      <c r="AF7" s="65" t="n">
        <f aca="false">AF5-Q5</f>
        <v>0.0143405576651669</v>
      </c>
    </row>
    <row r="8" customFormat="false" ht="12.75" hidden="false" customHeight="false" outlineLevel="0" collapsed="false">
      <c r="B8" s="63" t="s">
        <v>66</v>
      </c>
      <c r="E8" s="59" t="n">
        <f aca="false">'Point 1 - Transco'!F6</f>
        <v>330000000</v>
      </c>
      <c r="F8" s="59" t="n">
        <f aca="false">'Point 2 - TGT'!F6</f>
        <v>0</v>
      </c>
      <c r="G8" s="59" t="n">
        <f aca="false">'Point 3 - ColGulf'!F6</f>
        <v>0</v>
      </c>
      <c r="H8" s="59" t="n">
        <f aca="false">'Point 4 - Tetco'!F6</f>
        <v>0</v>
      </c>
      <c r="O8" s="1" t="s">
        <v>63</v>
      </c>
      <c r="Q8" s="62" t="n">
        <f aca="false">Q74</f>
        <v>-2.25380063056946E-007</v>
      </c>
      <c r="AC8" s="1" t="s">
        <v>63</v>
      </c>
      <c r="AD8" s="1"/>
      <c r="AE8" s="1"/>
      <c r="AF8" s="62" t="n">
        <f aca="false">AE74</f>
        <v>7.72997736930847E-008</v>
      </c>
    </row>
    <row r="10" customFormat="false" ht="12.75" hidden="false" customHeight="false" outlineLevel="0" collapsed="false">
      <c r="J10" s="41" t="s">
        <v>67</v>
      </c>
      <c r="K10" s="41"/>
      <c r="L10" s="41"/>
      <c r="O10" s="41" t="s">
        <v>67</v>
      </c>
      <c r="P10" s="41"/>
      <c r="Q10" s="41"/>
      <c r="AC10" s="41" t="s">
        <v>67</v>
      </c>
    </row>
    <row r="11" customFormat="false" ht="12.75" hidden="false" customHeight="false" outlineLevel="0" collapsed="false">
      <c r="A11" s="41" t="s">
        <v>68</v>
      </c>
      <c r="C11" s="41" t="s">
        <v>69</v>
      </c>
      <c r="J11" s="41" t="s">
        <v>70</v>
      </c>
      <c r="K11" s="41" t="s">
        <v>70</v>
      </c>
      <c r="L11" s="41" t="s">
        <v>71</v>
      </c>
      <c r="M11" s="41" t="s">
        <v>72</v>
      </c>
      <c r="O11" s="41" t="s">
        <v>70</v>
      </c>
      <c r="P11" s="41" t="s">
        <v>70</v>
      </c>
      <c r="Q11" s="41" t="s">
        <v>71</v>
      </c>
      <c r="R11" s="41" t="s">
        <v>72</v>
      </c>
      <c r="T11" s="41" t="s">
        <v>73</v>
      </c>
      <c r="U11" s="41" t="s">
        <v>73</v>
      </c>
      <c r="V11" s="41"/>
      <c r="W11" s="41" t="s">
        <v>74</v>
      </c>
      <c r="X11" s="41" t="s">
        <v>74</v>
      </c>
      <c r="Y11" s="41"/>
      <c r="Z11" s="41" t="s">
        <v>67</v>
      </c>
      <c r="AA11" s="41" t="s">
        <v>67</v>
      </c>
      <c r="AC11" s="41" t="s">
        <v>70</v>
      </c>
      <c r="AD11" s="41" t="s">
        <v>70</v>
      </c>
      <c r="AE11" s="41" t="s">
        <v>71</v>
      </c>
    </row>
    <row r="12" customFormat="false" ht="12.75" hidden="false" customHeight="false" outlineLevel="0" collapsed="false">
      <c r="A12" s="60" t="s">
        <v>75</v>
      </c>
      <c r="C12" s="60" t="s">
        <v>76</v>
      </c>
      <c r="E12" s="60" t="s">
        <v>52</v>
      </c>
      <c r="F12" s="60" t="s">
        <v>53</v>
      </c>
      <c r="G12" s="60" t="s">
        <v>54</v>
      </c>
      <c r="H12" s="60" t="s">
        <v>55</v>
      </c>
      <c r="J12" s="60" t="s">
        <v>77</v>
      </c>
      <c r="K12" s="60" t="s">
        <v>78</v>
      </c>
      <c r="L12" s="60" t="s">
        <v>79</v>
      </c>
      <c r="M12" s="60" t="s">
        <v>80</v>
      </c>
      <c r="O12" s="60" t="s">
        <v>77</v>
      </c>
      <c r="P12" s="60" t="s">
        <v>78</v>
      </c>
      <c r="Q12" s="60" t="s">
        <v>79</v>
      </c>
      <c r="R12" s="60" t="s">
        <v>80</v>
      </c>
      <c r="T12" s="60" t="s">
        <v>81</v>
      </c>
      <c r="U12" s="60" t="s">
        <v>82</v>
      </c>
      <c r="V12" s="60"/>
      <c r="W12" s="60" t="s">
        <v>81</v>
      </c>
      <c r="X12" s="60" t="s">
        <v>82</v>
      </c>
      <c r="Y12" s="60"/>
      <c r="Z12" s="60" t="s">
        <v>83</v>
      </c>
      <c r="AA12" s="60" t="s">
        <v>82</v>
      </c>
      <c r="AC12" s="60" t="s">
        <v>77</v>
      </c>
      <c r="AD12" s="60" t="s">
        <v>78</v>
      </c>
      <c r="AE12" s="60" t="s">
        <v>79</v>
      </c>
    </row>
    <row r="14" customFormat="false" ht="12.75" hidden="false" customHeight="false" outlineLevel="0" collapsed="false">
      <c r="A14" s="66" t="n">
        <f aca="false">'Enron Proposal'!D8</f>
        <v>36888</v>
      </c>
      <c r="L14" s="59" t="n">
        <f aca="false">SUM(E8:H8)</f>
        <v>330000000</v>
      </c>
      <c r="Q14" s="59" t="n">
        <f aca="false">SUM(E7:H7)</f>
        <v>337622834.406625</v>
      </c>
      <c r="AE14" s="59" t="n">
        <f aca="false">L14-X5-X6-X7</f>
        <v>325241830.393155</v>
      </c>
    </row>
    <row r="15" customFormat="false" ht="12.75" hidden="false" customHeight="false" outlineLevel="0" collapsed="false">
      <c r="A15" s="66" t="n">
        <f aca="false">'Enron Proposal'!D9</f>
        <v>36916</v>
      </c>
      <c r="C15" s="41" t="n">
        <f aca="false">'Enron Proposal'!C10</f>
        <v>31</v>
      </c>
      <c r="K15" s="67" t="n">
        <f aca="false">(A15-A14)/360*$L$5*$L14</f>
        <v>1693442.08808872</v>
      </c>
      <c r="L15" s="59" t="n">
        <f aca="false">L14-(J15-K15)</f>
        <v>331693442.088089</v>
      </c>
      <c r="M15" s="68" t="n">
        <f aca="false">YEARFRAC(A15,$A$14)</f>
        <v>0.075</v>
      </c>
      <c r="P15" s="67" t="n">
        <f aca="false">(A15-A14)/360*$Q$5*$Q14</f>
        <v>1502882.90187005</v>
      </c>
      <c r="Q15" s="59" t="n">
        <f aca="false">Q14-(O15-P15)</f>
        <v>339125717.308495</v>
      </c>
      <c r="R15" s="68" t="n">
        <f aca="false">YEARFRAC(A15,$A$14)</f>
        <v>0.075</v>
      </c>
      <c r="T15" s="59" t="n">
        <f aca="false">'Financing Assumptions'!J13</f>
        <v>277200000</v>
      </c>
      <c r="U15" s="59" t="n">
        <f aca="false">T15*('Financing Assumptions'!$F$13/12)</f>
        <v>46200</v>
      </c>
      <c r="W15" s="59" t="n">
        <f aca="false">'Financing Assumptions'!J14</f>
        <v>52800000</v>
      </c>
      <c r="X15" s="59" t="n">
        <f aca="false">W15*('Financing Assumptions'!$F$14/12)</f>
        <v>16720</v>
      </c>
      <c r="Z15" s="59" t="n">
        <f aca="false">T15+W15</f>
        <v>330000000</v>
      </c>
      <c r="AA15" s="59" t="n">
        <f aca="false">X15+U15</f>
        <v>62920</v>
      </c>
      <c r="AD15" s="67" t="n">
        <f aca="false">(A15-A14)/360*$AF$5*$AE14</f>
        <v>1810537.67989648</v>
      </c>
      <c r="AE15" s="59" t="n">
        <f aca="false">AE14-(AC15-AD15)</f>
        <v>327052368.073052</v>
      </c>
    </row>
    <row r="16" customFormat="false" ht="12.75" hidden="false" customHeight="false" outlineLevel="0" collapsed="false">
      <c r="A16" s="66" t="n">
        <f aca="false">'Enron Proposal'!D10</f>
        <v>36948</v>
      </c>
      <c r="C16" s="41" t="n">
        <f aca="false">'Enron Proposal'!C11</f>
        <v>28</v>
      </c>
      <c r="K16" s="67" t="n">
        <f aca="false">(A16-A15)/360*$L$5*$L15</f>
        <v>1945293.97463199</v>
      </c>
      <c r="L16" s="59" t="n">
        <f aca="false">L15-(J16-K16)</f>
        <v>333638736.062721</v>
      </c>
      <c r="M16" s="68" t="n">
        <f aca="false">YEARFRAC(A16,$A$14)</f>
        <v>0.161111111111111</v>
      </c>
      <c r="P16" s="67" t="n">
        <f aca="false">(A16-A15)/360*$Q$5*$Q15</f>
        <v>1725226.03902698</v>
      </c>
      <c r="Q16" s="59" t="n">
        <f aca="false">Q15-(O16-P16)</f>
        <v>340850943.347522</v>
      </c>
      <c r="R16" s="68" t="n">
        <f aca="false">YEARFRAC(A16,$A$14)</f>
        <v>0.161111111111111</v>
      </c>
      <c r="T16" s="59" t="n">
        <f aca="false">IF(L15&gt;=$Z$15,$T$15,(L15*'Financing Assumptions'!$K$13))</f>
        <v>277200000</v>
      </c>
      <c r="U16" s="59" t="n">
        <f aca="false">T16*('Financing Assumptions'!$F$13/12)</f>
        <v>46200</v>
      </c>
      <c r="W16" s="59" t="n">
        <f aca="false">IF(L15&gt;=$Z$15,$W$15,(L15*'Financing Assumptions'!$K$14))</f>
        <v>52800000</v>
      </c>
      <c r="X16" s="59" t="n">
        <f aca="false">W16*('Financing Assumptions'!$F$14/12)</f>
        <v>16720</v>
      </c>
      <c r="Z16" s="59" t="n">
        <f aca="false">T16+W16</f>
        <v>330000000</v>
      </c>
      <c r="AA16" s="59" t="n">
        <f aca="false">X16+U16</f>
        <v>62920</v>
      </c>
      <c r="AD16" s="67" t="n">
        <f aca="false">(A16-A15)/360*$AF$5*$AE15</f>
        <v>2080704.54609939</v>
      </c>
      <c r="AE16" s="59" t="n">
        <f aca="false">AE15-(AC16-AD16)</f>
        <v>329133072.619151</v>
      </c>
    </row>
    <row r="17" customFormat="false" ht="12.75" hidden="false" customHeight="false" outlineLevel="0" collapsed="false">
      <c r="A17" s="66" t="n">
        <f aca="false">'Enron Proposal'!D11</f>
        <v>36976</v>
      </c>
      <c r="C17" s="41" t="n">
        <f aca="false">'Enron Proposal'!C12</f>
        <v>31</v>
      </c>
      <c r="K17" s="67" t="n">
        <f aca="false">(A17-A16)/360*$L$5*$L16</f>
        <v>1712114.78141011</v>
      </c>
      <c r="L17" s="59" t="n">
        <f aca="false">L16-(J17-K17)</f>
        <v>335350850.844131</v>
      </c>
      <c r="M17" s="68" t="n">
        <f aca="false">YEARFRAC(A17,$A$14)</f>
        <v>0.244444444444444</v>
      </c>
      <c r="P17" s="67" t="n">
        <f aca="false">(A17-A16)/360*$Q$5*$Q16</f>
        <v>1517252.39717144</v>
      </c>
      <c r="Q17" s="59" t="n">
        <f aca="false">Q16-(O17-P17)</f>
        <v>342368195.744693</v>
      </c>
      <c r="R17" s="68" t="n">
        <f aca="false">YEARFRAC(A17,$A$14)</f>
        <v>0.244444444444444</v>
      </c>
      <c r="T17" s="59" t="n">
        <f aca="false">IF(L16&gt;=$Z$15,$T$15,(L16*'Financing Assumptions'!$K$13))</f>
        <v>277200000</v>
      </c>
      <c r="U17" s="59" t="n">
        <f aca="false">T17*('Financing Assumptions'!$F$13/12)</f>
        <v>46200</v>
      </c>
      <c r="W17" s="59" t="n">
        <f aca="false">IF(L16&gt;=$Z$15,$W$15,(L16*'Financing Assumptions'!$K$14))</f>
        <v>52800000</v>
      </c>
      <c r="X17" s="59" t="n">
        <f aca="false">W17*('Financing Assumptions'!$F$14/12)</f>
        <v>16720</v>
      </c>
      <c r="Z17" s="59" t="n">
        <f aca="false">T17+W17</f>
        <v>330000000</v>
      </c>
      <c r="AA17" s="59" t="n">
        <f aca="false">X17+U17</f>
        <v>62920</v>
      </c>
      <c r="AD17" s="67" t="n">
        <f aca="false">(A17-A16)/360*$AF$5*$AE16</f>
        <v>1832199.22528643</v>
      </c>
      <c r="AE17" s="59" t="n">
        <f aca="false">AE16-(AC17-AD17)</f>
        <v>330965271.844437</v>
      </c>
    </row>
    <row r="18" customFormat="false" ht="12.75" hidden="false" customHeight="false" outlineLevel="0" collapsed="false">
      <c r="A18" s="66" t="n">
        <f aca="false">'Enron Proposal'!D12</f>
        <v>37006</v>
      </c>
      <c r="C18" s="41" t="n">
        <f aca="false">'Enron Proposal'!C13</f>
        <v>30</v>
      </c>
      <c r="K18" s="67" t="n">
        <f aca="false">(A18-A17)/360*$L$5*$L17</f>
        <v>1843822.22433706</v>
      </c>
      <c r="L18" s="59" t="n">
        <f aca="false">L17-(J18-K18)</f>
        <v>337194673.068468</v>
      </c>
      <c r="M18" s="68" t="n">
        <f aca="false">YEARFRAC(A18,$A$14)</f>
        <v>0.325</v>
      </c>
      <c r="P18" s="67" t="n">
        <f aca="false">(A18-A17)/360*$Q$5*$Q17</f>
        <v>1632863.83214668</v>
      </c>
      <c r="Q18" s="59" t="n">
        <f aca="false">Q17-(O18-P18)</f>
        <v>344001059.57684</v>
      </c>
      <c r="R18" s="68" t="n">
        <f aca="false">YEARFRAC(A18,$A$14)</f>
        <v>0.325</v>
      </c>
      <c r="T18" s="59" t="n">
        <f aca="false">IF(L17&gt;=$Z$15,$T$15,(L17*'Financing Assumptions'!$K$13))</f>
        <v>277200000</v>
      </c>
      <c r="U18" s="59" t="n">
        <f aca="false">T18*('Financing Assumptions'!$F$13/12)</f>
        <v>46200</v>
      </c>
      <c r="W18" s="59" t="n">
        <f aca="false">IF(L17&gt;=$Z$15,$W$15,(L17*'Financing Assumptions'!$K$14))</f>
        <v>52800000</v>
      </c>
      <c r="X18" s="59" t="n">
        <f aca="false">W18*('Financing Assumptions'!$F$14/12)</f>
        <v>16720</v>
      </c>
      <c r="Z18" s="59" t="n">
        <f aca="false">T18+W18</f>
        <v>330000000</v>
      </c>
      <c r="AA18" s="59" t="n">
        <f aca="false">X18+U18</f>
        <v>62920</v>
      </c>
      <c r="AD18" s="67" t="n">
        <f aca="false">(A18-A17)/360*$AF$5*$AE17</f>
        <v>1973998.50801738</v>
      </c>
      <c r="AE18" s="59" t="n">
        <f aca="false">AE17-(AC18-AD18)</f>
        <v>332939270.352455</v>
      </c>
    </row>
    <row r="19" customFormat="false" ht="12.75" hidden="false" customHeight="false" outlineLevel="0" collapsed="false">
      <c r="A19" s="66" t="n">
        <f aca="false">'Enron Proposal'!D13</f>
        <v>37036</v>
      </c>
      <c r="C19" s="41" t="n">
        <f aca="false">'Enron Proposal'!C14</f>
        <v>31</v>
      </c>
      <c r="E19" s="59" t="n">
        <f aca="false">'Enron Proposal'!H13*'Enron Proposal'!S13</f>
        <v>6925127.10389619</v>
      </c>
      <c r="F19" s="59" t="n">
        <f aca="false">'Enron Proposal'!K13*'Enron Proposal'!T13</f>
        <v>0</v>
      </c>
      <c r="G19" s="59" t="n">
        <f aca="false">'Enron Proposal'!N13*'Enron Proposal'!U13</f>
        <v>0</v>
      </c>
      <c r="H19" s="59" t="n">
        <f aca="false">'Enron Proposal'!Q13*'Enron Proposal'!V13</f>
        <v>0</v>
      </c>
      <c r="J19" s="59" t="n">
        <f aca="false">SUM(E19:H19)</f>
        <v>6925127.10389619</v>
      </c>
      <c r="K19" s="67" t="n">
        <f aca="false">(A19-A18)/360*$L$5*$L18</f>
        <v>1853959.90666708</v>
      </c>
      <c r="L19" s="59" t="n">
        <f aca="false">L18-(J19-K19)</f>
        <v>332123505.871239</v>
      </c>
      <c r="M19" s="68" t="n">
        <f aca="false">YEARFRAC(A19,$A$14)</f>
        <v>0.408333333333333</v>
      </c>
      <c r="O19" s="59" t="n">
        <f aca="false">SUM(E19:H19)</f>
        <v>6925127.10389619</v>
      </c>
      <c r="P19" s="67" t="n">
        <f aca="false">(A19-A18)/360*$Q$5*$Q18</f>
        <v>1640651.48394224</v>
      </c>
      <c r="Q19" s="59" t="n">
        <f aca="false">Q18-(O19-P19)</f>
        <v>338716583.956886</v>
      </c>
      <c r="R19" s="68" t="n">
        <f aca="false">YEARFRAC(A19,$A$14)</f>
        <v>0.408333333333333</v>
      </c>
      <c r="T19" s="59" t="n">
        <f aca="false">IF(L18&gt;=$Z$15,$T$15,(L18*'Financing Assumptions'!$K$13))</f>
        <v>277200000</v>
      </c>
      <c r="U19" s="59" t="n">
        <f aca="false">T19*('Financing Assumptions'!$F$13/12)</f>
        <v>46200</v>
      </c>
      <c r="W19" s="59" t="n">
        <f aca="false">IF(L18&gt;=$Z$15,$W$15,(L18*'Financing Assumptions'!$K$14))</f>
        <v>52800000</v>
      </c>
      <c r="X19" s="59" t="n">
        <f aca="false">W19*('Financing Assumptions'!$F$14/12)</f>
        <v>16720</v>
      </c>
      <c r="Z19" s="59" t="n">
        <f aca="false">T19+W19</f>
        <v>330000000</v>
      </c>
      <c r="AA19" s="59" t="n">
        <f aca="false">X19+U19</f>
        <v>62920</v>
      </c>
      <c r="AC19" s="59" t="n">
        <f aca="false">O19</f>
        <v>6925127.10389619</v>
      </c>
      <c r="AD19" s="67" t="n">
        <f aca="false">(A19-A18)/360*$AF$5*$AE18</f>
        <v>1985772.16054576</v>
      </c>
      <c r="AE19" s="59" t="n">
        <f aca="false">AE18-(AC19-AD19)</f>
        <v>327999915.409104</v>
      </c>
    </row>
    <row r="20" customFormat="false" ht="12.75" hidden="false" customHeight="false" outlineLevel="0" collapsed="false">
      <c r="A20" s="66" t="n">
        <f aca="false">'Enron Proposal'!D14</f>
        <v>37067</v>
      </c>
      <c r="C20" s="41" t="n">
        <f aca="false">'Enron Proposal'!C15</f>
        <v>30</v>
      </c>
      <c r="E20" s="59" t="n">
        <f aca="false">'Enron Proposal'!H14*'Enron Proposal'!S14</f>
        <v>7155964.67402606</v>
      </c>
      <c r="F20" s="59" t="n">
        <f aca="false">'Enron Proposal'!K14*'Enron Proposal'!T14</f>
        <v>0</v>
      </c>
      <c r="G20" s="59" t="n">
        <f aca="false">'Enron Proposal'!N14*'Enron Proposal'!U14</f>
        <v>0</v>
      </c>
      <c r="H20" s="59" t="n">
        <f aca="false">'Enron Proposal'!Q14*'Enron Proposal'!V14</f>
        <v>0</v>
      </c>
      <c r="J20" s="59" t="n">
        <f aca="false">SUM(E20:H20)</f>
        <v>7155964.67402606</v>
      </c>
      <c r="K20" s="67" t="n">
        <f aca="false">(A20-A19)/360*$L$5*$L19</f>
        <v>1886946.92877316</v>
      </c>
      <c r="L20" s="59" t="n">
        <f aca="false">L19-(J20-K20)</f>
        <v>326854488.125986</v>
      </c>
      <c r="M20" s="68" t="n">
        <f aca="false">YEARFRAC(A20,$A$14)</f>
        <v>0.491666666666667</v>
      </c>
      <c r="O20" s="59" t="n">
        <f aca="false">SUM(E20:H20)</f>
        <v>7155964.67402606</v>
      </c>
      <c r="P20" s="67" t="n">
        <f aca="false">(A20-A19)/360*$Q$5*$Q19</f>
        <v>1669296.39407094</v>
      </c>
      <c r="Q20" s="59" t="n">
        <f aca="false">Q19-(O20-P20)</f>
        <v>333229915.676931</v>
      </c>
      <c r="R20" s="68" t="n">
        <f aca="false">YEARFRAC(A20,$A$14)</f>
        <v>0.491666666666667</v>
      </c>
      <c r="T20" s="59" t="n">
        <f aca="false">IF(L19&gt;=$Z$15,$T$15,(L19*'Financing Assumptions'!$K$13))</f>
        <v>277200000</v>
      </c>
      <c r="U20" s="59" t="n">
        <f aca="false">T20*('Financing Assumptions'!$F$13/12)</f>
        <v>46200</v>
      </c>
      <c r="W20" s="59" t="n">
        <f aca="false">IF(L19&gt;=$Z$15,$W$15,(L19*'Financing Assumptions'!$K$14))</f>
        <v>52800000</v>
      </c>
      <c r="X20" s="59" t="n">
        <f aca="false">W20*('Financing Assumptions'!$F$14/12)</f>
        <v>16720</v>
      </c>
      <c r="Z20" s="59" t="n">
        <f aca="false">T20+W20</f>
        <v>330000000</v>
      </c>
      <c r="AA20" s="59" t="n">
        <f aca="false">X20+U20</f>
        <v>62920</v>
      </c>
      <c r="AC20" s="59" t="n">
        <f aca="false">O20</f>
        <v>7155964.67402606</v>
      </c>
      <c r="AD20" s="67" t="n">
        <f aca="false">(A20-A19)/360*$AF$5*$AE19</f>
        <v>2021522.43357863</v>
      </c>
      <c r="AE20" s="59" t="n">
        <f aca="false">AE19-(AC20-AD20)</f>
        <v>322865473.168657</v>
      </c>
    </row>
    <row r="21" customFormat="false" ht="12.75" hidden="false" customHeight="false" outlineLevel="0" collapsed="false">
      <c r="A21" s="66" t="n">
        <f aca="false">'Enron Proposal'!D15</f>
        <v>37097</v>
      </c>
      <c r="C21" s="41" t="n">
        <f aca="false">'Enron Proposal'!C16</f>
        <v>31</v>
      </c>
      <c r="E21" s="59" t="n">
        <f aca="false">'Enron Proposal'!H15*'Enron Proposal'!S15</f>
        <v>6925127.10389619</v>
      </c>
      <c r="F21" s="59" t="n">
        <f aca="false">'Enron Proposal'!K15*'Enron Proposal'!T15</f>
        <v>0</v>
      </c>
      <c r="G21" s="59" t="n">
        <f aca="false">'Enron Proposal'!N15*'Enron Proposal'!U15</f>
        <v>0</v>
      </c>
      <c r="H21" s="59" t="n">
        <f aca="false">'Enron Proposal'!Q15*'Enron Proposal'!V15</f>
        <v>0</v>
      </c>
      <c r="J21" s="59" t="n">
        <f aca="false">SUM(E21:H21)</f>
        <v>6925127.10389619</v>
      </c>
      <c r="K21" s="67" t="n">
        <f aca="false">(A21-A20)/360*$L$5*$L20</f>
        <v>1797107.61971831</v>
      </c>
      <c r="L21" s="59" t="n">
        <f aca="false">L20-(J21-K21)</f>
        <v>321726468.641808</v>
      </c>
      <c r="M21" s="68" t="n">
        <f aca="false">YEARFRAC(A21,$A$14)</f>
        <v>0.575</v>
      </c>
      <c r="O21" s="59" t="n">
        <f aca="false">SUM(E21:H21)</f>
        <v>6925127.10389619</v>
      </c>
      <c r="P21" s="67" t="n">
        <f aca="false">(A21-A20)/360*$Q$5*$Q20</f>
        <v>1589280.44094348</v>
      </c>
      <c r="Q21" s="59" t="n">
        <f aca="false">Q20-(O21-P21)</f>
        <v>327894069.013978</v>
      </c>
      <c r="R21" s="68" t="n">
        <f aca="false">YEARFRAC(A21,$A$14)</f>
        <v>0.575</v>
      </c>
      <c r="T21" s="59" t="n">
        <f aca="false">IF(L20&gt;=$Z$15,$T$15,(L20*'Financing Assumptions'!$K$13))</f>
        <v>274557770.025828</v>
      </c>
      <c r="U21" s="59" t="n">
        <f aca="false">T21*('Financing Assumptions'!$F$13/12)</f>
        <v>45759.628337638</v>
      </c>
      <c r="W21" s="59" t="n">
        <f aca="false">IF(L20&gt;=$Z$15,$W$15,(L20*'Financing Assumptions'!$K$14))</f>
        <v>52296718.1001577</v>
      </c>
      <c r="X21" s="59" t="n">
        <f aca="false">W21*('Financing Assumptions'!$F$14/12)</f>
        <v>16560.6273983833</v>
      </c>
      <c r="Z21" s="59" t="n">
        <f aca="false">T21+W21</f>
        <v>326854488.125986</v>
      </c>
      <c r="AA21" s="59" t="n">
        <f aca="false">X21+U21</f>
        <v>62320.2557360213</v>
      </c>
      <c r="AC21" s="59" t="n">
        <f aca="false">O21</f>
        <v>6925127.10389619</v>
      </c>
      <c r="AD21" s="67" t="n">
        <f aca="false">(A21-A20)/360*$AF$5*$AE20</f>
        <v>1925688.33211244</v>
      </c>
      <c r="AE21" s="59" t="n">
        <f aca="false">AE20-(AC21-AD21)</f>
        <v>317866034.396873</v>
      </c>
    </row>
    <row r="22" customFormat="false" ht="12.75" hidden="false" customHeight="false" outlineLevel="0" collapsed="false">
      <c r="A22" s="66" t="n">
        <f aca="false">'Enron Proposal'!D16</f>
        <v>37130</v>
      </c>
      <c r="C22" s="41" t="n">
        <f aca="false">'Enron Proposal'!C17</f>
        <v>31</v>
      </c>
      <c r="E22" s="59" t="n">
        <f aca="false">'Enron Proposal'!H16*'Enron Proposal'!S16</f>
        <v>7155964.67402606</v>
      </c>
      <c r="F22" s="59" t="n">
        <f aca="false">'Enron Proposal'!K16*'Enron Proposal'!T16</f>
        <v>0</v>
      </c>
      <c r="G22" s="59" t="n">
        <f aca="false">'Enron Proposal'!N16*'Enron Proposal'!U16</f>
        <v>0</v>
      </c>
      <c r="H22" s="59" t="n">
        <f aca="false">'Enron Proposal'!Q16*'Enron Proposal'!V16</f>
        <v>0</v>
      </c>
      <c r="J22" s="59" t="n">
        <f aca="false">SUM(E22:H22)</f>
        <v>7155964.67402606</v>
      </c>
      <c r="K22" s="67" t="n">
        <f aca="false">(A22-A21)/360*$L$5*$L21</f>
        <v>1945804.08160783</v>
      </c>
      <c r="L22" s="59" t="n">
        <f aca="false">L21-(J22-K22)</f>
        <v>316516308.04939</v>
      </c>
      <c r="M22" s="68" t="n">
        <f aca="false">YEARFRAC(A22,$A$14)</f>
        <v>0.663888888888889</v>
      </c>
      <c r="O22" s="59" t="n">
        <f aca="false">SUM(E22:H22)</f>
        <v>7155964.67402606</v>
      </c>
      <c r="P22" s="67" t="n">
        <f aca="false">(A22-A21)/360*$Q$5*$Q21</f>
        <v>1720215.28283062</v>
      </c>
      <c r="Q22" s="59" t="n">
        <f aca="false">Q21-(O22-P22)</f>
        <v>322458319.622783</v>
      </c>
      <c r="R22" s="68" t="n">
        <f aca="false">YEARFRAC(A22,$A$14)</f>
        <v>0.663888888888889</v>
      </c>
      <c r="T22" s="59" t="n">
        <f aca="false">IF(L21&gt;=$Z$15,$T$15,(L21*'Financing Assumptions'!$K$13))</f>
        <v>270250233.659119</v>
      </c>
      <c r="U22" s="59" t="n">
        <f aca="false">T22*('Financing Assumptions'!$F$13/12)</f>
        <v>45041.7056098531</v>
      </c>
      <c r="W22" s="59" t="n">
        <f aca="false">IF(L21&gt;=$Z$15,$W$15,(L21*'Financing Assumptions'!$K$14))</f>
        <v>51476234.9826893</v>
      </c>
      <c r="X22" s="59" t="n">
        <f aca="false">W22*('Financing Assumptions'!$F$14/12)</f>
        <v>16300.8077445183</v>
      </c>
      <c r="Z22" s="59" t="n">
        <f aca="false">T22+W22</f>
        <v>321726468.641808</v>
      </c>
      <c r="AA22" s="59" t="n">
        <f aca="false">X22+U22</f>
        <v>61342.5133543714</v>
      </c>
      <c r="AC22" s="59" t="n">
        <f aca="false">O22</f>
        <v>7155964.67402606</v>
      </c>
      <c r="AD22" s="67" t="n">
        <f aca="false">(A22-A21)/360*$AF$5*$AE21</f>
        <v>2085456.82623201</v>
      </c>
      <c r="AE22" s="59" t="n">
        <f aca="false">AE21-(AC22-AD22)</f>
        <v>312795526.549079</v>
      </c>
    </row>
    <row r="23" customFormat="false" ht="12.75" hidden="false" customHeight="false" outlineLevel="0" collapsed="false">
      <c r="A23" s="66" t="n">
        <f aca="false">'Enron Proposal'!D17</f>
        <v>37159</v>
      </c>
      <c r="C23" s="41" t="n">
        <f aca="false">'Enron Proposal'!C18</f>
        <v>30</v>
      </c>
      <c r="E23" s="59" t="n">
        <f aca="false">'Enron Proposal'!H17*'Enron Proposal'!S17</f>
        <v>7155964.67402606</v>
      </c>
      <c r="F23" s="59" t="n">
        <f aca="false">'Enron Proposal'!K17*'Enron Proposal'!T17</f>
        <v>0</v>
      </c>
      <c r="G23" s="59" t="n">
        <f aca="false">'Enron Proposal'!N17*'Enron Proposal'!U17</f>
        <v>0</v>
      </c>
      <c r="H23" s="59" t="n">
        <f aca="false">'Enron Proposal'!Q17*'Enron Proposal'!V17</f>
        <v>0</v>
      </c>
      <c r="J23" s="59" t="n">
        <f aca="false">SUM(E23:H23)</f>
        <v>7155964.67402606</v>
      </c>
      <c r="K23" s="67" t="n">
        <f aca="false">(A23-A22)/360*$L$5*$L22</f>
        <v>1682257.47737029</v>
      </c>
      <c r="L23" s="59" t="n">
        <f aca="false">L22-(J23-K23)</f>
        <v>311042600.852734</v>
      </c>
      <c r="M23" s="68" t="n">
        <f aca="false">YEARFRAC(A23,$A$14)</f>
        <v>0.741666666666667</v>
      </c>
      <c r="O23" s="59" t="n">
        <f aca="false">SUM(E23:H23)</f>
        <v>7155964.67402606</v>
      </c>
      <c r="P23" s="67" t="n">
        <f aca="false">(A23-A22)/360*$Q$5*$Q22</f>
        <v>1486643.66676014</v>
      </c>
      <c r="Q23" s="59" t="n">
        <f aca="false">Q22-(O23-P23)</f>
        <v>316788998.615517</v>
      </c>
      <c r="R23" s="68" t="n">
        <f aca="false">YEARFRAC(A23,$A$14)</f>
        <v>0.741666666666667</v>
      </c>
      <c r="T23" s="59" t="n">
        <f aca="false">IF(L22&gt;=$Z$15,$T$15,(L22*'Financing Assumptions'!$K$13))</f>
        <v>265873698.761487</v>
      </c>
      <c r="U23" s="59" t="n">
        <f aca="false">T23*('Financing Assumptions'!$F$13/12)</f>
        <v>44312.2831269146</v>
      </c>
      <c r="W23" s="59" t="n">
        <f aca="false">IF(L22&gt;=$Z$15,$W$15,(L22*'Financing Assumptions'!$K$14))</f>
        <v>50642609.2879024</v>
      </c>
      <c r="X23" s="59" t="n">
        <f aca="false">W23*('Financing Assumptions'!$F$14/12)</f>
        <v>16036.8262745024</v>
      </c>
      <c r="Z23" s="59" t="n">
        <f aca="false">T23+W23</f>
        <v>316516308.04939</v>
      </c>
      <c r="AA23" s="59" t="n">
        <f aca="false">X23+U23</f>
        <v>60349.109401417</v>
      </c>
      <c r="AC23" s="59" t="n">
        <f aca="false">O23</f>
        <v>7155964.67402606</v>
      </c>
      <c r="AD23" s="67" t="n">
        <f aca="false">(A23-A22)/360*$AF$5*$AE22</f>
        <v>1803439.88753054</v>
      </c>
      <c r="AE23" s="59" t="n">
        <f aca="false">AE22-(AC23-AD23)</f>
        <v>307443001.762584</v>
      </c>
    </row>
    <row r="24" customFormat="false" ht="12.75" hidden="false" customHeight="false" outlineLevel="0" collapsed="false">
      <c r="A24" s="66" t="n">
        <f aca="false">'Enron Proposal'!D18</f>
        <v>37189</v>
      </c>
      <c r="C24" s="41" t="n">
        <f aca="false">'Enron Proposal'!C19</f>
        <v>31</v>
      </c>
      <c r="E24" s="59" t="n">
        <f aca="false">'Enron Proposal'!H18*'Enron Proposal'!S18</f>
        <v>6925127.10389619</v>
      </c>
      <c r="F24" s="59" t="n">
        <f aca="false">'Enron Proposal'!K18*'Enron Proposal'!T18</f>
        <v>0</v>
      </c>
      <c r="G24" s="59" t="n">
        <f aca="false">'Enron Proposal'!N18*'Enron Proposal'!U18</f>
        <v>0</v>
      </c>
      <c r="H24" s="59" t="n">
        <f aca="false">'Enron Proposal'!Q18*'Enron Proposal'!V18</f>
        <v>0</v>
      </c>
      <c r="J24" s="59" t="n">
        <f aca="false">SUM(E24:H24)</f>
        <v>6925127.10389619</v>
      </c>
      <c r="K24" s="67" t="n">
        <f aca="false">(A24-A23)/360*$L$5*$L23</f>
        <v>1710170.88140455</v>
      </c>
      <c r="L24" s="59" t="n">
        <f aca="false">L23-(J24-K24)</f>
        <v>305827644.630242</v>
      </c>
      <c r="M24" s="68" t="n">
        <f aca="false">YEARFRAC(A24,$A$14)</f>
        <v>0.825</v>
      </c>
      <c r="O24" s="59" t="n">
        <f aca="false">SUM(E24:H24)</f>
        <v>6925127.10389619</v>
      </c>
      <c r="P24" s="67" t="n">
        <f aca="false">(A24-A23)/360*$Q$5*$Q23</f>
        <v>1510868.42963351</v>
      </c>
      <c r="Q24" s="59" t="n">
        <f aca="false">Q23-(O24-P24)</f>
        <v>311374739.941254</v>
      </c>
      <c r="R24" s="68" t="n">
        <f aca="false">YEARFRAC(A24,$A$14)</f>
        <v>0.825</v>
      </c>
      <c r="T24" s="59" t="n">
        <f aca="false">IF(L23&gt;=$Z$15,$T$15,(L23*'Financing Assumptions'!$K$13))</f>
        <v>261275784.716297</v>
      </c>
      <c r="U24" s="59" t="n">
        <f aca="false">T24*('Financing Assumptions'!$F$13/12)</f>
        <v>43545.9641193828</v>
      </c>
      <c r="W24" s="59" t="n">
        <f aca="false">IF(L23&gt;=$Z$15,$W$15,(L23*'Financing Assumptions'!$K$14))</f>
        <v>49766816.1364374</v>
      </c>
      <c r="X24" s="59" t="n">
        <f aca="false">W24*('Financing Assumptions'!$F$14/12)</f>
        <v>15759.4917765385</v>
      </c>
      <c r="Z24" s="59" t="n">
        <f aca="false">T24+W24</f>
        <v>311042600.852734</v>
      </c>
      <c r="AA24" s="59" t="n">
        <f aca="false">X24+U24</f>
        <v>59305.4558959213</v>
      </c>
      <c r="AC24" s="59" t="n">
        <f aca="false">O24</f>
        <v>6925127.10389619</v>
      </c>
      <c r="AD24" s="67" t="n">
        <f aca="false">(A24-A23)/360*$AF$5*$AE23</f>
        <v>1833703.04502819</v>
      </c>
      <c r="AE24" s="59" t="n">
        <f aca="false">AE23-(AC24-AD24)</f>
        <v>302351577.703716</v>
      </c>
    </row>
    <row r="25" customFormat="false" ht="12.75" hidden="false" customHeight="false" outlineLevel="0" collapsed="false">
      <c r="A25" s="66" t="n">
        <f aca="false">'Enron Proposal'!D19</f>
        <v>37221</v>
      </c>
      <c r="C25" s="41" t="n">
        <f aca="false">'Enron Proposal'!C20</f>
        <v>30</v>
      </c>
      <c r="E25" s="59" t="n">
        <f aca="false">'Enron Proposal'!H19*'Enron Proposal'!S19</f>
        <v>7155964.67402606</v>
      </c>
      <c r="F25" s="59" t="n">
        <f aca="false">'Enron Proposal'!K19*'Enron Proposal'!T19</f>
        <v>0</v>
      </c>
      <c r="G25" s="59" t="n">
        <f aca="false">'Enron Proposal'!N19*'Enron Proposal'!U19</f>
        <v>0</v>
      </c>
      <c r="H25" s="59" t="n">
        <f aca="false">'Enron Proposal'!Q19*'Enron Proposal'!V19</f>
        <v>0</v>
      </c>
      <c r="J25" s="59" t="n">
        <f aca="false">SUM(E25:H25)</f>
        <v>7155964.67402606</v>
      </c>
      <c r="K25" s="67" t="n">
        <f aca="false">(A25-A24)/360*$L$5*$L24</f>
        <v>1793597.93980223</v>
      </c>
      <c r="L25" s="59" t="n">
        <f aca="false">L24-(J25-K25)</f>
        <v>300465277.896019</v>
      </c>
      <c r="M25" s="68" t="n">
        <f aca="false">YEARFRAC(A25,$A$14)</f>
        <v>0.911111111111111</v>
      </c>
      <c r="O25" s="59" t="n">
        <f aca="false">SUM(E25:H25)</f>
        <v>7155964.67402606</v>
      </c>
      <c r="P25" s="67" t="n">
        <f aca="false">(A25-A24)/360*$Q$5*$Q24</f>
        <v>1584049.16473272</v>
      </c>
      <c r="Q25" s="59" t="n">
        <f aca="false">Q24-(O25-P25)</f>
        <v>305802824.431961</v>
      </c>
      <c r="R25" s="68" t="n">
        <f aca="false">YEARFRAC(A25,$A$14)</f>
        <v>0.911111111111111</v>
      </c>
      <c r="T25" s="59" t="n">
        <f aca="false">IF(L24&gt;=$Z$15,$T$15,(L24*'Financing Assumptions'!$K$13))</f>
        <v>256895221.489404</v>
      </c>
      <c r="U25" s="59" t="n">
        <f aca="false">T25*('Financing Assumptions'!$F$13/12)</f>
        <v>42815.8702482339</v>
      </c>
      <c r="W25" s="59" t="n">
        <f aca="false">IF(L24&gt;=$Z$15,$W$15,(L24*'Financing Assumptions'!$K$14))</f>
        <v>48932423.1408388</v>
      </c>
      <c r="X25" s="59" t="n">
        <f aca="false">W25*('Financing Assumptions'!$F$14/12)</f>
        <v>15495.2673279323</v>
      </c>
      <c r="Z25" s="59" t="n">
        <f aca="false">T25+W25</f>
        <v>305827644.630242</v>
      </c>
      <c r="AA25" s="59" t="n">
        <f aca="false">X25+U25</f>
        <v>58311.1375761662</v>
      </c>
      <c r="AC25" s="59" t="n">
        <f aca="false">O25</f>
        <v>7155964.67402606</v>
      </c>
      <c r="AD25" s="67" t="n">
        <f aca="false">(A25-A24)/360*$AF$5*$AE24</f>
        <v>1923558.31561484</v>
      </c>
      <c r="AE25" s="59" t="n">
        <f aca="false">AE24-(AC25-AD25)</f>
        <v>297119171.345304</v>
      </c>
    </row>
    <row r="26" customFormat="false" ht="12.75" hidden="false" customHeight="false" outlineLevel="0" collapsed="false">
      <c r="A26" s="66" t="n">
        <f aca="false">'Enron Proposal'!D20</f>
        <v>37250</v>
      </c>
      <c r="C26" s="41" t="n">
        <f aca="false">'Enron Proposal'!C21</f>
        <v>31</v>
      </c>
      <c r="E26" s="59" t="n">
        <f aca="false">'Enron Proposal'!H20*'Enron Proposal'!S20</f>
        <v>6925127.10389619</v>
      </c>
      <c r="F26" s="59" t="n">
        <f aca="false">'Enron Proposal'!K20*'Enron Proposal'!T20</f>
        <v>0</v>
      </c>
      <c r="G26" s="59" t="n">
        <f aca="false">'Enron Proposal'!N20*'Enron Proposal'!U20</f>
        <v>0</v>
      </c>
      <c r="H26" s="59" t="n">
        <f aca="false">'Enron Proposal'!Q20*'Enron Proposal'!V20</f>
        <v>0</v>
      </c>
      <c r="J26" s="59" t="n">
        <f aca="false">SUM(E26:H26)</f>
        <v>6925127.10389619</v>
      </c>
      <c r="K26" s="67" t="n">
        <f aca="false">(A26-A25)/360*$L$5*$L25</f>
        <v>1596947.60609885</v>
      </c>
      <c r="L26" s="59" t="n">
        <f aca="false">L25-(J26-K26)</f>
        <v>295137098.398221</v>
      </c>
      <c r="M26" s="68" t="n">
        <f aca="false">YEARFRAC(A26,$A$14)</f>
        <v>0.991666666666667</v>
      </c>
      <c r="O26" s="59" t="n">
        <f aca="false">SUM(E26:H26)</f>
        <v>6925127.10389619</v>
      </c>
      <c r="P26" s="67" t="n">
        <f aca="false">(A26-A25)/360*$Q$5*$Q25</f>
        <v>1409856.11024382</v>
      </c>
      <c r="Q26" s="59" t="n">
        <f aca="false">Q25-(O26-P26)</f>
        <v>300287553.438309</v>
      </c>
      <c r="R26" s="68" t="n">
        <f aca="false">YEARFRAC(A26,$A$14)</f>
        <v>0.991666666666667</v>
      </c>
      <c r="T26" s="59" t="n">
        <f aca="false">IF(L25&gt;=$Z$15,$T$15,(L25*'Financing Assumptions'!$K$13))</f>
        <v>252390833.432656</v>
      </c>
      <c r="U26" s="59" t="n">
        <f aca="false">T26*('Financing Assumptions'!$F$13/12)</f>
        <v>42065.1389054426</v>
      </c>
      <c r="W26" s="59" t="n">
        <f aca="false">IF(L25&gt;=$Z$15,$W$15,(L25*'Financing Assumptions'!$K$14))</f>
        <v>48074444.463363</v>
      </c>
      <c r="X26" s="59" t="n">
        <f aca="false">W26*('Financing Assumptions'!$F$14/12)</f>
        <v>15223.5740800649</v>
      </c>
      <c r="Z26" s="59" t="n">
        <f aca="false">T26+W26</f>
        <v>300465277.896019</v>
      </c>
      <c r="AA26" s="59" t="n">
        <f aca="false">X26+U26</f>
        <v>57288.7129855075</v>
      </c>
      <c r="AC26" s="59" t="n">
        <f aca="false">O26</f>
        <v>6925127.10389619</v>
      </c>
      <c r="AD26" s="67" t="n">
        <f aca="false">(A26-A25)/360*$AF$5*$AE25</f>
        <v>1713056.99562193</v>
      </c>
      <c r="AE26" s="59" t="n">
        <f aca="false">AE25-(AC26-AD26)</f>
        <v>291907101.23703</v>
      </c>
    </row>
    <row r="27" customFormat="false" ht="12.75" hidden="false" customHeight="false" outlineLevel="0" collapsed="false">
      <c r="A27" s="66" t="n">
        <f aca="false">'Enron Proposal'!D21</f>
        <v>37281</v>
      </c>
      <c r="C27" s="41" t="n">
        <f aca="false">'Enron Proposal'!C22</f>
        <v>31</v>
      </c>
      <c r="E27" s="59" t="n">
        <f aca="false">'Enron Proposal'!H21*'Enron Proposal'!S21</f>
        <v>7155964.67402606</v>
      </c>
      <c r="F27" s="59" t="n">
        <f aca="false">'Enron Proposal'!K21*'Enron Proposal'!T21</f>
        <v>0</v>
      </c>
      <c r="G27" s="59" t="n">
        <f aca="false">'Enron Proposal'!N21*'Enron Proposal'!U21</f>
        <v>0</v>
      </c>
      <c r="H27" s="59" t="n">
        <f aca="false">'Enron Proposal'!Q21*'Enron Proposal'!V21</f>
        <v>0</v>
      </c>
      <c r="J27" s="59" t="n">
        <f aca="false">SUM(E27:H27)</f>
        <v>7155964.67402606</v>
      </c>
      <c r="K27" s="67" t="n">
        <f aca="false">(A27-A26)/360*$L$5*$L26</f>
        <v>1676810.07680756</v>
      </c>
      <c r="L27" s="59" t="n">
        <f aca="false">L26-(J27-K27)</f>
        <v>289657943.801003</v>
      </c>
      <c r="M27" s="68" t="n">
        <f aca="false">YEARFRAC(A27,$A$14)</f>
        <v>1.075</v>
      </c>
      <c r="O27" s="59" t="n">
        <f aca="false">SUM(E27:H27)</f>
        <v>7155964.67402606</v>
      </c>
      <c r="P27" s="67" t="n">
        <f aca="false">(A27-A26)/360*$Q$5*$Q26</f>
        <v>1479906.66498561</v>
      </c>
      <c r="Q27" s="59" t="n">
        <f aca="false">Q26-(O27-P27)</f>
        <v>294611495.429268</v>
      </c>
      <c r="R27" s="68" t="n">
        <f aca="false">YEARFRAC(A27,$A$14)</f>
        <v>1.075</v>
      </c>
      <c r="T27" s="59" t="n">
        <f aca="false">IF(L26&gt;=$Z$15,$T$15,(L26*'Financing Assumptions'!$K$13))</f>
        <v>247915162.654506</v>
      </c>
      <c r="U27" s="59" t="n">
        <f aca="false">T27*('Financing Assumptions'!$F$13/12)</f>
        <v>41319.193775751</v>
      </c>
      <c r="W27" s="59" t="n">
        <f aca="false">IF(L26&gt;=$Z$15,$W$15,(L26*'Financing Assumptions'!$K$14))</f>
        <v>47221935.7437154</v>
      </c>
      <c r="X27" s="59" t="n">
        <f aca="false">W27*('Financing Assumptions'!$F$14/12)</f>
        <v>14953.6129855099</v>
      </c>
      <c r="Z27" s="59" t="n">
        <f aca="false">T27+W27</f>
        <v>295137098.398221</v>
      </c>
      <c r="AA27" s="59" t="n">
        <f aca="false">X27+U27</f>
        <v>56272.8067612609</v>
      </c>
      <c r="AC27" s="59" t="n">
        <f aca="false">O27</f>
        <v>7155964.67402606</v>
      </c>
      <c r="AD27" s="67" t="n">
        <f aca="false">(A27-A26)/360*$AF$5*$AE26</f>
        <v>1799075.93249088</v>
      </c>
      <c r="AE27" s="59" t="n">
        <f aca="false">AE26-(AC27-AD27)</f>
        <v>286550212.495495</v>
      </c>
    </row>
    <row r="28" customFormat="false" ht="12.75" hidden="false" customHeight="false" outlineLevel="0" collapsed="false">
      <c r="A28" s="66" t="n">
        <f aca="false">'Enron Proposal'!D22</f>
        <v>37312</v>
      </c>
      <c r="C28" s="41" t="n">
        <f aca="false">'Enron Proposal'!C23</f>
        <v>28</v>
      </c>
      <c r="E28" s="59" t="n">
        <f aca="false">'Enron Proposal'!H22*'Enron Proposal'!S22</f>
        <v>7155964.67402606</v>
      </c>
      <c r="F28" s="59" t="n">
        <f aca="false">'Enron Proposal'!K22*'Enron Proposal'!T22</f>
        <v>0</v>
      </c>
      <c r="G28" s="59" t="n">
        <f aca="false">'Enron Proposal'!N22*'Enron Proposal'!U22</f>
        <v>0</v>
      </c>
      <c r="H28" s="59" t="n">
        <f aca="false">'Enron Proposal'!Q22*'Enron Proposal'!V22</f>
        <v>0</v>
      </c>
      <c r="J28" s="59" t="n">
        <f aca="false">SUM(E28:H28)</f>
        <v>7155964.67402606</v>
      </c>
      <c r="K28" s="67" t="n">
        <f aca="false">(A28-A27)/360*$L$5*$L27</f>
        <v>1645680.47063176</v>
      </c>
      <c r="L28" s="59" t="n">
        <f aca="false">L27-(J28-K28)</f>
        <v>284147659.597608</v>
      </c>
      <c r="M28" s="68" t="n">
        <f aca="false">YEARFRAC(A28,$A$14)</f>
        <v>1.15833333333333</v>
      </c>
      <c r="O28" s="59" t="n">
        <f aca="false">SUM(E28:H28)</f>
        <v>7155964.67402606</v>
      </c>
      <c r="P28" s="67" t="n">
        <f aca="false">(A28-A27)/360*$Q$5*$Q27</f>
        <v>1451933.35746006</v>
      </c>
      <c r="Q28" s="59" t="n">
        <f aca="false">Q27-(O28-P28)</f>
        <v>288907464.112702</v>
      </c>
      <c r="R28" s="68" t="n">
        <f aca="false">YEARFRAC(A28,$A$14)</f>
        <v>1.15833333333333</v>
      </c>
      <c r="T28" s="59" t="n">
        <f aca="false">IF(L27&gt;=$Z$15,$T$15,(L27*'Financing Assumptions'!$K$13))</f>
        <v>243312672.792842</v>
      </c>
      <c r="U28" s="59" t="n">
        <f aca="false">T28*('Financing Assumptions'!$F$13/12)</f>
        <v>40552.1121321404</v>
      </c>
      <c r="W28" s="59" t="n">
        <f aca="false">IF(L27&gt;=$Z$15,$W$15,(L27*'Financing Assumptions'!$K$14))</f>
        <v>46345271.0081604</v>
      </c>
      <c r="X28" s="59" t="n">
        <f aca="false">W28*('Financing Assumptions'!$F$14/12)</f>
        <v>14676.0024859175</v>
      </c>
      <c r="Z28" s="59" t="n">
        <f aca="false">T28+W28</f>
        <v>289657943.801003</v>
      </c>
      <c r="AA28" s="59" t="n">
        <f aca="false">X28+U28</f>
        <v>55228.1146180579</v>
      </c>
      <c r="AC28" s="59" t="n">
        <f aca="false">O28</f>
        <v>7155964.67402606</v>
      </c>
      <c r="AD28" s="67" t="n">
        <f aca="false">(A28-A27)/360*$AF$5*$AE27</f>
        <v>1766060.46432623</v>
      </c>
      <c r="AE28" s="59" t="n">
        <f aca="false">AE27-(AC28-AD28)</f>
        <v>281160308.285795</v>
      </c>
    </row>
    <row r="29" customFormat="false" ht="12.75" hidden="false" customHeight="false" outlineLevel="0" collapsed="false">
      <c r="A29" s="66" t="n">
        <f aca="false">'Enron Proposal'!D23</f>
        <v>37340</v>
      </c>
      <c r="C29" s="41" t="n">
        <f aca="false">'Enron Proposal'!C24</f>
        <v>31</v>
      </c>
      <c r="E29" s="59" t="n">
        <f aca="false">'Enron Proposal'!H23*'Enron Proposal'!S23</f>
        <v>6463451.96363644</v>
      </c>
      <c r="F29" s="59" t="n">
        <f aca="false">'Enron Proposal'!K23*'Enron Proposal'!T23</f>
        <v>0</v>
      </c>
      <c r="G29" s="59" t="n">
        <f aca="false">'Enron Proposal'!N23*'Enron Proposal'!U23</f>
        <v>0</v>
      </c>
      <c r="H29" s="59" t="n">
        <f aca="false">'Enron Proposal'!Q23*'Enron Proposal'!V23</f>
        <v>0</v>
      </c>
      <c r="J29" s="59" t="n">
        <f aca="false">SUM(E29:H29)</f>
        <v>6463451.96363644</v>
      </c>
      <c r="K29" s="67" t="n">
        <f aca="false">(A29-A28)/360*$L$5*$L28</f>
        <v>1458144.26058938</v>
      </c>
      <c r="L29" s="59" t="n">
        <f aca="false">L28-(J29-K29)</f>
        <v>279142351.894561</v>
      </c>
      <c r="M29" s="68" t="n">
        <f aca="false">YEARFRAC(A29,$A$14)</f>
        <v>1.24166666666667</v>
      </c>
      <c r="O29" s="59" t="n">
        <f aca="false">SUM(E29:H29)</f>
        <v>6463451.96363644</v>
      </c>
      <c r="P29" s="67" t="n">
        <f aca="false">(A29-A28)/360*$Q$5*$Q28</f>
        <v>1286032.945019</v>
      </c>
      <c r="Q29" s="59" t="n">
        <f aca="false">Q28-(O29-P29)</f>
        <v>283730045.094085</v>
      </c>
      <c r="R29" s="68" t="n">
        <f aca="false">YEARFRAC(A29,$A$14)</f>
        <v>1.24166666666667</v>
      </c>
      <c r="T29" s="59" t="n">
        <f aca="false">IF(L28&gt;=$Z$15,$T$15,(L28*'Financing Assumptions'!$K$13))</f>
        <v>238684034.061991</v>
      </c>
      <c r="U29" s="59" t="n">
        <f aca="false">T29*('Financing Assumptions'!$F$13/12)</f>
        <v>39780.6723436652</v>
      </c>
      <c r="W29" s="59" t="n">
        <f aca="false">IF(L28&gt;=$Z$15,$W$15,(L28*'Financing Assumptions'!$K$14))</f>
        <v>45463625.5356174</v>
      </c>
      <c r="X29" s="59" t="n">
        <f aca="false">W29*('Financing Assumptions'!$F$14/12)</f>
        <v>14396.8147529455</v>
      </c>
      <c r="Z29" s="59" t="n">
        <f aca="false">T29+W29</f>
        <v>284147659.597608</v>
      </c>
      <c r="AA29" s="59" t="n">
        <f aca="false">X29+U29</f>
        <v>54177.4870966107</v>
      </c>
      <c r="AC29" s="59" t="n">
        <f aca="false">O29</f>
        <v>6463451.96363644</v>
      </c>
      <c r="AD29" s="67" t="n">
        <f aca="false">(A29-A28)/360*$AF$5*$AE28</f>
        <v>1565147.17564895</v>
      </c>
      <c r="AE29" s="59" t="n">
        <f aca="false">AE28-(AC29-AD29)</f>
        <v>276262003.497808</v>
      </c>
    </row>
    <row r="30" customFormat="false" ht="12.75" hidden="false" customHeight="false" outlineLevel="0" collapsed="false">
      <c r="A30" s="66" t="n">
        <f aca="false">'Enron Proposal'!D24</f>
        <v>37371</v>
      </c>
      <c r="C30" s="41" t="n">
        <f aca="false">'Enron Proposal'!C25</f>
        <v>30</v>
      </c>
      <c r="E30" s="59" t="n">
        <f aca="false">'Enron Proposal'!H24*'Enron Proposal'!S24</f>
        <v>7155964.67402606</v>
      </c>
      <c r="F30" s="59" t="n">
        <f aca="false">'Enron Proposal'!K24*'Enron Proposal'!T24</f>
        <v>0</v>
      </c>
      <c r="G30" s="59" t="n">
        <f aca="false">'Enron Proposal'!N24*'Enron Proposal'!U24</f>
        <v>0</v>
      </c>
      <c r="H30" s="59" t="n">
        <f aca="false">'Enron Proposal'!Q24*'Enron Proposal'!V24</f>
        <v>0</v>
      </c>
      <c r="J30" s="59" t="n">
        <f aca="false">SUM(E30:H30)</f>
        <v>7155964.67402606</v>
      </c>
      <c r="K30" s="67" t="n">
        <f aca="false">(A30-A29)/360*$L$5*$L29</f>
        <v>1585936.53952987</v>
      </c>
      <c r="L30" s="59" t="n">
        <f aca="false">L29-(J30-K30)</f>
        <v>273572323.760065</v>
      </c>
      <c r="M30" s="68" t="n">
        <f aca="false">YEARFRAC(A30,$A$14)</f>
        <v>1.325</v>
      </c>
      <c r="O30" s="59" t="n">
        <f aca="false">SUM(E30:H30)</f>
        <v>7155964.67402606</v>
      </c>
      <c r="P30" s="67" t="n">
        <f aca="false">(A30-A29)/360*$Q$5*$Q29</f>
        <v>1398306.3233344</v>
      </c>
      <c r="Q30" s="59" t="n">
        <f aca="false">Q29-(O30-P30)</f>
        <v>277972386.743393</v>
      </c>
      <c r="R30" s="68" t="n">
        <f aca="false">YEARFRAC(A30,$A$14)</f>
        <v>1.325</v>
      </c>
      <c r="T30" s="59" t="n">
        <f aca="false">IF(L29&gt;=$Z$15,$T$15,(L29*'Financing Assumptions'!$K$13))</f>
        <v>234479575.591432</v>
      </c>
      <c r="U30" s="59" t="n">
        <f aca="false">T30*('Financing Assumptions'!$F$13/12)</f>
        <v>39079.9292652386</v>
      </c>
      <c r="W30" s="59" t="n">
        <f aca="false">IF(L29&gt;=$Z$15,$W$15,(L29*'Financing Assumptions'!$K$14))</f>
        <v>44662776.3031298</v>
      </c>
      <c r="X30" s="59" t="n">
        <f aca="false">W30*('Financing Assumptions'!$F$14/12)</f>
        <v>14143.2124959911</v>
      </c>
      <c r="Z30" s="59" t="n">
        <f aca="false">T30+W30</f>
        <v>279142351.894561</v>
      </c>
      <c r="AA30" s="59" t="n">
        <f aca="false">X30+U30</f>
        <v>53223.1417612297</v>
      </c>
      <c r="AC30" s="59" t="n">
        <f aca="false">O30</f>
        <v>7155964.67402606</v>
      </c>
      <c r="AD30" s="67" t="n">
        <f aca="false">(A30-A29)/360*$AF$5*$AE29</f>
        <v>1702652.38306429</v>
      </c>
      <c r="AE30" s="59" t="n">
        <f aca="false">AE29-(AC30-AD30)</f>
        <v>270808691.206846</v>
      </c>
    </row>
    <row r="31" customFormat="false" ht="12.75" hidden="false" customHeight="false" outlineLevel="0" collapsed="false">
      <c r="A31" s="66" t="n">
        <f aca="false">'Enron Proposal'!D25</f>
        <v>37403</v>
      </c>
      <c r="C31" s="41" t="n">
        <f aca="false">'Enron Proposal'!C26</f>
        <v>31</v>
      </c>
      <c r="E31" s="59" t="n">
        <f aca="false">'Enron Proposal'!H25*'Enron Proposal'!S25</f>
        <v>6925127.10389619</v>
      </c>
      <c r="F31" s="59" t="n">
        <f aca="false">'Enron Proposal'!K25*'Enron Proposal'!T25</f>
        <v>0</v>
      </c>
      <c r="G31" s="59" t="n">
        <f aca="false">'Enron Proposal'!N25*'Enron Proposal'!U25</f>
        <v>0</v>
      </c>
      <c r="H31" s="59" t="n">
        <f aca="false">'Enron Proposal'!Q25*'Enron Proposal'!V25</f>
        <v>0</v>
      </c>
      <c r="J31" s="59" t="n">
        <f aca="false">SUM(E31:H31)</f>
        <v>6925127.10389619</v>
      </c>
      <c r="K31" s="67" t="n">
        <f aca="false">(A31-A30)/360*$L$5*$L30</f>
        <v>1604429.04655075</v>
      </c>
      <c r="L31" s="59" t="n">
        <f aca="false">L30-(J31-K31)</f>
        <v>268251625.70272</v>
      </c>
      <c r="M31" s="68" t="n">
        <f aca="false">YEARFRAC(A31,$A$14)</f>
        <v>1.41388888888889</v>
      </c>
      <c r="O31" s="59" t="n">
        <f aca="false">SUM(E31:H31)</f>
        <v>6925127.10389619</v>
      </c>
      <c r="P31" s="67" t="n">
        <f aca="false">(A31-A30)/360*$Q$5*$Q30</f>
        <v>1414122.18320184</v>
      </c>
      <c r="Q31" s="59" t="n">
        <f aca="false">Q30-(O31-P31)</f>
        <v>272461381.822699</v>
      </c>
      <c r="R31" s="68" t="n">
        <f aca="false">YEARFRAC(A31,$A$14)</f>
        <v>1.41388888888889</v>
      </c>
      <c r="T31" s="59" t="n">
        <f aca="false">IF(L30&gt;=$Z$15,$T$15,(L30*'Financing Assumptions'!$K$13))</f>
        <v>229800751.958455</v>
      </c>
      <c r="U31" s="59" t="n">
        <f aca="false">T31*('Financing Assumptions'!$F$13/12)</f>
        <v>38300.1253264091</v>
      </c>
      <c r="W31" s="59" t="n">
        <f aca="false">IF(L30&gt;=$Z$15,$W$15,(L30*'Financing Assumptions'!$K$14))</f>
        <v>43771571.8016104</v>
      </c>
      <c r="X31" s="59" t="n">
        <f aca="false">W31*('Financing Assumptions'!$F$14/12)</f>
        <v>13860.9977371766</v>
      </c>
      <c r="Z31" s="59" t="n">
        <f aca="false">T31+W31</f>
        <v>273572323.760065</v>
      </c>
      <c r="AA31" s="59" t="n">
        <f aca="false">X31+U31</f>
        <v>52161.1230635858</v>
      </c>
      <c r="AC31" s="59" t="n">
        <f aca="false">O31</f>
        <v>6925127.10389619</v>
      </c>
      <c r="AD31" s="67" t="n">
        <f aca="false">(A31-A30)/360*$AF$5*$AE30</f>
        <v>1722882.72436985</v>
      </c>
      <c r="AE31" s="59" t="n">
        <f aca="false">AE30-(AC31-AD31)</f>
        <v>265606446.827319</v>
      </c>
    </row>
    <row r="32" customFormat="false" ht="12.75" hidden="false" customHeight="false" outlineLevel="0" collapsed="false">
      <c r="A32" s="66" t="n">
        <f aca="false">'Enron Proposal'!D26</f>
        <v>37432</v>
      </c>
      <c r="C32" s="41" t="n">
        <f aca="false">'Enron Proposal'!C27</f>
        <v>30</v>
      </c>
      <c r="E32" s="59" t="n">
        <f aca="false">'Enron Proposal'!H26*'Enron Proposal'!S26</f>
        <v>7155964.67402606</v>
      </c>
      <c r="F32" s="59" t="n">
        <f aca="false">'Enron Proposal'!K26*'Enron Proposal'!T26</f>
        <v>0</v>
      </c>
      <c r="G32" s="59" t="n">
        <f aca="false">'Enron Proposal'!N26*'Enron Proposal'!U26</f>
        <v>0</v>
      </c>
      <c r="H32" s="59" t="n">
        <f aca="false">'Enron Proposal'!Q26*'Enron Proposal'!V26</f>
        <v>0</v>
      </c>
      <c r="J32" s="59" t="n">
        <f aca="false">SUM(E32:H32)</f>
        <v>7155964.67402606</v>
      </c>
      <c r="K32" s="67" t="n">
        <f aca="false">(A32-A31)/360*$L$5*$L31</f>
        <v>1425734.76209232</v>
      </c>
      <c r="L32" s="59" t="n">
        <f aca="false">L31-(J32-K32)</f>
        <v>262521395.790786</v>
      </c>
      <c r="M32" s="68" t="n">
        <f aca="false">YEARFRAC(A32,$A$14)</f>
        <v>1.49166666666667</v>
      </c>
      <c r="O32" s="59" t="n">
        <f aca="false">SUM(E32:H32)</f>
        <v>7155964.67402606</v>
      </c>
      <c r="P32" s="67" t="n">
        <f aca="false">(A32-A31)/360*$Q$5*$Q31</f>
        <v>1256140.60197692</v>
      </c>
      <c r="Q32" s="59" t="n">
        <f aca="false">Q31-(O32-P32)</f>
        <v>266561557.75065</v>
      </c>
      <c r="R32" s="68" t="n">
        <f aca="false">YEARFRAC(A32,$A$14)</f>
        <v>1.49166666666667</v>
      </c>
      <c r="T32" s="59" t="n">
        <f aca="false">IF(L31&gt;=$Z$15,$T$15,(L31*'Financing Assumptions'!$K$13))</f>
        <v>225331365.590285</v>
      </c>
      <c r="U32" s="59" t="n">
        <f aca="false">T32*('Financing Assumptions'!$F$13/12)</f>
        <v>37555.2275983808</v>
      </c>
      <c r="W32" s="59" t="n">
        <f aca="false">IF(L31&gt;=$Z$15,$W$15,(L31*'Financing Assumptions'!$K$14))</f>
        <v>42920260.1124352</v>
      </c>
      <c r="X32" s="59" t="n">
        <f aca="false">W32*('Financing Assumptions'!$F$14/12)</f>
        <v>13591.4157022711</v>
      </c>
      <c r="Z32" s="59" t="n">
        <f aca="false">T32+W32</f>
        <v>268251625.70272</v>
      </c>
      <c r="AA32" s="59" t="n">
        <f aca="false">X32+U32</f>
        <v>51146.6433006519</v>
      </c>
      <c r="AC32" s="59" t="n">
        <f aca="false">O32</f>
        <v>7155964.67402606</v>
      </c>
      <c r="AD32" s="67" t="n">
        <f aca="false">(A32-A31)/360*$AF$5*$AE31</f>
        <v>1531368.6416116</v>
      </c>
      <c r="AE32" s="59" t="n">
        <f aca="false">AE31-(AC32-AD32)</f>
        <v>259981850.794905</v>
      </c>
    </row>
    <row r="33" customFormat="false" ht="12.75" hidden="false" customHeight="false" outlineLevel="0" collapsed="false">
      <c r="A33" s="66" t="n">
        <f aca="false">'Enron Proposal'!D27</f>
        <v>37462</v>
      </c>
      <c r="C33" s="41" t="n">
        <f aca="false">'Enron Proposal'!C28</f>
        <v>31</v>
      </c>
      <c r="E33" s="59" t="n">
        <f aca="false">'Enron Proposal'!H27*'Enron Proposal'!S27</f>
        <v>6925127.10389619</v>
      </c>
      <c r="F33" s="59" t="n">
        <f aca="false">'Enron Proposal'!K27*'Enron Proposal'!T27</f>
        <v>0</v>
      </c>
      <c r="G33" s="59" t="n">
        <f aca="false">'Enron Proposal'!N27*'Enron Proposal'!U27</f>
        <v>0</v>
      </c>
      <c r="H33" s="59" t="n">
        <f aca="false">'Enron Proposal'!Q27*'Enron Proposal'!V27</f>
        <v>0</v>
      </c>
      <c r="J33" s="59" t="n">
        <f aca="false">SUM(E33:H33)</f>
        <v>6925127.10389619</v>
      </c>
      <c r="K33" s="67" t="n">
        <f aca="false">(A33-A32)/360*$L$5*$L32</f>
        <v>1443392.14498673</v>
      </c>
      <c r="L33" s="59" t="n">
        <f aca="false">L32-(J33-K33)</f>
        <v>257039660.831877</v>
      </c>
      <c r="M33" s="68" t="n">
        <f aca="false">YEARFRAC(A33,$A$14)</f>
        <v>1.575</v>
      </c>
      <c r="O33" s="59" t="n">
        <f aca="false">SUM(E33:H33)</f>
        <v>6925127.10389619</v>
      </c>
      <c r="P33" s="67" t="n">
        <f aca="false">(A33-A32)/360*$Q$5*$Q32</f>
        <v>1271317.64019427</v>
      </c>
      <c r="Q33" s="59" t="n">
        <f aca="false">Q32-(O33-P33)</f>
        <v>260907748.286948</v>
      </c>
      <c r="R33" s="68" t="n">
        <f aca="false">YEARFRAC(A33,$A$14)</f>
        <v>1.575</v>
      </c>
      <c r="T33" s="59" t="n">
        <f aca="false">IF(L32&gt;=$Z$15,$T$15,(L32*'Financing Assumptions'!$K$13))</f>
        <v>220517972.46426</v>
      </c>
      <c r="U33" s="59" t="n">
        <f aca="false">T33*('Financing Assumptions'!$F$13/12)</f>
        <v>36752.99541071</v>
      </c>
      <c r="W33" s="59" t="n">
        <f aca="false">IF(L32&gt;=$Z$15,$W$15,(L32*'Financing Assumptions'!$K$14))</f>
        <v>42003423.3265258</v>
      </c>
      <c r="X33" s="59" t="n">
        <f aca="false">W33*('Financing Assumptions'!$F$14/12)</f>
        <v>13301.0840533998</v>
      </c>
      <c r="Z33" s="59" t="n">
        <f aca="false">T33+W33</f>
        <v>262521395.790786</v>
      </c>
      <c r="AA33" s="59" t="n">
        <f aca="false">X33+U33</f>
        <v>50054.0794641099</v>
      </c>
      <c r="AC33" s="59" t="n">
        <f aca="false">O33</f>
        <v>6925127.10389619</v>
      </c>
      <c r="AD33" s="67" t="n">
        <f aca="false">(A33-A32)/360*$AF$5*$AE32</f>
        <v>1550627.29911421</v>
      </c>
      <c r="AE33" s="59" t="n">
        <f aca="false">AE32-(AC33-AD33)</f>
        <v>254607350.990123</v>
      </c>
    </row>
    <row r="34" customFormat="false" ht="12.75" hidden="false" customHeight="false" outlineLevel="0" collapsed="false">
      <c r="A34" s="66" t="n">
        <f aca="false">'Enron Proposal'!D28</f>
        <v>37494</v>
      </c>
      <c r="C34" s="41" t="n">
        <f aca="false">'Enron Proposal'!C29</f>
        <v>31</v>
      </c>
      <c r="E34" s="59" t="n">
        <f aca="false">'Enron Proposal'!H28*'Enron Proposal'!S28</f>
        <v>7155964.67402606</v>
      </c>
      <c r="F34" s="59" t="n">
        <f aca="false">'Enron Proposal'!K28*'Enron Proposal'!T28</f>
        <v>0</v>
      </c>
      <c r="G34" s="59" t="n">
        <f aca="false">'Enron Proposal'!N28*'Enron Proposal'!U28</f>
        <v>0</v>
      </c>
      <c r="H34" s="59" t="n">
        <f aca="false">'Enron Proposal'!Q28*'Enron Proposal'!V28</f>
        <v>0</v>
      </c>
      <c r="J34" s="59" t="n">
        <f aca="false">SUM(E34:H34)</f>
        <v>7155964.67402606</v>
      </c>
      <c r="K34" s="67" t="n">
        <f aca="false">(A34-A33)/360*$L$5*$L33</f>
        <v>1507469.36782943</v>
      </c>
      <c r="L34" s="59" t="n">
        <f aca="false">L33-(J34-K34)</f>
        <v>251391165.52568</v>
      </c>
      <c r="M34" s="68" t="n">
        <f aca="false">YEARFRAC(A34,$A$14)</f>
        <v>1.66111111111111</v>
      </c>
      <c r="O34" s="59" t="n">
        <f aca="false">SUM(E34:H34)</f>
        <v>7155964.67402606</v>
      </c>
      <c r="P34" s="67" t="n">
        <f aca="false">(A34-A33)/360*$Q$5*$Q33</f>
        <v>1327309.66174137</v>
      </c>
      <c r="Q34" s="59" t="n">
        <f aca="false">Q33-(O34-P34)</f>
        <v>255079093.274663</v>
      </c>
      <c r="R34" s="68" t="n">
        <f aca="false">YEARFRAC(A34,$A$14)</f>
        <v>1.66111111111111</v>
      </c>
      <c r="T34" s="59" t="n">
        <f aca="false">IF(L33&gt;=$Z$15,$T$15,(L33*'Financing Assumptions'!$K$13))</f>
        <v>215913315.098776</v>
      </c>
      <c r="U34" s="59" t="n">
        <f aca="false">T34*('Financing Assumptions'!$F$13/12)</f>
        <v>35985.5525164627</v>
      </c>
      <c r="W34" s="59" t="n">
        <f aca="false">IF(L33&gt;=$Z$15,$W$15,(L33*'Financing Assumptions'!$K$14))</f>
        <v>41126345.7331003</v>
      </c>
      <c r="X34" s="59" t="n">
        <f aca="false">W34*('Financing Assumptions'!$F$14/12)</f>
        <v>13023.3428154817</v>
      </c>
      <c r="Z34" s="59" t="n">
        <f aca="false">T34+W34</f>
        <v>257039660.831877</v>
      </c>
      <c r="AA34" s="59" t="n">
        <f aca="false">X34+U34</f>
        <v>49008.8953319445</v>
      </c>
      <c r="AC34" s="59" t="n">
        <f aca="false">O34</f>
        <v>7155964.67402606</v>
      </c>
      <c r="AD34" s="67" t="n">
        <f aca="false">(A34-A33)/360*$AF$5*$AE33</f>
        <v>1619809.92767844</v>
      </c>
      <c r="AE34" s="59" t="n">
        <f aca="false">AE33-(AC34-AD34)</f>
        <v>249071196.243775</v>
      </c>
    </row>
    <row r="35" customFormat="false" ht="12.75" hidden="false" customHeight="false" outlineLevel="0" collapsed="false">
      <c r="A35" s="66" t="n">
        <f aca="false">'Enron Proposal'!D29</f>
        <v>37524</v>
      </c>
      <c r="C35" s="41" t="n">
        <f aca="false">'Enron Proposal'!C30</f>
        <v>30</v>
      </c>
      <c r="E35" s="59" t="n">
        <f aca="false">'Enron Proposal'!H29*'Enron Proposal'!S29</f>
        <v>7155964.67402606</v>
      </c>
      <c r="F35" s="59" t="n">
        <f aca="false">'Enron Proposal'!K29*'Enron Proposal'!T29</f>
        <v>0</v>
      </c>
      <c r="G35" s="59" t="n">
        <f aca="false">'Enron Proposal'!N29*'Enron Proposal'!U29</f>
        <v>0</v>
      </c>
      <c r="H35" s="59" t="n">
        <f aca="false">'Enron Proposal'!Q29*'Enron Proposal'!V29</f>
        <v>0</v>
      </c>
      <c r="J35" s="59" t="n">
        <f aca="false">SUM(E35:H35)</f>
        <v>7155964.67402606</v>
      </c>
      <c r="K35" s="67" t="n">
        <f aca="false">(A35-A34)/360*$L$5*$L34</f>
        <v>1382196.03985346</v>
      </c>
      <c r="L35" s="59" t="n">
        <f aca="false">L34-(J35-K35)</f>
        <v>245617396.891507</v>
      </c>
      <c r="M35" s="68" t="n">
        <f aca="false">YEARFRAC(A35,$A$14)</f>
        <v>1.74166666666667</v>
      </c>
      <c r="O35" s="59" t="n">
        <f aca="false">SUM(E35:H35)</f>
        <v>7155964.67402606</v>
      </c>
      <c r="P35" s="67" t="n">
        <f aca="false">(A35-A34)/360*$Q$5*$Q34</f>
        <v>1216554.08102089</v>
      </c>
      <c r="Q35" s="59" t="n">
        <f aca="false">Q34-(O35-P35)</f>
        <v>249139682.681658</v>
      </c>
      <c r="R35" s="68" t="n">
        <f aca="false">YEARFRAC(A35,$A$14)</f>
        <v>1.74166666666667</v>
      </c>
      <c r="T35" s="59" t="n">
        <f aca="false">IF(L34&gt;=$Z$15,$T$15,(L34*'Financing Assumptions'!$K$13))</f>
        <v>211168579.041571</v>
      </c>
      <c r="U35" s="59" t="n">
        <f aca="false">T35*('Financing Assumptions'!$F$13/12)</f>
        <v>35194.7631735952</v>
      </c>
      <c r="W35" s="59" t="n">
        <f aca="false">IF(L34&gt;=$Z$15,$W$15,(L34*'Financing Assumptions'!$K$14))</f>
        <v>40222586.4841088</v>
      </c>
      <c r="X35" s="59" t="n">
        <f aca="false">W35*('Financing Assumptions'!$F$14/12)</f>
        <v>12737.1523866345</v>
      </c>
      <c r="Z35" s="59" t="n">
        <f aca="false">T35+W35</f>
        <v>251391165.52568</v>
      </c>
      <c r="AA35" s="59" t="n">
        <f aca="false">X35+U35</f>
        <v>47931.9155602296</v>
      </c>
      <c r="AC35" s="59" t="n">
        <f aca="false">O35</f>
        <v>7155964.67402606</v>
      </c>
      <c r="AD35" s="67" t="n">
        <f aca="false">(A35-A34)/360*$AF$5*$AE34</f>
        <v>1485552.14580463</v>
      </c>
      <c r="AE35" s="59" t="n">
        <f aca="false">AE34-(AC35-AD35)</f>
        <v>243400783.715554</v>
      </c>
    </row>
    <row r="36" customFormat="false" ht="12.75" hidden="false" customHeight="false" outlineLevel="0" collapsed="false">
      <c r="A36" s="66" t="n">
        <f aca="false">'Enron Proposal'!D30</f>
        <v>37554</v>
      </c>
      <c r="C36" s="41" t="n">
        <f aca="false">'Enron Proposal'!C31</f>
        <v>31</v>
      </c>
      <c r="E36" s="59" t="n">
        <f aca="false">'Enron Proposal'!H30*'Enron Proposal'!S30</f>
        <v>6925127.10389619</v>
      </c>
      <c r="F36" s="59" t="n">
        <f aca="false">'Enron Proposal'!K30*'Enron Proposal'!T30</f>
        <v>0</v>
      </c>
      <c r="G36" s="59" t="n">
        <f aca="false">'Enron Proposal'!N30*'Enron Proposal'!U30</f>
        <v>0</v>
      </c>
      <c r="H36" s="59" t="n">
        <f aca="false">'Enron Proposal'!Q30*'Enron Proposal'!V30</f>
        <v>0</v>
      </c>
      <c r="J36" s="59" t="n">
        <f aca="false">SUM(E36:H36)</f>
        <v>6925127.10389619</v>
      </c>
      <c r="K36" s="67" t="n">
        <f aca="false">(A36-A35)/360*$L$5*$L35</f>
        <v>1350450.77098334</v>
      </c>
      <c r="L36" s="59" t="n">
        <f aca="false">L35-(J36-K36)</f>
        <v>240042720.558595</v>
      </c>
      <c r="M36" s="68" t="n">
        <f aca="false">YEARFRAC(A36,$A$14)</f>
        <v>1.825</v>
      </c>
      <c r="O36" s="59" t="n">
        <f aca="false">SUM(E36:H36)</f>
        <v>6925127.10389619</v>
      </c>
      <c r="P36" s="67" t="n">
        <f aca="false">(A36-A35)/360*$Q$5*$Q35</f>
        <v>1188227.12524017</v>
      </c>
      <c r="Q36" s="59" t="n">
        <f aca="false">Q35-(O36-P36)</f>
        <v>243402782.703002</v>
      </c>
      <c r="R36" s="68" t="n">
        <f aca="false">YEARFRAC(A36,$A$14)</f>
        <v>1.825</v>
      </c>
      <c r="T36" s="59" t="n">
        <f aca="false">IF(L35&gt;=$Z$15,$T$15,(L35*'Financing Assumptions'!$K$13))</f>
        <v>206318613.388866</v>
      </c>
      <c r="U36" s="59" t="n">
        <f aca="false">T36*('Financing Assumptions'!$F$13/12)</f>
        <v>34386.435564811</v>
      </c>
      <c r="W36" s="59" t="n">
        <f aca="false">IF(L35&gt;=$Z$15,$W$15,(L35*'Financing Assumptions'!$K$14))</f>
        <v>39298783.5026412</v>
      </c>
      <c r="X36" s="59" t="n">
        <f aca="false">W36*('Financing Assumptions'!$F$14/12)</f>
        <v>12444.6147758364</v>
      </c>
      <c r="Z36" s="59" t="n">
        <f aca="false">T36+W36</f>
        <v>245617396.891507</v>
      </c>
      <c r="AA36" s="59" t="n">
        <f aca="false">X36+U36</f>
        <v>46831.0503406474</v>
      </c>
      <c r="AC36" s="59" t="n">
        <f aca="false">O36</f>
        <v>6925127.10389619</v>
      </c>
      <c r="AD36" s="67" t="n">
        <f aca="false">(A36-A35)/360*$AF$5*$AE35</f>
        <v>1451731.72166112</v>
      </c>
      <c r="AE36" s="59" t="n">
        <f aca="false">AE35-(AC36-AD36)</f>
        <v>237927388.333319</v>
      </c>
    </row>
    <row r="37" customFormat="false" ht="12.75" hidden="false" customHeight="false" outlineLevel="0" collapsed="false">
      <c r="A37" s="66" t="n">
        <f aca="false">'Enron Proposal'!D31</f>
        <v>37585</v>
      </c>
      <c r="C37" s="41" t="n">
        <f aca="false">'Enron Proposal'!C32</f>
        <v>30</v>
      </c>
      <c r="E37" s="59" t="n">
        <f aca="false">'Enron Proposal'!H31*'Enron Proposal'!S31</f>
        <v>7155964.67402606</v>
      </c>
      <c r="F37" s="59" t="n">
        <f aca="false">'Enron Proposal'!K31*'Enron Proposal'!T31</f>
        <v>0</v>
      </c>
      <c r="G37" s="59" t="n">
        <f aca="false">'Enron Proposal'!N31*'Enron Proposal'!U31</f>
        <v>0</v>
      </c>
      <c r="H37" s="59" t="n">
        <f aca="false">'Enron Proposal'!Q31*'Enron Proposal'!V31</f>
        <v>0</v>
      </c>
      <c r="J37" s="59" t="n">
        <f aca="false">SUM(E37:H37)</f>
        <v>7155964.67402606</v>
      </c>
      <c r="K37" s="67" t="n">
        <f aca="false">(A37-A36)/360*$L$5*$L36</f>
        <v>1363793.48743837</v>
      </c>
      <c r="L37" s="59" t="n">
        <f aca="false">L36-(J37-K37)</f>
        <v>234250549.372007</v>
      </c>
      <c r="M37" s="68" t="n">
        <f aca="false">YEARFRAC(A37,$A$14)</f>
        <v>1.90833333333333</v>
      </c>
      <c r="O37" s="59" t="n">
        <f aca="false">SUM(E37:H37)</f>
        <v>7155964.67402606</v>
      </c>
      <c r="P37" s="67" t="n">
        <f aca="false">(A37-A36)/360*$Q$5*$Q36</f>
        <v>1199561.54117529</v>
      </c>
      <c r="Q37" s="59" t="n">
        <f aca="false">Q36-(O37-P37)</f>
        <v>237446379.570151</v>
      </c>
      <c r="R37" s="68" t="n">
        <f aca="false">YEARFRAC(A37,$A$14)</f>
        <v>1.90833333333333</v>
      </c>
      <c r="T37" s="59" t="n">
        <f aca="false">IF(L36&gt;=$Z$15,$T$15,(L36*'Financing Assumptions'!$K$13))</f>
        <v>201635885.269219</v>
      </c>
      <c r="U37" s="59" t="n">
        <f aca="false">T37*('Financing Assumptions'!$F$13/12)</f>
        <v>33605.9808782032</v>
      </c>
      <c r="W37" s="59" t="n">
        <f aca="false">IF(L36&gt;=$Z$15,$W$15,(L36*'Financing Assumptions'!$K$14))</f>
        <v>38406835.2893751</v>
      </c>
      <c r="X37" s="59" t="n">
        <f aca="false">W37*('Financing Assumptions'!$F$14/12)</f>
        <v>12162.1645083021</v>
      </c>
      <c r="Z37" s="59" t="n">
        <f aca="false">T37+W37</f>
        <v>240042720.558595</v>
      </c>
      <c r="AA37" s="59" t="n">
        <f aca="false">X37+U37</f>
        <v>45768.1453865054</v>
      </c>
      <c r="AC37" s="59" t="n">
        <f aca="false">O37</f>
        <v>7155964.67402606</v>
      </c>
      <c r="AD37" s="67" t="n">
        <f aca="false">(A37-A36)/360*$AF$5*$AE36</f>
        <v>1466389.25951756</v>
      </c>
      <c r="AE37" s="59" t="n">
        <f aca="false">AE36-(AC37-AD37)</f>
        <v>232237812.91881</v>
      </c>
    </row>
    <row r="38" customFormat="false" ht="12.75" hidden="false" customHeight="false" outlineLevel="0" collapsed="false">
      <c r="A38" s="66" t="n">
        <f aca="false">'Enron Proposal'!D32</f>
        <v>37615</v>
      </c>
      <c r="C38" s="41" t="n">
        <f aca="false">'Enron Proposal'!C33</f>
        <v>31</v>
      </c>
      <c r="E38" s="59" t="n">
        <f aca="false">'Enron Proposal'!H32*'Enron Proposal'!S32</f>
        <v>6925127.10389619</v>
      </c>
      <c r="F38" s="59" t="n">
        <f aca="false">'Enron Proposal'!K32*'Enron Proposal'!T32</f>
        <v>0</v>
      </c>
      <c r="G38" s="59" t="n">
        <f aca="false">'Enron Proposal'!N32*'Enron Proposal'!U32</f>
        <v>0</v>
      </c>
      <c r="H38" s="59" t="n">
        <f aca="false">'Enron Proposal'!Q32*'Enron Proposal'!V32</f>
        <v>0</v>
      </c>
      <c r="J38" s="59" t="n">
        <f aca="false">SUM(E38:H38)</f>
        <v>6925127.10389619</v>
      </c>
      <c r="K38" s="67" t="n">
        <f aca="false">(A38-A37)/360*$L$5*$L37</f>
        <v>1287953.69955994</v>
      </c>
      <c r="L38" s="59" t="n">
        <f aca="false">L37-(J38-K38)</f>
        <v>228613375.967671</v>
      </c>
      <c r="M38" s="68" t="n">
        <f aca="false">YEARFRAC(A38,$A$14)</f>
        <v>1.99166666666667</v>
      </c>
      <c r="O38" s="59" t="n">
        <f aca="false">SUM(E38:H38)</f>
        <v>6925127.10389619</v>
      </c>
      <c r="P38" s="67" t="n">
        <f aca="false">(A38-A37)/360*$Q$5*$Q37</f>
        <v>1132458.00893082</v>
      </c>
      <c r="Q38" s="59" t="n">
        <f aca="false">Q37-(O38-P38)</f>
        <v>231653710.475186</v>
      </c>
      <c r="R38" s="68" t="n">
        <f aca="false">YEARFRAC(A38,$A$14)</f>
        <v>1.99166666666667</v>
      </c>
      <c r="T38" s="59" t="n">
        <f aca="false">IF(L37&gt;=$Z$15,$T$15,(L37*'Financing Assumptions'!$K$13))</f>
        <v>196770461.472486</v>
      </c>
      <c r="U38" s="59" t="n">
        <f aca="false">T38*('Financing Assumptions'!$F$13/12)</f>
        <v>32795.076912081</v>
      </c>
      <c r="W38" s="59" t="n">
        <f aca="false">IF(L37&gt;=$Z$15,$W$15,(L37*'Financing Assumptions'!$K$14))</f>
        <v>37480087.8995211</v>
      </c>
      <c r="X38" s="59" t="n">
        <f aca="false">W38*('Financing Assumptions'!$F$14/12)</f>
        <v>11868.694501515</v>
      </c>
      <c r="Z38" s="59" t="n">
        <f aca="false">T38+W38</f>
        <v>234250549.372007</v>
      </c>
      <c r="AA38" s="59" t="n">
        <f aca="false">X38+U38</f>
        <v>44663.771413596</v>
      </c>
      <c r="AC38" s="59" t="n">
        <f aca="false">O38</f>
        <v>6925127.10389619</v>
      </c>
      <c r="AD38" s="67" t="n">
        <f aca="false">(A38-A37)/360*$AF$5*$AE37</f>
        <v>1385151.66153877</v>
      </c>
      <c r="AE38" s="59" t="n">
        <f aca="false">AE37-(AC38-AD38)</f>
        <v>226697837.476453</v>
      </c>
    </row>
    <row r="39" customFormat="false" ht="12.75" hidden="false" customHeight="false" outlineLevel="0" collapsed="false">
      <c r="A39" s="66" t="n">
        <f aca="false">'Enron Proposal'!D33</f>
        <v>37648</v>
      </c>
      <c r="C39" s="41" t="n">
        <f aca="false">'Enron Proposal'!C34</f>
        <v>31</v>
      </c>
      <c r="E39" s="59" t="n">
        <f aca="false">'Enron Proposal'!H33*'Enron Proposal'!S33</f>
        <v>7155964.67402606</v>
      </c>
      <c r="F39" s="59" t="n">
        <f aca="false">'Enron Proposal'!K33*'Enron Proposal'!T33</f>
        <v>0</v>
      </c>
      <c r="G39" s="59" t="n">
        <f aca="false">'Enron Proposal'!N33*'Enron Proposal'!U33</f>
        <v>0</v>
      </c>
      <c r="H39" s="59" t="n">
        <f aca="false">'Enron Proposal'!Q33*'Enron Proposal'!V33</f>
        <v>0</v>
      </c>
      <c r="J39" s="59" t="n">
        <f aca="false">SUM(E39:H39)</f>
        <v>7155964.67402606</v>
      </c>
      <c r="K39" s="67" t="n">
        <f aca="false">(A39-A38)/360*$L$5*$L38</f>
        <v>1382655.40272751</v>
      </c>
      <c r="L39" s="59" t="n">
        <f aca="false">L38-(J39-K39)</f>
        <v>222840066.696372</v>
      </c>
      <c r="M39" s="68" t="n">
        <f aca="false">YEARFRAC(A39,$A$14)</f>
        <v>2.08055555555556</v>
      </c>
      <c r="O39" s="59" t="n">
        <f aca="false">SUM(E39:H39)</f>
        <v>7155964.67402606</v>
      </c>
      <c r="P39" s="67" t="n">
        <f aca="false">(A39-A38)/360*$Q$5*$Q38</f>
        <v>1215314.00150713</v>
      </c>
      <c r="Q39" s="59" t="n">
        <f aca="false">Q38-(O39-P39)</f>
        <v>225713059.802667</v>
      </c>
      <c r="R39" s="68" t="n">
        <f aca="false">YEARFRAC(A39,$A$14)</f>
        <v>2.08055555555556</v>
      </c>
      <c r="T39" s="59" t="n">
        <f aca="false">IF(L38&gt;=$Z$15,$T$15,(L38*'Financing Assumptions'!$K$13))</f>
        <v>192035235.812843</v>
      </c>
      <c r="U39" s="59" t="n">
        <f aca="false">T39*('Financing Assumptions'!$F$13/12)</f>
        <v>32005.8726354739</v>
      </c>
      <c r="W39" s="59" t="n">
        <f aca="false">IF(L38&gt;=$Z$15,$W$15,(L38*'Financing Assumptions'!$K$14))</f>
        <v>36578140.1548273</v>
      </c>
      <c r="X39" s="59" t="n">
        <f aca="false">W39*('Financing Assumptions'!$F$14/12)</f>
        <v>11583.0777156953</v>
      </c>
      <c r="Z39" s="59" t="n">
        <f aca="false">T39+W39</f>
        <v>228613375.967671</v>
      </c>
      <c r="AA39" s="59" t="n">
        <f aca="false">X39+U39</f>
        <v>43588.9503511692</v>
      </c>
      <c r="AC39" s="59" t="n">
        <f aca="false">O39</f>
        <v>7155964.67402606</v>
      </c>
      <c r="AD39" s="67" t="n">
        <f aca="false">(A39-A38)/360*$AF$5*$AE38</f>
        <v>1487320.13332077</v>
      </c>
      <c r="AE39" s="59" t="n">
        <f aca="false">AE38-(AC39-AD39)</f>
        <v>221029192.935748</v>
      </c>
    </row>
    <row r="40" customFormat="false" ht="12.75" hidden="false" customHeight="false" outlineLevel="0" collapsed="false">
      <c r="A40" s="66" t="n">
        <f aca="false">'Enron Proposal'!D34</f>
        <v>37677</v>
      </c>
      <c r="C40" s="41" t="n">
        <f aca="false">'Enron Proposal'!C35</f>
        <v>28</v>
      </c>
      <c r="E40" s="59" t="n">
        <f aca="false">'Enron Proposal'!H34*'Enron Proposal'!S34</f>
        <v>7155964.67402606</v>
      </c>
      <c r="F40" s="59" t="n">
        <f aca="false">'Enron Proposal'!K34*'Enron Proposal'!T34</f>
        <v>0</v>
      </c>
      <c r="G40" s="59" t="n">
        <f aca="false">'Enron Proposal'!N34*'Enron Proposal'!U34</f>
        <v>0</v>
      </c>
      <c r="H40" s="59" t="n">
        <f aca="false">'Enron Proposal'!Q34*'Enron Proposal'!V34</f>
        <v>0</v>
      </c>
      <c r="J40" s="59" t="n">
        <f aca="false">SUM(E40:H40)</f>
        <v>7155964.67402606</v>
      </c>
      <c r="K40" s="67" t="n">
        <f aca="false">(A40-A39)/360*$L$5*$L39</f>
        <v>1184376.15669133</v>
      </c>
      <c r="L40" s="59" t="n">
        <f aca="false">L39-(J40-K40)</f>
        <v>216868478.179037</v>
      </c>
      <c r="M40" s="68" t="n">
        <f aca="false">YEARFRAC(A40,$A$14)</f>
        <v>2.15833333333333</v>
      </c>
      <c r="O40" s="59" t="n">
        <f aca="false">SUM(E40:H40)</f>
        <v>7155964.67402606</v>
      </c>
      <c r="P40" s="67" t="n">
        <f aca="false">(A40-A39)/360*$Q$5*$Q39</f>
        <v>1040614.77233158</v>
      </c>
      <c r="Q40" s="59" t="n">
        <f aca="false">Q39-(O40-P40)</f>
        <v>219597709.900972</v>
      </c>
      <c r="R40" s="68" t="n">
        <f aca="false">YEARFRAC(A40,$A$14)</f>
        <v>2.15833333333333</v>
      </c>
      <c r="T40" s="59" t="n">
        <f aca="false">IF(L39&gt;=$Z$15,$T$15,(L39*'Financing Assumptions'!$K$13))</f>
        <v>187185656.024952</v>
      </c>
      <c r="U40" s="59" t="n">
        <f aca="false">T40*('Financing Assumptions'!$F$13/12)</f>
        <v>31197.6093374921</v>
      </c>
      <c r="W40" s="59" t="n">
        <f aca="false">IF(L39&gt;=$Z$15,$W$15,(L39*'Financing Assumptions'!$K$14))</f>
        <v>35654410.6714195</v>
      </c>
      <c r="X40" s="59" t="n">
        <f aca="false">W40*('Financing Assumptions'!$F$14/12)</f>
        <v>11290.5633792828</v>
      </c>
      <c r="Z40" s="59" t="n">
        <f aca="false">T40+W40</f>
        <v>222840066.696372</v>
      </c>
      <c r="AA40" s="59" t="n">
        <f aca="false">X40+U40</f>
        <v>42488.1727167749</v>
      </c>
      <c r="AC40" s="59" t="n">
        <f aca="false">O40</f>
        <v>7155964.67402606</v>
      </c>
      <c r="AD40" s="67" t="n">
        <f aca="false">(A40-A39)/360*$AF$5*$AE39</f>
        <v>1274356.02179709</v>
      </c>
      <c r="AE40" s="59" t="n">
        <f aca="false">AE39-(AC40-AD40)</f>
        <v>215147584.283519</v>
      </c>
    </row>
    <row r="41" customFormat="false" ht="12.75" hidden="false" customHeight="false" outlineLevel="0" collapsed="false">
      <c r="A41" s="66" t="n">
        <f aca="false">'Enron Proposal'!D35</f>
        <v>37705</v>
      </c>
      <c r="C41" s="41" t="n">
        <f aca="false">'Enron Proposal'!C36</f>
        <v>31</v>
      </c>
      <c r="E41" s="59" t="n">
        <f aca="false">'Enron Proposal'!H35*'Enron Proposal'!S35</f>
        <v>6463451.96363644</v>
      </c>
      <c r="F41" s="59" t="n">
        <f aca="false">'Enron Proposal'!K35*'Enron Proposal'!T35</f>
        <v>0</v>
      </c>
      <c r="G41" s="59" t="n">
        <f aca="false">'Enron Proposal'!N35*'Enron Proposal'!U35</f>
        <v>0</v>
      </c>
      <c r="H41" s="59" t="n">
        <f aca="false">'Enron Proposal'!Q35*'Enron Proposal'!V35</f>
        <v>0</v>
      </c>
      <c r="J41" s="59" t="n">
        <f aca="false">SUM(E41:H41)</f>
        <v>6463451.96363644</v>
      </c>
      <c r="K41" s="67" t="n">
        <f aca="false">(A41-A40)/360*$L$5*$L40</f>
        <v>1112891.54099434</v>
      </c>
      <c r="L41" s="59" t="n">
        <f aca="false">L40-(J41-K41)</f>
        <v>211517917.756395</v>
      </c>
      <c r="M41" s="68" t="n">
        <f aca="false">YEARFRAC(A41,$A$14)</f>
        <v>2.24166666666667</v>
      </c>
      <c r="O41" s="59" t="n">
        <f aca="false">SUM(E41:H41)</f>
        <v>6463451.96363644</v>
      </c>
      <c r="P41" s="67" t="n">
        <f aca="false">(A41-A40)/360*$Q$5*$Q40</f>
        <v>977509.841951361</v>
      </c>
      <c r="Q41" s="59" t="n">
        <f aca="false">Q40-(O41-P41)</f>
        <v>214111767.779287</v>
      </c>
      <c r="R41" s="68" t="n">
        <f aca="false">YEARFRAC(A41,$A$14)</f>
        <v>2.24166666666667</v>
      </c>
      <c r="T41" s="59" t="n">
        <f aca="false">IF(L40&gt;=$Z$15,$T$15,(L40*'Financing Assumptions'!$K$13))</f>
        <v>182169521.670391</v>
      </c>
      <c r="U41" s="59" t="n">
        <f aca="false">T41*('Financing Assumptions'!$F$13/12)</f>
        <v>30361.5869450652</v>
      </c>
      <c r="W41" s="59" t="n">
        <f aca="false">IF(L40&gt;=$Z$15,$W$15,(L40*'Financing Assumptions'!$K$14))</f>
        <v>34698956.508646</v>
      </c>
      <c r="X41" s="59" t="n">
        <f aca="false">W41*('Financing Assumptions'!$F$14/12)</f>
        <v>10988.0028944046</v>
      </c>
      <c r="Z41" s="59" t="n">
        <f aca="false">T41+W41</f>
        <v>216868478.179037</v>
      </c>
      <c r="AA41" s="59" t="n">
        <f aca="false">X41+U41</f>
        <v>41349.5898394698</v>
      </c>
      <c r="AC41" s="59" t="n">
        <f aca="false">O41</f>
        <v>6463451.96363644</v>
      </c>
      <c r="AD41" s="67" t="n">
        <f aca="false">(A41-A40)/360*$AF$5*$AE40</f>
        <v>1197671.30695687</v>
      </c>
      <c r="AE41" s="59" t="n">
        <f aca="false">AE40-(AC41-AD41)</f>
        <v>209881803.626839</v>
      </c>
    </row>
    <row r="42" customFormat="false" ht="12.75" hidden="false" customHeight="false" outlineLevel="0" collapsed="false">
      <c r="A42" s="66" t="n">
        <f aca="false">'Enron Proposal'!D36</f>
        <v>37736</v>
      </c>
      <c r="C42" s="41" t="n">
        <f aca="false">'Enron Proposal'!C37</f>
        <v>30</v>
      </c>
      <c r="E42" s="59" t="n">
        <f aca="false">'Enron Proposal'!H36*'Enron Proposal'!S36</f>
        <v>7155964.67402606</v>
      </c>
      <c r="F42" s="59" t="n">
        <f aca="false">'Enron Proposal'!K36*'Enron Proposal'!T36</f>
        <v>0</v>
      </c>
      <c r="G42" s="59" t="n">
        <f aca="false">'Enron Proposal'!N36*'Enron Proposal'!U36</f>
        <v>0</v>
      </c>
      <c r="H42" s="59" t="n">
        <f aca="false">'Enron Proposal'!Q36*'Enron Proposal'!V36</f>
        <v>0</v>
      </c>
      <c r="J42" s="59" t="n">
        <f aca="false">SUM(E42:H42)</f>
        <v>7155964.67402606</v>
      </c>
      <c r="K42" s="67" t="n">
        <f aca="false">(A42-A41)/360*$L$5*$L41</f>
        <v>1201730.91706933</v>
      </c>
      <c r="L42" s="59" t="n">
        <f aca="false">L41-(J42-K42)</f>
        <v>205563683.999438</v>
      </c>
      <c r="M42" s="68" t="n">
        <f aca="false">YEARFRAC(A42,$A$14)</f>
        <v>2.325</v>
      </c>
      <c r="O42" s="59" t="n">
        <f aca="false">SUM(E42:H42)</f>
        <v>7155964.67402606</v>
      </c>
      <c r="P42" s="67" t="n">
        <f aca="false">(A42-A41)/360*$Q$5*$Q41</f>
        <v>1055206.67959858</v>
      </c>
      <c r="Q42" s="59" t="n">
        <f aca="false">Q41-(O42-P42)</f>
        <v>208011009.78486</v>
      </c>
      <c r="R42" s="68" t="n">
        <f aca="false">YEARFRAC(A42,$A$14)</f>
        <v>2.325</v>
      </c>
      <c r="T42" s="59" t="n">
        <f aca="false">IF(L41&gt;=$Z$15,$T$15,(L41*'Financing Assumptions'!$K$13))</f>
        <v>177675050.915372</v>
      </c>
      <c r="U42" s="59" t="n">
        <f aca="false">T42*('Financing Assumptions'!$F$13/12)</f>
        <v>29612.5084858953</v>
      </c>
      <c r="W42" s="59" t="n">
        <f aca="false">IF(L41&gt;=$Z$15,$W$15,(L41*'Financing Assumptions'!$K$14))</f>
        <v>33842866.8410232</v>
      </c>
      <c r="X42" s="59" t="n">
        <f aca="false">W42*('Financing Assumptions'!$F$14/12)</f>
        <v>10716.9078329907</v>
      </c>
      <c r="Z42" s="59" t="n">
        <f aca="false">T42+W42</f>
        <v>211517917.756395</v>
      </c>
      <c r="AA42" s="59" t="n">
        <f aca="false">X42+U42</f>
        <v>40329.416318886</v>
      </c>
      <c r="AC42" s="59" t="n">
        <f aca="false">O42</f>
        <v>7155964.67402606</v>
      </c>
      <c r="AD42" s="67" t="n">
        <f aca="false">(A42-A41)/360*$AF$5*$AE41</f>
        <v>1293539.28004039</v>
      </c>
      <c r="AE42" s="59" t="n">
        <f aca="false">AE41-(AC42-AD42)</f>
        <v>204019378.232854</v>
      </c>
    </row>
    <row r="43" customFormat="false" ht="12.75" hidden="false" customHeight="false" outlineLevel="0" collapsed="false">
      <c r="A43" s="66" t="n">
        <f aca="false">'Enron Proposal'!D37</f>
        <v>37767</v>
      </c>
      <c r="C43" s="41" t="n">
        <f aca="false">'Enron Proposal'!C38</f>
        <v>31</v>
      </c>
      <c r="E43" s="59" t="n">
        <f aca="false">'Enron Proposal'!H37*'Enron Proposal'!S37</f>
        <v>6925127.10389619</v>
      </c>
      <c r="F43" s="59" t="n">
        <f aca="false">'Enron Proposal'!K37*'Enron Proposal'!T37</f>
        <v>0</v>
      </c>
      <c r="G43" s="59" t="n">
        <f aca="false">'Enron Proposal'!N37*'Enron Proposal'!U37</f>
        <v>0</v>
      </c>
      <c r="H43" s="59" t="n">
        <f aca="false">'Enron Proposal'!Q37*'Enron Proposal'!V37</f>
        <v>0</v>
      </c>
      <c r="J43" s="59" t="n">
        <f aca="false">SUM(E43:H43)</f>
        <v>6925127.10389619</v>
      </c>
      <c r="K43" s="67" t="n">
        <f aca="false">(A43-A42)/360*$L$5*$L42</f>
        <v>1167902.16691383</v>
      </c>
      <c r="L43" s="59" t="n">
        <f aca="false">L42-(J43-K43)</f>
        <v>199806459.062456</v>
      </c>
      <c r="M43" s="68" t="n">
        <f aca="false">YEARFRAC(A43,$A$14)</f>
        <v>2.41111111111111</v>
      </c>
      <c r="O43" s="59" t="n">
        <f aca="false">SUM(E43:H43)</f>
        <v>6925127.10389619</v>
      </c>
      <c r="P43" s="67" t="n">
        <f aca="false">(A43-A42)/360*$Q$5*$Q42</f>
        <v>1025140.32382046</v>
      </c>
      <c r="Q43" s="59" t="n">
        <f aca="false">Q42-(O43-P43)</f>
        <v>202111023.004784</v>
      </c>
      <c r="R43" s="68" t="n">
        <f aca="false">YEARFRAC(A43,$A$14)</f>
        <v>2.41111111111111</v>
      </c>
      <c r="T43" s="59" t="n">
        <f aca="false">IF(L42&gt;=$Z$15,$T$15,(L42*'Financing Assumptions'!$K$13))</f>
        <v>172673494.559528</v>
      </c>
      <c r="U43" s="59" t="n">
        <f aca="false">T43*('Financing Assumptions'!$F$13/12)</f>
        <v>28778.9157599214</v>
      </c>
      <c r="W43" s="59" t="n">
        <f aca="false">IF(L42&gt;=$Z$15,$W$15,(L42*'Financing Assumptions'!$K$14))</f>
        <v>32890189.4399102</v>
      </c>
      <c r="X43" s="59" t="n">
        <f aca="false">W43*('Financing Assumptions'!$F$14/12)</f>
        <v>10415.2266559715</v>
      </c>
      <c r="Z43" s="59" t="n">
        <f aca="false">T43+W43</f>
        <v>205563683.999438</v>
      </c>
      <c r="AA43" s="59" t="n">
        <f aca="false">X43+U43</f>
        <v>39194.1424158929</v>
      </c>
      <c r="AC43" s="59" t="n">
        <f aca="false">O43</f>
        <v>6925127.10389619</v>
      </c>
      <c r="AD43" s="67" t="n">
        <f aca="false">(A43-A42)/360*$AF$5*$AE42</f>
        <v>1257408.0986212</v>
      </c>
      <c r="AE43" s="59" t="n">
        <f aca="false">AE42-(AC43-AD43)</f>
        <v>198351659.227579</v>
      </c>
    </row>
    <row r="44" customFormat="false" ht="12.75" hidden="false" customHeight="false" outlineLevel="0" collapsed="false">
      <c r="A44" s="66" t="n">
        <f aca="false">'Enron Proposal'!D38</f>
        <v>37797</v>
      </c>
      <c r="C44" s="41" t="n">
        <f aca="false">'Enron Proposal'!C39</f>
        <v>30</v>
      </c>
      <c r="E44" s="59" t="n">
        <f aca="false">'Enron Proposal'!H38*'Enron Proposal'!S38</f>
        <v>7155964.67402606</v>
      </c>
      <c r="F44" s="59" t="n">
        <f aca="false">'Enron Proposal'!K38*'Enron Proposal'!T38</f>
        <v>0</v>
      </c>
      <c r="G44" s="59" t="n">
        <f aca="false">'Enron Proposal'!N38*'Enron Proposal'!U38</f>
        <v>0</v>
      </c>
      <c r="H44" s="59" t="n">
        <f aca="false">'Enron Proposal'!Q38*'Enron Proposal'!V38</f>
        <v>0</v>
      </c>
      <c r="J44" s="59" t="n">
        <f aca="false">SUM(E44:H44)</f>
        <v>7155964.67402606</v>
      </c>
      <c r="K44" s="67" t="n">
        <f aca="false">(A44-A43)/360*$L$5*$L43</f>
        <v>1098573.59496214</v>
      </c>
      <c r="L44" s="59" t="n">
        <f aca="false">L43-(J44-K44)</f>
        <v>193749067.983392</v>
      </c>
      <c r="M44" s="68" t="n">
        <f aca="false">YEARFRAC(A44,$A$14)</f>
        <v>2.49166666666667</v>
      </c>
      <c r="O44" s="59" t="n">
        <f aca="false">SUM(E44:H44)</f>
        <v>7155964.67402606</v>
      </c>
      <c r="P44" s="67" t="n">
        <f aca="false">(A44-A43)/360*$Q$5*$Q43</f>
        <v>963932.350155492</v>
      </c>
      <c r="Q44" s="59" t="n">
        <f aca="false">Q43-(O44-P44)</f>
        <v>195918990.680913</v>
      </c>
      <c r="R44" s="68" t="n">
        <f aca="false">YEARFRAC(A44,$A$14)</f>
        <v>2.49166666666667</v>
      </c>
      <c r="T44" s="59" t="n">
        <f aca="false">IF(L43&gt;=$Z$15,$T$15,(L43*'Financing Assumptions'!$K$13))</f>
        <v>167837425.612463</v>
      </c>
      <c r="U44" s="59" t="n">
        <f aca="false">T44*('Financing Assumptions'!$F$13/12)</f>
        <v>27972.9042687439</v>
      </c>
      <c r="W44" s="59" t="n">
        <f aca="false">IF(L43&gt;=$Z$15,$W$15,(L43*'Financing Assumptions'!$K$14))</f>
        <v>31969033.449993</v>
      </c>
      <c r="X44" s="59" t="n">
        <f aca="false">W44*('Financing Assumptions'!$F$14/12)</f>
        <v>10123.5272591644</v>
      </c>
      <c r="Z44" s="59" t="n">
        <f aca="false">T44+W44</f>
        <v>199806459.062456</v>
      </c>
      <c r="AA44" s="59" t="n">
        <f aca="false">X44+U44</f>
        <v>38096.4315279083</v>
      </c>
      <c r="AC44" s="59" t="n">
        <f aca="false">O44</f>
        <v>7155964.67402606</v>
      </c>
      <c r="AD44" s="67" t="n">
        <f aca="false">(A44-A43)/360*$AF$5*$AE43</f>
        <v>1183042.18806996</v>
      </c>
      <c r="AE44" s="59" t="n">
        <f aca="false">AE43-(AC44-AD44)</f>
        <v>192378736.741622</v>
      </c>
    </row>
    <row r="45" customFormat="false" ht="12.75" hidden="false" customHeight="false" outlineLevel="0" collapsed="false">
      <c r="A45" s="66" t="n">
        <f aca="false">'Enron Proposal'!D39</f>
        <v>37827</v>
      </c>
      <c r="C45" s="41" t="n">
        <f aca="false">'Enron Proposal'!C40</f>
        <v>31</v>
      </c>
      <c r="E45" s="59" t="n">
        <f aca="false">'Enron Proposal'!H39*'Enron Proposal'!S39</f>
        <v>6925127.10389619</v>
      </c>
      <c r="F45" s="59" t="n">
        <f aca="false">'Enron Proposal'!K39*'Enron Proposal'!T39</f>
        <v>0</v>
      </c>
      <c r="G45" s="59" t="n">
        <f aca="false">'Enron Proposal'!N39*'Enron Proposal'!U39</f>
        <v>0</v>
      </c>
      <c r="H45" s="59" t="n">
        <f aca="false">'Enron Proposal'!Q39*'Enron Proposal'!V39</f>
        <v>0</v>
      </c>
      <c r="J45" s="59" t="n">
        <f aca="false">SUM(E45:H45)</f>
        <v>6925127.10389619</v>
      </c>
      <c r="K45" s="67" t="n">
        <f aca="false">(A45-A44)/360*$L$5*$L44</f>
        <v>1065268.91639948</v>
      </c>
      <c r="L45" s="59" t="n">
        <f aca="false">L44-(J45-K45)</f>
        <v>187889209.795895</v>
      </c>
      <c r="M45" s="68" t="n">
        <f aca="false">YEARFRAC(A45,$A$14)</f>
        <v>2.575</v>
      </c>
      <c r="O45" s="59" t="n">
        <f aca="false">SUM(E45:H45)</f>
        <v>6925127.10389619</v>
      </c>
      <c r="P45" s="67" t="n">
        <f aca="false">(A45-A44)/360*$Q$5*$Q44</f>
        <v>934400.560243934</v>
      </c>
      <c r="Q45" s="59" t="n">
        <f aca="false">Q44-(O45-P45)</f>
        <v>189928264.137261</v>
      </c>
      <c r="R45" s="68" t="n">
        <f aca="false">YEARFRAC(A45,$A$14)</f>
        <v>2.575</v>
      </c>
      <c r="T45" s="59" t="n">
        <f aca="false">IF(L44&gt;=$Z$15,$T$15,(L44*'Financing Assumptions'!$K$13))</f>
        <v>162749217.106049</v>
      </c>
      <c r="U45" s="59" t="n">
        <f aca="false">T45*('Financing Assumptions'!$F$13/12)</f>
        <v>27124.8695176749</v>
      </c>
      <c r="W45" s="59" t="n">
        <f aca="false">IF(L44&gt;=$Z$15,$W$15,(L44*'Financing Assumptions'!$K$14))</f>
        <v>30999850.8773427</v>
      </c>
      <c r="X45" s="59" t="n">
        <f aca="false">W45*('Financing Assumptions'!$F$14/12)</f>
        <v>9816.61944449187</v>
      </c>
      <c r="Z45" s="59" t="n">
        <f aca="false">T45+W45</f>
        <v>193749067.983392</v>
      </c>
      <c r="AA45" s="59" t="n">
        <f aca="false">X45+U45</f>
        <v>36941.4889621668</v>
      </c>
      <c r="AC45" s="59" t="n">
        <f aca="false">O45</f>
        <v>6925127.10389619</v>
      </c>
      <c r="AD45" s="67" t="n">
        <f aca="false">(A45-A44)/360*$AF$5*$AE44</f>
        <v>1147417.48336885</v>
      </c>
      <c r="AE45" s="59" t="n">
        <f aca="false">AE44-(AC45-AD45)</f>
        <v>186601027.121095</v>
      </c>
    </row>
    <row r="46" customFormat="false" ht="12.75" hidden="false" customHeight="false" outlineLevel="0" collapsed="false">
      <c r="A46" s="66" t="n">
        <f aca="false">'Enron Proposal'!D40</f>
        <v>37858</v>
      </c>
      <c r="C46" s="41" t="n">
        <f aca="false">'Enron Proposal'!C41</f>
        <v>31</v>
      </c>
      <c r="E46" s="59" t="n">
        <f aca="false">'Enron Proposal'!H40*'Enron Proposal'!S40</f>
        <v>7155964.67402606</v>
      </c>
      <c r="F46" s="59" t="n">
        <f aca="false">'Enron Proposal'!K40*'Enron Proposal'!T40</f>
        <v>0</v>
      </c>
      <c r="G46" s="59" t="n">
        <f aca="false">'Enron Proposal'!N40*'Enron Proposal'!U40</f>
        <v>0</v>
      </c>
      <c r="H46" s="59" t="n">
        <f aca="false">'Enron Proposal'!Q40*'Enron Proposal'!V40</f>
        <v>0</v>
      </c>
      <c r="J46" s="59" t="n">
        <f aca="false">SUM(E46:H46)</f>
        <v>7155964.67402606</v>
      </c>
      <c r="K46" s="67" t="n">
        <f aca="false">(A46-A45)/360*$L$5*$L45</f>
        <v>1067485.32129319</v>
      </c>
      <c r="L46" s="59" t="n">
        <f aca="false">L45-(J46-K46)</f>
        <v>181800730.443163</v>
      </c>
      <c r="M46" s="68" t="n">
        <f aca="false">YEARFRAC(A46,$A$14)</f>
        <v>2.65833333333333</v>
      </c>
      <c r="O46" s="59" t="n">
        <f aca="false">SUM(E46:H46)</f>
        <v>7155964.67402606</v>
      </c>
      <c r="P46" s="67" t="n">
        <f aca="false">(A46-A45)/360*$Q$5*$Q45</f>
        <v>936023.157628558</v>
      </c>
      <c r="Q46" s="59" t="n">
        <f aca="false">Q45-(O46-P46)</f>
        <v>183708322.620864</v>
      </c>
      <c r="R46" s="68" t="n">
        <f aca="false">YEARFRAC(A46,$A$14)</f>
        <v>2.65833333333333</v>
      </c>
      <c r="T46" s="59" t="n">
        <f aca="false">IF(L45&gt;=$Z$15,$T$15,(L45*'Financing Assumptions'!$K$13))</f>
        <v>157826936.228552</v>
      </c>
      <c r="U46" s="59" t="n">
        <f aca="false">T46*('Financing Assumptions'!$F$13/12)</f>
        <v>26304.4893714254</v>
      </c>
      <c r="W46" s="59" t="n">
        <f aca="false">IF(L45&gt;=$Z$15,$W$15,(L45*'Financing Assumptions'!$K$14))</f>
        <v>30062273.5673433</v>
      </c>
      <c r="X46" s="59" t="n">
        <f aca="false">W46*('Financing Assumptions'!$F$14/12)</f>
        <v>9519.71996299203</v>
      </c>
      <c r="Z46" s="59" t="n">
        <f aca="false">T46+W46</f>
        <v>187889209.795895</v>
      </c>
      <c r="AA46" s="59" t="n">
        <f aca="false">X46+U46</f>
        <v>35824.2093344174</v>
      </c>
      <c r="AC46" s="59" t="n">
        <f aca="false">O46</f>
        <v>7155964.67402606</v>
      </c>
      <c r="AD46" s="67" t="n">
        <f aca="false">(A46-A45)/360*$AF$5*$AE45</f>
        <v>1150055.66993399</v>
      </c>
      <c r="AE46" s="59" t="n">
        <f aca="false">AE45-(AC46-AD46)</f>
        <v>180595118.117003</v>
      </c>
    </row>
    <row r="47" customFormat="false" ht="12.75" hidden="false" customHeight="false" outlineLevel="0" collapsed="false">
      <c r="A47" s="66" t="n">
        <f aca="false">'Enron Proposal'!D41</f>
        <v>37889</v>
      </c>
      <c r="C47" s="41" t="n">
        <f aca="false">'Enron Proposal'!C42</f>
        <v>30</v>
      </c>
      <c r="E47" s="59" t="n">
        <f aca="false">'Enron Proposal'!H41*'Enron Proposal'!S41</f>
        <v>7155964.67402606</v>
      </c>
      <c r="F47" s="59" t="n">
        <f aca="false">'Enron Proposal'!K41*'Enron Proposal'!T41</f>
        <v>0</v>
      </c>
      <c r="G47" s="59" t="n">
        <f aca="false">'Enron Proposal'!N41*'Enron Proposal'!U41</f>
        <v>0</v>
      </c>
      <c r="H47" s="59" t="n">
        <f aca="false">'Enron Proposal'!Q41*'Enron Proposal'!V41</f>
        <v>0</v>
      </c>
      <c r="J47" s="59" t="n">
        <f aca="false">SUM(E47:H47)</f>
        <v>7155964.67402606</v>
      </c>
      <c r="K47" s="67" t="n">
        <f aca="false">(A47-A46)/360*$L$5*$L46</f>
        <v>1032893.85994691</v>
      </c>
      <c r="L47" s="59" t="n">
        <f aca="false">L46-(J47-K47)</f>
        <v>175677659.629083</v>
      </c>
      <c r="M47" s="68" t="n">
        <f aca="false">YEARFRAC(A47,$A$14)</f>
        <v>2.74166666666667</v>
      </c>
      <c r="O47" s="59" t="n">
        <f aca="false">SUM(E47:H47)</f>
        <v>7155964.67402606</v>
      </c>
      <c r="P47" s="67" t="n">
        <f aca="false">(A47-A46)/360*$Q$5*$Q46</f>
        <v>905369.429891459</v>
      </c>
      <c r="Q47" s="59" t="n">
        <f aca="false">Q46-(O47-P47)</f>
        <v>177457727.376729</v>
      </c>
      <c r="R47" s="68" t="n">
        <f aca="false">YEARFRAC(A47,$A$14)</f>
        <v>2.74166666666667</v>
      </c>
      <c r="T47" s="59" t="n">
        <f aca="false">IF(L46&gt;=$Z$15,$T$15,(L46*'Financing Assumptions'!$K$13))</f>
        <v>152712613.572257</v>
      </c>
      <c r="U47" s="59" t="n">
        <f aca="false">T47*('Financing Assumptions'!$F$13/12)</f>
        <v>25452.1022620428</v>
      </c>
      <c r="W47" s="59" t="n">
        <f aca="false">IF(L46&gt;=$Z$15,$W$15,(L46*'Financing Assumptions'!$K$14))</f>
        <v>29088116.870906</v>
      </c>
      <c r="X47" s="59" t="n">
        <f aca="false">W47*('Financing Assumptions'!$F$14/12)</f>
        <v>9211.23700912024</v>
      </c>
      <c r="Z47" s="59" t="n">
        <f aca="false">T47+W47</f>
        <v>181800730.443163</v>
      </c>
      <c r="AA47" s="59" t="n">
        <f aca="false">X47+U47</f>
        <v>34663.339271163</v>
      </c>
      <c r="AC47" s="59" t="n">
        <f aca="false">O47</f>
        <v>7155964.67402606</v>
      </c>
      <c r="AD47" s="67" t="n">
        <f aca="false">(A47-A46)/360*$AF$5*$AE46</f>
        <v>1113040.17323588</v>
      </c>
      <c r="AE47" s="59" t="n">
        <f aca="false">AE46-(AC47-AD47)</f>
        <v>174552193.616213</v>
      </c>
    </row>
    <row r="48" customFormat="false" ht="12.75" hidden="false" customHeight="false" outlineLevel="0" collapsed="false">
      <c r="A48" s="66" t="n">
        <f aca="false">'Enron Proposal'!D42</f>
        <v>37921</v>
      </c>
      <c r="C48" s="41" t="n">
        <f aca="false">'Enron Proposal'!C43</f>
        <v>31</v>
      </c>
      <c r="E48" s="59" t="n">
        <f aca="false">'Enron Proposal'!H42*'Enron Proposal'!S42</f>
        <v>6925127.10389619</v>
      </c>
      <c r="F48" s="59" t="n">
        <f aca="false">'Enron Proposal'!K42*'Enron Proposal'!T42</f>
        <v>0</v>
      </c>
      <c r="G48" s="59" t="n">
        <f aca="false">'Enron Proposal'!N42*'Enron Proposal'!U42</f>
        <v>0</v>
      </c>
      <c r="H48" s="59" t="n">
        <f aca="false">'Enron Proposal'!Q42*'Enron Proposal'!V42</f>
        <v>0</v>
      </c>
      <c r="J48" s="59" t="n">
        <f aca="false">SUM(E48:H48)</f>
        <v>6925127.10389619</v>
      </c>
      <c r="K48" s="67" t="n">
        <f aca="false">(A48-A47)/360*$L$5*$L47</f>
        <v>1030302.83204438</v>
      </c>
      <c r="L48" s="59" t="n">
        <f aca="false">L47-(J48-K48)</f>
        <v>169782835.357232</v>
      </c>
      <c r="M48" s="68" t="n">
        <f aca="false">YEARFRAC(A48,$A$14)</f>
        <v>2.83055555555556</v>
      </c>
      <c r="O48" s="59" t="n">
        <f aca="false">SUM(E48:H48)</f>
        <v>6925127.10389619</v>
      </c>
      <c r="P48" s="67" t="n">
        <f aca="false">(A48-A47)/360*$Q$5*$Q47</f>
        <v>902776.393741858</v>
      </c>
      <c r="Q48" s="59" t="n">
        <f aca="false">Q47-(O48-P48)</f>
        <v>171435376.666575</v>
      </c>
      <c r="R48" s="68" t="n">
        <f aca="false">YEARFRAC(A48,$A$14)</f>
        <v>2.83055555555556</v>
      </c>
      <c r="T48" s="59" t="n">
        <f aca="false">IF(L47&gt;=$Z$15,$T$15,(L47*'Financing Assumptions'!$K$13))</f>
        <v>147569234.08843</v>
      </c>
      <c r="U48" s="59" t="n">
        <f aca="false">T48*('Financing Assumptions'!$F$13/12)</f>
        <v>24594.8723480717</v>
      </c>
      <c r="W48" s="59" t="n">
        <f aca="false">IF(L47&gt;=$Z$15,$W$15,(L47*'Financing Assumptions'!$K$14))</f>
        <v>28108425.5406533</v>
      </c>
      <c r="X48" s="59" t="n">
        <f aca="false">W48*('Financing Assumptions'!$F$14/12)</f>
        <v>8901.00142120689</v>
      </c>
      <c r="Z48" s="59" t="n">
        <f aca="false">T48+W48</f>
        <v>175677659.629083</v>
      </c>
      <c r="AA48" s="59" t="n">
        <f aca="false">X48+U48</f>
        <v>33495.8737692786</v>
      </c>
      <c r="AC48" s="59" t="n">
        <f aca="false">O48</f>
        <v>6925127.10389619</v>
      </c>
      <c r="AD48" s="67" t="n">
        <f aca="false">(A48-A47)/360*$AF$5*$AE47</f>
        <v>1110499.65768097</v>
      </c>
      <c r="AE48" s="59" t="n">
        <f aca="false">AE47-(AC48-AD48)</f>
        <v>168737566.169998</v>
      </c>
    </row>
    <row r="49" customFormat="false" ht="12.75" hidden="false" customHeight="false" outlineLevel="0" collapsed="false">
      <c r="A49" s="66" t="n">
        <f aca="false">'Enron Proposal'!D43</f>
        <v>37950</v>
      </c>
      <c r="C49" s="41" t="n">
        <f aca="false">'Enron Proposal'!C44</f>
        <v>30</v>
      </c>
      <c r="E49" s="59" t="n">
        <f aca="false">'Enron Proposal'!H43*'Enron Proposal'!S43</f>
        <v>7155964.67402606</v>
      </c>
      <c r="F49" s="59" t="n">
        <f aca="false">'Enron Proposal'!K43*'Enron Proposal'!T43</f>
        <v>0</v>
      </c>
      <c r="G49" s="59" t="n">
        <f aca="false">'Enron Proposal'!N43*'Enron Proposal'!U43</f>
        <v>0</v>
      </c>
      <c r="H49" s="59" t="n">
        <f aca="false">'Enron Proposal'!Q43*'Enron Proposal'!V43</f>
        <v>0</v>
      </c>
      <c r="J49" s="59" t="n">
        <f aca="false">SUM(E49:H49)</f>
        <v>7155964.67402606</v>
      </c>
      <c r="K49" s="67" t="n">
        <f aca="false">(A49-A48)/360*$L$5*$L48</f>
        <v>902381.447796562</v>
      </c>
      <c r="L49" s="59" t="n">
        <f aca="false">L48-(J49-K49)</f>
        <v>163529252.131002</v>
      </c>
      <c r="M49" s="68" t="n">
        <f aca="false">YEARFRAC(A49,$A$14)</f>
        <v>2.90833333333333</v>
      </c>
      <c r="O49" s="59" t="n">
        <f aca="false">SUM(E49:H49)</f>
        <v>7155964.67402606</v>
      </c>
      <c r="P49" s="67" t="n">
        <f aca="false">(A49-A48)/360*$Q$5*$Q48</f>
        <v>790376.000464633</v>
      </c>
      <c r="Q49" s="59" t="n">
        <f aca="false">Q48-(O49-P49)</f>
        <v>165069787.993013</v>
      </c>
      <c r="R49" s="68" t="n">
        <f aca="false">YEARFRAC(A49,$A$14)</f>
        <v>2.90833333333333</v>
      </c>
      <c r="T49" s="59" t="n">
        <f aca="false">IF(L48&gt;=$Z$15,$T$15,(L48*'Financing Assumptions'!$K$13))</f>
        <v>142617581.700075</v>
      </c>
      <c r="U49" s="59" t="n">
        <f aca="false">T49*('Financing Assumptions'!$F$13/12)</f>
        <v>23769.5969500124</v>
      </c>
      <c r="W49" s="59" t="n">
        <f aca="false">IF(L48&gt;=$Z$15,$W$15,(L48*'Financing Assumptions'!$K$14))</f>
        <v>27165253.6571571</v>
      </c>
      <c r="X49" s="59" t="n">
        <f aca="false">W49*('Financing Assumptions'!$F$14/12)</f>
        <v>8602.3303247664</v>
      </c>
      <c r="Z49" s="59" t="n">
        <f aca="false">T49+W49</f>
        <v>169782835.357232</v>
      </c>
      <c r="AA49" s="59" t="n">
        <f aca="false">X49+U49</f>
        <v>32371.9272747788</v>
      </c>
      <c r="AC49" s="59" t="n">
        <f aca="false">O49</f>
        <v>7155964.67402606</v>
      </c>
      <c r="AD49" s="67" t="n">
        <f aca="false">(A49-A48)/360*$AF$5*$AE48</f>
        <v>972865.759025013</v>
      </c>
      <c r="AE49" s="59" t="n">
        <f aca="false">AE48-(AC49-AD49)</f>
        <v>162554467.254997</v>
      </c>
    </row>
    <row r="50" customFormat="false" ht="12.75" hidden="false" customHeight="false" outlineLevel="0" collapsed="false">
      <c r="A50" s="66" t="n">
        <f aca="false">'Enron Proposal'!D44</f>
        <v>37980</v>
      </c>
      <c r="C50" s="41" t="n">
        <f aca="false">'Enron Proposal'!C45</f>
        <v>31</v>
      </c>
      <c r="E50" s="59" t="n">
        <f aca="false">'Enron Proposal'!H44*'Enron Proposal'!S44</f>
        <v>6925127.10389619</v>
      </c>
      <c r="F50" s="59" t="n">
        <f aca="false">'Enron Proposal'!K44*'Enron Proposal'!T44</f>
        <v>0</v>
      </c>
      <c r="G50" s="59" t="n">
        <f aca="false">'Enron Proposal'!N44*'Enron Proposal'!U44</f>
        <v>0</v>
      </c>
      <c r="H50" s="59" t="n">
        <f aca="false">'Enron Proposal'!Q44*'Enron Proposal'!V44</f>
        <v>0</v>
      </c>
      <c r="J50" s="59" t="n">
        <f aca="false">SUM(E50:H50)</f>
        <v>6925127.10389619</v>
      </c>
      <c r="K50" s="67" t="n">
        <f aca="false">(A50-A49)/360*$L$5*$L49</f>
        <v>899114.669455555</v>
      </c>
      <c r="L50" s="59" t="n">
        <f aca="false">L49-(J50-K50)</f>
        <v>157503239.696561</v>
      </c>
      <c r="M50" s="68" t="n">
        <f aca="false">YEARFRAC(A50,$A$14)</f>
        <v>2.99166666666667</v>
      </c>
      <c r="O50" s="59" t="n">
        <f aca="false">SUM(E50:H50)</f>
        <v>6925127.10389619</v>
      </c>
      <c r="P50" s="67" t="n">
        <f aca="false">(A50-A49)/360*$Q$5*$Q49</f>
        <v>787270.80945015</v>
      </c>
      <c r="Q50" s="59" t="n">
        <f aca="false">Q49-(O50-P50)</f>
        <v>158931931.698567</v>
      </c>
      <c r="R50" s="68" t="n">
        <f aca="false">YEARFRAC(A50,$A$14)</f>
        <v>2.99166666666667</v>
      </c>
      <c r="T50" s="59" t="n">
        <f aca="false">IF(L49&gt;=$Z$15,$T$15,(L49*'Financing Assumptions'!$K$13))</f>
        <v>137364571.790042</v>
      </c>
      <c r="U50" s="59" t="n">
        <f aca="false">T50*('Financing Assumptions'!$F$13/12)</f>
        <v>22894.0952983403</v>
      </c>
      <c r="W50" s="59" t="n">
        <f aca="false">IF(L49&gt;=$Z$15,$W$15,(L49*'Financing Assumptions'!$K$14))</f>
        <v>26164680.3409603</v>
      </c>
      <c r="X50" s="59" t="n">
        <f aca="false">W50*('Financing Assumptions'!$F$14/12)</f>
        <v>8285.48210797077</v>
      </c>
      <c r="Z50" s="59" t="n">
        <f aca="false">T50+W50</f>
        <v>163529252.131002</v>
      </c>
      <c r="AA50" s="59" t="n">
        <f aca="false">X50+U50</f>
        <v>31179.5774063111</v>
      </c>
      <c r="AC50" s="59" t="n">
        <f aca="false">O50</f>
        <v>6925127.10389619</v>
      </c>
      <c r="AD50" s="67" t="n">
        <f aca="false">(A50-A49)/360*$AF$5*$AE49</f>
        <v>969534.580001939</v>
      </c>
      <c r="AE50" s="59" t="n">
        <f aca="false">AE49-(AC50-AD50)</f>
        <v>156598874.731102</v>
      </c>
    </row>
    <row r="51" customFormat="false" ht="12.75" hidden="false" customHeight="false" outlineLevel="0" collapsed="false">
      <c r="A51" s="66" t="n">
        <f aca="false">'Enron Proposal'!D45</f>
        <v>38012</v>
      </c>
      <c r="C51" s="41" t="n">
        <f aca="false">'Enron Proposal'!C46</f>
        <v>31</v>
      </c>
      <c r="E51" s="59" t="n">
        <f aca="false">'Enron Proposal'!H45*'Enron Proposal'!S45</f>
        <v>7155964.67402606</v>
      </c>
      <c r="F51" s="59" t="n">
        <f aca="false">'Enron Proposal'!K45*'Enron Proposal'!T45</f>
        <v>0</v>
      </c>
      <c r="G51" s="59" t="n">
        <f aca="false">'Enron Proposal'!N45*'Enron Proposal'!U45</f>
        <v>0</v>
      </c>
      <c r="H51" s="59" t="n">
        <f aca="false">'Enron Proposal'!Q45*'Enron Proposal'!V45</f>
        <v>0</v>
      </c>
      <c r="J51" s="59" t="n">
        <f aca="false">SUM(E51:H51)</f>
        <v>7155964.67402606</v>
      </c>
      <c r="K51" s="67" t="n">
        <f aca="false">(A51-A50)/360*$L$5*$L50</f>
        <v>923714.684372236</v>
      </c>
      <c r="L51" s="59" t="n">
        <f aca="false">L50-(J51-K51)</f>
        <v>151270989.706908</v>
      </c>
      <c r="M51" s="68" t="n">
        <f aca="false">YEARFRAC(A51,$A$14)</f>
        <v>3.07777777777778</v>
      </c>
      <c r="O51" s="59" t="n">
        <f aca="false">SUM(E51:H51)</f>
        <v>7155964.67402606</v>
      </c>
      <c r="P51" s="67" t="n">
        <f aca="false">(A51-A50)/360*$Q$5*$Q50</f>
        <v>808530.562575406</v>
      </c>
      <c r="Q51" s="59" t="n">
        <f aca="false">Q50-(O51-P51)</f>
        <v>152584497.587117</v>
      </c>
      <c r="R51" s="68" t="n">
        <f aca="false">YEARFRAC(A51,$A$14)</f>
        <v>3.07777777777778</v>
      </c>
      <c r="T51" s="59" t="n">
        <f aca="false">IF(L50&gt;=$Z$15,$T$15,(L50*'Financing Assumptions'!$K$13))</f>
        <v>132302721.345112</v>
      </c>
      <c r="U51" s="59" t="n">
        <f aca="false">T51*('Financing Assumptions'!$F$13/12)</f>
        <v>22050.4535575186</v>
      </c>
      <c r="W51" s="59" t="n">
        <f aca="false">IF(L50&gt;=$Z$15,$W$15,(L50*'Financing Assumptions'!$K$14))</f>
        <v>25200518.3514498</v>
      </c>
      <c r="X51" s="59" t="n">
        <f aca="false">W51*('Financing Assumptions'!$F$14/12)</f>
        <v>7980.16414462578</v>
      </c>
      <c r="Z51" s="59" t="n">
        <f aca="false">T51+W51</f>
        <v>157503239.696561</v>
      </c>
      <c r="AA51" s="59" t="n">
        <f aca="false">X51+U51</f>
        <v>30030.6177021444</v>
      </c>
      <c r="AC51" s="59" t="n">
        <f aca="false">O51</f>
        <v>7155964.67402606</v>
      </c>
      <c r="AD51" s="67" t="n">
        <f aca="false">(A51-A50)/360*$AF$5*$AE50</f>
        <v>996280.786734048</v>
      </c>
      <c r="AE51" s="59" t="n">
        <f aca="false">AE50-(AC51-AD51)</f>
        <v>150439190.84381</v>
      </c>
    </row>
    <row r="52" customFormat="false" ht="12.75" hidden="false" customHeight="false" outlineLevel="0" collapsed="false">
      <c r="A52" s="66" t="n">
        <f aca="false">'Enron Proposal'!D46</f>
        <v>38042</v>
      </c>
      <c r="C52" s="41" t="n">
        <f aca="false">'Enron Proposal'!C47</f>
        <v>29</v>
      </c>
      <c r="E52" s="59" t="n">
        <f aca="false">'Enron Proposal'!H46*'Enron Proposal'!S46</f>
        <v>7155964.67402606</v>
      </c>
      <c r="F52" s="59" t="n">
        <f aca="false">'Enron Proposal'!K46*'Enron Proposal'!T46</f>
        <v>0</v>
      </c>
      <c r="G52" s="59" t="n">
        <f aca="false">'Enron Proposal'!N46*'Enron Proposal'!U46</f>
        <v>0</v>
      </c>
      <c r="H52" s="59" t="n">
        <f aca="false">'Enron Proposal'!Q46*'Enron Proposal'!V46</f>
        <v>0</v>
      </c>
      <c r="J52" s="59" t="n">
        <f aca="false">SUM(E52:H52)</f>
        <v>7155964.67402606</v>
      </c>
      <c r="K52" s="67" t="n">
        <f aca="false">(A52-A51)/360*$L$5*$L51</f>
        <v>831716.430767899</v>
      </c>
      <c r="L52" s="59" t="n">
        <f aca="false">L51-(J52-K52)</f>
        <v>144946741.463649</v>
      </c>
      <c r="M52" s="68" t="n">
        <f aca="false">YEARFRAC(A52,$A$14)</f>
        <v>3.15833333333333</v>
      </c>
      <c r="O52" s="59" t="n">
        <f aca="false">SUM(E52:H52)</f>
        <v>7155964.67402606</v>
      </c>
      <c r="P52" s="67" t="n">
        <f aca="false">(A52-A51)/360*$Q$5*$Q51</f>
        <v>727724.451491015</v>
      </c>
      <c r="Q52" s="59" t="n">
        <f aca="false">Q51-(O52-P52)</f>
        <v>146156257.364581</v>
      </c>
      <c r="R52" s="68" t="n">
        <f aca="false">YEARFRAC(A52,$A$14)</f>
        <v>3.15833333333333</v>
      </c>
      <c r="T52" s="59" t="n">
        <f aca="false">IF(L51&gt;=$Z$15,$T$15,(L51*'Financing Assumptions'!$K$13))</f>
        <v>127067631.353802</v>
      </c>
      <c r="U52" s="59" t="n">
        <f aca="false">T52*('Financing Assumptions'!$F$13/12)</f>
        <v>21177.9385589671</v>
      </c>
      <c r="W52" s="59" t="n">
        <f aca="false">IF(L51&gt;=$Z$15,$W$15,(L51*'Financing Assumptions'!$K$14))</f>
        <v>24203358.3531052</v>
      </c>
      <c r="X52" s="59" t="n">
        <f aca="false">W52*('Financing Assumptions'!$F$14/12)</f>
        <v>7664.39681181665</v>
      </c>
      <c r="Z52" s="59" t="n">
        <f aca="false">T52+W52</f>
        <v>151270989.706908</v>
      </c>
      <c r="AA52" s="59" t="n">
        <f aca="false">X52+U52</f>
        <v>28842.3353707837</v>
      </c>
      <c r="AC52" s="59" t="n">
        <f aca="false">O52</f>
        <v>7155964.67402606</v>
      </c>
      <c r="AD52" s="67" t="n">
        <f aca="false">(A52-A51)/360*$AF$5*$AE51</f>
        <v>897274.61923137</v>
      </c>
      <c r="AE52" s="59" t="n">
        <f aca="false">AE51-(AC52-AD52)</f>
        <v>144180500.789016</v>
      </c>
    </row>
    <row r="53" customFormat="false" ht="12.75" hidden="false" customHeight="false" outlineLevel="0" collapsed="false">
      <c r="A53" s="66" t="n">
        <f aca="false">'Enron Proposal'!D47</f>
        <v>38071</v>
      </c>
      <c r="C53" s="41" t="n">
        <f aca="false">'Enron Proposal'!C48</f>
        <v>31</v>
      </c>
      <c r="E53" s="59" t="n">
        <f aca="false">'Enron Proposal'!H47*'Enron Proposal'!S47</f>
        <v>6694289.53376631</v>
      </c>
      <c r="F53" s="59" t="n">
        <f aca="false">'Enron Proposal'!K47*'Enron Proposal'!T47</f>
        <v>0</v>
      </c>
      <c r="G53" s="59" t="n">
        <f aca="false">'Enron Proposal'!N47*'Enron Proposal'!U47</f>
        <v>0</v>
      </c>
      <c r="H53" s="59" t="n">
        <f aca="false">'Enron Proposal'!Q47*'Enron Proposal'!V47</f>
        <v>0</v>
      </c>
      <c r="J53" s="59" t="n">
        <f aca="false">SUM(E53:H53)</f>
        <v>6694289.53376631</v>
      </c>
      <c r="K53" s="67" t="n">
        <f aca="false">(A53-A52)/360*$L$5*$L52</f>
        <v>770379.703814923</v>
      </c>
      <c r="L53" s="59" t="n">
        <f aca="false">L52-(J53-K53)</f>
        <v>139022831.633698</v>
      </c>
      <c r="M53" s="68" t="n">
        <f aca="false">YEARFRAC(A53,$A$14)</f>
        <v>3.24166666666667</v>
      </c>
      <c r="O53" s="59" t="n">
        <f aca="false">SUM(E53:H53)</f>
        <v>6694289.53376631</v>
      </c>
      <c r="P53" s="67" t="n">
        <f aca="false">(A53-A52)/360*$Q$5*$Q52</f>
        <v>673830.57327409</v>
      </c>
      <c r="Q53" s="59" t="n">
        <f aca="false">Q52-(O53-P53)</f>
        <v>140135798.404089</v>
      </c>
      <c r="R53" s="68" t="n">
        <f aca="false">YEARFRAC(A53,$A$14)</f>
        <v>3.24166666666667</v>
      </c>
      <c r="T53" s="59" t="n">
        <f aca="false">IF(L52&gt;=$Z$15,$T$15,(L52*'Financing Assumptions'!$K$13))</f>
        <v>121755262.829466</v>
      </c>
      <c r="U53" s="59" t="n">
        <f aca="false">T53*('Financing Assumptions'!$F$13/12)</f>
        <v>20292.5438049109</v>
      </c>
      <c r="W53" s="59" t="n">
        <f aca="false">IF(L52&gt;=$Z$15,$W$15,(L52*'Financing Assumptions'!$K$14))</f>
        <v>23191478.6341839</v>
      </c>
      <c r="X53" s="59" t="n">
        <f aca="false">W53*('Financing Assumptions'!$F$14/12)</f>
        <v>7343.96823415824</v>
      </c>
      <c r="Z53" s="59" t="n">
        <f aca="false">T53+W53</f>
        <v>144946741.463649</v>
      </c>
      <c r="AA53" s="59" t="n">
        <f aca="false">X53+U53</f>
        <v>27636.5120390692</v>
      </c>
      <c r="AC53" s="59" t="n">
        <f aca="false">O53</f>
        <v>6694289.53376631</v>
      </c>
      <c r="AD53" s="67" t="n">
        <f aca="false">(A53-A52)/360*$AF$5*$AE52</f>
        <v>831280.642008291</v>
      </c>
      <c r="AE53" s="59" t="n">
        <f aca="false">AE52-(AC53-AD53)</f>
        <v>138317491.897258</v>
      </c>
    </row>
    <row r="54" customFormat="false" ht="12.75" hidden="false" customHeight="false" outlineLevel="0" collapsed="false">
      <c r="A54" s="66" t="n">
        <f aca="false">'Enron Proposal'!D48</f>
        <v>38103</v>
      </c>
      <c r="C54" s="41" t="n">
        <f aca="false">'Enron Proposal'!C49</f>
        <v>30</v>
      </c>
      <c r="E54" s="59" t="n">
        <f aca="false">'Enron Proposal'!H48*'Enron Proposal'!S48</f>
        <v>7155964.67402606</v>
      </c>
      <c r="F54" s="59" t="n">
        <f aca="false">'Enron Proposal'!K48*'Enron Proposal'!T48</f>
        <v>0</v>
      </c>
      <c r="G54" s="59" t="n">
        <f aca="false">'Enron Proposal'!N48*'Enron Proposal'!U48</f>
        <v>0</v>
      </c>
      <c r="H54" s="59" t="n">
        <f aca="false">'Enron Proposal'!Q48*'Enron Proposal'!V48</f>
        <v>0</v>
      </c>
      <c r="J54" s="59" t="n">
        <f aca="false">SUM(E54:H54)</f>
        <v>7155964.67402606</v>
      </c>
      <c r="K54" s="67" t="n">
        <f aca="false">(A54-A53)/360*$L$5*$L53</f>
        <v>815331.997554203</v>
      </c>
      <c r="L54" s="59" t="n">
        <f aca="false">L53-(J54-K54)</f>
        <v>132682198.957226</v>
      </c>
      <c r="M54" s="68" t="n">
        <f aca="false">YEARFRAC(A54,$A$14)</f>
        <v>3.32777777777778</v>
      </c>
      <c r="O54" s="59" t="n">
        <f aca="false">SUM(E54:H54)</f>
        <v>7155964.67402606</v>
      </c>
      <c r="P54" s="67" t="n">
        <f aca="false">(A54-A53)/360*$Q$5*$Q53</f>
        <v>712909.44940823</v>
      </c>
      <c r="Q54" s="59" t="n">
        <f aca="false">Q53-(O54-P54)</f>
        <v>133692743.179471</v>
      </c>
      <c r="R54" s="68" t="n">
        <f aca="false">YEARFRAC(A54,$A$14)</f>
        <v>3.32777777777778</v>
      </c>
      <c r="T54" s="59" t="n">
        <f aca="false">IF(L53&gt;=$Z$15,$T$15,(L53*'Financing Assumptions'!$K$13))</f>
        <v>116779178.572306</v>
      </c>
      <c r="U54" s="59" t="n">
        <f aca="false">T54*('Financing Assumptions'!$F$13/12)</f>
        <v>19463.1964287177</v>
      </c>
      <c r="W54" s="59" t="n">
        <f aca="false">IF(L53&gt;=$Z$15,$W$15,(L53*'Financing Assumptions'!$K$14))</f>
        <v>22243653.0613917</v>
      </c>
      <c r="X54" s="59" t="n">
        <f aca="false">W54*('Financing Assumptions'!$F$14/12)</f>
        <v>7043.8234694407</v>
      </c>
      <c r="Z54" s="59" t="n">
        <f aca="false">T54+W54</f>
        <v>139022831.633698</v>
      </c>
      <c r="AA54" s="59" t="n">
        <f aca="false">X54+U54</f>
        <v>26507.0198981584</v>
      </c>
      <c r="AC54" s="59" t="n">
        <f aca="false">O54</f>
        <v>7155964.67402606</v>
      </c>
      <c r="AD54" s="67" t="n">
        <f aca="false">(A54-A53)/360*$AF$5*$AE53</f>
        <v>879974.775572961</v>
      </c>
      <c r="AE54" s="59" t="n">
        <f aca="false">AE53-(AC54-AD54)</f>
        <v>132041501.998805</v>
      </c>
    </row>
    <row r="55" customFormat="false" ht="12.75" hidden="false" customHeight="false" outlineLevel="0" collapsed="false">
      <c r="A55" s="66" t="n">
        <f aca="false">'Enron Proposal'!D49</f>
        <v>38132</v>
      </c>
      <c r="C55" s="41" t="n">
        <f aca="false">'Enron Proposal'!C50</f>
        <v>31</v>
      </c>
      <c r="E55" s="59" t="n">
        <f aca="false">'Enron Proposal'!H49*'Enron Proposal'!S49</f>
        <v>6925127.10389619</v>
      </c>
      <c r="F55" s="59" t="n">
        <f aca="false">'Enron Proposal'!K49*'Enron Proposal'!T49</f>
        <v>0</v>
      </c>
      <c r="G55" s="59" t="n">
        <f aca="false">'Enron Proposal'!N49*'Enron Proposal'!U49</f>
        <v>0</v>
      </c>
      <c r="H55" s="59" t="n">
        <f aca="false">'Enron Proposal'!Q49*'Enron Proposal'!V49</f>
        <v>0</v>
      </c>
      <c r="J55" s="59" t="n">
        <f aca="false">SUM(E55:H55)</f>
        <v>6925127.10389619</v>
      </c>
      <c r="K55" s="67" t="n">
        <f aca="false">(A55-A54)/360*$L$5*$L54</f>
        <v>705194.694975705</v>
      </c>
      <c r="L55" s="59" t="n">
        <f aca="false">L54-(J55-K55)</f>
        <v>126462266.548306</v>
      </c>
      <c r="M55" s="68" t="n">
        <f aca="false">YEARFRAC(A55,$A$14)</f>
        <v>3.40833333333333</v>
      </c>
      <c r="O55" s="59" t="n">
        <f aca="false">SUM(E55:H55)</f>
        <v>6925127.10389619</v>
      </c>
      <c r="P55" s="67" t="n">
        <f aca="false">(A55-A54)/360*$Q$5*$Q54</f>
        <v>616369.489774851</v>
      </c>
      <c r="Q55" s="59" t="n">
        <f aca="false">Q54-(O55-P55)</f>
        <v>127383985.56535</v>
      </c>
      <c r="R55" s="68" t="n">
        <f aca="false">YEARFRAC(A55,$A$14)</f>
        <v>3.40833333333333</v>
      </c>
      <c r="T55" s="59" t="n">
        <f aca="false">IF(L54&gt;=$Z$15,$T$15,(L54*'Financing Assumptions'!$K$13))</f>
        <v>111453047.12407</v>
      </c>
      <c r="U55" s="59" t="n">
        <f aca="false">T55*('Financing Assumptions'!$F$13/12)</f>
        <v>18575.5078540117</v>
      </c>
      <c r="W55" s="59" t="n">
        <f aca="false">IF(L54&gt;=$Z$15,$W$15,(L54*'Financing Assumptions'!$K$14))</f>
        <v>21229151.8331562</v>
      </c>
      <c r="X55" s="59" t="n">
        <f aca="false">W55*('Financing Assumptions'!$F$14/12)</f>
        <v>6722.56474716613</v>
      </c>
      <c r="Z55" s="59" t="n">
        <f aca="false">T55+W55</f>
        <v>132682198.957226</v>
      </c>
      <c r="AA55" s="59" t="n">
        <f aca="false">X55+U55</f>
        <v>25298.0726011778</v>
      </c>
      <c r="AC55" s="59" t="n">
        <f aca="false">O55</f>
        <v>6925127.10389619</v>
      </c>
      <c r="AD55" s="67" t="n">
        <f aca="false">(A55-A54)/360*$AF$5*$AE54</f>
        <v>761292.573910019</v>
      </c>
      <c r="AE55" s="59" t="n">
        <f aca="false">AE54-(AC55-AD55)</f>
        <v>125877667.468818</v>
      </c>
    </row>
    <row r="56" customFormat="false" ht="12.75" hidden="false" customHeight="false" outlineLevel="0" collapsed="false">
      <c r="A56" s="66" t="n">
        <f aca="false">'Enron Proposal'!D50</f>
        <v>38163</v>
      </c>
      <c r="C56" s="41" t="n">
        <f aca="false">'Enron Proposal'!C51</f>
        <v>30</v>
      </c>
      <c r="E56" s="59" t="n">
        <f aca="false">'Enron Proposal'!H50*'Enron Proposal'!S50</f>
        <v>7155964.67402606</v>
      </c>
      <c r="F56" s="59" t="n">
        <f aca="false">'Enron Proposal'!K50*'Enron Proposal'!T50</f>
        <v>0</v>
      </c>
      <c r="G56" s="59" t="n">
        <f aca="false">'Enron Proposal'!N50*'Enron Proposal'!U50</f>
        <v>0</v>
      </c>
      <c r="H56" s="59" t="n">
        <f aca="false">'Enron Proposal'!Q50*'Enron Proposal'!V50</f>
        <v>0</v>
      </c>
      <c r="J56" s="59" t="n">
        <f aca="false">SUM(E56:H56)</f>
        <v>7155964.67402606</v>
      </c>
      <c r="K56" s="67" t="n">
        <f aca="false">(A56-A55)/360*$L$5*$L55</f>
        <v>718490.50503981</v>
      </c>
      <c r="L56" s="59" t="n">
        <f aca="false">L55-(J56-K56)</f>
        <v>120024792.379319</v>
      </c>
      <c r="M56" s="68" t="n">
        <f aca="false">YEARFRAC(A56,$A$14)</f>
        <v>3.49166666666667</v>
      </c>
      <c r="O56" s="59" t="n">
        <f aca="false">SUM(E56:H56)</f>
        <v>7155964.67402606</v>
      </c>
      <c r="P56" s="67" t="n">
        <f aca="false">(A56-A55)/360*$Q$5*$Q55</f>
        <v>627786.290480805</v>
      </c>
      <c r="Q56" s="59" t="n">
        <f aca="false">Q55-(O56-P56)</f>
        <v>120855807.181805</v>
      </c>
      <c r="R56" s="68" t="n">
        <f aca="false">YEARFRAC(A56,$A$14)</f>
        <v>3.49166666666667</v>
      </c>
      <c r="T56" s="59" t="n">
        <f aca="false">IF(L55&gt;=$Z$15,$T$15,(L55*'Financing Assumptions'!$K$13))</f>
        <v>106228303.900577</v>
      </c>
      <c r="U56" s="59" t="n">
        <f aca="false">T56*('Financing Assumptions'!$F$13/12)</f>
        <v>17704.7173167628</v>
      </c>
      <c r="W56" s="59" t="n">
        <f aca="false">IF(L55&gt;=$Z$15,$W$15,(L55*'Financing Assumptions'!$K$14))</f>
        <v>20233962.6477289</v>
      </c>
      <c r="X56" s="59" t="n">
        <f aca="false">W56*('Financing Assumptions'!$F$14/12)</f>
        <v>6407.42150511416</v>
      </c>
      <c r="Z56" s="59" t="n">
        <f aca="false">T56+W56</f>
        <v>126462266.548306</v>
      </c>
      <c r="AA56" s="59" t="n">
        <f aca="false">X56+U56</f>
        <v>24112.138821877</v>
      </c>
      <c r="AC56" s="59" t="n">
        <f aca="false">O56</f>
        <v>7155964.67402606</v>
      </c>
      <c r="AD56" s="67" t="n">
        <f aca="false">(A56-A55)/360*$AF$5*$AE55</f>
        <v>775806.689941921</v>
      </c>
      <c r="AE56" s="59" t="n">
        <f aca="false">AE55-(AC56-AD56)</f>
        <v>119497509.484734</v>
      </c>
    </row>
    <row r="57" customFormat="false" ht="12.75" hidden="false" customHeight="false" outlineLevel="0" collapsed="false">
      <c r="A57" s="66" t="n">
        <f aca="false">'Enron Proposal'!D51</f>
        <v>38194</v>
      </c>
      <c r="C57" s="41" t="n">
        <f aca="false">'Enron Proposal'!C52</f>
        <v>31</v>
      </c>
      <c r="E57" s="59" t="n">
        <f aca="false">'Enron Proposal'!H51*'Enron Proposal'!S51</f>
        <v>6925127.10389619</v>
      </c>
      <c r="F57" s="59" t="n">
        <f aca="false">'Enron Proposal'!K51*'Enron Proposal'!T51</f>
        <v>0</v>
      </c>
      <c r="G57" s="59" t="n">
        <f aca="false">'Enron Proposal'!N51*'Enron Proposal'!U51</f>
        <v>0</v>
      </c>
      <c r="H57" s="59" t="n">
        <f aca="false">'Enron Proposal'!Q51*'Enron Proposal'!V51</f>
        <v>0</v>
      </c>
      <c r="J57" s="59" t="n">
        <f aca="false">SUM(E57:H57)</f>
        <v>6925127.10389619</v>
      </c>
      <c r="K57" s="67" t="n">
        <f aca="false">(A57-A56)/360*$L$5*$L56</f>
        <v>681916.2430635</v>
      </c>
      <c r="L57" s="59" t="n">
        <f aca="false">L56-(J57-K57)</f>
        <v>113781581.518487</v>
      </c>
      <c r="M57" s="68" t="n">
        <f aca="false">YEARFRAC(A57,$A$14)</f>
        <v>3.57777777777778</v>
      </c>
      <c r="O57" s="59" t="n">
        <f aca="false">SUM(E57:H57)</f>
        <v>6925127.10389619</v>
      </c>
      <c r="P57" s="67" t="n">
        <f aca="false">(A57-A56)/360*$Q$5*$Q56</f>
        <v>595613.479488796</v>
      </c>
      <c r="Q57" s="59" t="n">
        <f aca="false">Q56-(O57-P57)</f>
        <v>114526293.557397</v>
      </c>
      <c r="R57" s="68" t="n">
        <f aca="false">YEARFRAC(A57,$A$14)</f>
        <v>3.57777777777778</v>
      </c>
      <c r="T57" s="59" t="n">
        <f aca="false">IF(L56&gt;=$Z$15,$T$15,(L56*'Financing Assumptions'!$K$13))</f>
        <v>100820825.598628</v>
      </c>
      <c r="U57" s="59" t="n">
        <f aca="false">T57*('Financing Assumptions'!$F$13/12)</f>
        <v>16803.4709331047</v>
      </c>
      <c r="W57" s="59" t="n">
        <f aca="false">IF(L56&gt;=$Z$15,$W$15,(L56*'Financing Assumptions'!$K$14))</f>
        <v>19203966.7806911</v>
      </c>
      <c r="X57" s="59" t="n">
        <f aca="false">W57*('Financing Assumptions'!$F$14/12)</f>
        <v>6081.25614721885</v>
      </c>
      <c r="Z57" s="59" t="n">
        <f aca="false">T57+W57</f>
        <v>120024792.379319</v>
      </c>
      <c r="AA57" s="59" t="n">
        <f aca="false">X57+U57</f>
        <v>22884.7270803236</v>
      </c>
      <c r="AC57" s="59" t="n">
        <f aca="false">O57</f>
        <v>6925127.10389619</v>
      </c>
      <c r="AD57" s="67" t="n">
        <f aca="false">(A57-A56)/360*$AF$5*$AE56</f>
        <v>736484.629512378</v>
      </c>
      <c r="AE57" s="59" t="n">
        <f aca="false">AE56-(AC57-AD57)</f>
        <v>113308867.01035</v>
      </c>
    </row>
    <row r="58" customFormat="false" ht="12.75" hidden="false" customHeight="false" outlineLevel="0" collapsed="false">
      <c r="A58" s="66" t="n">
        <f aca="false">'Enron Proposal'!D52</f>
        <v>38224</v>
      </c>
      <c r="C58" s="41" t="n">
        <f aca="false">'Enron Proposal'!C53</f>
        <v>31</v>
      </c>
      <c r="E58" s="59" t="n">
        <f aca="false">'Enron Proposal'!H52*'Enron Proposal'!S52</f>
        <v>7155964.67402606</v>
      </c>
      <c r="F58" s="59" t="n">
        <f aca="false">'Enron Proposal'!K52*'Enron Proposal'!T52</f>
        <v>0</v>
      </c>
      <c r="G58" s="59" t="n">
        <f aca="false">'Enron Proposal'!N52*'Enron Proposal'!U52</f>
        <v>0</v>
      </c>
      <c r="H58" s="59" t="n">
        <f aca="false">'Enron Proposal'!Q52*'Enron Proposal'!V52</f>
        <v>0</v>
      </c>
      <c r="J58" s="59" t="n">
        <f aca="false">SUM(E58:H58)</f>
        <v>7155964.67402606</v>
      </c>
      <c r="K58" s="67" t="n">
        <f aca="false">(A58-A57)/360*$L$5*$L57</f>
        <v>625592.594132153</v>
      </c>
      <c r="L58" s="59" t="n">
        <f aca="false">L57-(J58-K58)</f>
        <v>107251209.438593</v>
      </c>
      <c r="M58" s="68" t="n">
        <f aca="false">YEARFRAC(A58,$A$14)</f>
        <v>3.65833333333333</v>
      </c>
      <c r="O58" s="59" t="n">
        <f aca="false">SUM(E58:H58)</f>
        <v>7155964.67402606</v>
      </c>
      <c r="P58" s="67" t="n">
        <f aca="false">(A58-A57)/360*$Q$5*$Q57</f>
        <v>546212.659072864</v>
      </c>
      <c r="Q58" s="59" t="n">
        <f aca="false">Q57-(O58-P58)</f>
        <v>107916541.542444</v>
      </c>
      <c r="R58" s="68" t="n">
        <f aca="false">YEARFRAC(A58,$A$14)</f>
        <v>3.65833333333333</v>
      </c>
      <c r="T58" s="59" t="n">
        <f aca="false">IF(L57&gt;=$Z$15,$T$15,(L57*'Financing Assumptions'!$K$13))</f>
        <v>95576528.4755289</v>
      </c>
      <c r="U58" s="59" t="n">
        <f aca="false">T58*('Financing Assumptions'!$F$13/12)</f>
        <v>15929.4214125882</v>
      </c>
      <c r="W58" s="59" t="n">
        <f aca="false">IF(L57&gt;=$Z$15,$W$15,(L57*'Financing Assumptions'!$K$14))</f>
        <v>18205053.0429579</v>
      </c>
      <c r="X58" s="59" t="n">
        <f aca="false">W58*('Financing Assumptions'!$F$14/12)</f>
        <v>5764.93346360333</v>
      </c>
      <c r="Z58" s="59" t="n">
        <f aca="false">T58+W58</f>
        <v>113781581.518487</v>
      </c>
      <c r="AA58" s="59" t="n">
        <f aca="false">X58+U58</f>
        <v>21694.3548761915</v>
      </c>
      <c r="AC58" s="59" t="n">
        <f aca="false">O58</f>
        <v>7155964.67402606</v>
      </c>
      <c r="AD58" s="67" t="n">
        <f aca="false">(A58-A57)/360*$AF$5*$AE57</f>
        <v>675815.722831197</v>
      </c>
      <c r="AE58" s="59" t="n">
        <f aca="false">AE57-(AC58-AD58)</f>
        <v>106828718.059156</v>
      </c>
    </row>
    <row r="59" customFormat="false" ht="12.75" hidden="false" customHeight="false" outlineLevel="0" collapsed="false">
      <c r="A59" s="66" t="n">
        <f aca="false">'Enron Proposal'!D53</f>
        <v>38257</v>
      </c>
      <c r="C59" s="41" t="n">
        <f aca="false">'Enron Proposal'!C54</f>
        <v>30</v>
      </c>
      <c r="E59" s="59" t="n">
        <f aca="false">'Enron Proposal'!H53*'Enron Proposal'!S53</f>
        <v>7155964.67402606</v>
      </c>
      <c r="F59" s="59" t="n">
        <f aca="false">'Enron Proposal'!K53*'Enron Proposal'!T53</f>
        <v>0</v>
      </c>
      <c r="G59" s="59" t="n">
        <f aca="false">'Enron Proposal'!N53*'Enron Proposal'!U53</f>
        <v>0</v>
      </c>
      <c r="H59" s="59" t="n">
        <f aca="false">'Enron Proposal'!Q53*'Enron Proposal'!V53</f>
        <v>0</v>
      </c>
      <c r="J59" s="59" t="n">
        <f aca="false">SUM(E59:H59)</f>
        <v>7155964.67402606</v>
      </c>
      <c r="K59" s="67" t="n">
        <f aca="false">(A59-A58)/360*$L$5*$L58</f>
        <v>648656.114506183</v>
      </c>
      <c r="L59" s="59" t="n">
        <f aca="false">L58-(J59-K59)</f>
        <v>100743900.879073</v>
      </c>
      <c r="M59" s="68" t="n">
        <f aca="false">YEARFRAC(A59,$A$14)</f>
        <v>3.74722222222222</v>
      </c>
      <c r="O59" s="59" t="n">
        <f aca="false">SUM(E59:H59)</f>
        <v>7155964.67402606</v>
      </c>
      <c r="P59" s="67" t="n">
        <f aca="false">(A59-A58)/360*$Q$5*$Q58</f>
        <v>566157.492844508</v>
      </c>
      <c r="Q59" s="59" t="n">
        <f aca="false">Q58-(O59-P59)</f>
        <v>101326734.361263</v>
      </c>
      <c r="R59" s="68" t="n">
        <f aca="false">YEARFRAC(A59,$A$14)</f>
        <v>3.74722222222222</v>
      </c>
      <c r="T59" s="59" t="n">
        <f aca="false">IF(L58&gt;=$Z$15,$T$15,(L58*'Financing Assumptions'!$K$13))</f>
        <v>90091015.928418</v>
      </c>
      <c r="U59" s="59" t="n">
        <f aca="false">T59*('Financing Assumptions'!$F$13/12)</f>
        <v>15015.169321403</v>
      </c>
      <c r="W59" s="59" t="n">
        <f aca="false">IF(L58&gt;=$Z$15,$W$15,(L58*'Financing Assumptions'!$K$14))</f>
        <v>17160193.5101749</v>
      </c>
      <c r="X59" s="59" t="n">
        <f aca="false">W59*('Financing Assumptions'!$F$14/12)</f>
        <v>5434.06127822204</v>
      </c>
      <c r="Z59" s="59" t="n">
        <f aca="false">T59+W59</f>
        <v>107251209.438593</v>
      </c>
      <c r="AA59" s="59" t="n">
        <f aca="false">X59+U59</f>
        <v>20449.230599625</v>
      </c>
      <c r="AC59" s="59" t="n">
        <f aca="false">O59</f>
        <v>7155964.67402606</v>
      </c>
      <c r="AD59" s="67" t="n">
        <f aca="false">(A59-A58)/360*$AF$5*$AE58</f>
        <v>700882.306399302</v>
      </c>
      <c r="AE59" s="59" t="n">
        <f aca="false">AE58-(AC59-AD59)</f>
        <v>100373635.691529</v>
      </c>
    </row>
    <row r="60" customFormat="false" ht="12.75" hidden="false" customHeight="false" outlineLevel="0" collapsed="false">
      <c r="A60" s="66" t="n">
        <f aca="false">'Enron Proposal'!D54</f>
        <v>38285</v>
      </c>
      <c r="C60" s="41" t="n">
        <f aca="false">'Enron Proposal'!C55</f>
        <v>31</v>
      </c>
      <c r="E60" s="59" t="n">
        <f aca="false">'Enron Proposal'!H54*'Enron Proposal'!S54</f>
        <v>6925127.10389619</v>
      </c>
      <c r="F60" s="59" t="n">
        <f aca="false">'Enron Proposal'!K54*'Enron Proposal'!T54</f>
        <v>0</v>
      </c>
      <c r="G60" s="59" t="n">
        <f aca="false">'Enron Proposal'!N54*'Enron Proposal'!U54</f>
        <v>0</v>
      </c>
      <c r="H60" s="59" t="n">
        <f aca="false">'Enron Proposal'!Q54*'Enron Proposal'!V54</f>
        <v>0</v>
      </c>
      <c r="J60" s="59" t="n">
        <f aca="false">SUM(E60:H60)</f>
        <v>6925127.10389619</v>
      </c>
      <c r="K60" s="67" t="n">
        <f aca="false">(A60-A59)/360*$L$5*$L59</f>
        <v>516981.702626849</v>
      </c>
      <c r="L60" s="59" t="n">
        <f aca="false">L59-(J60-K60)</f>
        <v>94335755.4778037</v>
      </c>
      <c r="M60" s="68" t="n">
        <f aca="false">YEARFRAC(A60,$A$14)</f>
        <v>3.825</v>
      </c>
      <c r="O60" s="59" t="n">
        <f aca="false">SUM(E60:H60)</f>
        <v>6925127.10389619</v>
      </c>
      <c r="P60" s="67" t="n">
        <f aca="false">(A60-A59)/360*$Q$5*$Q59</f>
        <v>451042.409028724</v>
      </c>
      <c r="Q60" s="59" t="n">
        <f aca="false">Q59-(O60-P60)</f>
        <v>94852649.6663952</v>
      </c>
      <c r="R60" s="68" t="n">
        <f aca="false">YEARFRAC(A60,$A$14)</f>
        <v>3.825</v>
      </c>
      <c r="T60" s="59" t="n">
        <f aca="false">IF(L59&gt;=$Z$15,$T$15,(L59*'Financing Assumptions'!$K$13))</f>
        <v>84624876.7384213</v>
      </c>
      <c r="U60" s="59" t="n">
        <f aca="false">T60*('Financing Assumptions'!$F$13/12)</f>
        <v>14104.1461230702</v>
      </c>
      <c r="W60" s="59" t="n">
        <f aca="false">IF(L59&gt;=$Z$15,$W$15,(L59*'Financing Assumptions'!$K$14))</f>
        <v>16119024.1406517</v>
      </c>
      <c r="X60" s="59" t="n">
        <f aca="false">W60*('Financing Assumptions'!$F$14/12)</f>
        <v>5104.3576445397</v>
      </c>
      <c r="Z60" s="59" t="n">
        <f aca="false">T60+W60</f>
        <v>100743900.879073</v>
      </c>
      <c r="AA60" s="59" t="n">
        <f aca="false">X60+U60</f>
        <v>19208.5037676099</v>
      </c>
      <c r="AC60" s="59" t="n">
        <f aca="false">O60</f>
        <v>6925127.10389619</v>
      </c>
      <c r="AD60" s="67" t="n">
        <f aca="false">(A60-A59)/360*$AF$5*$AE59</f>
        <v>558754.233021128</v>
      </c>
      <c r="AE60" s="59" t="n">
        <f aca="false">AE59-(AC60-AD60)</f>
        <v>94007262.8206537</v>
      </c>
    </row>
    <row r="61" customFormat="false" ht="12.75" hidden="false" customHeight="false" outlineLevel="0" collapsed="false">
      <c r="A61" s="66" t="n">
        <f aca="false">'Enron Proposal'!D55</f>
        <v>38316</v>
      </c>
      <c r="C61" s="41" t="n">
        <f aca="false">'Enron Proposal'!C56</f>
        <v>30</v>
      </c>
      <c r="E61" s="59" t="n">
        <f aca="false">'Enron Proposal'!H55*'Enron Proposal'!S55</f>
        <v>7155964.67402606</v>
      </c>
      <c r="F61" s="59" t="n">
        <f aca="false">'Enron Proposal'!K55*'Enron Proposal'!T55</f>
        <v>0</v>
      </c>
      <c r="G61" s="59" t="n">
        <f aca="false">'Enron Proposal'!N55*'Enron Proposal'!U55</f>
        <v>0</v>
      </c>
      <c r="H61" s="59" t="n">
        <f aca="false">'Enron Proposal'!Q55*'Enron Proposal'!V55</f>
        <v>0</v>
      </c>
      <c r="J61" s="59" t="n">
        <f aca="false">SUM(E61:H61)</f>
        <v>7155964.67402606</v>
      </c>
      <c r="K61" s="67" t="n">
        <f aca="false">(A61-A60)/360*$L$5*$L60</f>
        <v>535964.96762668</v>
      </c>
      <c r="L61" s="59" t="n">
        <f aca="false">L60-(J61-K61)</f>
        <v>87715755.7714043</v>
      </c>
      <c r="M61" s="68" t="n">
        <f aca="false">YEARFRAC(A61,$A$14)</f>
        <v>3.90833333333333</v>
      </c>
      <c r="O61" s="59" t="n">
        <f aca="false">SUM(E61:H61)</f>
        <v>7155964.67402606</v>
      </c>
      <c r="P61" s="67" t="n">
        <f aca="false">(A61-A60)/360*$Q$5*$Q60</f>
        <v>467462.16027126</v>
      </c>
      <c r="Q61" s="59" t="n">
        <f aca="false">Q60-(O61-P61)</f>
        <v>88164147.1526404</v>
      </c>
      <c r="R61" s="68" t="n">
        <f aca="false">YEARFRAC(A61,$A$14)</f>
        <v>3.90833333333333</v>
      </c>
      <c r="T61" s="59" t="n">
        <f aca="false">IF(L60&gt;=$Z$15,$T$15,(L60*'Financing Assumptions'!$K$13))</f>
        <v>79242034.6013551</v>
      </c>
      <c r="U61" s="59" t="n">
        <f aca="false">T61*('Financing Assumptions'!$F$13/12)</f>
        <v>13207.0057668925</v>
      </c>
      <c r="W61" s="59" t="n">
        <f aca="false">IF(L60&gt;=$Z$15,$W$15,(L60*'Financing Assumptions'!$K$14))</f>
        <v>15093720.8764486</v>
      </c>
      <c r="X61" s="59" t="n">
        <f aca="false">W61*('Financing Assumptions'!$F$14/12)</f>
        <v>4779.67827754205</v>
      </c>
      <c r="Z61" s="59" t="n">
        <f aca="false">T61+W61</f>
        <v>94335755.4778037</v>
      </c>
      <c r="AA61" s="59" t="n">
        <f aca="false">X61+U61</f>
        <v>17986.6840444346</v>
      </c>
      <c r="AC61" s="59" t="n">
        <f aca="false">O61</f>
        <v>7155964.67402606</v>
      </c>
      <c r="AD61" s="67" t="n">
        <f aca="false">(A61-A60)/360*$AF$5*$AE60</f>
        <v>579383.657688587</v>
      </c>
      <c r="AE61" s="59" t="n">
        <f aca="false">AE60-(AC61-AD61)</f>
        <v>87430681.8043162</v>
      </c>
    </row>
    <row r="62" customFormat="false" ht="12.75" hidden="false" customHeight="false" outlineLevel="0" collapsed="false">
      <c r="A62" s="66" t="n">
        <f aca="false">'Enron Proposal'!D56</f>
        <v>38348</v>
      </c>
      <c r="C62" s="41" t="n">
        <f aca="false">'Enron Proposal'!C57</f>
        <v>31</v>
      </c>
      <c r="E62" s="59" t="n">
        <f aca="false">'Enron Proposal'!H56*'Enron Proposal'!S56</f>
        <v>6925127.10389619</v>
      </c>
      <c r="F62" s="59" t="n">
        <f aca="false">'Enron Proposal'!K56*'Enron Proposal'!T56</f>
        <v>0</v>
      </c>
      <c r="G62" s="59" t="n">
        <f aca="false">'Enron Proposal'!N56*'Enron Proposal'!U56</f>
        <v>0</v>
      </c>
      <c r="H62" s="59" t="n">
        <f aca="false">'Enron Proposal'!Q56*'Enron Proposal'!V56</f>
        <v>0</v>
      </c>
      <c r="J62" s="59" t="n">
        <f aca="false">SUM(E62:H62)</f>
        <v>6925127.10389619</v>
      </c>
      <c r="K62" s="67" t="n">
        <f aca="false">(A62-A61)/360*$L$5*$L61</f>
        <v>514429.61943483</v>
      </c>
      <c r="L62" s="59" t="n">
        <f aca="false">L61-(J62-K62)</f>
        <v>81305058.286943</v>
      </c>
      <c r="M62" s="68" t="n">
        <f aca="false">YEARFRAC(A62,$A$14)</f>
        <v>3.99722222222222</v>
      </c>
      <c r="O62" s="59" t="n">
        <f aca="false">SUM(E62:H62)</f>
        <v>6925127.10389619</v>
      </c>
      <c r="P62" s="67" t="n">
        <f aca="false">(A62-A61)/360*$Q$5*$Q61</f>
        <v>448515.328131181</v>
      </c>
      <c r="Q62" s="59" t="n">
        <f aca="false">Q61-(O62-P62)</f>
        <v>81687535.3768754</v>
      </c>
      <c r="R62" s="68" t="n">
        <f aca="false">YEARFRAC(A62,$A$14)</f>
        <v>3.99722222222222</v>
      </c>
      <c r="T62" s="59" t="n">
        <f aca="false">IF(L61&gt;=$Z$15,$T$15,(L61*'Financing Assumptions'!$K$13))</f>
        <v>73681234.8479796</v>
      </c>
      <c r="U62" s="59" t="n">
        <f aca="false">T62*('Financing Assumptions'!$F$13/12)</f>
        <v>12280.2058079966</v>
      </c>
      <c r="W62" s="59" t="n">
        <f aca="false">IF(L61&gt;=$Z$15,$W$15,(L61*'Financing Assumptions'!$K$14))</f>
        <v>14034520.9234247</v>
      </c>
      <c r="X62" s="59" t="n">
        <f aca="false">W62*('Financing Assumptions'!$F$14/12)</f>
        <v>4444.26495908449</v>
      </c>
      <c r="Z62" s="59" t="n">
        <f aca="false">T62+W62</f>
        <v>87715755.7714043</v>
      </c>
      <c r="AA62" s="59" t="n">
        <f aca="false">X62+U62</f>
        <v>16724.4707670811</v>
      </c>
      <c r="AC62" s="59" t="n">
        <f aca="false">O62</f>
        <v>6925127.10389619</v>
      </c>
      <c r="AD62" s="67" t="n">
        <f aca="false">(A62-A61)/360*$AF$5*$AE61</f>
        <v>556233.297348197</v>
      </c>
      <c r="AE62" s="59" t="n">
        <f aca="false">AE61-(AC62-AD62)</f>
        <v>81061787.9977682</v>
      </c>
    </row>
    <row r="63" customFormat="false" ht="12.75" hidden="false" customHeight="false" outlineLevel="0" collapsed="false">
      <c r="A63" s="66" t="n">
        <f aca="false">'Enron Proposal'!D57</f>
        <v>38377</v>
      </c>
      <c r="C63" s="41" t="n">
        <f aca="false">'Enron Proposal'!C58</f>
        <v>31</v>
      </c>
      <c r="E63" s="59" t="n">
        <f aca="false">'Enron Proposal'!H57*'Enron Proposal'!S57</f>
        <v>7155964.67402606</v>
      </c>
      <c r="F63" s="59" t="n">
        <f aca="false">'Enron Proposal'!K57*'Enron Proposal'!T57</f>
        <v>0</v>
      </c>
      <c r="G63" s="59" t="n">
        <f aca="false">'Enron Proposal'!N57*'Enron Proposal'!U57</f>
        <v>0</v>
      </c>
      <c r="H63" s="59" t="n">
        <f aca="false">'Enron Proposal'!Q57*'Enron Proposal'!V57</f>
        <v>0</v>
      </c>
      <c r="J63" s="59" t="n">
        <f aca="false">SUM(E63:H63)</f>
        <v>7155964.67402606</v>
      </c>
      <c r="K63" s="67" t="n">
        <f aca="false">(A63-A62)/360*$L$5*$L62</f>
        <v>432129.526260915</v>
      </c>
      <c r="L63" s="59" t="n">
        <f aca="false">L62-(J63-K63)</f>
        <v>74581223.1391778</v>
      </c>
      <c r="M63" s="68" t="n">
        <f aca="false">YEARFRAC(A63,$A$14)</f>
        <v>4.075</v>
      </c>
      <c r="O63" s="59" t="n">
        <f aca="false">SUM(E63:H63)</f>
        <v>7155964.67402606</v>
      </c>
      <c r="P63" s="67" t="n">
        <f aca="false">(A63-A62)/360*$Q$5*$Q62</f>
        <v>376607.610134976</v>
      </c>
      <c r="Q63" s="59" t="n">
        <f aca="false">Q62-(O63-P63)</f>
        <v>74908178.3129844</v>
      </c>
      <c r="R63" s="68" t="n">
        <f aca="false">YEARFRAC(A63,$A$14)</f>
        <v>4.075</v>
      </c>
      <c r="T63" s="59" t="n">
        <f aca="false">IF(L62&gt;=$Z$15,$T$15,(L62*'Financing Assumptions'!$K$13))</f>
        <v>68296248.9610321</v>
      </c>
      <c r="U63" s="59" t="n">
        <f aca="false">T63*('Financing Assumptions'!$F$13/12)</f>
        <v>11382.708160172</v>
      </c>
      <c r="W63" s="59" t="n">
        <f aca="false">IF(L62&gt;=$Z$15,$W$15,(L62*'Financing Assumptions'!$K$14))</f>
        <v>13008809.3259109</v>
      </c>
      <c r="X63" s="59" t="n">
        <f aca="false">W63*('Financing Assumptions'!$F$14/12)</f>
        <v>4119.45628653844</v>
      </c>
      <c r="Z63" s="59" t="n">
        <f aca="false">T63+W63</f>
        <v>81305058.286943</v>
      </c>
      <c r="AA63" s="59" t="n">
        <f aca="false">X63+U63</f>
        <v>15502.1644467105</v>
      </c>
      <c r="AC63" s="59" t="n">
        <f aca="false">O63</f>
        <v>7155964.67402606</v>
      </c>
      <c r="AD63" s="67" t="n">
        <f aca="false">(A63-A62)/360*$AF$5*$AE62</f>
        <v>467366.216654579</v>
      </c>
      <c r="AE63" s="59" t="n">
        <f aca="false">AE62-(AC63-AD63)</f>
        <v>74373189.5403968</v>
      </c>
    </row>
    <row r="64" customFormat="false" ht="12.75" hidden="false" customHeight="false" outlineLevel="0" collapsed="false">
      <c r="A64" s="66" t="n">
        <f aca="false">'Enron Proposal'!D58</f>
        <v>38408</v>
      </c>
      <c r="C64" s="41" t="n">
        <f aca="false">'Enron Proposal'!C59</f>
        <v>28</v>
      </c>
      <c r="E64" s="59" t="n">
        <f aca="false">'Enron Proposal'!H58*'Enron Proposal'!S58</f>
        <v>7155964.67402606</v>
      </c>
      <c r="F64" s="59" t="n">
        <f aca="false">'Enron Proposal'!K58*'Enron Proposal'!T58</f>
        <v>0</v>
      </c>
      <c r="G64" s="59" t="n">
        <f aca="false">'Enron Proposal'!N58*'Enron Proposal'!U58</f>
        <v>0</v>
      </c>
      <c r="H64" s="59" t="n">
        <f aca="false">'Enron Proposal'!Q58*'Enron Proposal'!V58</f>
        <v>0</v>
      </c>
      <c r="J64" s="59" t="n">
        <f aca="false">SUM(E64:H64)</f>
        <v>7155964.67402606</v>
      </c>
      <c r="K64" s="67" t="n">
        <f aca="false">(A64-A63)/360*$L$5*$L63</f>
        <v>423730.351687838</v>
      </c>
      <c r="L64" s="59" t="n">
        <f aca="false">L63-(J64-K64)</f>
        <v>67848988.8168396</v>
      </c>
      <c r="M64" s="68" t="n">
        <f aca="false">YEARFRAC(A64,$A$14)</f>
        <v>4.15833333333333</v>
      </c>
      <c r="O64" s="59" t="n">
        <f aca="false">SUM(E64:H64)</f>
        <v>7155964.67402606</v>
      </c>
      <c r="P64" s="67" t="n">
        <f aca="false">(A64-A63)/360*$Q$5*$Q63</f>
        <v>369169.854287985</v>
      </c>
      <c r="Q64" s="59" t="n">
        <f aca="false">Q63-(O64-P64)</f>
        <v>68121383.4932463</v>
      </c>
      <c r="R64" s="68" t="n">
        <f aca="false">YEARFRAC(A64,$A$14)</f>
        <v>4.15833333333333</v>
      </c>
      <c r="T64" s="59" t="n">
        <f aca="false">IF(L63&gt;=$Z$15,$T$15,(L63*'Financing Assumptions'!$K$13))</f>
        <v>62648227.4369094</v>
      </c>
      <c r="U64" s="59" t="n">
        <f aca="false">T64*('Financing Assumptions'!$F$13/12)</f>
        <v>10441.3712394849</v>
      </c>
      <c r="W64" s="59" t="n">
        <f aca="false">IF(L63&gt;=$Z$15,$W$15,(L63*'Financing Assumptions'!$K$14))</f>
        <v>11932995.7022685</v>
      </c>
      <c r="X64" s="59" t="n">
        <f aca="false">W64*('Financing Assumptions'!$F$14/12)</f>
        <v>3778.78197238501</v>
      </c>
      <c r="Z64" s="59" t="n">
        <f aca="false">T64+W64</f>
        <v>74581223.1391778</v>
      </c>
      <c r="AA64" s="59" t="n">
        <f aca="false">X64+U64</f>
        <v>14220.1532118699</v>
      </c>
      <c r="AC64" s="59" t="n">
        <f aca="false">O64</f>
        <v>7155964.67402606</v>
      </c>
      <c r="AD64" s="67" t="n">
        <f aca="false">(A64-A63)/360*$AF$5*$AE63</f>
        <v>458375.335021609</v>
      </c>
      <c r="AE64" s="59" t="n">
        <f aca="false">AE63-(AC64-AD64)</f>
        <v>67675600.2013923</v>
      </c>
    </row>
    <row r="65" customFormat="false" ht="12.75" hidden="false" customHeight="false" outlineLevel="0" collapsed="false">
      <c r="A65" s="66" t="n">
        <f aca="false">'Enron Proposal'!D59</f>
        <v>38436</v>
      </c>
      <c r="C65" s="41" t="n">
        <f aca="false">'Enron Proposal'!C60</f>
        <v>31</v>
      </c>
      <c r="E65" s="59" t="n">
        <f aca="false">'Enron Proposal'!H59*'Enron Proposal'!S59</f>
        <v>6463451.96363644</v>
      </c>
      <c r="F65" s="59" t="n">
        <f aca="false">'Enron Proposal'!K59*'Enron Proposal'!T59</f>
        <v>0</v>
      </c>
      <c r="G65" s="59" t="n">
        <f aca="false">'Enron Proposal'!N59*'Enron Proposal'!U59</f>
        <v>0</v>
      </c>
      <c r="H65" s="59" t="n">
        <f aca="false">'Enron Proposal'!Q59*'Enron Proposal'!V59</f>
        <v>0</v>
      </c>
      <c r="J65" s="59" t="n">
        <f aca="false">SUM(E65:H65)</f>
        <v>6463451.96363644</v>
      </c>
      <c r="K65" s="67" t="n">
        <f aca="false">(A65-A64)/360*$L$5*$L64</f>
        <v>348176.767565748</v>
      </c>
      <c r="L65" s="59" t="n">
        <f aca="false">L64-(J65-K65)</f>
        <v>61733713.6207689</v>
      </c>
      <c r="M65" s="68" t="n">
        <f aca="false">YEARFRAC(A65,$A$14)</f>
        <v>4.24166666666667</v>
      </c>
      <c r="O65" s="59" t="n">
        <f aca="false">SUM(E65:H65)</f>
        <v>6463451.96363644</v>
      </c>
      <c r="P65" s="67" t="n">
        <f aca="false">(A65-A64)/360*$Q$5*$Q64</f>
        <v>303233.229718196</v>
      </c>
      <c r="Q65" s="59" t="n">
        <f aca="false">Q64-(O65-P65)</f>
        <v>61961164.759328</v>
      </c>
      <c r="R65" s="68" t="n">
        <f aca="false">YEARFRAC(A65,$A$14)</f>
        <v>4.24166666666667</v>
      </c>
      <c r="T65" s="59" t="n">
        <f aca="false">IF(L64&gt;=$Z$15,$T$15,(L64*'Financing Assumptions'!$K$13))</f>
        <v>56993150.6061453</v>
      </c>
      <c r="U65" s="59" t="n">
        <f aca="false">T65*('Financing Assumptions'!$F$13/12)</f>
        <v>9498.85843435754</v>
      </c>
      <c r="W65" s="59" t="n">
        <f aca="false">IF(L64&gt;=$Z$15,$W$15,(L64*'Financing Assumptions'!$K$14))</f>
        <v>10855838.2106943</v>
      </c>
      <c r="X65" s="59" t="n">
        <f aca="false">W65*('Financing Assumptions'!$F$14/12)</f>
        <v>3437.68210005321</v>
      </c>
      <c r="Z65" s="59" t="n">
        <f aca="false">T65+W65</f>
        <v>67848988.8168396</v>
      </c>
      <c r="AA65" s="59" t="n">
        <f aca="false">X65+U65</f>
        <v>12936.5405344107</v>
      </c>
      <c r="AC65" s="59" t="n">
        <f aca="false">O65</f>
        <v>6463451.96363644</v>
      </c>
      <c r="AD65" s="67" t="n">
        <f aca="false">(A65-A64)/360*$AF$5*$AE64</f>
        <v>376732.67311931</v>
      </c>
      <c r="AE65" s="59" t="n">
        <f aca="false">AE64-(AC65-AD65)</f>
        <v>61588880.9108752</v>
      </c>
    </row>
    <row r="66" customFormat="false" ht="12.75" hidden="false" customHeight="false" outlineLevel="0" collapsed="false">
      <c r="A66" s="66" t="n">
        <f aca="false">'Enron Proposal'!D60</f>
        <v>38467</v>
      </c>
      <c r="C66" s="41" t="n">
        <f aca="false">'Enron Proposal'!C61</f>
        <v>30</v>
      </c>
      <c r="E66" s="59" t="n">
        <f aca="false">'Enron Proposal'!H60*'Enron Proposal'!S60</f>
        <v>7155964.67402606</v>
      </c>
      <c r="F66" s="59" t="n">
        <f aca="false">'Enron Proposal'!K60*'Enron Proposal'!T60</f>
        <v>0</v>
      </c>
      <c r="G66" s="59" t="n">
        <f aca="false">'Enron Proposal'!N60*'Enron Proposal'!U60</f>
        <v>0</v>
      </c>
      <c r="H66" s="59" t="n">
        <f aca="false">'Enron Proposal'!Q60*'Enron Proposal'!V60</f>
        <v>0</v>
      </c>
      <c r="J66" s="59" t="n">
        <f aca="false">SUM(E66:H66)</f>
        <v>7155964.67402606</v>
      </c>
      <c r="K66" s="67" t="n">
        <f aca="false">(A66-A65)/360*$L$5*$L65</f>
        <v>350737.720333572</v>
      </c>
      <c r="L66" s="59" t="n">
        <f aca="false">L65-(J66-K66)</f>
        <v>54928486.6670764</v>
      </c>
      <c r="M66" s="68" t="n">
        <f aca="false">YEARFRAC(A66,$A$14)</f>
        <v>4.325</v>
      </c>
      <c r="O66" s="59" t="n">
        <f aca="false">SUM(E66:H66)</f>
        <v>7155964.67402606</v>
      </c>
      <c r="P66" s="67" t="n">
        <f aca="false">(A66-A65)/360*$Q$5*$Q65</f>
        <v>305363.108286269</v>
      </c>
      <c r="Q66" s="59" t="n">
        <f aca="false">Q65-(O66-P66)</f>
        <v>55110563.1935882</v>
      </c>
      <c r="R66" s="68" t="n">
        <f aca="false">YEARFRAC(A66,$A$14)</f>
        <v>4.325</v>
      </c>
      <c r="T66" s="59" t="n">
        <f aca="false">IF(L65&gt;=$Z$15,$T$15,(L65*'Financing Assumptions'!$K$13))</f>
        <v>51856319.4414459</v>
      </c>
      <c r="U66" s="59" t="n">
        <f aca="false">T66*('Financing Assumptions'!$F$13/12)</f>
        <v>8642.71990690765</v>
      </c>
      <c r="W66" s="59" t="n">
        <f aca="false">IF(L65&gt;=$Z$15,$W$15,(L65*'Financing Assumptions'!$K$14))</f>
        <v>9877394.17932302</v>
      </c>
      <c r="X66" s="59" t="n">
        <f aca="false">W66*('Financing Assumptions'!$F$14/12)</f>
        <v>3127.84149011896</v>
      </c>
      <c r="Z66" s="59" t="n">
        <f aca="false">T66+W66</f>
        <v>61733713.6207689</v>
      </c>
      <c r="AA66" s="59" t="n">
        <f aca="false">X66+U66</f>
        <v>11770.5613970266</v>
      </c>
      <c r="AC66" s="59" t="n">
        <f aca="false">O66</f>
        <v>7155964.67402606</v>
      </c>
      <c r="AD66" s="67" t="n">
        <f aca="false">(A66-A65)/360*$AF$5*$AE65</f>
        <v>379583.343078146</v>
      </c>
      <c r="AE66" s="59" t="n">
        <f aca="false">AE65-(AC66-AD66)</f>
        <v>54812499.5799273</v>
      </c>
    </row>
    <row r="67" customFormat="false" ht="12.75" hidden="false" customHeight="false" outlineLevel="0" collapsed="false">
      <c r="A67" s="66" t="n">
        <f aca="false">'Enron Proposal'!D61</f>
        <v>38497</v>
      </c>
      <c r="C67" s="41" t="n">
        <f aca="false">'Enron Proposal'!C62</f>
        <v>31</v>
      </c>
      <c r="E67" s="59" t="n">
        <f aca="false">'Enron Proposal'!H61*'Enron Proposal'!S61</f>
        <v>6925127.10389619</v>
      </c>
      <c r="F67" s="59" t="n">
        <f aca="false">'Enron Proposal'!K61*'Enron Proposal'!T61</f>
        <v>0</v>
      </c>
      <c r="G67" s="59" t="n">
        <f aca="false">'Enron Proposal'!N61*'Enron Proposal'!U61</f>
        <v>0</v>
      </c>
      <c r="H67" s="59" t="n">
        <f aca="false">'Enron Proposal'!Q61*'Enron Proposal'!V61</f>
        <v>0</v>
      </c>
      <c r="J67" s="59" t="n">
        <f aca="false">SUM(E67:H67)</f>
        <v>6925127.10389619</v>
      </c>
      <c r="K67" s="67" t="n">
        <f aca="false">(A67-A66)/360*$L$5*$L66</f>
        <v>302007.179081322</v>
      </c>
      <c r="L67" s="59" t="n">
        <f aca="false">L66-(J67-K67)</f>
        <v>48305366.7422615</v>
      </c>
      <c r="M67" s="68" t="n">
        <f aca="false">YEARFRAC(A67,$A$14)</f>
        <v>4.40833333333333</v>
      </c>
      <c r="O67" s="59" t="n">
        <f aca="false">SUM(E67:H67)</f>
        <v>6925127.10389619</v>
      </c>
      <c r="P67" s="67" t="n">
        <f aca="false">(A67-A66)/360*$Q$5*$Q66</f>
        <v>262839.96739916</v>
      </c>
      <c r="Q67" s="59" t="n">
        <f aca="false">Q66-(O67-P67)</f>
        <v>48448276.0570912</v>
      </c>
      <c r="R67" s="68" t="n">
        <f aca="false">YEARFRAC(A67,$A$14)</f>
        <v>4.40833333333333</v>
      </c>
      <c r="T67" s="59" t="n">
        <f aca="false">IF(L66&gt;=$Z$15,$T$15,(L66*'Financing Assumptions'!$K$13))</f>
        <v>46139928.8003442</v>
      </c>
      <c r="U67" s="59" t="n">
        <f aca="false">T67*('Financing Assumptions'!$F$13/12)</f>
        <v>7689.9881333907</v>
      </c>
      <c r="W67" s="59" t="n">
        <f aca="false">IF(L66&gt;=$Z$15,$W$15,(L66*'Financing Assumptions'!$K$14))</f>
        <v>8788557.86673223</v>
      </c>
      <c r="X67" s="59" t="n">
        <f aca="false">W67*('Financing Assumptions'!$F$14/12)</f>
        <v>2783.0433244652</v>
      </c>
      <c r="Z67" s="59" t="n">
        <f aca="false">T67+W67</f>
        <v>54928486.6670764</v>
      </c>
      <c r="AA67" s="59" t="n">
        <f aca="false">X67+U67</f>
        <v>10473.0314578559</v>
      </c>
      <c r="AC67" s="59" t="n">
        <f aca="false">O67</f>
        <v>6925127.10389619</v>
      </c>
      <c r="AD67" s="67" t="n">
        <f aca="false">(A67-A66)/360*$AF$5*$AE66</f>
        <v>326921.890591399</v>
      </c>
      <c r="AE67" s="59" t="n">
        <f aca="false">AE66-(AC67-AD67)</f>
        <v>48214294.3666225</v>
      </c>
    </row>
    <row r="68" customFormat="false" ht="12.75" hidden="false" customHeight="false" outlineLevel="0" collapsed="false">
      <c r="A68" s="66" t="n">
        <f aca="false">'Enron Proposal'!D62</f>
        <v>38530</v>
      </c>
      <c r="C68" s="41" t="n">
        <f aca="false">'Enron Proposal'!C63</f>
        <v>30</v>
      </c>
      <c r="E68" s="59" t="n">
        <f aca="false">'Enron Proposal'!H62*'Enron Proposal'!S62</f>
        <v>7155964.67402606</v>
      </c>
      <c r="F68" s="59" t="n">
        <f aca="false">'Enron Proposal'!K62*'Enron Proposal'!T62</f>
        <v>0</v>
      </c>
      <c r="G68" s="59" t="n">
        <f aca="false">'Enron Proposal'!N62*'Enron Proposal'!U62</f>
        <v>0</v>
      </c>
      <c r="H68" s="59" t="n">
        <f aca="false">'Enron Proposal'!Q62*'Enron Proposal'!V62</f>
        <v>0</v>
      </c>
      <c r="J68" s="59" t="n">
        <f aca="false">SUM(E68:H68)</f>
        <v>7155964.67402606</v>
      </c>
      <c r="K68" s="67" t="n">
        <f aca="false">(A68-A67)/360*$L$5*$L67</f>
        <v>292151.218292524</v>
      </c>
      <c r="L68" s="59" t="n">
        <f aca="false">L67-(J68-K68)</f>
        <v>41441553.286528</v>
      </c>
      <c r="M68" s="68" t="n">
        <f aca="false">YEARFRAC(A68,$A$14)</f>
        <v>4.49722222222222</v>
      </c>
      <c r="O68" s="59" t="n">
        <f aca="false">SUM(E68:H68)</f>
        <v>7155964.67402606</v>
      </c>
      <c r="P68" s="67" t="n">
        <f aca="false">(A68-A67)/360*$Q$5*$Q67</f>
        <v>254171.919458086</v>
      </c>
      <c r="Q68" s="59" t="n">
        <f aca="false">Q67-(O68-P68)</f>
        <v>41546483.3025232</v>
      </c>
      <c r="R68" s="68" t="n">
        <f aca="false">YEARFRAC(A68,$A$14)</f>
        <v>4.49722222222222</v>
      </c>
      <c r="T68" s="59" t="n">
        <f aca="false">IF(L67&gt;=$Z$15,$T$15,(L67*'Financing Assumptions'!$K$13))</f>
        <v>40576508.0634997</v>
      </c>
      <c r="U68" s="59" t="n">
        <f aca="false">T68*('Financing Assumptions'!$F$13/12)</f>
        <v>6762.75134391662</v>
      </c>
      <c r="W68" s="59" t="n">
        <f aca="false">IF(L67&gt;=$Z$15,$W$15,(L67*'Financing Assumptions'!$K$14))</f>
        <v>7728858.67876185</v>
      </c>
      <c r="X68" s="59" t="n">
        <f aca="false">W68*('Financing Assumptions'!$F$14/12)</f>
        <v>2447.47191494125</v>
      </c>
      <c r="Z68" s="59" t="n">
        <f aca="false">T68+W68</f>
        <v>48305366.7422615</v>
      </c>
      <c r="AA68" s="59" t="n">
        <f aca="false">X68+U68</f>
        <v>9210.22325885787</v>
      </c>
      <c r="AC68" s="59" t="n">
        <f aca="false">O68</f>
        <v>7155964.67402606</v>
      </c>
      <c r="AD68" s="67" t="n">
        <f aca="false">(A68-A67)/360*$AF$5*$AE67</f>
        <v>316324.546910512</v>
      </c>
      <c r="AE68" s="59" t="n">
        <f aca="false">AE67-(AC68-AD68)</f>
        <v>41374654.2395069</v>
      </c>
    </row>
    <row r="69" customFormat="false" ht="12.75" hidden="false" customHeight="false" outlineLevel="0" collapsed="false">
      <c r="A69" s="66" t="n">
        <f aca="false">'Enron Proposal'!D63</f>
        <v>38558</v>
      </c>
      <c r="C69" s="41" t="n">
        <f aca="false">'Enron Proposal'!C64</f>
        <v>31</v>
      </c>
      <c r="E69" s="59" t="n">
        <f aca="false">'Enron Proposal'!H63*'Enron Proposal'!S63</f>
        <v>6925127.10389619</v>
      </c>
      <c r="F69" s="59" t="n">
        <f aca="false">'Enron Proposal'!K63*'Enron Proposal'!T63</f>
        <v>0</v>
      </c>
      <c r="G69" s="59" t="n">
        <f aca="false">'Enron Proposal'!N63*'Enron Proposal'!U63</f>
        <v>0</v>
      </c>
      <c r="H69" s="59" t="n">
        <f aca="false">'Enron Proposal'!Q63*'Enron Proposal'!V63</f>
        <v>0</v>
      </c>
      <c r="J69" s="59" t="n">
        <f aca="false">SUM(E69:H69)</f>
        <v>6925127.10389619</v>
      </c>
      <c r="K69" s="67" t="n">
        <f aca="false">(A69-A68)/360*$L$5*$L68</f>
        <v>212663.244033872</v>
      </c>
      <c r="L69" s="59" t="n">
        <f aca="false">L68-(J69-K69)</f>
        <v>34729089.4266657</v>
      </c>
      <c r="M69" s="68" t="n">
        <f aca="false">YEARFRAC(A69,$A$14)</f>
        <v>4.575</v>
      </c>
      <c r="O69" s="59" t="n">
        <f aca="false">SUM(E69:H69)</f>
        <v>6925127.10389619</v>
      </c>
      <c r="P69" s="67" t="n">
        <f aca="false">(A69-A68)/360*$Q$5*$Q68</f>
        <v>184938.615001943</v>
      </c>
      <c r="Q69" s="59" t="n">
        <f aca="false">Q68-(O69-P69)</f>
        <v>34806294.813629</v>
      </c>
      <c r="R69" s="68" t="n">
        <f aca="false">YEARFRAC(A69,$A$14)</f>
        <v>4.575</v>
      </c>
      <c r="T69" s="59" t="n">
        <f aca="false">IF(L68&gt;=$Z$15,$T$15,(L68*'Financing Assumptions'!$K$13))</f>
        <v>34810904.7606835</v>
      </c>
      <c r="U69" s="59" t="n">
        <f aca="false">T69*('Financing Assumptions'!$F$13/12)</f>
        <v>5801.81746011392</v>
      </c>
      <c r="W69" s="59" t="n">
        <f aca="false">IF(L68&gt;=$Z$15,$W$15,(L68*'Financing Assumptions'!$K$14))</f>
        <v>6630648.52584448</v>
      </c>
      <c r="X69" s="59" t="n">
        <f aca="false">W69*('Financing Assumptions'!$F$14/12)</f>
        <v>2099.70536651742</v>
      </c>
      <c r="Z69" s="59" t="n">
        <f aca="false">T69+W69</f>
        <v>41441553.286528</v>
      </c>
      <c r="AA69" s="59" t="n">
        <f aca="false">X69+U69</f>
        <v>7901.52282663134</v>
      </c>
      <c r="AC69" s="59" t="n">
        <f aca="false">O69</f>
        <v>6925127.10389619</v>
      </c>
      <c r="AD69" s="67" t="n">
        <f aca="false">(A69-A68)/360*$AF$5*$AE68</f>
        <v>230322.066515133</v>
      </c>
      <c r="AE69" s="59" t="n">
        <f aca="false">AE68-(AC69-AD69)</f>
        <v>34679849.2021259</v>
      </c>
    </row>
    <row r="70" customFormat="false" ht="12.75" hidden="false" customHeight="false" outlineLevel="0" collapsed="false">
      <c r="A70" s="66" t="n">
        <f aca="false">'Enron Proposal'!D64</f>
        <v>38589</v>
      </c>
      <c r="C70" s="41" t="n">
        <f aca="false">'Enron Proposal'!C65</f>
        <v>31</v>
      </c>
      <c r="E70" s="59" t="n">
        <f aca="false">'Enron Proposal'!H64*'Enron Proposal'!S64</f>
        <v>7155964.67402606</v>
      </c>
      <c r="F70" s="59" t="n">
        <f aca="false">'Enron Proposal'!K64*'Enron Proposal'!T64</f>
        <v>0</v>
      </c>
      <c r="G70" s="59" t="n">
        <f aca="false">'Enron Proposal'!N64*'Enron Proposal'!U64</f>
        <v>0</v>
      </c>
      <c r="H70" s="59" t="n">
        <f aca="false">'Enron Proposal'!Q64*'Enron Proposal'!V64</f>
        <v>0</v>
      </c>
      <c r="J70" s="59" t="n">
        <f aca="false">SUM(E70:H70)</f>
        <v>7155964.67402606</v>
      </c>
      <c r="K70" s="67" t="n">
        <f aca="false">(A70-A69)/360*$L$5*$L69</f>
        <v>197311.986277001</v>
      </c>
      <c r="L70" s="59" t="n">
        <f aca="false">L69-(J70-K70)</f>
        <v>27770436.7389166</v>
      </c>
      <c r="M70" s="68" t="n">
        <f aca="false">YEARFRAC(A70,$A$14)</f>
        <v>4.65833333333333</v>
      </c>
      <c r="O70" s="59" t="n">
        <f aca="false">SUM(E70:H70)</f>
        <v>7155964.67402606</v>
      </c>
      <c r="P70" s="67" t="n">
        <f aca="false">(A70-A69)/360*$Q$5*$Q69</f>
        <v>171535.80655725</v>
      </c>
      <c r="Q70" s="59" t="n">
        <f aca="false">Q69-(O70-P70)</f>
        <v>27821865.9461602</v>
      </c>
      <c r="R70" s="68" t="n">
        <f aca="false">YEARFRAC(A70,$A$14)</f>
        <v>4.65833333333333</v>
      </c>
      <c r="T70" s="59" t="n">
        <f aca="false">IF(L69&gt;=$Z$15,$T$15,(L69*'Financing Assumptions'!$K$13))</f>
        <v>29172435.1183992</v>
      </c>
      <c r="U70" s="59" t="n">
        <f aca="false">T70*('Financing Assumptions'!$F$13/12)</f>
        <v>4862.0725197332</v>
      </c>
      <c r="W70" s="59" t="n">
        <f aca="false">IF(L69&gt;=$Z$15,$W$15,(L69*'Financing Assumptions'!$K$14))</f>
        <v>5556654.30826651</v>
      </c>
      <c r="X70" s="59" t="n">
        <f aca="false">W70*('Financing Assumptions'!$F$14/12)</f>
        <v>1759.60719761773</v>
      </c>
      <c r="Z70" s="59" t="n">
        <f aca="false">T70+W70</f>
        <v>34729089.4266657</v>
      </c>
      <c r="AA70" s="59" t="n">
        <f aca="false">X70+U70</f>
        <v>6621.67971735093</v>
      </c>
      <c r="AC70" s="59" t="n">
        <f aca="false">O70</f>
        <v>7155964.67402606</v>
      </c>
      <c r="AD70" s="67" t="n">
        <f aca="false">(A70-A69)/360*$AF$5*$AE69</f>
        <v>213738.144010739</v>
      </c>
      <c r="AE70" s="59" t="n">
        <f aca="false">AE69-(AC70-AD70)</f>
        <v>27737622.6721105</v>
      </c>
    </row>
    <row r="71" customFormat="false" ht="12.75" hidden="false" customHeight="false" outlineLevel="0" collapsed="false">
      <c r="A71" s="66" t="n">
        <f aca="false">'Enron Proposal'!D65</f>
        <v>38621</v>
      </c>
      <c r="C71" s="41" t="n">
        <f aca="false">'Enron Proposal'!C66</f>
        <v>30</v>
      </c>
      <c r="E71" s="59" t="n">
        <f aca="false">'Enron Proposal'!H65*'Enron Proposal'!S65</f>
        <v>7155964.67402606</v>
      </c>
      <c r="F71" s="59" t="n">
        <f aca="false">'Enron Proposal'!K65*'Enron Proposal'!T65</f>
        <v>0</v>
      </c>
      <c r="G71" s="59" t="n">
        <f aca="false">'Enron Proposal'!N65*'Enron Proposal'!U65</f>
        <v>0</v>
      </c>
      <c r="H71" s="59" t="n">
        <f aca="false">'Enron Proposal'!Q65*'Enron Proposal'!V65</f>
        <v>0</v>
      </c>
      <c r="J71" s="59" t="n">
        <f aca="false">SUM(E71:H71)</f>
        <v>7155964.67402606</v>
      </c>
      <c r="K71" s="67" t="n">
        <f aca="false">(A71-A70)/360*$L$5*$L70</f>
        <v>162866.238539521</v>
      </c>
      <c r="L71" s="59" t="n">
        <f aca="false">L70-(J71-K71)</f>
        <v>20777338.3034301</v>
      </c>
      <c r="M71" s="68" t="n">
        <f aca="false">YEARFRAC(A71,$A$14)</f>
        <v>4.74444444444444</v>
      </c>
      <c r="O71" s="59" t="n">
        <f aca="false">SUM(E71:H71)</f>
        <v>7155964.67402606</v>
      </c>
      <c r="P71" s="67" t="n">
        <f aca="false">(A71-A70)/360*$Q$5*$Q70</f>
        <v>141537.504042992</v>
      </c>
      <c r="Q71" s="59" t="n">
        <f aca="false">Q70-(O71-P71)</f>
        <v>20807438.7761771</v>
      </c>
      <c r="R71" s="68" t="n">
        <f aca="false">YEARFRAC(A71,$A$14)</f>
        <v>4.74444444444444</v>
      </c>
      <c r="T71" s="59" t="n">
        <f aca="false">IF(L70&gt;=$Z$15,$T$15,(L70*'Financing Assumptions'!$K$13))</f>
        <v>23327166.86069</v>
      </c>
      <c r="U71" s="59" t="n">
        <f aca="false">T71*('Financing Assumptions'!$F$13/12)</f>
        <v>3887.86114344833</v>
      </c>
      <c r="W71" s="59" t="n">
        <f aca="false">IF(L70&gt;=$Z$15,$W$15,(L70*'Financing Assumptions'!$K$14))</f>
        <v>4443269.87822666</v>
      </c>
      <c r="X71" s="59" t="n">
        <f aca="false">W71*('Financing Assumptions'!$F$14/12)</f>
        <v>1407.03546143844</v>
      </c>
      <c r="Z71" s="59" t="n">
        <f aca="false">T71+W71</f>
        <v>27770436.7389166</v>
      </c>
      <c r="AA71" s="59" t="n">
        <f aca="false">X71+U71</f>
        <v>5294.89660488677</v>
      </c>
      <c r="AC71" s="59" t="n">
        <f aca="false">O71</f>
        <v>7155964.67402606</v>
      </c>
      <c r="AD71" s="67" t="n">
        <f aca="false">(A71-A70)/360*$AF$5*$AE70</f>
        <v>176466.533270778</v>
      </c>
      <c r="AE71" s="59" t="n">
        <f aca="false">AE70-(AC71-AD71)</f>
        <v>20758124.5313553</v>
      </c>
    </row>
    <row r="72" customFormat="false" ht="12.75" hidden="false" customHeight="false" outlineLevel="0" collapsed="false">
      <c r="A72" s="66" t="n">
        <f aca="false">'Enron Proposal'!D66</f>
        <v>38650</v>
      </c>
      <c r="C72" s="41" t="n">
        <f aca="false">'Enron Proposal'!C67</f>
        <v>31</v>
      </c>
      <c r="E72" s="59" t="n">
        <f aca="false">'Enron Proposal'!H66*'Enron Proposal'!S66</f>
        <v>6925127.10389619</v>
      </c>
      <c r="F72" s="59" t="n">
        <f aca="false">'Enron Proposal'!K66*'Enron Proposal'!T66</f>
        <v>0</v>
      </c>
      <c r="G72" s="59" t="n">
        <f aca="false">'Enron Proposal'!N66*'Enron Proposal'!U66</f>
        <v>0</v>
      </c>
      <c r="H72" s="59" t="n">
        <f aca="false">'Enron Proposal'!Q66*'Enron Proposal'!V66</f>
        <v>0</v>
      </c>
      <c r="J72" s="59" t="n">
        <f aca="false">SUM(E72:H72)</f>
        <v>6925127.10389619</v>
      </c>
      <c r="K72" s="67" t="n">
        <f aca="false">(A72-A71)/360*$L$5*$L71</f>
        <v>110429.800398604</v>
      </c>
      <c r="L72" s="59" t="n">
        <f aca="false">L71-(J72-K72)</f>
        <v>13962640.9999325</v>
      </c>
      <c r="M72" s="68" t="n">
        <f aca="false">YEARFRAC(A72,$A$14)</f>
        <v>4.825</v>
      </c>
      <c r="O72" s="59" t="n">
        <f aca="false">SUM(E72:H72)</f>
        <v>6925127.10389619</v>
      </c>
      <c r="P72" s="67" t="n">
        <f aca="false">(A72-A71)/360*$Q$5*$Q71</f>
        <v>95929.4432666188</v>
      </c>
      <c r="Q72" s="59" t="n">
        <f aca="false">Q71-(O72-P72)</f>
        <v>13978241.1155475</v>
      </c>
      <c r="R72" s="68" t="n">
        <f aca="false">YEARFRAC(A72,$A$14)</f>
        <v>4.825</v>
      </c>
      <c r="T72" s="59" t="n">
        <f aca="false">IF(L71&gt;=$Z$15,$T$15,(L71*'Financing Assumptions'!$K$13))</f>
        <v>17452964.1748813</v>
      </c>
      <c r="U72" s="59" t="n">
        <f aca="false">T72*('Financing Assumptions'!$F$13/12)</f>
        <v>2908.82736248021</v>
      </c>
      <c r="W72" s="59" t="n">
        <f aca="false">IF(L71&gt;=$Z$15,$W$15,(L71*'Financing Assumptions'!$K$14))</f>
        <v>3324374.12854882</v>
      </c>
      <c r="X72" s="59" t="n">
        <f aca="false">W72*('Financing Assumptions'!$F$14/12)</f>
        <v>1052.71847404046</v>
      </c>
      <c r="Z72" s="59" t="n">
        <f aca="false">T72+W72</f>
        <v>20777338.3034301</v>
      </c>
      <c r="AA72" s="59" t="n">
        <f aca="false">X72+U72</f>
        <v>3961.54583652067</v>
      </c>
      <c r="AC72" s="59" t="n">
        <f aca="false">O72</f>
        <v>6925127.10389619</v>
      </c>
      <c r="AD72" s="67" t="n">
        <f aca="false">(A72-A71)/360*$AF$5*$AE71</f>
        <v>119682.113690007</v>
      </c>
      <c r="AE72" s="59" t="n">
        <f aca="false">AE71-(AC72-AD72)</f>
        <v>13952679.5411491</v>
      </c>
    </row>
    <row r="73" customFormat="false" ht="12.75" hidden="false" customHeight="false" outlineLevel="0" collapsed="false">
      <c r="A73" s="66" t="n">
        <f aca="false">'Enron Proposal'!D67</f>
        <v>38681</v>
      </c>
      <c r="C73" s="41" t="n">
        <f aca="false">'Enron Proposal'!C68</f>
        <v>30</v>
      </c>
      <c r="E73" s="59" t="n">
        <f aca="false">'Enron Proposal'!H67*'Enron Proposal'!S67</f>
        <v>7155964.67402606</v>
      </c>
      <c r="F73" s="59" t="n">
        <f aca="false">'Enron Proposal'!K67*'Enron Proposal'!T67</f>
        <v>0</v>
      </c>
      <c r="G73" s="59" t="n">
        <f aca="false">'Enron Proposal'!N67*'Enron Proposal'!U67</f>
        <v>0</v>
      </c>
      <c r="H73" s="59" t="n">
        <f aca="false">'Enron Proposal'!Q67*'Enron Proposal'!V67</f>
        <v>0</v>
      </c>
      <c r="J73" s="59" t="n">
        <f aca="false">SUM(E73:H73)</f>
        <v>7155964.67402606</v>
      </c>
      <c r="K73" s="67" t="n">
        <f aca="false">(A73-A72)/360*$L$5*$L72</f>
        <v>79328.2079907928</v>
      </c>
      <c r="L73" s="59" t="n">
        <f aca="false">L72-(J73-K73)</f>
        <v>6886004.53389725</v>
      </c>
      <c r="M73" s="68" t="n">
        <f aca="false">YEARFRAC(A73,$A$14)</f>
        <v>4.90833333333333</v>
      </c>
      <c r="O73" s="59" t="n">
        <f aca="false">SUM(E73:H73)</f>
        <v>7155964.67402606</v>
      </c>
      <c r="P73" s="67" t="n">
        <f aca="false">(A73-A72)/360*$Q$5*$Q72</f>
        <v>68888.94313072</v>
      </c>
      <c r="Q73" s="59" t="n">
        <f aca="false">Q72-(O73-P73)</f>
        <v>6891165.38465221</v>
      </c>
      <c r="R73" s="68" t="n">
        <f aca="false">YEARFRAC(A73,$A$14)</f>
        <v>4.90833333333333</v>
      </c>
      <c r="T73" s="59" t="n">
        <f aca="false">IF(L72&gt;=$Z$15,$T$15,(L72*'Financing Assumptions'!$K$13))</f>
        <v>11728618.4399433</v>
      </c>
      <c r="U73" s="59" t="n">
        <f aca="false">T73*('Financing Assumptions'!$F$13/12)</f>
        <v>1954.76973999055</v>
      </c>
      <c r="W73" s="59" t="n">
        <f aca="false">IF(L72&gt;=$Z$15,$W$15,(L72*'Financing Assumptions'!$K$14))</f>
        <v>2234022.5599892</v>
      </c>
      <c r="X73" s="59" t="n">
        <f aca="false">W73*('Financing Assumptions'!$F$14/12)</f>
        <v>707.440477329914</v>
      </c>
      <c r="Z73" s="59" t="n">
        <f aca="false">T73+W73</f>
        <v>13962640.9999325</v>
      </c>
      <c r="AA73" s="59" t="n">
        <f aca="false">X73+U73</f>
        <v>2662.21021732047</v>
      </c>
      <c r="AC73" s="59" t="n">
        <f aca="false">O73</f>
        <v>7155964.67402606</v>
      </c>
      <c r="AD73" s="67" t="n">
        <f aca="false">(A73-A72)/360*$AF$5*$AE72</f>
        <v>85992.8718755504</v>
      </c>
      <c r="AE73" s="59" t="n">
        <f aca="false">AE72-(AC73-AD73)</f>
        <v>6882707.73899857</v>
      </c>
    </row>
    <row r="74" customFormat="false" ht="12.75" hidden="false" customHeight="false" outlineLevel="0" collapsed="false">
      <c r="A74" s="66" t="n">
        <f aca="false">'Enron Proposal'!D68</f>
        <v>38712</v>
      </c>
      <c r="C74" s="41" t="n">
        <f aca="false">EOMONTH(A74,0)-EOMONTH(A74,-1)</f>
        <v>31</v>
      </c>
      <c r="E74" s="59" t="n">
        <f aca="false">'Enron Proposal'!H68*'Enron Proposal'!S68</f>
        <v>6925127.10389619</v>
      </c>
      <c r="F74" s="59" t="n">
        <f aca="false">'Enron Proposal'!K68*'Enron Proposal'!T68</f>
        <v>0</v>
      </c>
      <c r="G74" s="59" t="n">
        <f aca="false">'Enron Proposal'!N68*'Enron Proposal'!U68</f>
        <v>0</v>
      </c>
      <c r="H74" s="59" t="n">
        <f aca="false">'Enron Proposal'!Q68*'Enron Proposal'!V68</f>
        <v>0</v>
      </c>
      <c r="J74" s="59" t="n">
        <f aca="false">SUM(E74:H74)</f>
        <v>6925127.10389619</v>
      </c>
      <c r="K74" s="67" t="n">
        <f aca="false">(A74-A73)/360*$L$5*$L73</f>
        <v>39122.5699989839</v>
      </c>
      <c r="L74" s="59" t="n">
        <f aca="false">L73-(J74-K74)</f>
        <v>4.2840838432312E-008</v>
      </c>
      <c r="M74" s="68" t="n">
        <f aca="false">YEARFRAC(A74,$A$14)</f>
        <v>4.99444444444444</v>
      </c>
      <c r="O74" s="59" t="n">
        <f aca="false">SUM(E74:H74)</f>
        <v>6925127.10389619</v>
      </c>
      <c r="P74" s="67" t="n">
        <f aca="false">(A74-A73)/360*$Q$5*$Q73</f>
        <v>33961.7192437517</v>
      </c>
      <c r="Q74" s="59" t="n">
        <f aca="false">Q73-(O74-P74)</f>
        <v>-2.25380063056946E-007</v>
      </c>
      <c r="R74" s="68" t="n">
        <f aca="false">YEARFRAC(A74,$A$14)</f>
        <v>4.99444444444444</v>
      </c>
      <c r="T74" s="59" t="n">
        <f aca="false">IF(L73&gt;=$Z$15,$T$15,(L73*'Financing Assumptions'!$K$13))</f>
        <v>5784243.80847369</v>
      </c>
      <c r="U74" s="59" t="n">
        <f aca="false">T74*('Financing Assumptions'!$F$13/12)</f>
        <v>964.040634745614</v>
      </c>
      <c r="W74" s="59" t="n">
        <f aca="false">IF(L73&gt;=$Z$15,$W$15,(L73*'Financing Assumptions'!$K$14))</f>
        <v>1101760.72542356</v>
      </c>
      <c r="X74" s="59" t="n">
        <f aca="false">W74*('Financing Assumptions'!$F$14/12)</f>
        <v>348.890896384127</v>
      </c>
      <c r="Z74" s="59" t="n">
        <f aca="false">T74+W74</f>
        <v>6886004.53389725</v>
      </c>
      <c r="AA74" s="59" t="n">
        <f aca="false">X74+U74</f>
        <v>1312.93153112974</v>
      </c>
      <c r="AC74" s="59" t="n">
        <f aca="false">O74</f>
        <v>6925127.10389619</v>
      </c>
      <c r="AD74" s="67" t="n">
        <f aca="false">(A74-A73)/360*$AF$5*$AE73</f>
        <v>42419.3648976919</v>
      </c>
      <c r="AE74" s="59" t="n">
        <f aca="false">AE73-(AC74-AD74)</f>
        <v>7.72997736930847E-008</v>
      </c>
    </row>
    <row r="75" customFormat="false" ht="12.75" hidden="false" customHeight="false" outlineLevel="0" collapsed="false">
      <c r="A75" s="66"/>
      <c r="E75" s="59"/>
      <c r="F75" s="59"/>
      <c r="G75" s="59"/>
      <c r="H75" s="59"/>
    </row>
    <row r="76" customFormat="false" ht="12.75" hidden="false" customHeight="false" outlineLevel="0" collapsed="false">
      <c r="A76" s="66"/>
      <c r="AC76" s="59" t="n">
        <f aca="false">SUM(AC19:AC74)</f>
        <v>393578057.071433</v>
      </c>
    </row>
    <row r="77" customFormat="false" ht="12.75" hidden="false" customHeight="false" outlineLevel="0" collapsed="false">
      <c r="A77" s="66"/>
    </row>
    <row r="78" customFormat="false" ht="12.75" hidden="false" customHeight="false" outlineLevel="0" collapsed="false">
      <c r="A78" s="66"/>
    </row>
    <row r="79" customFormat="false" ht="12.75" hidden="false" customHeight="false" outlineLevel="0" collapsed="false">
      <c r="A79" s="66"/>
    </row>
    <row r="80" customFormat="false" ht="12.75" hidden="false" customHeight="false" outlineLevel="0" collapsed="false">
      <c r="A80" s="66"/>
    </row>
    <row r="81" customFormat="false" ht="12.75" hidden="false" customHeight="false" outlineLevel="0" collapsed="false">
      <c r="A81" s="66"/>
    </row>
    <row r="82" customFormat="false" ht="12.75" hidden="false" customHeight="false" outlineLevel="0" collapsed="false">
      <c r="A82" s="66"/>
    </row>
    <row r="83" customFormat="false" ht="12.75" hidden="false" customHeight="false" outlineLevel="0" collapsed="false">
      <c r="A83" s="66"/>
    </row>
    <row r="84" customFormat="false" ht="12.75" hidden="false" customHeight="false" outlineLevel="0" collapsed="false">
      <c r="A84" s="66"/>
    </row>
    <row r="85" customFormat="false" ht="12.75" hidden="false" customHeight="false" outlineLevel="0" collapsed="false">
      <c r="A85" s="66"/>
    </row>
    <row r="86" customFormat="false" ht="12.75" hidden="false" customHeight="false" outlineLevel="0" collapsed="false">
      <c r="A86" s="66"/>
    </row>
    <row r="87" customFormat="false" ht="12.75" hidden="false" customHeight="false" outlineLevel="0" collapsed="false">
      <c r="A87" s="66"/>
    </row>
    <row r="88" customFormat="false" ht="12.75" hidden="false" customHeight="false" outlineLevel="0" collapsed="false">
      <c r="A88" s="66"/>
    </row>
    <row r="89" customFormat="false" ht="12.75" hidden="false" customHeight="false" outlineLevel="0" collapsed="false">
      <c r="A89" s="66"/>
    </row>
    <row r="90" customFormat="false" ht="12.75" hidden="false" customHeight="false" outlineLevel="0" collapsed="false">
      <c r="A90" s="66"/>
    </row>
    <row r="91" customFormat="false" ht="12.75" hidden="false" customHeight="false" outlineLevel="0" collapsed="false">
      <c r="A91" s="66"/>
    </row>
    <row r="92" customFormat="false" ht="12.75" hidden="false" customHeight="false" outlineLevel="0" collapsed="false">
      <c r="A92" s="66"/>
    </row>
    <row r="93" customFormat="false" ht="12.75" hidden="false" customHeight="false" outlineLevel="0" collapsed="false">
      <c r="A93" s="66"/>
    </row>
    <row r="94" customFormat="false" ht="12.75" hidden="false" customHeight="false" outlineLevel="0" collapsed="false">
      <c r="A94" s="66"/>
    </row>
    <row r="95" customFormat="false" ht="12.75" hidden="false" customHeight="false" outlineLevel="0" collapsed="false">
      <c r="A95" s="66"/>
    </row>
    <row r="96" customFormat="false" ht="12.75" hidden="false" customHeight="false" outlineLevel="0" collapsed="false">
      <c r="A96" s="66"/>
    </row>
    <row r="97" customFormat="false" ht="12.75" hidden="false" customHeight="false" outlineLevel="0" collapsed="false">
      <c r="A97" s="66"/>
    </row>
    <row r="98" customFormat="false" ht="12.75" hidden="false" customHeight="false" outlineLevel="0" collapsed="false">
      <c r="A98" s="66"/>
    </row>
    <row r="99" customFormat="false" ht="12.75" hidden="false" customHeight="false" outlineLevel="0" collapsed="false">
      <c r="A99" s="66"/>
    </row>
    <row r="100" customFormat="false" ht="12.75" hidden="false" customHeight="false" outlineLevel="0" collapsed="false">
      <c r="A100" s="66"/>
    </row>
    <row r="101" customFormat="false" ht="12.75" hidden="false" customHeight="false" outlineLevel="0" collapsed="false">
      <c r="A101" s="66"/>
    </row>
    <row r="102" customFormat="false" ht="12.75" hidden="false" customHeight="false" outlineLevel="0" collapsed="false">
      <c r="A102" s="66"/>
    </row>
    <row r="103" customFormat="false" ht="12.75" hidden="false" customHeight="false" outlineLevel="0" collapsed="false">
      <c r="A103" s="66"/>
    </row>
    <row r="104" customFormat="false" ht="12.75" hidden="false" customHeight="false" outlineLevel="0" collapsed="false">
      <c r="A104" s="66"/>
    </row>
    <row r="105" customFormat="false" ht="12.75" hidden="false" customHeight="false" outlineLevel="0" collapsed="false">
      <c r="A105" s="66"/>
    </row>
    <row r="106" customFormat="false" ht="12.75" hidden="false" customHeight="false" outlineLevel="0" collapsed="false">
      <c r="A106" s="66"/>
    </row>
    <row r="107" customFormat="false" ht="12.75" hidden="false" customHeight="false" outlineLevel="0" collapsed="false">
      <c r="A107" s="66"/>
    </row>
    <row r="108" customFormat="false" ht="12.75" hidden="false" customHeight="false" outlineLevel="0" collapsed="false">
      <c r="A108" s="66"/>
    </row>
    <row r="109" customFormat="false" ht="12.75" hidden="false" customHeight="false" outlineLevel="0" collapsed="false">
      <c r="A109" s="66"/>
    </row>
    <row r="110" customFormat="false" ht="12.75" hidden="false" customHeight="false" outlineLevel="0" collapsed="false">
      <c r="A110" s="66"/>
    </row>
    <row r="111" customFormat="false" ht="12.75" hidden="false" customHeight="false" outlineLevel="0" collapsed="false">
      <c r="A111" s="66"/>
    </row>
    <row r="112" customFormat="false" ht="12.75" hidden="false" customHeight="false" outlineLevel="0" collapsed="false">
      <c r="A112" s="66"/>
    </row>
    <row r="113" customFormat="false" ht="12.75" hidden="false" customHeight="false" outlineLevel="0" collapsed="false">
      <c r="A113" s="66"/>
    </row>
    <row r="114" customFormat="false" ht="12.75" hidden="false" customHeight="false" outlineLevel="0" collapsed="false">
      <c r="A114" s="66"/>
    </row>
    <row r="115" customFormat="false" ht="12.75" hidden="false" customHeight="false" outlineLevel="0" collapsed="false">
      <c r="A115" s="66"/>
    </row>
    <row r="116" customFormat="false" ht="12.75" hidden="false" customHeight="false" outlineLevel="0" collapsed="false">
      <c r="A116" s="66"/>
    </row>
    <row r="117" customFormat="false" ht="12.75" hidden="false" customHeight="false" outlineLevel="0" collapsed="false">
      <c r="A117" s="66"/>
    </row>
    <row r="118" customFormat="false" ht="12.75" hidden="false" customHeight="false" outlineLevel="0" collapsed="false">
      <c r="A118" s="66"/>
    </row>
    <row r="119" customFormat="false" ht="12.75" hidden="false" customHeight="false" outlineLevel="0" collapsed="false">
      <c r="A119" s="66"/>
    </row>
    <row r="120" customFormat="false" ht="12.75" hidden="false" customHeight="false" outlineLevel="0" collapsed="false">
      <c r="A120" s="66"/>
    </row>
    <row r="121" customFormat="false" ht="12.75" hidden="false" customHeight="false" outlineLevel="0" collapsed="false">
      <c r="A121" s="66"/>
    </row>
    <row r="122" customFormat="false" ht="12.75" hidden="false" customHeight="false" outlineLevel="0" collapsed="false">
      <c r="A122" s="66"/>
    </row>
    <row r="123" customFormat="false" ht="12.75" hidden="false" customHeight="false" outlineLevel="0" collapsed="false">
      <c r="A123" s="66"/>
    </row>
    <row r="124" customFormat="false" ht="12.75" hidden="false" customHeight="false" outlineLevel="0" collapsed="false">
      <c r="A124" s="66"/>
    </row>
    <row r="125" customFormat="false" ht="12.75" hidden="false" customHeight="false" outlineLevel="0" collapsed="false">
      <c r="A125" s="66"/>
    </row>
    <row r="126" customFormat="false" ht="12.75" hidden="false" customHeight="false" outlineLevel="0" collapsed="false">
      <c r="A126" s="66"/>
    </row>
    <row r="127" customFormat="false" ht="12.75" hidden="false" customHeight="false" outlineLevel="0" collapsed="false">
      <c r="A127" s="66"/>
    </row>
    <row r="128" customFormat="false" ht="12.75" hidden="false" customHeight="false" outlineLevel="0" collapsed="false">
      <c r="A128" s="66"/>
    </row>
    <row r="129" customFormat="false" ht="12.75" hidden="false" customHeight="false" outlineLevel="0" collapsed="false">
      <c r="A129" s="66"/>
    </row>
    <row r="130" customFormat="false" ht="12.75" hidden="false" customHeight="false" outlineLevel="0" collapsed="false">
      <c r="A130" s="66"/>
    </row>
    <row r="131" customFormat="false" ht="12.75" hidden="false" customHeight="false" outlineLevel="0" collapsed="false">
      <c r="A131" s="66"/>
    </row>
    <row r="132" customFormat="false" ht="12.75" hidden="false" customHeight="false" outlineLevel="0" collapsed="false">
      <c r="A132" s="66"/>
    </row>
    <row r="133" customFormat="false" ht="12.75" hidden="false" customHeight="false" outlineLevel="0" collapsed="false">
      <c r="A133" s="66"/>
    </row>
    <row r="134" customFormat="false" ht="12.75" hidden="false" customHeight="false" outlineLevel="0" collapsed="false">
      <c r="A134" s="66"/>
    </row>
    <row r="135" customFormat="false" ht="12.75" hidden="false" customHeight="false" outlineLevel="0" collapsed="false">
      <c r="A135" s="66"/>
    </row>
    <row r="136" customFormat="false" ht="12.75" hidden="false" customHeight="false" outlineLevel="0" collapsed="false">
      <c r="A136" s="66"/>
    </row>
    <row r="137" customFormat="false" ht="12.75" hidden="false" customHeight="false" outlineLevel="0" collapsed="false">
      <c r="A137" s="66"/>
    </row>
    <row r="138" customFormat="false" ht="12.75" hidden="false" customHeight="false" outlineLevel="0" collapsed="false">
      <c r="A138" s="66"/>
    </row>
    <row r="139" customFormat="false" ht="12.75" hidden="false" customHeight="false" outlineLevel="0" collapsed="false">
      <c r="A139" s="66"/>
    </row>
    <row r="140" customFormat="false" ht="12.75" hidden="false" customHeight="false" outlineLevel="0" collapsed="false">
      <c r="A140" s="66"/>
    </row>
    <row r="141" customFormat="false" ht="12.75" hidden="false" customHeight="false" outlineLevel="0" collapsed="false">
      <c r="A141" s="66"/>
    </row>
    <row r="142" customFormat="false" ht="12.75" hidden="false" customHeight="false" outlineLevel="0" collapsed="false">
      <c r="A142" s="66"/>
    </row>
    <row r="143" customFormat="false" ht="12.75" hidden="false" customHeight="false" outlineLevel="0" collapsed="false">
      <c r="A143" s="66"/>
    </row>
    <row r="144" customFormat="false" ht="12.75" hidden="false" customHeight="false" outlineLevel="0" collapsed="false">
      <c r="A144" s="66"/>
    </row>
    <row r="145" customFormat="false" ht="12.75" hidden="false" customHeight="false" outlineLevel="0" collapsed="false">
      <c r="A145" s="66"/>
    </row>
    <row r="146" customFormat="false" ht="12.75" hidden="false" customHeight="false" outlineLevel="0" collapsed="false">
      <c r="A146" s="66"/>
    </row>
    <row r="147" customFormat="false" ht="12.75" hidden="false" customHeight="false" outlineLevel="0" collapsed="false">
      <c r="A147" s="66"/>
    </row>
    <row r="148" customFormat="false" ht="12.75" hidden="false" customHeight="false" outlineLevel="0" collapsed="false">
      <c r="A148" s="66"/>
    </row>
    <row r="149" customFormat="false" ht="12.75" hidden="false" customHeight="false" outlineLevel="0" collapsed="false">
      <c r="A149" s="66"/>
    </row>
    <row r="150" customFormat="false" ht="12.75" hidden="false" customHeight="false" outlineLevel="0" collapsed="false">
      <c r="A150" s="66"/>
    </row>
    <row r="151" customFormat="false" ht="12.75" hidden="false" customHeight="false" outlineLevel="0" collapsed="false">
      <c r="A151" s="66"/>
    </row>
    <row r="152" customFormat="false" ht="12.75" hidden="false" customHeight="false" outlineLevel="0" collapsed="false">
      <c r="A152" s="66"/>
    </row>
    <row r="153" customFormat="false" ht="12.75" hidden="false" customHeight="false" outlineLevel="0" collapsed="false">
      <c r="A153" s="66"/>
    </row>
    <row r="154" customFormat="false" ht="12.75" hidden="false" customHeight="false" outlineLevel="0" collapsed="false">
      <c r="A154" s="66"/>
    </row>
    <row r="155" customFormat="false" ht="12.75" hidden="false" customHeight="false" outlineLevel="0" collapsed="false">
      <c r="A155" s="66"/>
    </row>
    <row r="156" customFormat="false" ht="12.75" hidden="false" customHeight="false" outlineLevel="0" collapsed="false">
      <c r="A156" s="66"/>
    </row>
    <row r="157" customFormat="false" ht="12.75" hidden="false" customHeight="false" outlineLevel="0" collapsed="false">
      <c r="A157" s="66"/>
    </row>
    <row r="158" customFormat="false" ht="12.75" hidden="false" customHeight="false" outlineLevel="0" collapsed="false">
      <c r="A158" s="66"/>
    </row>
    <row r="159" customFormat="false" ht="12.75" hidden="false" customHeight="false" outlineLevel="0" collapsed="false">
      <c r="A159" s="66"/>
    </row>
    <row r="160" customFormat="false" ht="12.75" hidden="false" customHeight="false" outlineLevel="0" collapsed="false">
      <c r="A160" s="66"/>
    </row>
    <row r="161" customFormat="false" ht="12.75" hidden="false" customHeight="false" outlineLevel="0" collapsed="false">
      <c r="A161" s="66"/>
    </row>
    <row r="162" customFormat="false" ht="12.75" hidden="false" customHeight="false" outlineLevel="0" collapsed="false">
      <c r="A162" s="66"/>
    </row>
    <row r="163" customFormat="false" ht="12.75" hidden="false" customHeight="false" outlineLevel="0" collapsed="false">
      <c r="A163" s="66"/>
    </row>
    <row r="164" customFormat="false" ht="12.75" hidden="false" customHeight="false" outlineLevel="0" collapsed="false">
      <c r="A164" s="66"/>
    </row>
    <row r="165" customFormat="false" ht="12.75" hidden="false" customHeight="false" outlineLevel="0" collapsed="false">
      <c r="A165" s="66"/>
    </row>
    <row r="166" customFormat="false" ht="12.75" hidden="false" customHeight="false" outlineLevel="0" collapsed="false">
      <c r="A166" s="66"/>
    </row>
    <row r="167" customFormat="false" ht="12.75" hidden="false" customHeight="false" outlineLevel="0" collapsed="false">
      <c r="A167" s="66"/>
    </row>
    <row r="168" customFormat="false" ht="12.75" hidden="false" customHeight="false" outlineLevel="0" collapsed="false">
      <c r="A168" s="66"/>
    </row>
    <row r="169" customFormat="false" ht="12.75" hidden="false" customHeight="false" outlineLevel="0" collapsed="false">
      <c r="A169" s="66"/>
    </row>
    <row r="170" customFormat="false" ht="12.75" hidden="false" customHeight="false" outlineLevel="0" collapsed="false">
      <c r="A170" s="66"/>
    </row>
    <row r="171" customFormat="false" ht="12.75" hidden="false" customHeight="false" outlineLevel="0" collapsed="false">
      <c r="A171" s="66"/>
    </row>
    <row r="172" customFormat="false" ht="12.75" hidden="false" customHeight="false" outlineLevel="0" collapsed="false">
      <c r="A172" s="66"/>
    </row>
    <row r="173" customFormat="false" ht="12.75" hidden="false" customHeight="false" outlineLevel="0" collapsed="false">
      <c r="A173" s="66"/>
    </row>
    <row r="174" customFormat="false" ht="12.75" hidden="false" customHeight="false" outlineLevel="0" collapsed="false">
      <c r="A174" s="66"/>
    </row>
    <row r="175" customFormat="false" ht="12.75" hidden="false" customHeight="false" outlineLevel="0" collapsed="false">
      <c r="A175" s="66"/>
    </row>
    <row r="176" customFormat="false" ht="12.75" hidden="false" customHeight="false" outlineLevel="0" collapsed="false">
      <c r="A176" s="66"/>
    </row>
    <row r="177" customFormat="false" ht="12.75" hidden="false" customHeight="false" outlineLevel="0" collapsed="false">
      <c r="A177" s="66"/>
    </row>
    <row r="178" customFormat="false" ht="12.75" hidden="false" customHeight="false" outlineLevel="0" collapsed="false">
      <c r="A178" s="66"/>
    </row>
    <row r="179" customFormat="false" ht="12.75" hidden="false" customHeight="false" outlineLevel="0" collapsed="false">
      <c r="A179" s="66"/>
    </row>
    <row r="180" customFormat="false" ht="12.75" hidden="false" customHeight="false" outlineLevel="0" collapsed="false">
      <c r="A180" s="66"/>
    </row>
    <row r="181" customFormat="false" ht="12.75" hidden="false" customHeight="false" outlineLevel="0" collapsed="false">
      <c r="A181" s="66"/>
    </row>
    <row r="182" customFormat="false" ht="12.75" hidden="false" customHeight="false" outlineLevel="0" collapsed="false">
      <c r="A182" s="66"/>
    </row>
    <row r="183" customFormat="false" ht="12.75" hidden="false" customHeight="false" outlineLevel="0" collapsed="false">
      <c r="A183" s="66"/>
    </row>
    <row r="184" customFormat="false" ht="12.75" hidden="false" customHeight="false" outlineLevel="0" collapsed="false">
      <c r="A184" s="66"/>
    </row>
    <row r="185" customFormat="false" ht="12.75" hidden="false" customHeight="false" outlineLevel="0" collapsed="false">
      <c r="A185" s="66"/>
    </row>
    <row r="186" customFormat="false" ht="12.75" hidden="false" customHeight="false" outlineLevel="0" collapsed="false">
      <c r="A186" s="66"/>
    </row>
    <row r="187" customFormat="false" ht="12.75" hidden="false" customHeight="false" outlineLevel="0" collapsed="false">
      <c r="A187" s="66"/>
    </row>
    <row r="188" customFormat="false" ht="12.75" hidden="false" customHeight="false" outlineLevel="0" collapsed="false">
      <c r="A188" s="66"/>
    </row>
    <row r="189" customFormat="false" ht="12.75" hidden="false" customHeight="false" outlineLevel="0" collapsed="false">
      <c r="A189" s="66"/>
    </row>
    <row r="190" customFormat="false" ht="12.75" hidden="false" customHeight="false" outlineLevel="0" collapsed="false">
      <c r="A190" s="66"/>
    </row>
    <row r="191" customFormat="false" ht="12.75" hidden="false" customHeight="false" outlineLevel="0" collapsed="false">
      <c r="A191" s="66"/>
    </row>
    <row r="192" customFormat="false" ht="12.75" hidden="false" customHeight="false" outlineLevel="0" collapsed="false">
      <c r="A192" s="66"/>
    </row>
    <row r="193" customFormat="false" ht="12.75" hidden="false" customHeight="false" outlineLevel="0" collapsed="false">
      <c r="A193" s="66"/>
    </row>
    <row r="194" customFormat="false" ht="12.75" hidden="false" customHeight="false" outlineLevel="0" collapsed="false">
      <c r="A194" s="66"/>
    </row>
    <row r="195" customFormat="false" ht="12.75" hidden="false" customHeight="false" outlineLevel="0" collapsed="false">
      <c r="A195" s="66"/>
    </row>
    <row r="196" customFormat="false" ht="12.75" hidden="false" customHeight="false" outlineLevel="0" collapsed="false">
      <c r="A196" s="66"/>
    </row>
    <row r="197" customFormat="false" ht="12.75" hidden="false" customHeight="false" outlineLevel="0" collapsed="false">
      <c r="A197" s="66"/>
    </row>
    <row r="198" customFormat="false" ht="12.75" hidden="false" customHeight="false" outlineLevel="0" collapsed="false">
      <c r="A198" s="66"/>
    </row>
    <row r="199" customFormat="false" ht="12.75" hidden="false" customHeight="false" outlineLevel="0" collapsed="false">
      <c r="A199" s="66"/>
    </row>
    <row r="200" customFormat="false" ht="12.75" hidden="false" customHeight="false" outlineLevel="0" collapsed="false">
      <c r="A200" s="66"/>
    </row>
    <row r="201" customFormat="false" ht="12.75" hidden="false" customHeight="false" outlineLevel="0" collapsed="false">
      <c r="A201" s="66"/>
    </row>
    <row r="202" customFormat="false" ht="12.75" hidden="false" customHeight="false" outlineLevel="0" collapsed="false">
      <c r="A202" s="66"/>
    </row>
    <row r="203" customFormat="false" ht="12.75" hidden="false" customHeight="false" outlineLevel="0" collapsed="false">
      <c r="A203" s="66"/>
    </row>
    <row r="204" customFormat="false" ht="12.75" hidden="false" customHeight="false" outlineLevel="0" collapsed="false">
      <c r="A204" s="66"/>
    </row>
    <row r="205" customFormat="false" ht="12.75" hidden="false" customHeight="false" outlineLevel="0" collapsed="false">
      <c r="A205" s="66"/>
    </row>
    <row r="206" customFormat="false" ht="12.75" hidden="false" customHeight="false" outlineLevel="0" collapsed="false">
      <c r="A206" s="66"/>
    </row>
    <row r="207" customFormat="false" ht="12.75" hidden="false" customHeight="false" outlineLevel="0" collapsed="false">
      <c r="A207" s="66"/>
    </row>
    <row r="208" customFormat="false" ht="12.75" hidden="false" customHeight="false" outlineLevel="0" collapsed="false">
      <c r="A208" s="66"/>
    </row>
    <row r="209" customFormat="false" ht="12.75" hidden="false" customHeight="false" outlineLevel="0" collapsed="false">
      <c r="A209" s="66"/>
    </row>
    <row r="210" customFormat="false" ht="12.75" hidden="false" customHeight="false" outlineLevel="0" collapsed="false">
      <c r="A210" s="66"/>
    </row>
    <row r="211" customFormat="false" ht="12.75" hidden="false" customHeight="false" outlineLevel="0" collapsed="false">
      <c r="A211" s="66"/>
    </row>
    <row r="212" customFormat="false" ht="12.75" hidden="false" customHeight="false" outlineLevel="0" collapsed="false">
      <c r="A212" s="66"/>
    </row>
    <row r="213" customFormat="false" ht="12.75" hidden="false" customHeight="false" outlineLevel="0" collapsed="false">
      <c r="A213" s="66"/>
    </row>
    <row r="214" customFormat="false" ht="12.75" hidden="false" customHeight="false" outlineLevel="0" collapsed="false">
      <c r="A214" s="66"/>
    </row>
    <row r="215" customFormat="false" ht="12.75" hidden="false" customHeight="false" outlineLevel="0" collapsed="false">
      <c r="A215" s="66"/>
    </row>
    <row r="216" customFormat="false" ht="12.75" hidden="false" customHeight="false" outlineLevel="0" collapsed="false">
      <c r="A216" s="66"/>
    </row>
    <row r="217" customFormat="false" ht="12.75" hidden="false" customHeight="false" outlineLevel="0" collapsed="false">
      <c r="A217" s="66"/>
    </row>
    <row r="218" customFormat="false" ht="12.75" hidden="false" customHeight="false" outlineLevel="0" collapsed="false">
      <c r="A218" s="66"/>
    </row>
    <row r="219" customFormat="false" ht="12.75" hidden="false" customHeight="false" outlineLevel="0" collapsed="false">
      <c r="A219" s="66"/>
    </row>
    <row r="220" customFormat="false" ht="12.75" hidden="false" customHeight="false" outlineLevel="0" collapsed="false">
      <c r="A220" s="66"/>
    </row>
    <row r="221" customFormat="false" ht="12.75" hidden="false" customHeight="false" outlineLevel="0" collapsed="false">
      <c r="A221" s="66"/>
    </row>
    <row r="222" customFormat="false" ht="12.75" hidden="false" customHeight="false" outlineLevel="0" collapsed="false">
      <c r="A222" s="66"/>
    </row>
    <row r="223" customFormat="false" ht="12.75" hidden="false" customHeight="false" outlineLevel="0" collapsed="false">
      <c r="A223" s="66"/>
    </row>
    <row r="224" customFormat="false" ht="12.75" hidden="false" customHeight="false" outlineLevel="0" collapsed="false">
      <c r="A224" s="66"/>
    </row>
    <row r="225" customFormat="false" ht="12.75" hidden="false" customHeight="false" outlineLevel="0" collapsed="false">
      <c r="A225" s="66"/>
    </row>
    <row r="226" customFormat="false" ht="12.75" hidden="false" customHeight="false" outlineLevel="0" collapsed="false">
      <c r="A226" s="66"/>
    </row>
    <row r="227" customFormat="false" ht="12.75" hidden="false" customHeight="false" outlineLevel="0" collapsed="false">
      <c r="A227" s="66"/>
    </row>
    <row r="228" customFormat="false" ht="12.75" hidden="false" customHeight="false" outlineLevel="0" collapsed="false">
      <c r="A228" s="66"/>
    </row>
    <row r="229" customFormat="false" ht="12.75" hidden="false" customHeight="false" outlineLevel="0" collapsed="false">
      <c r="A229" s="66"/>
    </row>
    <row r="230" customFormat="false" ht="12.75" hidden="false" customHeight="false" outlineLevel="0" collapsed="false">
      <c r="A230" s="66"/>
    </row>
    <row r="231" customFormat="false" ht="12.75" hidden="false" customHeight="false" outlineLevel="0" collapsed="false">
      <c r="A231" s="66"/>
    </row>
    <row r="232" customFormat="false" ht="12.75" hidden="false" customHeight="false" outlineLevel="0" collapsed="false">
      <c r="A232" s="66"/>
    </row>
    <row r="233" customFormat="false" ht="12.75" hidden="false" customHeight="false" outlineLevel="0" collapsed="false">
      <c r="A233" s="66"/>
    </row>
    <row r="234" customFormat="false" ht="12.75" hidden="false" customHeight="false" outlineLevel="0" collapsed="false">
      <c r="A234" s="66"/>
    </row>
    <row r="235" customFormat="false" ht="12.75" hidden="false" customHeight="false" outlineLevel="0" collapsed="false">
      <c r="A235" s="66"/>
    </row>
    <row r="236" customFormat="false" ht="12.75" hidden="false" customHeight="false" outlineLevel="0" collapsed="false">
      <c r="A236" s="66"/>
    </row>
    <row r="237" customFormat="false" ht="12.75" hidden="false" customHeight="false" outlineLevel="0" collapsed="false">
      <c r="A237" s="66"/>
    </row>
    <row r="238" customFormat="false" ht="12.75" hidden="false" customHeight="false" outlineLevel="0" collapsed="false">
      <c r="A238" s="66"/>
    </row>
    <row r="239" customFormat="false" ht="12.75" hidden="false" customHeight="false" outlineLevel="0" collapsed="false">
      <c r="A239" s="66"/>
    </row>
    <row r="240" customFormat="false" ht="12.75" hidden="false" customHeight="false" outlineLevel="0" collapsed="false">
      <c r="A240" s="66"/>
    </row>
    <row r="241" customFormat="false" ht="12.75" hidden="false" customHeight="false" outlineLevel="0" collapsed="false">
      <c r="A241" s="66"/>
    </row>
    <row r="242" customFormat="false" ht="12.75" hidden="false" customHeight="false" outlineLevel="0" collapsed="false">
      <c r="A242" s="66"/>
    </row>
    <row r="243" customFormat="false" ht="12.75" hidden="false" customHeight="false" outlineLevel="0" collapsed="false">
      <c r="A243" s="66"/>
    </row>
    <row r="244" customFormat="false" ht="12.75" hidden="false" customHeight="false" outlineLevel="0" collapsed="false">
      <c r="A244" s="66"/>
    </row>
    <row r="245" customFormat="false" ht="12.75" hidden="false" customHeight="false" outlineLevel="0" collapsed="false">
      <c r="A245" s="66"/>
    </row>
    <row r="246" customFormat="false" ht="12.75" hidden="false" customHeight="false" outlineLevel="0" collapsed="false">
      <c r="A246" s="66"/>
    </row>
    <row r="247" customFormat="false" ht="12.75" hidden="false" customHeight="false" outlineLevel="0" collapsed="false">
      <c r="A247" s="66"/>
    </row>
    <row r="248" customFormat="false" ht="12.75" hidden="false" customHeight="false" outlineLevel="0" collapsed="false">
      <c r="A248" s="66"/>
    </row>
    <row r="249" customFormat="false" ht="12.75" hidden="false" customHeight="false" outlineLevel="0" collapsed="false">
      <c r="A249" s="66"/>
    </row>
    <row r="250" customFormat="false" ht="12.75" hidden="false" customHeight="false" outlineLevel="0" collapsed="false">
      <c r="A250" s="66"/>
    </row>
    <row r="251" customFormat="false" ht="12.75" hidden="false" customHeight="false" outlineLevel="0" collapsed="false">
      <c r="A251" s="66"/>
    </row>
    <row r="252" customFormat="false" ht="12.75" hidden="false" customHeight="false" outlineLevel="0" collapsed="false">
      <c r="A252" s="66"/>
    </row>
    <row r="253" customFormat="false" ht="12.75" hidden="false" customHeight="false" outlineLevel="0" collapsed="false">
      <c r="A253" s="66"/>
    </row>
    <row r="254" customFormat="false" ht="12.75" hidden="false" customHeight="false" outlineLevel="0" collapsed="false">
      <c r="A254" s="66"/>
    </row>
    <row r="255" customFormat="false" ht="12.75" hidden="false" customHeight="false" outlineLevel="0" collapsed="false">
      <c r="A255" s="66"/>
    </row>
    <row r="256" customFormat="false" ht="12.75" hidden="false" customHeight="false" outlineLevel="0" collapsed="false">
      <c r="A256" s="66"/>
    </row>
    <row r="257" customFormat="false" ht="12.75" hidden="false" customHeight="false" outlineLevel="0" collapsed="false">
      <c r="A257" s="66"/>
    </row>
    <row r="258" customFormat="false" ht="12.75" hidden="false" customHeight="false" outlineLevel="0" collapsed="false">
      <c r="A258" s="66"/>
    </row>
    <row r="259" customFormat="false" ht="12.75" hidden="false" customHeight="false" outlineLevel="0" collapsed="false">
      <c r="A259" s="66"/>
    </row>
    <row r="260" customFormat="false" ht="12.75" hidden="false" customHeight="false" outlineLevel="0" collapsed="false">
      <c r="A260" s="66"/>
    </row>
    <row r="261" customFormat="false" ht="12.75" hidden="false" customHeight="false" outlineLevel="0" collapsed="false">
      <c r="A261" s="66"/>
    </row>
    <row r="262" customFormat="false" ht="12.75" hidden="false" customHeight="false" outlineLevel="0" collapsed="false">
      <c r="A262" s="66"/>
    </row>
    <row r="263" customFormat="false" ht="12.75" hidden="false" customHeight="false" outlineLevel="0" collapsed="false">
      <c r="A263" s="66"/>
    </row>
    <row r="264" customFormat="false" ht="12.75" hidden="false" customHeight="false" outlineLevel="0" collapsed="false">
      <c r="A264" s="66"/>
    </row>
    <row r="265" customFormat="false" ht="12.75" hidden="false" customHeight="false" outlineLevel="0" collapsed="false">
      <c r="A265" s="66"/>
    </row>
    <row r="266" customFormat="false" ht="12.75" hidden="false" customHeight="false" outlineLevel="0" collapsed="false">
      <c r="A266" s="66"/>
    </row>
    <row r="267" customFormat="false" ht="12.75" hidden="false" customHeight="false" outlineLevel="0" collapsed="false">
      <c r="A267" s="66"/>
    </row>
    <row r="268" customFormat="false" ht="12.75" hidden="false" customHeight="false" outlineLevel="0" collapsed="false">
      <c r="A268" s="66"/>
    </row>
    <row r="269" customFormat="false" ht="12.75" hidden="false" customHeight="false" outlineLevel="0" collapsed="false">
      <c r="A269" s="66"/>
    </row>
    <row r="270" customFormat="false" ht="12.75" hidden="false" customHeight="false" outlineLevel="0" collapsed="false">
      <c r="A270" s="66"/>
    </row>
    <row r="271" customFormat="false" ht="12.75" hidden="false" customHeight="false" outlineLevel="0" collapsed="false">
      <c r="A271" s="66"/>
    </row>
    <row r="272" customFormat="false" ht="12.75" hidden="false" customHeight="false" outlineLevel="0" collapsed="false">
      <c r="A272" s="66"/>
    </row>
    <row r="273" customFormat="false" ht="12.75" hidden="false" customHeight="false" outlineLevel="0" collapsed="false">
      <c r="A273" s="66"/>
    </row>
    <row r="274" customFormat="false" ht="12.75" hidden="false" customHeight="false" outlineLevel="0" collapsed="false">
      <c r="A274" s="66"/>
    </row>
    <row r="275" customFormat="false" ht="12.75" hidden="false" customHeight="false" outlineLevel="0" collapsed="false">
      <c r="A275" s="66"/>
    </row>
    <row r="276" customFormat="false" ht="12.75" hidden="false" customHeight="false" outlineLevel="0" collapsed="false">
      <c r="A276" s="66"/>
    </row>
    <row r="277" customFormat="false" ht="12.75" hidden="false" customHeight="false" outlineLevel="0" collapsed="false">
      <c r="A277" s="66"/>
    </row>
    <row r="278" customFormat="false" ht="12.75" hidden="false" customHeight="false" outlineLevel="0" collapsed="false">
      <c r="A278" s="66"/>
    </row>
    <row r="279" customFormat="false" ht="12.75" hidden="false" customHeight="false" outlineLevel="0" collapsed="false">
      <c r="A279" s="66"/>
    </row>
    <row r="280" customFormat="false" ht="12.75" hidden="false" customHeight="false" outlineLevel="0" collapsed="false">
      <c r="A280" s="66"/>
    </row>
    <row r="281" customFormat="false" ht="12.75" hidden="false" customHeight="false" outlineLevel="0" collapsed="false">
      <c r="A281" s="66"/>
    </row>
    <row r="282" customFormat="false" ht="12.75" hidden="false" customHeight="false" outlineLevel="0" collapsed="false">
      <c r="A282" s="66"/>
    </row>
    <row r="283" customFormat="false" ht="12.75" hidden="false" customHeight="false" outlineLevel="0" collapsed="false">
      <c r="A283" s="66"/>
    </row>
    <row r="284" customFormat="false" ht="12.75" hidden="false" customHeight="false" outlineLevel="0" collapsed="false">
      <c r="A284" s="66"/>
    </row>
    <row r="285" customFormat="false" ht="12.75" hidden="false" customHeight="false" outlineLevel="0" collapsed="false">
      <c r="A285" s="66"/>
    </row>
    <row r="286" customFormat="false" ht="12.75" hidden="false" customHeight="false" outlineLevel="0" collapsed="false">
      <c r="A286" s="66"/>
    </row>
    <row r="287" customFormat="false" ht="12.75" hidden="false" customHeight="false" outlineLevel="0" collapsed="false">
      <c r="A287" s="66"/>
    </row>
    <row r="288" customFormat="false" ht="12.75" hidden="false" customHeight="false" outlineLevel="0" collapsed="false">
      <c r="A288" s="66"/>
    </row>
    <row r="289" customFormat="false" ht="12.75" hidden="false" customHeight="false" outlineLevel="0" collapsed="false">
      <c r="A289" s="66"/>
    </row>
    <row r="290" customFormat="false" ht="12.75" hidden="false" customHeight="false" outlineLevel="0" collapsed="false">
      <c r="A290" s="66"/>
    </row>
    <row r="291" customFormat="false" ht="12.75" hidden="false" customHeight="false" outlineLevel="0" collapsed="false">
      <c r="A291" s="66"/>
    </row>
    <row r="292" customFormat="false" ht="12.75" hidden="false" customHeight="false" outlineLevel="0" collapsed="false">
      <c r="A292" s="66"/>
    </row>
    <row r="293" customFormat="false" ht="12.75" hidden="false" customHeight="false" outlineLevel="0" collapsed="false">
      <c r="A293" s="66"/>
    </row>
    <row r="294" customFormat="false" ht="12.75" hidden="false" customHeight="false" outlineLevel="0" collapsed="false">
      <c r="A294" s="66"/>
    </row>
    <row r="295" customFormat="false" ht="12.75" hidden="false" customHeight="false" outlineLevel="0" collapsed="false">
      <c r="A295" s="66"/>
    </row>
    <row r="296" customFormat="false" ht="12.75" hidden="false" customHeight="false" outlineLevel="0" collapsed="false">
      <c r="A296" s="66"/>
    </row>
    <row r="297" customFormat="false" ht="12.75" hidden="false" customHeight="false" outlineLevel="0" collapsed="false">
      <c r="A297" s="66"/>
    </row>
    <row r="298" customFormat="false" ht="12.75" hidden="false" customHeight="false" outlineLevel="0" collapsed="false">
      <c r="A298" s="66"/>
    </row>
    <row r="299" customFormat="false" ht="12.75" hidden="false" customHeight="false" outlineLevel="0" collapsed="false">
      <c r="A299" s="66"/>
    </row>
    <row r="300" customFormat="false" ht="12.75" hidden="false" customHeight="false" outlineLevel="0" collapsed="false">
      <c r="A300" s="66"/>
    </row>
    <row r="301" customFormat="false" ht="12.75" hidden="false" customHeight="false" outlineLevel="0" collapsed="false">
      <c r="A301" s="66"/>
    </row>
    <row r="302" customFormat="false" ht="12.75" hidden="false" customHeight="false" outlineLevel="0" collapsed="false">
      <c r="A302" s="66"/>
    </row>
    <row r="303" customFormat="false" ht="12.75" hidden="false" customHeight="false" outlineLevel="0" collapsed="false">
      <c r="A303" s="66"/>
    </row>
    <row r="304" customFormat="false" ht="12.75" hidden="false" customHeight="false" outlineLevel="0" collapsed="false">
      <c r="A304" s="66"/>
    </row>
    <row r="305" customFormat="false" ht="12.75" hidden="false" customHeight="false" outlineLevel="0" collapsed="false">
      <c r="A305" s="66"/>
    </row>
    <row r="306" customFormat="false" ht="12.75" hidden="false" customHeight="false" outlineLevel="0" collapsed="false">
      <c r="A306" s="66"/>
    </row>
    <row r="307" customFormat="false" ht="12.75" hidden="false" customHeight="false" outlineLevel="0" collapsed="false">
      <c r="A307" s="66"/>
    </row>
    <row r="308" customFormat="false" ht="12.75" hidden="false" customHeight="false" outlineLevel="0" collapsed="false">
      <c r="A308" s="66"/>
    </row>
    <row r="309" customFormat="false" ht="12.75" hidden="false" customHeight="false" outlineLevel="0" collapsed="false">
      <c r="A309" s="66"/>
    </row>
    <row r="310" customFormat="false" ht="12.75" hidden="false" customHeight="false" outlineLevel="0" collapsed="false">
      <c r="A310" s="66"/>
    </row>
    <row r="311" customFormat="false" ht="12.75" hidden="false" customHeight="false" outlineLevel="0" collapsed="false">
      <c r="A311" s="66"/>
    </row>
    <row r="312" customFormat="false" ht="12.75" hidden="false" customHeight="false" outlineLevel="0" collapsed="false">
      <c r="A312" s="66"/>
    </row>
    <row r="313" customFormat="false" ht="12.75" hidden="false" customHeight="false" outlineLevel="0" collapsed="false">
      <c r="A313" s="66"/>
    </row>
    <row r="314" customFormat="false" ht="12.75" hidden="false" customHeight="false" outlineLevel="0" collapsed="false">
      <c r="A314" s="66"/>
    </row>
    <row r="315" customFormat="false" ht="12.75" hidden="false" customHeight="false" outlineLevel="0" collapsed="false">
      <c r="A315" s="66"/>
    </row>
    <row r="316" customFormat="false" ht="12.75" hidden="false" customHeight="false" outlineLevel="0" collapsed="false">
      <c r="A316" s="66"/>
    </row>
    <row r="317" customFormat="false" ht="12.75" hidden="false" customHeight="false" outlineLevel="0" collapsed="false">
      <c r="A317" s="66"/>
    </row>
    <row r="318" customFormat="false" ht="12.75" hidden="false" customHeight="false" outlineLevel="0" collapsed="false">
      <c r="A318" s="66"/>
    </row>
    <row r="319" customFormat="false" ht="12.75" hidden="false" customHeight="false" outlineLevel="0" collapsed="false">
      <c r="A319" s="66"/>
    </row>
    <row r="320" customFormat="false" ht="12.75" hidden="false" customHeight="false" outlineLevel="0" collapsed="false">
      <c r="A320" s="66"/>
    </row>
    <row r="321" customFormat="false" ht="12.75" hidden="false" customHeight="false" outlineLevel="0" collapsed="false">
      <c r="A321" s="66"/>
    </row>
    <row r="322" customFormat="false" ht="12.75" hidden="false" customHeight="false" outlineLevel="0" collapsed="false">
      <c r="A322" s="66"/>
    </row>
    <row r="323" customFormat="false" ht="12.75" hidden="false" customHeight="false" outlineLevel="0" collapsed="false">
      <c r="A323" s="66"/>
    </row>
    <row r="324" customFormat="false" ht="12.75" hidden="false" customHeight="false" outlineLevel="0" collapsed="false">
      <c r="A324" s="66"/>
    </row>
    <row r="325" customFormat="false" ht="12.75" hidden="false" customHeight="false" outlineLevel="0" collapsed="false">
      <c r="A325" s="66"/>
    </row>
    <row r="326" customFormat="false" ht="12.75" hidden="false" customHeight="false" outlineLevel="0" collapsed="false">
      <c r="A326" s="66"/>
    </row>
    <row r="327" customFormat="false" ht="12.75" hidden="false" customHeight="false" outlineLevel="0" collapsed="false">
      <c r="A327" s="66"/>
    </row>
    <row r="328" customFormat="false" ht="12.75" hidden="false" customHeight="false" outlineLevel="0" collapsed="false">
      <c r="A328" s="66"/>
    </row>
    <row r="329" customFormat="false" ht="12.75" hidden="false" customHeight="false" outlineLevel="0" collapsed="false">
      <c r="A329" s="66"/>
    </row>
    <row r="330" customFormat="false" ht="12.75" hidden="false" customHeight="false" outlineLevel="0" collapsed="false">
      <c r="A330" s="66"/>
    </row>
    <row r="331" customFormat="false" ht="12.75" hidden="false" customHeight="false" outlineLevel="0" collapsed="false">
      <c r="A331" s="66"/>
    </row>
    <row r="332" customFormat="false" ht="12.75" hidden="false" customHeight="false" outlineLevel="0" collapsed="false">
      <c r="A332" s="66"/>
    </row>
    <row r="333" customFormat="false" ht="12.75" hidden="false" customHeight="false" outlineLevel="0" collapsed="false">
      <c r="A333" s="66"/>
    </row>
    <row r="334" customFormat="false" ht="12.75" hidden="false" customHeight="false" outlineLevel="0" collapsed="false">
      <c r="A334" s="66"/>
    </row>
    <row r="335" customFormat="false" ht="12.75" hidden="false" customHeight="false" outlineLevel="0" collapsed="false">
      <c r="A335" s="66"/>
    </row>
    <row r="336" customFormat="false" ht="12.75" hidden="false" customHeight="false" outlineLevel="0" collapsed="false">
      <c r="A336" s="66"/>
    </row>
    <row r="337" customFormat="false" ht="12.75" hidden="false" customHeight="false" outlineLevel="0" collapsed="false">
      <c r="A337" s="66"/>
    </row>
    <row r="338" customFormat="false" ht="12.75" hidden="false" customHeight="false" outlineLevel="0" collapsed="false">
      <c r="A338" s="66"/>
    </row>
    <row r="339" customFormat="false" ht="12.75" hidden="false" customHeight="false" outlineLevel="0" collapsed="false">
      <c r="A339" s="66"/>
    </row>
    <row r="340" customFormat="false" ht="12.75" hidden="false" customHeight="false" outlineLevel="0" collapsed="false">
      <c r="A340" s="66"/>
    </row>
    <row r="341" customFormat="false" ht="12.75" hidden="false" customHeight="false" outlineLevel="0" collapsed="false">
      <c r="A341" s="66"/>
    </row>
    <row r="342" customFormat="false" ht="12.75" hidden="false" customHeight="false" outlineLevel="0" collapsed="false">
      <c r="A342" s="66"/>
    </row>
    <row r="343" customFormat="false" ht="12.75" hidden="false" customHeight="false" outlineLevel="0" collapsed="false">
      <c r="A343" s="66"/>
    </row>
    <row r="344" customFormat="false" ht="12.75" hidden="false" customHeight="false" outlineLevel="0" collapsed="false">
      <c r="A344" s="66"/>
    </row>
    <row r="345" customFormat="false" ht="12.75" hidden="false" customHeight="false" outlineLevel="0" collapsed="false">
      <c r="A345" s="66"/>
    </row>
    <row r="346" customFormat="false" ht="12.75" hidden="false" customHeight="false" outlineLevel="0" collapsed="false">
      <c r="A346" s="66"/>
    </row>
    <row r="347" customFormat="false" ht="12.75" hidden="false" customHeight="false" outlineLevel="0" collapsed="false">
      <c r="A347" s="66"/>
    </row>
    <row r="348" customFormat="false" ht="12.75" hidden="false" customHeight="false" outlineLevel="0" collapsed="false">
      <c r="A348" s="66"/>
    </row>
    <row r="349" customFormat="false" ht="12.75" hidden="false" customHeight="false" outlineLevel="0" collapsed="false">
      <c r="A349" s="66"/>
    </row>
    <row r="350" customFormat="false" ht="12.75" hidden="false" customHeight="false" outlineLevel="0" collapsed="false">
      <c r="A350" s="66"/>
    </row>
    <row r="351" customFormat="false" ht="12.75" hidden="false" customHeight="false" outlineLevel="0" collapsed="false">
      <c r="A351" s="66"/>
    </row>
    <row r="352" customFormat="false" ht="12.75" hidden="false" customHeight="false" outlineLevel="0" collapsed="false">
      <c r="A352" s="66"/>
    </row>
    <row r="353" customFormat="false" ht="12.75" hidden="false" customHeight="false" outlineLevel="0" collapsed="false">
      <c r="A353" s="66"/>
    </row>
    <row r="354" customFormat="false" ht="12.75" hidden="false" customHeight="false" outlineLevel="0" collapsed="false">
      <c r="A354" s="66"/>
    </row>
    <row r="355" customFormat="false" ht="12.75" hidden="false" customHeight="false" outlineLevel="0" collapsed="false">
      <c r="A355" s="66"/>
    </row>
    <row r="356" customFormat="false" ht="12.75" hidden="false" customHeight="false" outlineLevel="0" collapsed="false">
      <c r="A356" s="66"/>
    </row>
    <row r="357" customFormat="false" ht="12.75" hidden="false" customHeight="false" outlineLevel="0" collapsed="false">
      <c r="A357" s="66"/>
    </row>
    <row r="358" customFormat="false" ht="12.75" hidden="false" customHeight="false" outlineLevel="0" collapsed="false">
      <c r="A358" s="66"/>
    </row>
    <row r="359" customFormat="false" ht="12.75" hidden="false" customHeight="false" outlineLevel="0" collapsed="false">
      <c r="A359" s="66"/>
    </row>
    <row r="360" customFormat="false" ht="12.75" hidden="false" customHeight="false" outlineLevel="0" collapsed="false">
      <c r="A360" s="66"/>
    </row>
    <row r="361" customFormat="false" ht="12.75" hidden="false" customHeight="false" outlineLevel="0" collapsed="false">
      <c r="A361" s="66"/>
    </row>
    <row r="362" customFormat="false" ht="12.75" hidden="false" customHeight="false" outlineLevel="0" collapsed="false">
      <c r="A362" s="66"/>
    </row>
    <row r="363" customFormat="false" ht="12.75" hidden="false" customHeight="false" outlineLevel="0" collapsed="false">
      <c r="A363" s="66"/>
    </row>
    <row r="364" customFormat="false" ht="12.75" hidden="false" customHeight="false" outlineLevel="0" collapsed="false">
      <c r="A364" s="66"/>
    </row>
    <row r="365" customFormat="false" ht="12.75" hidden="false" customHeight="false" outlineLevel="0" collapsed="false">
      <c r="A365" s="66"/>
    </row>
    <row r="366" customFormat="false" ht="12.75" hidden="false" customHeight="false" outlineLevel="0" collapsed="false">
      <c r="A366" s="66"/>
    </row>
    <row r="367" customFormat="false" ht="12.75" hidden="false" customHeight="false" outlineLevel="0" collapsed="false">
      <c r="A367" s="66"/>
    </row>
    <row r="368" customFormat="false" ht="12.75" hidden="false" customHeight="false" outlineLevel="0" collapsed="false">
      <c r="A368" s="66"/>
    </row>
    <row r="369" customFormat="false" ht="12.75" hidden="false" customHeight="false" outlineLevel="0" collapsed="false">
      <c r="A369" s="66"/>
    </row>
    <row r="370" customFormat="false" ht="12.75" hidden="false" customHeight="false" outlineLevel="0" collapsed="false">
      <c r="A370" s="66"/>
    </row>
    <row r="371" customFormat="false" ht="12.75" hidden="false" customHeight="false" outlineLevel="0" collapsed="false">
      <c r="A371" s="66"/>
    </row>
    <row r="372" customFormat="false" ht="12.75" hidden="false" customHeight="false" outlineLevel="0" collapsed="false">
      <c r="A372" s="66"/>
    </row>
    <row r="373" customFormat="false" ht="12.75" hidden="false" customHeight="false" outlineLevel="0" collapsed="false">
      <c r="A373" s="66"/>
    </row>
    <row r="374" customFormat="false" ht="12.75" hidden="false" customHeight="false" outlineLevel="0" collapsed="false">
      <c r="A374" s="66"/>
    </row>
    <row r="375" customFormat="false" ht="12.75" hidden="false" customHeight="false" outlineLevel="0" collapsed="false">
      <c r="A375" s="66"/>
    </row>
    <row r="376" customFormat="false" ht="12.75" hidden="false" customHeight="false" outlineLevel="0" collapsed="false">
      <c r="A376" s="66"/>
    </row>
    <row r="377" customFormat="false" ht="12.75" hidden="false" customHeight="false" outlineLevel="0" collapsed="false">
      <c r="A377" s="66"/>
    </row>
    <row r="378" customFormat="false" ht="12.75" hidden="false" customHeight="false" outlineLevel="0" collapsed="false">
      <c r="A378" s="66"/>
    </row>
    <row r="379" customFormat="false" ht="12.75" hidden="false" customHeight="false" outlineLevel="0" collapsed="false">
      <c r="A379" s="66"/>
    </row>
    <row r="380" customFormat="false" ht="12.75" hidden="false" customHeight="false" outlineLevel="0" collapsed="false">
      <c r="A380" s="66"/>
    </row>
    <row r="381" customFormat="false" ht="12.75" hidden="false" customHeight="false" outlineLevel="0" collapsed="false">
      <c r="A381" s="66"/>
    </row>
    <row r="382" customFormat="false" ht="12.75" hidden="false" customHeight="false" outlineLevel="0" collapsed="false">
      <c r="A382" s="66"/>
    </row>
    <row r="383" customFormat="false" ht="12.75" hidden="false" customHeight="false" outlineLevel="0" collapsed="false">
      <c r="A383" s="66"/>
    </row>
    <row r="384" customFormat="false" ht="12.75" hidden="false" customHeight="false" outlineLevel="0" collapsed="false">
      <c r="A384" s="66"/>
    </row>
    <row r="385" customFormat="false" ht="12.75" hidden="false" customHeight="false" outlineLevel="0" collapsed="false">
      <c r="A385" s="66"/>
    </row>
    <row r="386" customFormat="false" ht="12.75" hidden="false" customHeight="false" outlineLevel="0" collapsed="false">
      <c r="A386" s="66"/>
    </row>
    <row r="387" customFormat="false" ht="12.75" hidden="false" customHeight="false" outlineLevel="0" collapsed="false">
      <c r="A387" s="66"/>
    </row>
    <row r="388" customFormat="false" ht="12.75" hidden="false" customHeight="false" outlineLevel="0" collapsed="false">
      <c r="A388" s="66"/>
    </row>
    <row r="389" customFormat="false" ht="12.75" hidden="false" customHeight="false" outlineLevel="0" collapsed="false">
      <c r="A389" s="66"/>
    </row>
    <row r="390" customFormat="false" ht="12.75" hidden="false" customHeight="false" outlineLevel="0" collapsed="false">
      <c r="A390" s="66"/>
    </row>
    <row r="391" customFormat="false" ht="12.75" hidden="false" customHeight="false" outlineLevel="0" collapsed="false">
      <c r="A391" s="66"/>
    </row>
    <row r="392" customFormat="false" ht="12.75" hidden="false" customHeight="false" outlineLevel="0" collapsed="false">
      <c r="A392" s="66"/>
    </row>
    <row r="393" customFormat="false" ht="12.75" hidden="false" customHeight="false" outlineLevel="0" collapsed="false">
      <c r="A393" s="66"/>
    </row>
    <row r="394" customFormat="false" ht="12.75" hidden="false" customHeight="false" outlineLevel="0" collapsed="false">
      <c r="A394" s="66"/>
    </row>
    <row r="395" customFormat="false" ht="12.75" hidden="false" customHeight="false" outlineLevel="0" collapsed="false">
      <c r="A395" s="66"/>
    </row>
    <row r="396" customFormat="false" ht="12.75" hidden="false" customHeight="false" outlineLevel="0" collapsed="false">
      <c r="A396" s="66"/>
    </row>
    <row r="397" customFormat="false" ht="12.75" hidden="false" customHeight="false" outlineLevel="0" collapsed="false">
      <c r="A397" s="66"/>
    </row>
    <row r="398" customFormat="false" ht="12.75" hidden="false" customHeight="false" outlineLevel="0" collapsed="false">
      <c r="A398" s="66"/>
    </row>
    <row r="399" customFormat="false" ht="12.75" hidden="false" customHeight="false" outlineLevel="0" collapsed="false">
      <c r="A399" s="66"/>
    </row>
    <row r="400" customFormat="false" ht="12.75" hidden="false" customHeight="false" outlineLevel="0" collapsed="false">
      <c r="A400" s="66"/>
    </row>
    <row r="401" customFormat="false" ht="12.75" hidden="false" customHeight="false" outlineLevel="0" collapsed="false">
      <c r="A401" s="66"/>
    </row>
    <row r="402" customFormat="false" ht="12.75" hidden="false" customHeight="false" outlineLevel="0" collapsed="false">
      <c r="A402" s="66"/>
    </row>
    <row r="403" customFormat="false" ht="12.75" hidden="false" customHeight="false" outlineLevel="0" collapsed="false">
      <c r="A403" s="66"/>
    </row>
    <row r="404" customFormat="false" ht="12.75" hidden="false" customHeight="false" outlineLevel="0" collapsed="false">
      <c r="A404" s="66"/>
    </row>
    <row r="405" customFormat="false" ht="12.75" hidden="false" customHeight="false" outlineLevel="0" collapsed="false">
      <c r="A405" s="66"/>
    </row>
    <row r="406" customFormat="false" ht="12.75" hidden="false" customHeight="false" outlineLevel="0" collapsed="false">
      <c r="A406" s="66"/>
    </row>
    <row r="407" customFormat="false" ht="12.75" hidden="false" customHeight="false" outlineLevel="0" collapsed="false">
      <c r="A407" s="66"/>
    </row>
    <row r="408" customFormat="false" ht="12.75" hidden="false" customHeight="false" outlineLevel="0" collapsed="false">
      <c r="A408" s="66"/>
    </row>
    <row r="409" customFormat="false" ht="12.75" hidden="false" customHeight="false" outlineLevel="0" collapsed="false">
      <c r="A409" s="66"/>
    </row>
    <row r="410" customFormat="false" ht="12.75" hidden="false" customHeight="false" outlineLevel="0" collapsed="false">
      <c r="A410" s="66"/>
    </row>
    <row r="411" customFormat="false" ht="12.75" hidden="false" customHeight="false" outlineLevel="0" collapsed="false">
      <c r="A411" s="66"/>
    </row>
    <row r="412" customFormat="false" ht="12.75" hidden="false" customHeight="false" outlineLevel="0" collapsed="false">
      <c r="A412" s="66"/>
    </row>
    <row r="413" customFormat="false" ht="12.75" hidden="false" customHeight="false" outlineLevel="0" collapsed="false">
      <c r="A413" s="66"/>
    </row>
    <row r="414" customFormat="false" ht="12.75" hidden="false" customHeight="false" outlineLevel="0" collapsed="false">
      <c r="A414" s="66"/>
    </row>
    <row r="415" customFormat="false" ht="12.75" hidden="false" customHeight="false" outlineLevel="0" collapsed="false">
      <c r="A415" s="66"/>
    </row>
    <row r="416" customFormat="false" ht="12.75" hidden="false" customHeight="false" outlineLevel="0" collapsed="false">
      <c r="A416" s="66"/>
    </row>
    <row r="417" customFormat="false" ht="12.75" hidden="false" customHeight="false" outlineLevel="0" collapsed="false">
      <c r="A417" s="66"/>
    </row>
    <row r="418" customFormat="false" ht="12.75" hidden="false" customHeight="false" outlineLevel="0" collapsed="false">
      <c r="A418" s="66"/>
    </row>
    <row r="419" customFormat="false" ht="12.75" hidden="false" customHeight="false" outlineLevel="0" collapsed="false">
      <c r="A419" s="66"/>
    </row>
    <row r="420" customFormat="false" ht="12.75" hidden="false" customHeight="false" outlineLevel="0" collapsed="false">
      <c r="A420" s="66"/>
    </row>
    <row r="421" customFormat="false" ht="12.75" hidden="false" customHeight="false" outlineLevel="0" collapsed="false">
      <c r="A421" s="66"/>
    </row>
    <row r="422" customFormat="false" ht="12.75" hidden="false" customHeight="false" outlineLevel="0" collapsed="false">
      <c r="A422" s="66"/>
    </row>
    <row r="423" customFormat="false" ht="12.75" hidden="false" customHeight="false" outlineLevel="0" collapsed="false">
      <c r="A423" s="66"/>
    </row>
    <row r="424" customFormat="false" ht="12.75" hidden="false" customHeight="false" outlineLevel="0" collapsed="false">
      <c r="A424" s="66"/>
    </row>
    <row r="425" customFormat="false" ht="12.75" hidden="false" customHeight="false" outlineLevel="0" collapsed="false">
      <c r="A425" s="66"/>
    </row>
    <row r="426" customFormat="false" ht="12.75" hidden="false" customHeight="false" outlineLevel="0" collapsed="false">
      <c r="A426" s="66"/>
    </row>
    <row r="427" customFormat="false" ht="12.75" hidden="false" customHeight="false" outlineLevel="0" collapsed="false">
      <c r="A427" s="66"/>
    </row>
    <row r="428" customFormat="false" ht="12.75" hidden="false" customHeight="false" outlineLevel="0" collapsed="false">
      <c r="A428" s="66"/>
    </row>
    <row r="429" customFormat="false" ht="12.75" hidden="false" customHeight="false" outlineLevel="0" collapsed="false">
      <c r="A429" s="66"/>
    </row>
    <row r="430" customFormat="false" ht="12.75" hidden="false" customHeight="false" outlineLevel="0" collapsed="false">
      <c r="A430" s="66"/>
    </row>
    <row r="431" customFormat="false" ht="12.75" hidden="false" customHeight="false" outlineLevel="0" collapsed="false">
      <c r="A431" s="66"/>
    </row>
    <row r="432" customFormat="false" ht="12.75" hidden="false" customHeight="false" outlineLevel="0" collapsed="false">
      <c r="A432" s="66"/>
    </row>
    <row r="433" customFormat="false" ht="12.75" hidden="false" customHeight="false" outlineLevel="0" collapsed="false">
      <c r="A433" s="66"/>
    </row>
    <row r="434" customFormat="false" ht="12.75" hidden="false" customHeight="false" outlineLevel="0" collapsed="false">
      <c r="A434" s="66"/>
    </row>
    <row r="435" customFormat="false" ht="12.75" hidden="false" customHeight="false" outlineLevel="0" collapsed="false">
      <c r="A435" s="66"/>
    </row>
    <row r="436" customFormat="false" ht="12.75" hidden="false" customHeight="false" outlineLevel="0" collapsed="false">
      <c r="A436" s="66"/>
    </row>
    <row r="437" customFormat="false" ht="12.75" hidden="false" customHeight="false" outlineLevel="0" collapsed="false">
      <c r="A437" s="66"/>
    </row>
    <row r="438" customFormat="false" ht="12.75" hidden="false" customHeight="false" outlineLevel="0" collapsed="false">
      <c r="A438" s="66"/>
    </row>
    <row r="439" customFormat="false" ht="12.75" hidden="false" customHeight="false" outlineLevel="0" collapsed="false">
      <c r="A439" s="66"/>
    </row>
    <row r="440" customFormat="false" ht="12.75" hidden="false" customHeight="false" outlineLevel="0" collapsed="false">
      <c r="A440" s="66"/>
    </row>
    <row r="441" customFormat="false" ht="12.75" hidden="false" customHeight="false" outlineLevel="0" collapsed="false">
      <c r="A441" s="66"/>
    </row>
    <row r="442" customFormat="false" ht="12.75" hidden="false" customHeight="false" outlineLevel="0" collapsed="false">
      <c r="A442" s="66"/>
    </row>
    <row r="443" customFormat="false" ht="12.75" hidden="false" customHeight="false" outlineLevel="0" collapsed="false">
      <c r="A443" s="66"/>
    </row>
    <row r="444" customFormat="false" ht="12.75" hidden="false" customHeight="false" outlineLevel="0" collapsed="false">
      <c r="A444" s="66"/>
    </row>
    <row r="445" customFormat="false" ht="12.75" hidden="false" customHeight="false" outlineLevel="0" collapsed="false">
      <c r="A445" s="66"/>
    </row>
    <row r="446" customFormat="false" ht="12.75" hidden="false" customHeight="false" outlineLevel="0" collapsed="false">
      <c r="A446" s="66"/>
    </row>
    <row r="447" customFormat="false" ht="12.75" hidden="false" customHeight="false" outlineLevel="0" collapsed="false">
      <c r="A447" s="66"/>
    </row>
    <row r="448" customFormat="false" ht="12.75" hidden="false" customHeight="false" outlineLevel="0" collapsed="false">
      <c r="A448" s="66"/>
    </row>
    <row r="449" customFormat="false" ht="12.75" hidden="false" customHeight="false" outlineLevel="0" collapsed="false">
      <c r="A449" s="66"/>
    </row>
    <row r="450" customFormat="false" ht="12.75" hidden="false" customHeight="false" outlineLevel="0" collapsed="false">
      <c r="A450" s="66"/>
    </row>
    <row r="451" customFormat="false" ht="12.75" hidden="false" customHeight="false" outlineLevel="0" collapsed="false">
      <c r="A451" s="66"/>
    </row>
    <row r="452" customFormat="false" ht="12.75" hidden="false" customHeight="false" outlineLevel="0" collapsed="false">
      <c r="A452" s="66"/>
    </row>
    <row r="453" customFormat="false" ht="12.75" hidden="false" customHeight="false" outlineLevel="0" collapsed="false">
      <c r="A453" s="66"/>
    </row>
    <row r="454" customFormat="false" ht="12.75" hidden="false" customHeight="false" outlineLevel="0" collapsed="false">
      <c r="A454" s="66"/>
    </row>
    <row r="455" customFormat="false" ht="12.75" hidden="false" customHeight="false" outlineLevel="0" collapsed="false">
      <c r="A455" s="66"/>
    </row>
    <row r="456" customFormat="false" ht="12.75" hidden="false" customHeight="false" outlineLevel="0" collapsed="false">
      <c r="A456" s="66"/>
    </row>
    <row r="457" customFormat="false" ht="12.75" hidden="false" customHeight="false" outlineLevel="0" collapsed="false">
      <c r="A457" s="66"/>
    </row>
    <row r="458" customFormat="false" ht="12.75" hidden="false" customHeight="false" outlineLevel="0" collapsed="false">
      <c r="A458" s="66"/>
    </row>
    <row r="459" customFormat="false" ht="12.75" hidden="false" customHeight="false" outlineLevel="0" collapsed="false">
      <c r="A459" s="66"/>
    </row>
    <row r="460" customFormat="false" ht="12.75" hidden="false" customHeight="false" outlineLevel="0" collapsed="false">
      <c r="A460" s="66"/>
    </row>
    <row r="461" customFormat="false" ht="12.75" hidden="false" customHeight="false" outlineLevel="0" collapsed="false">
      <c r="A461" s="66"/>
    </row>
    <row r="462" customFormat="false" ht="12.75" hidden="false" customHeight="false" outlineLevel="0" collapsed="false">
      <c r="A462" s="66"/>
    </row>
    <row r="463" customFormat="false" ht="12.75" hidden="false" customHeight="false" outlineLevel="0" collapsed="false">
      <c r="A463" s="66"/>
    </row>
    <row r="464" customFormat="false" ht="12.75" hidden="false" customHeight="false" outlineLevel="0" collapsed="false">
      <c r="A464" s="66"/>
    </row>
    <row r="465" customFormat="false" ht="12.75" hidden="false" customHeight="false" outlineLevel="0" collapsed="false">
      <c r="A465" s="66"/>
    </row>
    <row r="466" customFormat="false" ht="12.75" hidden="false" customHeight="false" outlineLevel="0" collapsed="false">
      <c r="A466" s="66"/>
    </row>
    <row r="467" customFormat="false" ht="12.75" hidden="false" customHeight="false" outlineLevel="0" collapsed="false">
      <c r="A467" s="66"/>
    </row>
    <row r="468" customFormat="false" ht="12.75" hidden="false" customHeight="false" outlineLevel="0" collapsed="false">
      <c r="A468" s="66"/>
    </row>
    <row r="469" customFormat="false" ht="12.75" hidden="false" customHeight="false" outlineLevel="0" collapsed="false">
      <c r="A469" s="66"/>
    </row>
    <row r="470" customFormat="false" ht="12.75" hidden="false" customHeight="false" outlineLevel="0" collapsed="false">
      <c r="A470" s="66"/>
    </row>
    <row r="471" customFormat="false" ht="12.75" hidden="false" customHeight="false" outlineLevel="0" collapsed="false">
      <c r="A471" s="66"/>
    </row>
    <row r="472" customFormat="false" ht="12.75" hidden="false" customHeight="false" outlineLevel="0" collapsed="false">
      <c r="A472" s="66"/>
    </row>
    <row r="473" customFormat="false" ht="12.75" hidden="false" customHeight="false" outlineLevel="0" collapsed="false">
      <c r="A473" s="66"/>
    </row>
    <row r="474" customFormat="false" ht="12.75" hidden="false" customHeight="false" outlineLevel="0" collapsed="false">
      <c r="A474" s="66"/>
    </row>
    <row r="475" customFormat="false" ht="12.75" hidden="false" customHeight="false" outlineLevel="0" collapsed="false">
      <c r="A475" s="66"/>
    </row>
    <row r="476" customFormat="false" ht="12.75" hidden="false" customHeight="false" outlineLevel="0" collapsed="false">
      <c r="A476" s="66"/>
    </row>
    <row r="477" customFormat="false" ht="12.75" hidden="false" customHeight="false" outlineLevel="0" collapsed="false">
      <c r="A477" s="66"/>
    </row>
    <row r="478" customFormat="false" ht="12.75" hidden="false" customHeight="false" outlineLevel="0" collapsed="false">
      <c r="A478" s="66"/>
    </row>
    <row r="479" customFormat="false" ht="12.75" hidden="false" customHeight="false" outlineLevel="0" collapsed="false">
      <c r="A479" s="66"/>
    </row>
    <row r="480" customFormat="false" ht="12.75" hidden="false" customHeight="false" outlineLevel="0" collapsed="false">
      <c r="A480" s="66"/>
    </row>
    <row r="481" customFormat="false" ht="12.75" hidden="false" customHeight="false" outlineLevel="0" collapsed="false">
      <c r="A481" s="66"/>
    </row>
    <row r="482" customFormat="false" ht="12.75" hidden="false" customHeight="false" outlineLevel="0" collapsed="false">
      <c r="A482" s="66"/>
    </row>
    <row r="483" customFormat="false" ht="12.75" hidden="false" customHeight="false" outlineLevel="0" collapsed="false">
      <c r="A483" s="66"/>
    </row>
    <row r="484" customFormat="false" ht="12.75" hidden="false" customHeight="false" outlineLevel="0" collapsed="false">
      <c r="A484" s="66"/>
    </row>
    <row r="485" customFormat="false" ht="12.75" hidden="false" customHeight="false" outlineLevel="0" collapsed="false">
      <c r="A485" s="66"/>
    </row>
    <row r="486" customFormat="false" ht="12.75" hidden="false" customHeight="false" outlineLevel="0" collapsed="false">
      <c r="A486" s="66"/>
    </row>
    <row r="487" customFormat="false" ht="12.75" hidden="false" customHeight="false" outlineLevel="0" collapsed="false">
      <c r="A487" s="66"/>
    </row>
    <row r="488" customFormat="false" ht="12.75" hidden="false" customHeight="false" outlineLevel="0" collapsed="false">
      <c r="A488" s="66"/>
    </row>
    <row r="489" customFormat="false" ht="12.75" hidden="false" customHeight="false" outlineLevel="0" collapsed="false">
      <c r="A489" s="66"/>
    </row>
    <row r="490" customFormat="false" ht="12.75" hidden="false" customHeight="false" outlineLevel="0" collapsed="false">
      <c r="A490" s="66"/>
    </row>
    <row r="491" customFormat="false" ht="12.75" hidden="false" customHeight="false" outlineLevel="0" collapsed="false">
      <c r="A491" s="66"/>
    </row>
    <row r="492" customFormat="false" ht="12.75" hidden="false" customHeight="false" outlineLevel="0" collapsed="false">
      <c r="A492" s="66"/>
    </row>
    <row r="493" customFormat="false" ht="12.75" hidden="false" customHeight="false" outlineLevel="0" collapsed="false">
      <c r="A493" s="66"/>
    </row>
    <row r="494" customFormat="false" ht="12.75" hidden="false" customHeight="false" outlineLevel="0" collapsed="false">
      <c r="A494" s="66"/>
    </row>
    <row r="495" customFormat="false" ht="12.75" hidden="false" customHeight="false" outlineLevel="0" collapsed="false">
      <c r="A495" s="66"/>
    </row>
    <row r="496" customFormat="false" ht="12.75" hidden="false" customHeight="false" outlineLevel="0" collapsed="false">
      <c r="A496" s="66"/>
    </row>
    <row r="497" customFormat="false" ht="12.75" hidden="false" customHeight="false" outlineLevel="0" collapsed="false">
      <c r="A497" s="66"/>
    </row>
    <row r="498" customFormat="false" ht="12.75" hidden="false" customHeight="false" outlineLevel="0" collapsed="false">
      <c r="A498" s="66"/>
    </row>
    <row r="499" customFormat="false" ht="12.75" hidden="false" customHeight="false" outlineLevel="0" collapsed="false">
      <c r="A499" s="66"/>
    </row>
    <row r="500" customFormat="false" ht="12.75" hidden="false" customHeight="false" outlineLevel="0" collapsed="false">
      <c r="A500" s="66"/>
    </row>
    <row r="501" customFormat="false" ht="12.75" hidden="false" customHeight="false" outlineLevel="0" collapsed="false">
      <c r="A501" s="66"/>
    </row>
    <row r="502" customFormat="false" ht="12.75" hidden="false" customHeight="false" outlineLevel="0" collapsed="false">
      <c r="A502" s="66"/>
    </row>
    <row r="503" customFormat="false" ht="12.75" hidden="false" customHeight="false" outlineLevel="0" collapsed="false">
      <c r="A503" s="66"/>
    </row>
    <row r="504" customFormat="false" ht="12.75" hidden="false" customHeight="false" outlineLevel="0" collapsed="false">
      <c r="A504" s="66"/>
    </row>
    <row r="505" customFormat="false" ht="12.75" hidden="false" customHeight="false" outlineLevel="0" collapsed="false">
      <c r="A505" s="66"/>
    </row>
    <row r="506" customFormat="false" ht="12.75" hidden="false" customHeight="false" outlineLevel="0" collapsed="false">
      <c r="A506" s="66"/>
    </row>
    <row r="507" customFormat="false" ht="12.75" hidden="false" customHeight="false" outlineLevel="0" collapsed="false">
      <c r="A507" s="66"/>
    </row>
    <row r="508" customFormat="false" ht="12.75" hidden="false" customHeight="false" outlineLevel="0" collapsed="false">
      <c r="A508" s="66"/>
    </row>
    <row r="509" customFormat="false" ht="12.75" hidden="false" customHeight="false" outlineLevel="0" collapsed="false">
      <c r="A509" s="66"/>
    </row>
    <row r="510" customFormat="false" ht="12.75" hidden="false" customHeight="false" outlineLevel="0" collapsed="false">
      <c r="A510" s="66"/>
    </row>
    <row r="511" customFormat="false" ht="12.75" hidden="false" customHeight="false" outlineLevel="0" collapsed="false">
      <c r="A511" s="66"/>
    </row>
    <row r="512" customFormat="false" ht="12.75" hidden="false" customHeight="false" outlineLevel="0" collapsed="false">
      <c r="A512" s="66"/>
    </row>
    <row r="513" customFormat="false" ht="12.75" hidden="false" customHeight="false" outlineLevel="0" collapsed="false">
      <c r="A513" s="66"/>
    </row>
    <row r="514" customFormat="false" ht="12.75" hidden="false" customHeight="false" outlineLevel="0" collapsed="false">
      <c r="A514" s="66"/>
    </row>
    <row r="515" customFormat="false" ht="12.75" hidden="false" customHeight="false" outlineLevel="0" collapsed="false">
      <c r="A515" s="66"/>
    </row>
    <row r="516" customFormat="false" ht="12.75" hidden="false" customHeight="false" outlineLevel="0" collapsed="false">
      <c r="A516" s="66"/>
    </row>
    <row r="517" customFormat="false" ht="12.75" hidden="false" customHeight="false" outlineLevel="0" collapsed="false">
      <c r="A517" s="66"/>
    </row>
    <row r="518" customFormat="false" ht="12.75" hidden="false" customHeight="false" outlineLevel="0" collapsed="false">
      <c r="A518" s="66"/>
    </row>
    <row r="519" customFormat="false" ht="12.75" hidden="false" customHeight="false" outlineLevel="0" collapsed="false">
      <c r="A519" s="66"/>
    </row>
    <row r="520" customFormat="false" ht="12.75" hidden="false" customHeight="false" outlineLevel="0" collapsed="false">
      <c r="A520" s="66"/>
    </row>
    <row r="521" customFormat="false" ht="12.75" hidden="false" customHeight="false" outlineLevel="0" collapsed="false">
      <c r="A521" s="66"/>
    </row>
    <row r="522" customFormat="false" ht="12.75" hidden="false" customHeight="false" outlineLevel="0" collapsed="false">
      <c r="A522" s="66"/>
    </row>
    <row r="523" customFormat="false" ht="12.75" hidden="false" customHeight="false" outlineLevel="0" collapsed="false">
      <c r="A523" s="66"/>
    </row>
    <row r="524" customFormat="false" ht="12.75" hidden="false" customHeight="false" outlineLevel="0" collapsed="false">
      <c r="A524" s="66"/>
    </row>
    <row r="525" customFormat="false" ht="12.75" hidden="false" customHeight="false" outlineLevel="0" collapsed="false">
      <c r="A525" s="66"/>
    </row>
    <row r="526" customFormat="false" ht="12.75" hidden="false" customHeight="false" outlineLevel="0" collapsed="false">
      <c r="A526" s="66"/>
    </row>
    <row r="527" customFormat="false" ht="12.75" hidden="false" customHeight="false" outlineLevel="0" collapsed="false">
      <c r="A527" s="66"/>
    </row>
    <row r="528" customFormat="false" ht="12.75" hidden="false" customHeight="false" outlineLevel="0" collapsed="false">
      <c r="A528" s="66"/>
    </row>
    <row r="529" customFormat="false" ht="12.75" hidden="false" customHeight="false" outlineLevel="0" collapsed="false">
      <c r="A529" s="66"/>
    </row>
    <row r="530" customFormat="false" ht="12.75" hidden="false" customHeight="false" outlineLevel="0" collapsed="false">
      <c r="A530" s="66"/>
    </row>
    <row r="531" customFormat="false" ht="12.75" hidden="false" customHeight="false" outlineLevel="0" collapsed="false">
      <c r="A531" s="66"/>
    </row>
    <row r="532" customFormat="false" ht="12.75" hidden="false" customHeight="false" outlineLevel="0" collapsed="false">
      <c r="A532" s="66"/>
    </row>
    <row r="533" customFormat="false" ht="12.75" hidden="false" customHeight="false" outlineLevel="0" collapsed="false">
      <c r="A533" s="66"/>
    </row>
    <row r="534" customFormat="false" ht="12.75" hidden="false" customHeight="false" outlineLevel="0" collapsed="false">
      <c r="A534" s="66"/>
    </row>
    <row r="535" customFormat="false" ht="12.75" hidden="false" customHeight="false" outlineLevel="0" collapsed="false">
      <c r="A535" s="66"/>
    </row>
    <row r="536" customFormat="false" ht="12.75" hidden="false" customHeight="false" outlineLevel="0" collapsed="false">
      <c r="A536" s="66"/>
    </row>
    <row r="537" customFormat="false" ht="12.75" hidden="false" customHeight="false" outlineLevel="0" collapsed="false">
      <c r="A537" s="66"/>
    </row>
    <row r="538" customFormat="false" ht="12.75" hidden="false" customHeight="false" outlineLevel="0" collapsed="false">
      <c r="A538" s="66"/>
    </row>
    <row r="539" customFormat="false" ht="12.75" hidden="false" customHeight="false" outlineLevel="0" collapsed="false">
      <c r="A539" s="66"/>
    </row>
    <row r="540" customFormat="false" ht="12.75" hidden="false" customHeight="false" outlineLevel="0" collapsed="false">
      <c r="A540" s="66"/>
    </row>
    <row r="541" customFormat="false" ht="12.75" hidden="false" customHeight="false" outlineLevel="0" collapsed="false">
      <c r="A541" s="66"/>
    </row>
    <row r="542" customFormat="false" ht="12.75" hidden="false" customHeight="false" outlineLevel="0" collapsed="false">
      <c r="A542" s="66"/>
    </row>
    <row r="543" customFormat="false" ht="12.75" hidden="false" customHeight="false" outlineLevel="0" collapsed="false">
      <c r="A543" s="66"/>
    </row>
    <row r="544" customFormat="false" ht="12.75" hidden="false" customHeight="false" outlineLevel="0" collapsed="false">
      <c r="A544" s="66"/>
    </row>
    <row r="545" customFormat="false" ht="12.75" hidden="false" customHeight="false" outlineLevel="0" collapsed="false">
      <c r="A545" s="66"/>
    </row>
    <row r="546" customFormat="false" ht="12.75" hidden="false" customHeight="false" outlineLevel="0" collapsed="false">
      <c r="A546" s="66"/>
    </row>
    <row r="547" customFormat="false" ht="12.75" hidden="false" customHeight="false" outlineLevel="0" collapsed="false">
      <c r="A547" s="66"/>
    </row>
    <row r="548" customFormat="false" ht="12.75" hidden="false" customHeight="false" outlineLevel="0" collapsed="false">
      <c r="A548" s="66"/>
    </row>
    <row r="549" customFormat="false" ht="12.75" hidden="false" customHeight="false" outlineLevel="0" collapsed="false">
      <c r="A549" s="66"/>
    </row>
    <row r="550" customFormat="false" ht="12.75" hidden="false" customHeight="false" outlineLevel="0" collapsed="false">
      <c r="A550" s="66"/>
    </row>
    <row r="551" customFormat="false" ht="12.75" hidden="false" customHeight="false" outlineLevel="0" collapsed="false">
      <c r="A551" s="66"/>
    </row>
    <row r="552" customFormat="false" ht="12.75" hidden="false" customHeight="false" outlineLevel="0" collapsed="false">
      <c r="A552" s="66"/>
    </row>
    <row r="553" customFormat="false" ht="12.75" hidden="false" customHeight="false" outlineLevel="0" collapsed="false">
      <c r="A553" s="66"/>
    </row>
    <row r="554" customFormat="false" ht="12.75" hidden="false" customHeight="false" outlineLevel="0" collapsed="false">
      <c r="A554" s="66"/>
    </row>
    <row r="555" customFormat="false" ht="12.75" hidden="false" customHeight="false" outlineLevel="0" collapsed="false">
      <c r="A555" s="66"/>
    </row>
    <row r="556" customFormat="false" ht="12.75" hidden="false" customHeight="false" outlineLevel="0" collapsed="false">
      <c r="A556" s="66"/>
    </row>
    <row r="557" customFormat="false" ht="12.75" hidden="false" customHeight="false" outlineLevel="0" collapsed="false">
      <c r="A557" s="66"/>
    </row>
    <row r="558" customFormat="false" ht="12.75" hidden="false" customHeight="false" outlineLevel="0" collapsed="false">
      <c r="A558" s="66"/>
    </row>
    <row r="559" customFormat="false" ht="12.75" hidden="false" customHeight="false" outlineLevel="0" collapsed="false">
      <c r="A559" s="66"/>
    </row>
    <row r="560" customFormat="false" ht="12.75" hidden="false" customHeight="false" outlineLevel="0" collapsed="false">
      <c r="A560" s="66"/>
    </row>
    <row r="561" customFormat="false" ht="12.75" hidden="false" customHeight="false" outlineLevel="0" collapsed="false">
      <c r="A561" s="66"/>
    </row>
    <row r="562" customFormat="false" ht="12.75" hidden="false" customHeight="false" outlineLevel="0" collapsed="false">
      <c r="A562" s="66"/>
    </row>
    <row r="563" customFormat="false" ht="12.75" hidden="false" customHeight="false" outlineLevel="0" collapsed="false">
      <c r="A563" s="66"/>
    </row>
    <row r="564" customFormat="false" ht="12.75" hidden="false" customHeight="false" outlineLevel="0" collapsed="false">
      <c r="A564" s="66"/>
    </row>
    <row r="565" customFormat="false" ht="12.75" hidden="false" customHeight="false" outlineLevel="0" collapsed="false">
      <c r="A565" s="66"/>
    </row>
    <row r="566" customFormat="false" ht="12.75" hidden="false" customHeight="false" outlineLevel="0" collapsed="false">
      <c r="A566" s="66"/>
    </row>
    <row r="567" customFormat="false" ht="12.75" hidden="false" customHeight="false" outlineLevel="0" collapsed="false">
      <c r="A567" s="66"/>
    </row>
    <row r="568" customFormat="false" ht="12.75" hidden="false" customHeight="false" outlineLevel="0" collapsed="false">
      <c r="A568" s="66"/>
    </row>
    <row r="569" customFormat="false" ht="12.75" hidden="false" customHeight="false" outlineLevel="0" collapsed="false">
      <c r="A569" s="66"/>
    </row>
    <row r="570" customFormat="false" ht="12.75" hidden="false" customHeight="false" outlineLevel="0" collapsed="false">
      <c r="A570" s="66"/>
    </row>
    <row r="571" customFormat="false" ht="12.75" hidden="false" customHeight="false" outlineLevel="0" collapsed="false">
      <c r="A571" s="66"/>
    </row>
    <row r="572" customFormat="false" ht="12.75" hidden="false" customHeight="false" outlineLevel="0" collapsed="false">
      <c r="A572" s="66"/>
    </row>
    <row r="573" customFormat="false" ht="12.75" hidden="false" customHeight="false" outlineLevel="0" collapsed="false">
      <c r="A573" s="66"/>
    </row>
    <row r="574" customFormat="false" ht="12.75" hidden="false" customHeight="false" outlineLevel="0" collapsed="false">
      <c r="A574" s="66"/>
    </row>
    <row r="575" customFormat="false" ht="12.75" hidden="false" customHeight="false" outlineLevel="0" collapsed="false">
      <c r="A575" s="66"/>
    </row>
    <row r="576" customFormat="false" ht="12.75" hidden="false" customHeight="false" outlineLevel="0" collapsed="false">
      <c r="A576" s="66"/>
    </row>
    <row r="577" customFormat="false" ht="12.75" hidden="false" customHeight="false" outlineLevel="0" collapsed="false">
      <c r="A577" s="66"/>
    </row>
    <row r="578" customFormat="false" ht="12.75" hidden="false" customHeight="false" outlineLevel="0" collapsed="false">
      <c r="A578" s="66"/>
    </row>
    <row r="579" customFormat="false" ht="12.75" hidden="false" customHeight="false" outlineLevel="0" collapsed="false">
      <c r="A579" s="66"/>
    </row>
    <row r="580" customFormat="false" ht="12.75" hidden="false" customHeight="false" outlineLevel="0" collapsed="false">
      <c r="A580" s="66"/>
    </row>
    <row r="581" customFormat="false" ht="12.75" hidden="false" customHeight="false" outlineLevel="0" collapsed="false">
      <c r="A581" s="66"/>
    </row>
    <row r="582" customFormat="false" ht="12.75" hidden="false" customHeight="false" outlineLevel="0" collapsed="false">
      <c r="A582" s="66"/>
    </row>
    <row r="583" customFormat="false" ht="12.75" hidden="false" customHeight="false" outlineLevel="0" collapsed="false">
      <c r="A583" s="66"/>
    </row>
    <row r="584" customFormat="false" ht="12.75" hidden="false" customHeight="false" outlineLevel="0" collapsed="false">
      <c r="A584" s="66"/>
    </row>
    <row r="585" customFormat="false" ht="12.75" hidden="false" customHeight="false" outlineLevel="0" collapsed="false">
      <c r="A585" s="66"/>
    </row>
    <row r="586" customFormat="false" ht="12.75" hidden="false" customHeight="false" outlineLevel="0" collapsed="false">
      <c r="A586" s="66"/>
    </row>
    <row r="587" customFormat="false" ht="12.75" hidden="false" customHeight="false" outlineLevel="0" collapsed="false">
      <c r="A587" s="66"/>
    </row>
    <row r="588" customFormat="false" ht="12.75" hidden="false" customHeight="false" outlineLevel="0" collapsed="false">
      <c r="A588" s="66"/>
    </row>
    <row r="589" customFormat="false" ht="12.75" hidden="false" customHeight="false" outlineLevel="0" collapsed="false">
      <c r="A589" s="66"/>
    </row>
    <row r="590" customFormat="false" ht="12.75" hidden="false" customHeight="false" outlineLevel="0" collapsed="false">
      <c r="A590" s="66"/>
    </row>
    <row r="591" customFormat="false" ht="12.75" hidden="false" customHeight="false" outlineLevel="0" collapsed="false">
      <c r="A591" s="66"/>
    </row>
    <row r="592" customFormat="false" ht="12.75" hidden="false" customHeight="false" outlineLevel="0" collapsed="false">
      <c r="A592" s="66"/>
    </row>
    <row r="593" customFormat="false" ht="12.75" hidden="false" customHeight="false" outlineLevel="0" collapsed="false">
      <c r="A593" s="66"/>
    </row>
    <row r="594" customFormat="false" ht="12.75" hidden="false" customHeight="false" outlineLevel="0" collapsed="false">
      <c r="A594" s="66"/>
    </row>
    <row r="595" customFormat="false" ht="12.75" hidden="false" customHeight="false" outlineLevel="0" collapsed="false">
      <c r="A595" s="66"/>
    </row>
    <row r="596" customFormat="false" ht="12.75" hidden="false" customHeight="false" outlineLevel="0" collapsed="false">
      <c r="A596" s="66"/>
    </row>
    <row r="597" customFormat="false" ht="12.75" hidden="false" customHeight="false" outlineLevel="0" collapsed="false">
      <c r="A597" s="66"/>
    </row>
    <row r="598" customFormat="false" ht="12.75" hidden="false" customHeight="false" outlineLevel="0" collapsed="false">
      <c r="A598" s="66"/>
    </row>
    <row r="599" customFormat="false" ht="12.75" hidden="false" customHeight="false" outlineLevel="0" collapsed="false">
      <c r="A599" s="66"/>
    </row>
    <row r="600" customFormat="false" ht="12.75" hidden="false" customHeight="false" outlineLevel="0" collapsed="false">
      <c r="A600" s="66"/>
    </row>
    <row r="601" customFormat="false" ht="12.75" hidden="false" customHeight="false" outlineLevel="0" collapsed="false">
      <c r="A601" s="66"/>
    </row>
    <row r="602" customFormat="false" ht="12.75" hidden="false" customHeight="false" outlineLevel="0" collapsed="false">
      <c r="A602" s="66"/>
    </row>
    <row r="603" customFormat="false" ht="12.75" hidden="false" customHeight="false" outlineLevel="0" collapsed="false">
      <c r="A603" s="66"/>
    </row>
    <row r="604" customFormat="false" ht="12.75" hidden="false" customHeight="false" outlineLevel="0" collapsed="false">
      <c r="A604" s="66"/>
    </row>
    <row r="605" customFormat="false" ht="12.75" hidden="false" customHeight="false" outlineLevel="0" collapsed="false">
      <c r="A605" s="66"/>
    </row>
    <row r="606" customFormat="false" ht="12.75" hidden="false" customHeight="false" outlineLevel="0" collapsed="false">
      <c r="A606" s="66"/>
    </row>
    <row r="607" customFormat="false" ht="12.75" hidden="false" customHeight="false" outlineLevel="0" collapsed="false">
      <c r="A607" s="66"/>
    </row>
    <row r="608" customFormat="false" ht="12.75" hidden="false" customHeight="false" outlineLevel="0" collapsed="false">
      <c r="A608" s="66"/>
    </row>
    <row r="609" customFormat="false" ht="12.75" hidden="false" customHeight="false" outlineLevel="0" collapsed="false">
      <c r="A609" s="66"/>
    </row>
    <row r="610" customFormat="false" ht="12.75" hidden="false" customHeight="false" outlineLevel="0" collapsed="false">
      <c r="A610" s="66"/>
    </row>
    <row r="611" customFormat="false" ht="12.75" hidden="false" customHeight="false" outlineLevel="0" collapsed="false">
      <c r="A611" s="66"/>
    </row>
    <row r="612" customFormat="false" ht="12.75" hidden="false" customHeight="false" outlineLevel="0" collapsed="false">
      <c r="A612" s="66"/>
    </row>
    <row r="613" customFormat="false" ht="12.75" hidden="false" customHeight="false" outlineLevel="0" collapsed="false">
      <c r="A613" s="66"/>
    </row>
    <row r="614" customFormat="false" ht="12.75" hidden="false" customHeight="false" outlineLevel="0" collapsed="false">
      <c r="A614" s="66"/>
    </row>
    <row r="615" customFormat="false" ht="12.75" hidden="false" customHeight="false" outlineLevel="0" collapsed="false">
      <c r="A615" s="66"/>
    </row>
    <row r="616" customFormat="false" ht="12.75" hidden="false" customHeight="false" outlineLevel="0" collapsed="false">
      <c r="A616" s="66"/>
    </row>
    <row r="617" customFormat="false" ht="12.75" hidden="false" customHeight="false" outlineLevel="0" collapsed="false">
      <c r="A617" s="66"/>
    </row>
    <row r="618" customFormat="false" ht="12.75" hidden="false" customHeight="false" outlineLevel="0" collapsed="false">
      <c r="A618" s="66"/>
    </row>
    <row r="619" customFormat="false" ht="12.75" hidden="false" customHeight="false" outlineLevel="0" collapsed="false">
      <c r="A619" s="66"/>
    </row>
    <row r="620" customFormat="false" ht="12.75" hidden="false" customHeight="false" outlineLevel="0" collapsed="false">
      <c r="A620" s="66"/>
    </row>
    <row r="621" customFormat="false" ht="12.75" hidden="false" customHeight="false" outlineLevel="0" collapsed="false">
      <c r="A621" s="66"/>
    </row>
    <row r="622" customFormat="false" ht="12.75" hidden="false" customHeight="false" outlineLevel="0" collapsed="false">
      <c r="A622" s="66"/>
    </row>
    <row r="623" customFormat="false" ht="12.75" hidden="false" customHeight="false" outlineLevel="0" collapsed="false">
      <c r="A623" s="66"/>
    </row>
    <row r="624" customFormat="false" ht="12.75" hidden="false" customHeight="false" outlineLevel="0" collapsed="false">
      <c r="A624" s="66"/>
    </row>
    <row r="625" customFormat="false" ht="12.75" hidden="false" customHeight="false" outlineLevel="0" collapsed="false">
      <c r="A625" s="66"/>
    </row>
    <row r="626" customFormat="false" ht="12.75" hidden="false" customHeight="false" outlineLevel="0" collapsed="false">
      <c r="A626" s="66"/>
    </row>
    <row r="627" customFormat="false" ht="12.75" hidden="false" customHeight="false" outlineLevel="0" collapsed="false">
      <c r="A627" s="66"/>
    </row>
    <row r="628" customFormat="false" ht="12.75" hidden="false" customHeight="false" outlineLevel="0" collapsed="false">
      <c r="A628" s="66"/>
    </row>
    <row r="629" customFormat="false" ht="12.75" hidden="false" customHeight="false" outlineLevel="0" collapsed="false">
      <c r="A629" s="66"/>
    </row>
    <row r="630" customFormat="false" ht="12.75" hidden="false" customHeight="false" outlineLevel="0" collapsed="false">
      <c r="A630" s="66"/>
    </row>
    <row r="631" customFormat="false" ht="12.75" hidden="false" customHeight="false" outlineLevel="0" collapsed="false">
      <c r="A631" s="66"/>
    </row>
    <row r="632" customFormat="false" ht="12.75" hidden="false" customHeight="false" outlineLevel="0" collapsed="false">
      <c r="A632" s="66"/>
    </row>
    <row r="633" customFormat="false" ht="12.75" hidden="false" customHeight="false" outlineLevel="0" collapsed="false">
      <c r="A633" s="66"/>
    </row>
    <row r="634" customFormat="false" ht="12.75" hidden="false" customHeight="false" outlineLevel="0" collapsed="false">
      <c r="A634" s="66"/>
    </row>
    <row r="635" customFormat="false" ht="12.75" hidden="false" customHeight="false" outlineLevel="0" collapsed="false">
      <c r="A635" s="66"/>
    </row>
    <row r="636" customFormat="false" ht="12.75" hidden="false" customHeight="false" outlineLevel="0" collapsed="false">
      <c r="A636" s="66"/>
    </row>
    <row r="637" customFormat="false" ht="12.75" hidden="false" customHeight="false" outlineLevel="0" collapsed="false">
      <c r="A637" s="66"/>
    </row>
    <row r="638" customFormat="false" ht="12.75" hidden="false" customHeight="false" outlineLevel="0" collapsed="false">
      <c r="A638" s="66"/>
    </row>
    <row r="639" customFormat="false" ht="12.75" hidden="false" customHeight="false" outlineLevel="0" collapsed="false">
      <c r="A639" s="66"/>
    </row>
    <row r="640" customFormat="false" ht="12.75" hidden="false" customHeight="false" outlineLevel="0" collapsed="false">
      <c r="A640" s="66"/>
    </row>
    <row r="641" customFormat="false" ht="12.75" hidden="false" customHeight="false" outlineLevel="0" collapsed="false">
      <c r="A641" s="66"/>
    </row>
    <row r="642" customFormat="false" ht="12.75" hidden="false" customHeight="false" outlineLevel="0" collapsed="false">
      <c r="A642" s="66"/>
    </row>
    <row r="643" customFormat="false" ht="12.75" hidden="false" customHeight="false" outlineLevel="0" collapsed="false">
      <c r="A643" s="66"/>
    </row>
    <row r="644" customFormat="false" ht="12.75" hidden="false" customHeight="false" outlineLevel="0" collapsed="false">
      <c r="A644" s="66"/>
    </row>
    <row r="645" customFormat="false" ht="12.75" hidden="false" customHeight="false" outlineLevel="0" collapsed="false">
      <c r="A645" s="66"/>
    </row>
    <row r="646" customFormat="false" ht="12.75" hidden="false" customHeight="false" outlineLevel="0" collapsed="false">
      <c r="A646" s="66"/>
    </row>
    <row r="647" customFormat="false" ht="12.75" hidden="false" customHeight="false" outlineLevel="0" collapsed="false">
      <c r="A647" s="66"/>
    </row>
    <row r="648" customFormat="false" ht="12.75" hidden="false" customHeight="false" outlineLevel="0" collapsed="false">
      <c r="A648" s="66"/>
    </row>
    <row r="649" customFormat="false" ht="12.75" hidden="false" customHeight="false" outlineLevel="0" collapsed="false">
      <c r="A649" s="66"/>
    </row>
    <row r="650" customFormat="false" ht="12.75" hidden="false" customHeight="false" outlineLevel="0" collapsed="false">
      <c r="A650" s="66"/>
    </row>
    <row r="651" customFormat="false" ht="12.75" hidden="false" customHeight="false" outlineLevel="0" collapsed="false">
      <c r="A651" s="66"/>
    </row>
    <row r="652" customFormat="false" ht="12.75" hidden="false" customHeight="false" outlineLevel="0" collapsed="false">
      <c r="A652" s="66"/>
    </row>
    <row r="653" customFormat="false" ht="12.75" hidden="false" customHeight="false" outlineLevel="0" collapsed="false">
      <c r="A653" s="66"/>
    </row>
    <row r="654" customFormat="false" ht="12.75" hidden="false" customHeight="false" outlineLevel="0" collapsed="false">
      <c r="A654" s="66"/>
    </row>
    <row r="655" customFormat="false" ht="12.75" hidden="false" customHeight="false" outlineLevel="0" collapsed="false">
      <c r="A655" s="66"/>
    </row>
    <row r="656" customFormat="false" ht="12.75" hidden="false" customHeight="false" outlineLevel="0" collapsed="false">
      <c r="A656" s="66"/>
    </row>
    <row r="657" customFormat="false" ht="12.75" hidden="false" customHeight="false" outlineLevel="0" collapsed="false">
      <c r="A657" s="66"/>
    </row>
    <row r="658" customFormat="false" ht="12.75" hidden="false" customHeight="false" outlineLevel="0" collapsed="false">
      <c r="A658" s="66"/>
    </row>
    <row r="659" customFormat="false" ht="12.75" hidden="false" customHeight="false" outlineLevel="0" collapsed="false">
      <c r="A659" s="66"/>
    </row>
    <row r="660" customFormat="false" ht="12.75" hidden="false" customHeight="false" outlineLevel="0" collapsed="false">
      <c r="A660" s="66"/>
    </row>
    <row r="661" customFormat="false" ht="12.75" hidden="false" customHeight="false" outlineLevel="0" collapsed="false">
      <c r="A661" s="66"/>
    </row>
    <row r="662" customFormat="false" ht="12.75" hidden="false" customHeight="false" outlineLevel="0" collapsed="false">
      <c r="A662" s="66"/>
    </row>
    <row r="663" customFormat="false" ht="12.75" hidden="false" customHeight="false" outlineLevel="0" collapsed="false">
      <c r="A663" s="66"/>
    </row>
    <row r="664" customFormat="false" ht="12.75" hidden="false" customHeight="false" outlineLevel="0" collapsed="false">
      <c r="A664" s="66"/>
    </row>
    <row r="665" customFormat="false" ht="12.75" hidden="false" customHeight="false" outlineLevel="0" collapsed="false">
      <c r="A665" s="66"/>
    </row>
    <row r="666" customFormat="false" ht="12.75" hidden="false" customHeight="false" outlineLevel="0" collapsed="false">
      <c r="A666" s="66"/>
    </row>
    <row r="667" customFormat="false" ht="12.75" hidden="false" customHeight="false" outlineLevel="0" collapsed="false">
      <c r="A667" s="66"/>
    </row>
    <row r="668" customFormat="false" ht="12.75" hidden="false" customHeight="false" outlineLevel="0" collapsed="false">
      <c r="A668" s="66"/>
    </row>
    <row r="669" customFormat="false" ht="12.75" hidden="false" customHeight="false" outlineLevel="0" collapsed="false">
      <c r="A669" s="66"/>
    </row>
    <row r="670" customFormat="false" ht="12.75" hidden="false" customHeight="false" outlineLevel="0" collapsed="false">
      <c r="A670" s="66"/>
    </row>
    <row r="671" customFormat="false" ht="12.75" hidden="false" customHeight="false" outlineLevel="0" collapsed="false">
      <c r="A671" s="66"/>
    </row>
    <row r="672" customFormat="false" ht="12.75" hidden="false" customHeight="false" outlineLevel="0" collapsed="false">
      <c r="A672" s="66"/>
    </row>
    <row r="673" customFormat="false" ht="12.75" hidden="false" customHeight="false" outlineLevel="0" collapsed="false">
      <c r="A673" s="66"/>
    </row>
    <row r="674" customFormat="false" ht="12.75" hidden="false" customHeight="false" outlineLevel="0" collapsed="false">
      <c r="A674" s="66"/>
    </row>
    <row r="675" customFormat="false" ht="12.75" hidden="false" customHeight="false" outlineLevel="0" collapsed="false">
      <c r="A675" s="66"/>
    </row>
    <row r="676" customFormat="false" ht="12.75" hidden="false" customHeight="false" outlineLevel="0" collapsed="false">
      <c r="A676" s="66"/>
    </row>
    <row r="677" customFormat="false" ht="12.75" hidden="false" customHeight="false" outlineLevel="0" collapsed="false">
      <c r="A677" s="66"/>
    </row>
    <row r="678" customFormat="false" ht="12.75" hidden="false" customHeight="false" outlineLevel="0" collapsed="false">
      <c r="A678" s="66"/>
    </row>
    <row r="679" customFormat="false" ht="12.75" hidden="false" customHeight="false" outlineLevel="0" collapsed="false">
      <c r="A679" s="66"/>
    </row>
    <row r="680" customFormat="false" ht="12.75" hidden="false" customHeight="false" outlineLevel="0" collapsed="false">
      <c r="A680" s="66"/>
    </row>
    <row r="681" customFormat="false" ht="12.75" hidden="false" customHeight="false" outlineLevel="0" collapsed="false">
      <c r="A681" s="66"/>
    </row>
    <row r="682" customFormat="false" ht="12.75" hidden="false" customHeight="false" outlineLevel="0" collapsed="false">
      <c r="A682" s="66"/>
    </row>
    <row r="683" customFormat="false" ht="12.75" hidden="false" customHeight="false" outlineLevel="0" collapsed="false">
      <c r="A683" s="66"/>
    </row>
    <row r="684" customFormat="false" ht="12.75" hidden="false" customHeight="false" outlineLevel="0" collapsed="false">
      <c r="A684" s="66"/>
    </row>
    <row r="685" customFormat="false" ht="12.75" hidden="false" customHeight="false" outlineLevel="0" collapsed="false">
      <c r="A685" s="66"/>
    </row>
    <row r="686" customFormat="false" ht="12.75" hidden="false" customHeight="false" outlineLevel="0" collapsed="false">
      <c r="A686" s="66"/>
    </row>
    <row r="687" customFormat="false" ht="12.75" hidden="false" customHeight="false" outlineLevel="0" collapsed="false">
      <c r="A687" s="66"/>
    </row>
    <row r="688" customFormat="false" ht="12.75" hidden="false" customHeight="false" outlineLevel="0" collapsed="false">
      <c r="A688" s="66"/>
    </row>
    <row r="689" customFormat="false" ht="12.75" hidden="false" customHeight="false" outlineLevel="0" collapsed="false">
      <c r="A689" s="66"/>
    </row>
    <row r="690" customFormat="false" ht="12.75" hidden="false" customHeight="false" outlineLevel="0" collapsed="false">
      <c r="A690" s="66"/>
    </row>
    <row r="691" customFormat="false" ht="12.75" hidden="false" customHeight="false" outlineLevel="0" collapsed="false">
      <c r="A691" s="66"/>
    </row>
    <row r="692" customFormat="false" ht="12.75" hidden="false" customHeight="false" outlineLevel="0" collapsed="false">
      <c r="A692" s="66"/>
    </row>
    <row r="693" customFormat="false" ht="12.75" hidden="false" customHeight="false" outlineLevel="0" collapsed="false">
      <c r="A693" s="66"/>
    </row>
    <row r="694" customFormat="false" ht="12.75" hidden="false" customHeight="false" outlineLevel="0" collapsed="false">
      <c r="A694" s="66"/>
    </row>
    <row r="695" customFormat="false" ht="12.75" hidden="false" customHeight="false" outlineLevel="0" collapsed="false">
      <c r="A695" s="66"/>
    </row>
    <row r="696" customFormat="false" ht="12.75" hidden="false" customHeight="false" outlineLevel="0" collapsed="false">
      <c r="A696" s="66"/>
    </row>
    <row r="697" customFormat="false" ht="12.75" hidden="false" customHeight="false" outlineLevel="0" collapsed="false">
      <c r="A697" s="66"/>
    </row>
    <row r="698" customFormat="false" ht="12.75" hidden="false" customHeight="false" outlineLevel="0" collapsed="false">
      <c r="A698" s="66"/>
    </row>
    <row r="699" customFormat="false" ht="12.75" hidden="false" customHeight="false" outlineLevel="0" collapsed="false">
      <c r="A699" s="66"/>
    </row>
    <row r="700" customFormat="false" ht="12.75" hidden="false" customHeight="false" outlineLevel="0" collapsed="false">
      <c r="A700" s="66"/>
    </row>
    <row r="701" customFormat="false" ht="12.75" hidden="false" customHeight="false" outlineLevel="0" collapsed="false">
      <c r="A701" s="66"/>
    </row>
    <row r="702" customFormat="false" ht="12.75" hidden="false" customHeight="false" outlineLevel="0" collapsed="false">
      <c r="A702" s="66"/>
    </row>
    <row r="703" customFormat="false" ht="12.75" hidden="false" customHeight="false" outlineLevel="0" collapsed="false">
      <c r="A703" s="66"/>
    </row>
    <row r="704" customFormat="false" ht="12.75" hidden="false" customHeight="false" outlineLevel="0" collapsed="false">
      <c r="A704" s="66"/>
    </row>
    <row r="705" customFormat="false" ht="12.75" hidden="false" customHeight="false" outlineLevel="0" collapsed="false">
      <c r="A705" s="66"/>
    </row>
    <row r="706" customFormat="false" ht="12.75" hidden="false" customHeight="false" outlineLevel="0" collapsed="false">
      <c r="A706" s="66"/>
    </row>
    <row r="707" customFormat="false" ht="12.75" hidden="false" customHeight="false" outlineLevel="0" collapsed="false">
      <c r="A707" s="66"/>
    </row>
    <row r="708" customFormat="false" ht="12.75" hidden="false" customHeight="false" outlineLevel="0" collapsed="false">
      <c r="A708" s="66"/>
    </row>
    <row r="709" customFormat="false" ht="12.75" hidden="false" customHeight="false" outlineLevel="0" collapsed="false">
      <c r="A709" s="66"/>
    </row>
    <row r="710" customFormat="false" ht="12.75" hidden="false" customHeight="false" outlineLevel="0" collapsed="false">
      <c r="A710" s="66"/>
    </row>
    <row r="711" customFormat="false" ht="12.75" hidden="false" customHeight="false" outlineLevel="0" collapsed="false">
      <c r="A711" s="66"/>
    </row>
    <row r="712" customFormat="false" ht="12.75" hidden="false" customHeight="false" outlineLevel="0" collapsed="false">
      <c r="A712" s="66"/>
    </row>
    <row r="713" customFormat="false" ht="12.75" hidden="false" customHeight="false" outlineLevel="0" collapsed="false">
      <c r="A713" s="66"/>
    </row>
    <row r="714" customFormat="false" ht="12.75" hidden="false" customHeight="false" outlineLevel="0" collapsed="false">
      <c r="A714" s="66"/>
    </row>
    <row r="715" customFormat="false" ht="12.75" hidden="false" customHeight="false" outlineLevel="0" collapsed="false">
      <c r="A715" s="66"/>
    </row>
    <row r="716" customFormat="false" ht="12.75" hidden="false" customHeight="false" outlineLevel="0" collapsed="false">
      <c r="A716" s="66"/>
    </row>
    <row r="717" customFormat="false" ht="12.75" hidden="false" customHeight="false" outlineLevel="0" collapsed="false">
      <c r="A717" s="66"/>
    </row>
    <row r="718" customFormat="false" ht="12.75" hidden="false" customHeight="false" outlineLevel="0" collapsed="false">
      <c r="A718" s="66"/>
    </row>
    <row r="719" customFormat="false" ht="12.75" hidden="false" customHeight="false" outlineLevel="0" collapsed="false">
      <c r="A719" s="66"/>
    </row>
    <row r="720" customFormat="false" ht="12.75" hidden="false" customHeight="false" outlineLevel="0" collapsed="false">
      <c r="A720" s="66"/>
    </row>
    <row r="721" customFormat="false" ht="12.75" hidden="false" customHeight="false" outlineLevel="0" collapsed="false">
      <c r="A721" s="66"/>
    </row>
    <row r="722" customFormat="false" ht="12.75" hidden="false" customHeight="false" outlineLevel="0" collapsed="false">
      <c r="A722" s="66"/>
    </row>
    <row r="723" customFormat="false" ht="12.75" hidden="false" customHeight="false" outlineLevel="0" collapsed="false">
      <c r="A723" s="66"/>
    </row>
    <row r="724" customFormat="false" ht="12.75" hidden="false" customHeight="false" outlineLevel="0" collapsed="false">
      <c r="A724" s="66"/>
    </row>
    <row r="725" customFormat="false" ht="12.75" hidden="false" customHeight="false" outlineLevel="0" collapsed="false">
      <c r="A725" s="66"/>
    </row>
    <row r="726" customFormat="false" ht="12.75" hidden="false" customHeight="false" outlineLevel="0" collapsed="false">
      <c r="A726" s="66"/>
    </row>
    <row r="727" customFormat="false" ht="12.75" hidden="false" customHeight="false" outlineLevel="0" collapsed="false">
      <c r="A727" s="66"/>
    </row>
    <row r="728" customFormat="false" ht="12.75" hidden="false" customHeight="false" outlineLevel="0" collapsed="false">
      <c r="A728" s="66"/>
    </row>
    <row r="729" customFormat="false" ht="12.75" hidden="false" customHeight="false" outlineLevel="0" collapsed="false">
      <c r="A729" s="66"/>
    </row>
    <row r="730" customFormat="false" ht="12.75" hidden="false" customHeight="false" outlineLevel="0" collapsed="false">
      <c r="A730" s="66"/>
    </row>
    <row r="731" customFormat="false" ht="12.75" hidden="false" customHeight="false" outlineLevel="0" collapsed="false">
      <c r="A731" s="66"/>
    </row>
    <row r="732" customFormat="false" ht="12.75" hidden="false" customHeight="false" outlineLevel="0" collapsed="false">
      <c r="A732" s="66"/>
    </row>
    <row r="733" customFormat="false" ht="12.75" hidden="false" customHeight="false" outlineLevel="0" collapsed="false">
      <c r="A733" s="66"/>
    </row>
    <row r="734" customFormat="false" ht="12.75" hidden="false" customHeight="false" outlineLevel="0" collapsed="false">
      <c r="A734" s="66"/>
    </row>
    <row r="735" customFormat="false" ht="12.75" hidden="false" customHeight="false" outlineLevel="0" collapsed="false">
      <c r="A735" s="66"/>
    </row>
    <row r="736" customFormat="false" ht="12.75" hidden="false" customHeight="false" outlineLevel="0" collapsed="false">
      <c r="A736" s="66"/>
    </row>
    <row r="737" customFormat="false" ht="12.75" hidden="false" customHeight="false" outlineLevel="0" collapsed="false">
      <c r="A737" s="66"/>
    </row>
    <row r="738" customFormat="false" ht="12.75" hidden="false" customHeight="false" outlineLevel="0" collapsed="false">
      <c r="A738" s="66"/>
    </row>
    <row r="739" customFormat="false" ht="12.75" hidden="false" customHeight="false" outlineLevel="0" collapsed="false">
      <c r="A739" s="66"/>
    </row>
    <row r="740" customFormat="false" ht="12.75" hidden="false" customHeight="false" outlineLevel="0" collapsed="false">
      <c r="A740" s="66"/>
    </row>
    <row r="741" customFormat="false" ht="12.75" hidden="false" customHeight="false" outlineLevel="0" collapsed="false">
      <c r="A741" s="66"/>
    </row>
    <row r="742" customFormat="false" ht="12.75" hidden="false" customHeight="false" outlineLevel="0" collapsed="false">
      <c r="A742" s="66"/>
    </row>
    <row r="743" customFormat="false" ht="12.75" hidden="false" customHeight="false" outlineLevel="0" collapsed="false">
      <c r="A743" s="66"/>
    </row>
    <row r="744" customFormat="false" ht="12.75" hidden="false" customHeight="false" outlineLevel="0" collapsed="false">
      <c r="A744" s="66"/>
    </row>
    <row r="745" customFormat="false" ht="12.75" hidden="false" customHeight="false" outlineLevel="0" collapsed="false">
      <c r="A745" s="66"/>
    </row>
    <row r="746" customFormat="false" ht="12.75" hidden="false" customHeight="false" outlineLevel="0" collapsed="false">
      <c r="A746" s="66"/>
    </row>
    <row r="747" customFormat="false" ht="12.75" hidden="false" customHeight="false" outlineLevel="0" collapsed="false">
      <c r="A747" s="66"/>
    </row>
    <row r="748" customFormat="false" ht="12.75" hidden="false" customHeight="false" outlineLevel="0" collapsed="false">
      <c r="A748" s="66"/>
    </row>
    <row r="749" customFormat="false" ht="12.75" hidden="false" customHeight="false" outlineLevel="0" collapsed="false">
      <c r="A749" s="66"/>
    </row>
    <row r="750" customFormat="false" ht="12.75" hidden="false" customHeight="false" outlineLevel="0" collapsed="false">
      <c r="A750" s="66"/>
    </row>
    <row r="751" customFormat="false" ht="12.75" hidden="false" customHeight="false" outlineLevel="0" collapsed="false">
      <c r="A751" s="66"/>
    </row>
    <row r="752" customFormat="false" ht="12.75" hidden="false" customHeight="false" outlineLevel="0" collapsed="false">
      <c r="A752" s="66"/>
    </row>
    <row r="753" customFormat="false" ht="12.75" hidden="false" customHeight="false" outlineLevel="0" collapsed="false">
      <c r="A753" s="66"/>
    </row>
    <row r="754" customFormat="false" ht="12.75" hidden="false" customHeight="false" outlineLevel="0" collapsed="false">
      <c r="A754" s="66"/>
    </row>
    <row r="755" customFormat="false" ht="12.75" hidden="false" customHeight="false" outlineLevel="0" collapsed="false">
      <c r="A755" s="66"/>
    </row>
    <row r="756" customFormat="false" ht="12.75" hidden="false" customHeight="false" outlineLevel="0" collapsed="false">
      <c r="A756" s="66"/>
    </row>
    <row r="757" customFormat="false" ht="12.75" hidden="false" customHeight="false" outlineLevel="0" collapsed="false">
      <c r="A757" s="66"/>
    </row>
    <row r="758" customFormat="false" ht="12.75" hidden="false" customHeight="false" outlineLevel="0" collapsed="false">
      <c r="A758" s="66"/>
    </row>
    <row r="759" customFormat="false" ht="12.75" hidden="false" customHeight="false" outlineLevel="0" collapsed="false">
      <c r="A759" s="66"/>
    </row>
    <row r="760" customFormat="false" ht="12.75" hidden="false" customHeight="false" outlineLevel="0" collapsed="false">
      <c r="A760" s="66"/>
    </row>
    <row r="761" customFormat="false" ht="12.75" hidden="false" customHeight="false" outlineLevel="0" collapsed="false">
      <c r="A761" s="66"/>
    </row>
    <row r="762" customFormat="false" ht="12.75" hidden="false" customHeight="false" outlineLevel="0" collapsed="false">
      <c r="A762" s="66"/>
    </row>
    <row r="763" customFormat="false" ht="12.75" hidden="false" customHeight="false" outlineLevel="0" collapsed="false">
      <c r="A763" s="66"/>
    </row>
    <row r="764" customFormat="false" ht="12.75" hidden="false" customHeight="false" outlineLevel="0" collapsed="false">
      <c r="A764" s="66"/>
    </row>
    <row r="765" customFormat="false" ht="12.75" hidden="false" customHeight="false" outlineLevel="0" collapsed="false">
      <c r="A765" s="66"/>
    </row>
    <row r="766" customFormat="false" ht="12.75" hidden="false" customHeight="false" outlineLevel="0" collapsed="false">
      <c r="A766" s="66"/>
    </row>
    <row r="767" customFormat="false" ht="12.75" hidden="false" customHeight="false" outlineLevel="0" collapsed="false">
      <c r="A767" s="66"/>
    </row>
    <row r="768" customFormat="false" ht="12.75" hidden="false" customHeight="false" outlineLevel="0" collapsed="false">
      <c r="A768" s="66"/>
    </row>
    <row r="769" customFormat="false" ht="12.75" hidden="false" customHeight="false" outlineLevel="0" collapsed="false">
      <c r="A769" s="66"/>
    </row>
    <row r="770" customFormat="false" ht="12.75" hidden="false" customHeight="false" outlineLevel="0" collapsed="false">
      <c r="A770" s="66"/>
    </row>
    <row r="771" customFormat="false" ht="12.75" hidden="false" customHeight="false" outlineLevel="0" collapsed="false">
      <c r="A771" s="66"/>
    </row>
    <row r="772" customFormat="false" ht="12.75" hidden="false" customHeight="false" outlineLevel="0" collapsed="false">
      <c r="A772" s="66"/>
    </row>
    <row r="773" customFormat="false" ht="12.75" hidden="false" customHeight="false" outlineLevel="0" collapsed="false">
      <c r="A773" s="66"/>
    </row>
    <row r="774" customFormat="false" ht="12.75" hidden="false" customHeight="false" outlineLevel="0" collapsed="false">
      <c r="A774" s="66"/>
    </row>
    <row r="775" customFormat="false" ht="12.75" hidden="false" customHeight="false" outlineLevel="0" collapsed="false">
      <c r="A775" s="66"/>
    </row>
    <row r="776" customFormat="false" ht="12.75" hidden="false" customHeight="false" outlineLevel="0" collapsed="false">
      <c r="A776" s="66"/>
    </row>
    <row r="777" customFormat="false" ht="12.75" hidden="false" customHeight="false" outlineLevel="0" collapsed="false">
      <c r="A777" s="66"/>
    </row>
    <row r="778" customFormat="false" ht="12.75" hidden="false" customHeight="false" outlineLevel="0" collapsed="false">
      <c r="A778" s="66"/>
    </row>
    <row r="779" customFormat="false" ht="12.75" hidden="false" customHeight="false" outlineLevel="0" collapsed="false">
      <c r="A779" s="66"/>
    </row>
    <row r="780" customFormat="false" ht="12.75" hidden="false" customHeight="false" outlineLevel="0" collapsed="false">
      <c r="A780" s="66"/>
    </row>
    <row r="781" customFormat="false" ht="12.75" hidden="false" customHeight="false" outlineLevel="0" collapsed="false">
      <c r="A781" s="66"/>
    </row>
    <row r="782" customFormat="false" ht="12.75" hidden="false" customHeight="false" outlineLevel="0" collapsed="false">
      <c r="A782" s="66"/>
    </row>
    <row r="783" customFormat="false" ht="12.75" hidden="false" customHeight="false" outlineLevel="0" collapsed="false">
      <c r="A783" s="66"/>
    </row>
    <row r="784" customFormat="false" ht="12.75" hidden="false" customHeight="false" outlineLevel="0" collapsed="false">
      <c r="A784" s="66"/>
    </row>
    <row r="785" customFormat="false" ht="12.75" hidden="false" customHeight="false" outlineLevel="0" collapsed="false">
      <c r="A785" s="66"/>
    </row>
    <row r="786" customFormat="false" ht="12.75" hidden="false" customHeight="false" outlineLevel="0" collapsed="false">
      <c r="A786" s="66"/>
    </row>
    <row r="787" customFormat="false" ht="12.75" hidden="false" customHeight="false" outlineLevel="0" collapsed="false">
      <c r="A787" s="66"/>
    </row>
    <row r="788" customFormat="false" ht="12.75" hidden="false" customHeight="false" outlineLevel="0" collapsed="false">
      <c r="A788" s="66"/>
    </row>
    <row r="789" customFormat="false" ht="12.75" hidden="false" customHeight="false" outlineLevel="0" collapsed="false">
      <c r="A789" s="66"/>
    </row>
    <row r="790" customFormat="false" ht="12.75" hidden="false" customHeight="false" outlineLevel="0" collapsed="false">
      <c r="A790" s="66"/>
    </row>
    <row r="791" customFormat="false" ht="12.75" hidden="false" customHeight="false" outlineLevel="0" collapsed="false">
      <c r="A791" s="66"/>
    </row>
    <row r="792" customFormat="false" ht="12.75" hidden="false" customHeight="false" outlineLevel="0" collapsed="false">
      <c r="A792" s="66"/>
    </row>
    <row r="793" customFormat="false" ht="12.75" hidden="false" customHeight="false" outlineLevel="0" collapsed="false">
      <c r="A793" s="66"/>
    </row>
    <row r="794" customFormat="false" ht="12.75" hidden="false" customHeight="false" outlineLevel="0" collapsed="false">
      <c r="A794" s="66"/>
    </row>
    <row r="795" customFormat="false" ht="12.75" hidden="false" customHeight="false" outlineLevel="0" collapsed="false">
      <c r="A795" s="66"/>
    </row>
    <row r="796" customFormat="false" ht="12.75" hidden="false" customHeight="false" outlineLevel="0" collapsed="false">
      <c r="A796" s="66"/>
    </row>
    <row r="797" customFormat="false" ht="12.75" hidden="false" customHeight="false" outlineLevel="0" collapsed="false">
      <c r="A797" s="66"/>
    </row>
    <row r="798" customFormat="false" ht="12.75" hidden="false" customHeight="false" outlineLevel="0" collapsed="false">
      <c r="A798" s="66"/>
    </row>
    <row r="799" customFormat="false" ht="12.75" hidden="false" customHeight="false" outlineLevel="0" collapsed="false">
      <c r="A799" s="66"/>
    </row>
    <row r="800" customFormat="false" ht="12.75" hidden="false" customHeight="false" outlineLevel="0" collapsed="false">
      <c r="A800" s="66"/>
    </row>
    <row r="801" customFormat="false" ht="12.75" hidden="false" customHeight="false" outlineLevel="0" collapsed="false">
      <c r="A801" s="66"/>
    </row>
    <row r="802" customFormat="false" ht="12.75" hidden="false" customHeight="false" outlineLevel="0" collapsed="false">
      <c r="A802" s="66"/>
    </row>
    <row r="803" customFormat="false" ht="12.75" hidden="false" customHeight="false" outlineLevel="0" collapsed="false">
      <c r="A803" s="66"/>
    </row>
    <row r="804" customFormat="false" ht="12.75" hidden="false" customHeight="false" outlineLevel="0" collapsed="false">
      <c r="A804" s="66"/>
    </row>
    <row r="805" customFormat="false" ht="12.75" hidden="false" customHeight="false" outlineLevel="0" collapsed="false">
      <c r="A805" s="66"/>
    </row>
    <row r="806" customFormat="false" ht="12.75" hidden="false" customHeight="false" outlineLevel="0" collapsed="false">
      <c r="A806" s="66"/>
    </row>
    <row r="807" customFormat="false" ht="12.75" hidden="false" customHeight="false" outlineLevel="0" collapsed="false">
      <c r="A807" s="66"/>
    </row>
    <row r="808" customFormat="false" ht="12.75" hidden="false" customHeight="false" outlineLevel="0" collapsed="false">
      <c r="A808" s="66"/>
    </row>
    <row r="809" customFormat="false" ht="12.75" hidden="false" customHeight="false" outlineLevel="0" collapsed="false">
      <c r="A809" s="66"/>
    </row>
    <row r="810" customFormat="false" ht="12.75" hidden="false" customHeight="false" outlineLevel="0" collapsed="false">
      <c r="A810" s="66"/>
    </row>
    <row r="811" customFormat="false" ht="12.75" hidden="false" customHeight="false" outlineLevel="0" collapsed="false">
      <c r="A811" s="66"/>
    </row>
    <row r="812" customFormat="false" ht="12.75" hidden="false" customHeight="false" outlineLevel="0" collapsed="false">
      <c r="A812" s="6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8" man="true" max="65535" min="0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70"/>
  <sheetViews>
    <sheetView showFormulas="false" showGridLines="true" showRowColHeaders="true" showZeros="true" rightToLeft="false" tabSelected="false" showOutlineSymbols="true" defaultGridColor="true" view="normal" topLeftCell="G1" colorId="64" zoomScale="80" zoomScaleNormal="80" zoomScalePageLayoutView="100" workbookViewId="0">
      <selection pane="topLeft" activeCell="M9" activeCellId="0" sqref="M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85"/>
    <col collapsed="false" customWidth="true" hidden="false" outlineLevel="0" max="4" min="4" style="0" width="11.42"/>
    <col collapsed="false" customWidth="true" hidden="false" outlineLevel="0" max="8" min="8" style="0" width="10.56"/>
    <col collapsed="false" customWidth="true" hidden="false" outlineLevel="0" max="9" min="9" style="0" width="1.41"/>
    <col collapsed="false" customWidth="true" hidden="false" outlineLevel="0" max="12" min="12" style="0" width="1.41"/>
    <col collapsed="false" customWidth="true" hidden="false" outlineLevel="0" max="14" min="14" style="0" width="9.85"/>
    <col collapsed="false" customWidth="true" hidden="false" outlineLevel="0" max="15" min="15" style="0" width="1.41"/>
    <col collapsed="false" customWidth="true" hidden="false" outlineLevel="0" max="18" min="18" style="0" width="4.7"/>
    <col collapsed="false" customWidth="true" hidden="false" outlineLevel="0" max="23" min="23" style="0" width="4.7"/>
    <col collapsed="false" customWidth="true" hidden="false" outlineLevel="0" max="24" min="24" style="0" width="11.99"/>
    <col collapsed="false" customWidth="true" hidden="false" outlineLevel="0" max="25" min="25" style="0" width="4.7"/>
  </cols>
  <sheetData>
    <row r="1" customFormat="false" ht="12.75" hidden="false" customHeight="false" outlineLevel="0" collapsed="false">
      <c r="A1" s="1" t="s">
        <v>84</v>
      </c>
    </row>
    <row r="4" customFormat="false" ht="12.75" hidden="false" customHeight="false" outlineLevel="0" collapsed="false">
      <c r="G4" s="41" t="s">
        <v>85</v>
      </c>
      <c r="H4" s="41" t="s">
        <v>85</v>
      </c>
      <c r="J4" s="41" t="s">
        <v>86</v>
      </c>
      <c r="K4" s="41" t="s">
        <v>86</v>
      </c>
      <c r="M4" s="41" t="s">
        <v>87</v>
      </c>
      <c r="N4" s="41" t="s">
        <v>87</v>
      </c>
      <c r="P4" s="41" t="s">
        <v>88</v>
      </c>
      <c r="Q4" s="41" t="s">
        <v>88</v>
      </c>
    </row>
    <row r="5" customFormat="false" ht="12.75" hidden="false" customHeight="false" outlineLevel="0" collapsed="false">
      <c r="B5" s="41" t="s">
        <v>69</v>
      </c>
      <c r="C5" s="41" t="s">
        <v>69</v>
      </c>
      <c r="D5" s="41" t="s">
        <v>89</v>
      </c>
      <c r="E5" s="41" t="s">
        <v>90</v>
      </c>
      <c r="G5" s="41" t="s">
        <v>91</v>
      </c>
      <c r="H5" s="41" t="s">
        <v>70</v>
      </c>
      <c r="J5" s="41" t="s">
        <v>91</v>
      </c>
      <c r="K5" s="41" t="s">
        <v>70</v>
      </c>
      <c r="M5" s="41" t="s">
        <v>91</v>
      </c>
      <c r="N5" s="41" t="s">
        <v>70</v>
      </c>
      <c r="P5" s="41" t="s">
        <v>91</v>
      </c>
      <c r="Q5" s="41" t="s">
        <v>70</v>
      </c>
      <c r="S5" s="41" t="s">
        <v>85</v>
      </c>
      <c r="T5" s="41" t="s">
        <v>86</v>
      </c>
      <c r="U5" s="41" t="s">
        <v>87</v>
      </c>
      <c r="V5" s="41" t="s">
        <v>88</v>
      </c>
      <c r="X5" s="41" t="s">
        <v>92</v>
      </c>
    </row>
    <row r="6" customFormat="false" ht="12.75" hidden="false" customHeight="false" outlineLevel="0" collapsed="false">
      <c r="B6" s="60" t="s">
        <v>75</v>
      </c>
      <c r="C6" s="60" t="s">
        <v>76</v>
      </c>
      <c r="D6" s="60" t="s">
        <v>75</v>
      </c>
      <c r="E6" s="60" t="s">
        <v>76</v>
      </c>
      <c r="G6" s="60" t="s">
        <v>93</v>
      </c>
      <c r="H6" s="60" t="s">
        <v>93</v>
      </c>
      <c r="J6" s="60" t="s">
        <v>93</v>
      </c>
      <c r="K6" s="60" t="s">
        <v>93</v>
      </c>
      <c r="M6" s="60" t="s">
        <v>93</v>
      </c>
      <c r="N6" s="60" t="s">
        <v>93</v>
      </c>
      <c r="P6" s="60" t="s">
        <v>93</v>
      </c>
      <c r="Q6" s="60" t="s">
        <v>93</v>
      </c>
      <c r="S6" s="60" t="s">
        <v>37</v>
      </c>
      <c r="T6" s="60" t="s">
        <v>37</v>
      </c>
      <c r="U6" s="60" t="s">
        <v>37</v>
      </c>
      <c r="V6" s="60" t="s">
        <v>37</v>
      </c>
      <c r="X6" s="60" t="s">
        <v>94</v>
      </c>
    </row>
    <row r="8" customFormat="false" ht="12.75" hidden="false" customHeight="false" outlineLevel="0" collapsed="false">
      <c r="B8" s="66"/>
      <c r="D8" s="66" t="n">
        <f aca="false">'Point 1 - Transco'!D14</f>
        <v>36888</v>
      </c>
      <c r="E8" s="41"/>
    </row>
    <row r="9" customFormat="false" ht="12.75" hidden="false" customHeight="false" outlineLevel="0" collapsed="false">
      <c r="B9" s="69" t="n">
        <f aca="false">'Point 1 - Transco'!B15</f>
        <v>36861</v>
      </c>
      <c r="C9" s="41" t="n">
        <f aca="false">'Point 1 - Transco'!C15</f>
        <v>31</v>
      </c>
      <c r="D9" s="66" t="n">
        <f aca="false">'Point 1 - Transco'!D15</f>
        <v>36916</v>
      </c>
      <c r="E9" s="41" t="n">
        <f aca="false">'Point 1 - Transco'!F15</f>
        <v>28</v>
      </c>
    </row>
    <row r="10" customFormat="false" ht="12.75" hidden="false" customHeight="false" outlineLevel="0" collapsed="false">
      <c r="B10" s="69" t="n">
        <f aca="false">'Point 1 - Transco'!B16</f>
        <v>36892</v>
      </c>
      <c r="C10" s="41" t="n">
        <f aca="false">'Point 1 - Transco'!C16</f>
        <v>31</v>
      </c>
      <c r="D10" s="66" t="n">
        <f aca="false">'Point 1 - Transco'!D16</f>
        <v>36948</v>
      </c>
      <c r="E10" s="41" t="n">
        <f aca="false">'Point 1 - Transco'!F16</f>
        <v>60</v>
      </c>
      <c r="U10" s="4" t="s">
        <v>95</v>
      </c>
      <c r="X10" s="59" t="n">
        <f aca="false">SUM(X13:X68)</f>
        <v>393578057.071433</v>
      </c>
    </row>
    <row r="11" customFormat="false" ht="12.75" hidden="false" customHeight="false" outlineLevel="0" collapsed="false">
      <c r="B11" s="69" t="n">
        <f aca="false">'Point 1 - Transco'!B17</f>
        <v>36923</v>
      </c>
      <c r="C11" s="41" t="n">
        <f aca="false">'Point 1 - Transco'!C17</f>
        <v>28</v>
      </c>
      <c r="D11" s="66" t="n">
        <f aca="false">'Point 1 - Transco'!D17</f>
        <v>36976</v>
      </c>
      <c r="E11" s="41" t="n">
        <f aca="false">'Point 1 - Transco'!F17</f>
        <v>88</v>
      </c>
    </row>
    <row r="12" customFormat="false" ht="12.75" hidden="false" customHeight="false" outlineLevel="0" collapsed="false">
      <c r="B12" s="69" t="n">
        <f aca="false">'Point 1 - Transco'!B18</f>
        <v>36951</v>
      </c>
      <c r="C12" s="41" t="n">
        <f aca="false">'Point 1 - Transco'!C18</f>
        <v>31</v>
      </c>
      <c r="D12" s="66" t="n">
        <f aca="false">'Point 1 - Transco'!D18</f>
        <v>37006</v>
      </c>
      <c r="E12" s="41" t="n">
        <f aca="false">'Point 1 - Transco'!F18</f>
        <v>118</v>
      </c>
    </row>
    <row r="13" customFormat="false" ht="12.75" hidden="false" customHeight="false" outlineLevel="0" collapsed="false">
      <c r="B13" s="69" t="n">
        <f aca="false">'Point 1 - Transco'!B19</f>
        <v>36982</v>
      </c>
      <c r="C13" s="41" t="n">
        <f aca="false">'Point 1 - Transco'!C19</f>
        <v>30</v>
      </c>
      <c r="D13" s="66" t="n">
        <f aca="false">'Point 1 - Transco'!D19</f>
        <v>37036</v>
      </c>
      <c r="E13" s="41" t="n">
        <f aca="false">'Point 1 - Transco'!F19</f>
        <v>148</v>
      </c>
      <c r="G13" s="59" t="n">
        <f aca="false">'Point 1 - Transco'!Y19</f>
        <v>43200</v>
      </c>
      <c r="H13" s="59" t="n">
        <f aca="false">G13*C13</f>
        <v>1296000</v>
      </c>
      <c r="J13" s="59" t="n">
        <f aca="false">'Point 2 - TGT'!Y19</f>
        <v>0</v>
      </c>
      <c r="K13" s="59" t="n">
        <f aca="false">J13*C13</f>
        <v>0</v>
      </c>
      <c r="M13" s="59" t="n">
        <f aca="false">'Point 3 - ColGulf'!Y19</f>
        <v>0</v>
      </c>
      <c r="N13" s="59" t="n">
        <f aca="false">M13*C13</f>
        <v>0</v>
      </c>
      <c r="P13" s="59" t="n">
        <f aca="false">'Point 4 - Tetco'!Y19</f>
        <v>0</v>
      </c>
      <c r="Q13" s="59" t="n">
        <f aca="false">P13*C13</f>
        <v>0</v>
      </c>
      <c r="S13" s="68" t="n">
        <f aca="false">'Point 1 - Transco'!Z19</f>
        <v>5.34346227152483</v>
      </c>
      <c r="T13" s="68" t="n">
        <f aca="false">'Point 2 - TGT'!Z19</f>
        <v>0</v>
      </c>
      <c r="U13" s="68" t="n">
        <f aca="false">'Point 3 - ColGulf'!Z19</f>
        <v>0</v>
      </c>
      <c r="V13" s="68" t="n">
        <f aca="false">'Point 4 - Tetco'!Z19</f>
        <v>0</v>
      </c>
      <c r="X13" s="59" t="n">
        <f aca="false">(H13*S13)+(K13*T13)+(N13*U13)+(Q13*V13)</f>
        <v>6925127.10389619</v>
      </c>
    </row>
    <row r="14" customFormat="false" ht="12.75" hidden="false" customHeight="false" outlineLevel="0" collapsed="false">
      <c r="B14" s="69" t="n">
        <f aca="false">'Point 1 - Transco'!B20</f>
        <v>37012</v>
      </c>
      <c r="C14" s="41" t="n">
        <f aca="false">'Point 1 - Transco'!C20</f>
        <v>31</v>
      </c>
      <c r="D14" s="66" t="n">
        <f aca="false">'Point 1 - Transco'!D20</f>
        <v>37067</v>
      </c>
      <c r="E14" s="41" t="n">
        <f aca="false">'Point 1 - Transco'!F20</f>
        <v>179</v>
      </c>
      <c r="G14" s="59" t="n">
        <f aca="false">'Point 1 - Transco'!Y20</f>
        <v>43200</v>
      </c>
      <c r="H14" s="59" t="n">
        <f aca="false">G14*C14</f>
        <v>1339200</v>
      </c>
      <c r="J14" s="59" t="n">
        <f aca="false">'Point 2 - TGT'!Y20</f>
        <v>0</v>
      </c>
      <c r="K14" s="59" t="n">
        <f aca="false">J14*C14</f>
        <v>0</v>
      </c>
      <c r="M14" s="59" t="n">
        <f aca="false">'Point 3 - ColGulf'!Y20</f>
        <v>0</v>
      </c>
      <c r="N14" s="59" t="n">
        <f aca="false">M14*C14</f>
        <v>0</v>
      </c>
      <c r="P14" s="59" t="n">
        <f aca="false">'Point 4 - Tetco'!Y20</f>
        <v>0</v>
      </c>
      <c r="Q14" s="59" t="n">
        <f aca="false">P14*C14</f>
        <v>0</v>
      </c>
      <c r="S14" s="68" t="n">
        <f aca="false">'Point 1 - Transco'!Z20</f>
        <v>5.34346227152483</v>
      </c>
      <c r="T14" s="68" t="n">
        <f aca="false">'Point 2 - TGT'!Z20</f>
        <v>0</v>
      </c>
      <c r="U14" s="68" t="n">
        <f aca="false">'Point 3 - ColGulf'!Z20</f>
        <v>0</v>
      </c>
      <c r="V14" s="68" t="n">
        <f aca="false">'Point 4 - Tetco'!Z20</f>
        <v>0</v>
      </c>
      <c r="X14" s="59" t="n">
        <f aca="false">(H14*S14)+(K14*T14)+(N14*U14)+(Q14*V14)</f>
        <v>7155964.67402606</v>
      </c>
    </row>
    <row r="15" customFormat="false" ht="12.75" hidden="false" customHeight="false" outlineLevel="0" collapsed="false">
      <c r="B15" s="69" t="n">
        <f aca="false">'Point 1 - Transco'!B21</f>
        <v>37043</v>
      </c>
      <c r="C15" s="41" t="n">
        <f aca="false">'Point 1 - Transco'!C21</f>
        <v>30</v>
      </c>
      <c r="D15" s="66" t="n">
        <f aca="false">'Point 1 - Transco'!D21</f>
        <v>37097</v>
      </c>
      <c r="E15" s="41" t="n">
        <f aca="false">'Point 1 - Transco'!F21</f>
        <v>209</v>
      </c>
      <c r="G15" s="59" t="n">
        <f aca="false">'Point 1 - Transco'!Y21</f>
        <v>43200</v>
      </c>
      <c r="H15" s="59" t="n">
        <f aca="false">G15*C15</f>
        <v>1296000</v>
      </c>
      <c r="J15" s="59" t="n">
        <f aca="false">'Point 2 - TGT'!Y21</f>
        <v>0</v>
      </c>
      <c r="K15" s="59" t="n">
        <f aca="false">J15*C15</f>
        <v>0</v>
      </c>
      <c r="M15" s="59" t="n">
        <f aca="false">'Point 3 - ColGulf'!Y21</f>
        <v>0</v>
      </c>
      <c r="N15" s="59" t="n">
        <f aca="false">M15*C15</f>
        <v>0</v>
      </c>
      <c r="P15" s="59" t="n">
        <f aca="false">'Point 4 - Tetco'!Y21</f>
        <v>0</v>
      </c>
      <c r="Q15" s="59" t="n">
        <f aca="false">P15*C15</f>
        <v>0</v>
      </c>
      <c r="S15" s="68" t="n">
        <f aca="false">'Point 1 - Transco'!Z21</f>
        <v>5.34346227152483</v>
      </c>
      <c r="T15" s="68" t="n">
        <f aca="false">'Point 2 - TGT'!Z21</f>
        <v>0</v>
      </c>
      <c r="U15" s="68" t="n">
        <f aca="false">'Point 3 - ColGulf'!Z21</f>
        <v>0</v>
      </c>
      <c r="V15" s="68" t="n">
        <f aca="false">'Point 4 - Tetco'!Z21</f>
        <v>0</v>
      </c>
      <c r="X15" s="59" t="n">
        <f aca="false">(H15*S15)+(K15*T15)+(N15*U15)+(Q15*V15)</f>
        <v>6925127.10389619</v>
      </c>
    </row>
    <row r="16" customFormat="false" ht="12.75" hidden="false" customHeight="false" outlineLevel="0" collapsed="false">
      <c r="B16" s="69" t="n">
        <f aca="false">'Point 1 - Transco'!B22</f>
        <v>37073</v>
      </c>
      <c r="C16" s="41" t="n">
        <f aca="false">'Point 1 - Transco'!C22</f>
        <v>31</v>
      </c>
      <c r="D16" s="66" t="n">
        <f aca="false">'Point 1 - Transco'!D22</f>
        <v>37130</v>
      </c>
      <c r="E16" s="41" t="n">
        <f aca="false">'Point 1 - Transco'!F22</f>
        <v>242</v>
      </c>
      <c r="G16" s="59" t="n">
        <f aca="false">'Point 1 - Transco'!Y22</f>
        <v>43200</v>
      </c>
      <c r="H16" s="59" t="n">
        <f aca="false">G16*C16</f>
        <v>1339200</v>
      </c>
      <c r="J16" s="59" t="n">
        <f aca="false">'Point 2 - TGT'!Y22</f>
        <v>0</v>
      </c>
      <c r="K16" s="59" t="n">
        <f aca="false">J16*C16</f>
        <v>0</v>
      </c>
      <c r="M16" s="59" t="n">
        <f aca="false">'Point 3 - ColGulf'!Y22</f>
        <v>0</v>
      </c>
      <c r="N16" s="59" t="n">
        <f aca="false">M16*C16</f>
        <v>0</v>
      </c>
      <c r="P16" s="59" t="n">
        <f aca="false">'Point 4 - Tetco'!Y22</f>
        <v>0</v>
      </c>
      <c r="Q16" s="59" t="n">
        <f aca="false">P16*C16</f>
        <v>0</v>
      </c>
      <c r="S16" s="68" t="n">
        <f aca="false">'Point 1 - Transco'!Z22</f>
        <v>5.34346227152483</v>
      </c>
      <c r="T16" s="68" t="n">
        <f aca="false">'Point 2 - TGT'!Z22</f>
        <v>0</v>
      </c>
      <c r="U16" s="68" t="n">
        <f aca="false">'Point 3 - ColGulf'!Z22</f>
        <v>0</v>
      </c>
      <c r="V16" s="68" t="n">
        <f aca="false">'Point 4 - Tetco'!Z22</f>
        <v>0</v>
      </c>
      <c r="X16" s="59" t="n">
        <f aca="false">(H16*S16)+(K16*T16)+(N16*U16)+(Q16*V16)</f>
        <v>7155964.67402606</v>
      </c>
    </row>
    <row r="17" customFormat="false" ht="12.75" hidden="false" customHeight="false" outlineLevel="0" collapsed="false">
      <c r="B17" s="69" t="n">
        <f aca="false">'Point 1 - Transco'!B23</f>
        <v>37104</v>
      </c>
      <c r="C17" s="41" t="n">
        <f aca="false">'Point 1 - Transco'!C23</f>
        <v>31</v>
      </c>
      <c r="D17" s="66" t="n">
        <f aca="false">'Point 1 - Transco'!D23</f>
        <v>37159</v>
      </c>
      <c r="E17" s="41" t="n">
        <f aca="false">'Point 1 - Transco'!F23</f>
        <v>271</v>
      </c>
      <c r="G17" s="59" t="n">
        <f aca="false">'Point 1 - Transco'!Y23</f>
        <v>43200</v>
      </c>
      <c r="H17" s="59" t="n">
        <f aca="false">G17*C17</f>
        <v>1339200</v>
      </c>
      <c r="J17" s="59" t="n">
        <f aca="false">'Point 2 - TGT'!Y23</f>
        <v>0</v>
      </c>
      <c r="K17" s="59" t="n">
        <f aca="false">J17*C17</f>
        <v>0</v>
      </c>
      <c r="M17" s="59" t="n">
        <f aca="false">'Point 3 - ColGulf'!Y23</f>
        <v>0</v>
      </c>
      <c r="N17" s="59" t="n">
        <f aca="false">M17*C17</f>
        <v>0</v>
      </c>
      <c r="P17" s="59" t="n">
        <f aca="false">'Point 4 - Tetco'!Y23</f>
        <v>0</v>
      </c>
      <c r="Q17" s="59" t="n">
        <f aca="false">P17*C17</f>
        <v>0</v>
      </c>
      <c r="S17" s="68" t="n">
        <f aca="false">'Point 1 - Transco'!Z23</f>
        <v>5.34346227152483</v>
      </c>
      <c r="T17" s="68" t="n">
        <f aca="false">'Point 2 - TGT'!Z23</f>
        <v>0</v>
      </c>
      <c r="U17" s="68" t="n">
        <f aca="false">'Point 3 - ColGulf'!Z23</f>
        <v>0</v>
      </c>
      <c r="V17" s="68" t="n">
        <f aca="false">'Point 4 - Tetco'!Z23</f>
        <v>0</v>
      </c>
      <c r="X17" s="59" t="n">
        <f aca="false">(H17*S17)+(K17*T17)+(N17*U17)+(Q17*V17)</f>
        <v>7155964.67402606</v>
      </c>
    </row>
    <row r="18" customFormat="false" ht="12.75" hidden="false" customHeight="false" outlineLevel="0" collapsed="false">
      <c r="B18" s="69" t="n">
        <f aca="false">'Point 1 - Transco'!B24</f>
        <v>37135</v>
      </c>
      <c r="C18" s="41" t="n">
        <f aca="false">'Point 1 - Transco'!C24</f>
        <v>30</v>
      </c>
      <c r="D18" s="66" t="n">
        <f aca="false">'Point 1 - Transco'!D24</f>
        <v>37189</v>
      </c>
      <c r="E18" s="41" t="n">
        <f aca="false">'Point 1 - Transco'!F24</f>
        <v>301</v>
      </c>
      <c r="G18" s="59" t="n">
        <f aca="false">'Point 1 - Transco'!Y24</f>
        <v>43200</v>
      </c>
      <c r="H18" s="59" t="n">
        <f aca="false">G18*C18</f>
        <v>1296000</v>
      </c>
      <c r="J18" s="59" t="n">
        <f aca="false">'Point 2 - TGT'!Y24</f>
        <v>0</v>
      </c>
      <c r="K18" s="59" t="n">
        <f aca="false">J18*C18</f>
        <v>0</v>
      </c>
      <c r="M18" s="59" t="n">
        <f aca="false">'Point 3 - ColGulf'!Y24</f>
        <v>0</v>
      </c>
      <c r="N18" s="59" t="n">
        <f aca="false">M18*C18</f>
        <v>0</v>
      </c>
      <c r="P18" s="59" t="n">
        <f aca="false">'Point 4 - Tetco'!Y24</f>
        <v>0</v>
      </c>
      <c r="Q18" s="59" t="n">
        <f aca="false">P18*C18</f>
        <v>0</v>
      </c>
      <c r="S18" s="68" t="n">
        <f aca="false">'Point 1 - Transco'!Z24</f>
        <v>5.34346227152483</v>
      </c>
      <c r="T18" s="68" t="n">
        <f aca="false">'Point 2 - TGT'!Z24</f>
        <v>0</v>
      </c>
      <c r="U18" s="68" t="n">
        <f aca="false">'Point 3 - ColGulf'!Z24</f>
        <v>0</v>
      </c>
      <c r="V18" s="68" t="n">
        <f aca="false">'Point 4 - Tetco'!Z24</f>
        <v>0</v>
      </c>
      <c r="X18" s="59" t="n">
        <f aca="false">(H18*S18)+(K18*T18)+(N18*U18)+(Q18*V18)</f>
        <v>6925127.10389619</v>
      </c>
    </row>
    <row r="19" customFormat="false" ht="12.75" hidden="false" customHeight="false" outlineLevel="0" collapsed="false">
      <c r="B19" s="69" t="n">
        <f aca="false">'Point 1 - Transco'!B25</f>
        <v>37165</v>
      </c>
      <c r="C19" s="41" t="n">
        <f aca="false">'Point 1 - Transco'!C25</f>
        <v>31</v>
      </c>
      <c r="D19" s="66" t="n">
        <f aca="false">'Point 1 - Transco'!D25</f>
        <v>37221</v>
      </c>
      <c r="E19" s="41" t="n">
        <f aca="false">'Point 1 - Transco'!F25</f>
        <v>333</v>
      </c>
      <c r="G19" s="59" t="n">
        <f aca="false">'Point 1 - Transco'!Y25</f>
        <v>43200</v>
      </c>
      <c r="H19" s="59" t="n">
        <f aca="false">G19*C19</f>
        <v>1339200</v>
      </c>
      <c r="J19" s="59" t="n">
        <f aca="false">'Point 2 - TGT'!Y25</f>
        <v>0</v>
      </c>
      <c r="K19" s="59" t="n">
        <f aca="false">J19*C19</f>
        <v>0</v>
      </c>
      <c r="M19" s="59" t="n">
        <f aca="false">'Point 3 - ColGulf'!Y25</f>
        <v>0</v>
      </c>
      <c r="N19" s="59" t="n">
        <f aca="false">M19*C19</f>
        <v>0</v>
      </c>
      <c r="P19" s="59" t="n">
        <f aca="false">'Point 4 - Tetco'!Y25</f>
        <v>0</v>
      </c>
      <c r="Q19" s="59" t="n">
        <f aca="false">P19*C19</f>
        <v>0</v>
      </c>
      <c r="S19" s="68" t="n">
        <f aca="false">'Point 1 - Transco'!Z25</f>
        <v>5.34346227152483</v>
      </c>
      <c r="T19" s="68" t="n">
        <f aca="false">'Point 2 - TGT'!Z25</f>
        <v>0</v>
      </c>
      <c r="U19" s="68" t="n">
        <f aca="false">'Point 3 - ColGulf'!Z25</f>
        <v>0</v>
      </c>
      <c r="V19" s="68" t="n">
        <f aca="false">'Point 4 - Tetco'!Z25</f>
        <v>0</v>
      </c>
      <c r="X19" s="59" t="n">
        <f aca="false">(H19*S19)+(K19*T19)+(N19*U19)+(Q19*V19)</f>
        <v>7155964.67402606</v>
      </c>
    </row>
    <row r="20" customFormat="false" ht="12.75" hidden="false" customHeight="false" outlineLevel="0" collapsed="false">
      <c r="B20" s="69" t="n">
        <f aca="false">'Point 1 - Transco'!B26</f>
        <v>37196</v>
      </c>
      <c r="C20" s="41" t="n">
        <f aca="false">'Point 1 - Transco'!C26</f>
        <v>30</v>
      </c>
      <c r="D20" s="66" t="n">
        <f aca="false">'Point 1 - Transco'!D26</f>
        <v>37250</v>
      </c>
      <c r="E20" s="41" t="n">
        <f aca="false">'Point 1 - Transco'!F26</f>
        <v>362</v>
      </c>
      <c r="G20" s="59" t="n">
        <f aca="false">'Point 1 - Transco'!Y26</f>
        <v>43200</v>
      </c>
      <c r="H20" s="59" t="n">
        <f aca="false">G20*C20</f>
        <v>1296000</v>
      </c>
      <c r="J20" s="59" t="n">
        <f aca="false">'Point 2 - TGT'!Y26</f>
        <v>0</v>
      </c>
      <c r="K20" s="59" t="n">
        <f aca="false">J20*C20</f>
        <v>0</v>
      </c>
      <c r="M20" s="59" t="n">
        <f aca="false">'Point 3 - ColGulf'!Y26</f>
        <v>0</v>
      </c>
      <c r="N20" s="59" t="n">
        <f aca="false">M20*C20</f>
        <v>0</v>
      </c>
      <c r="P20" s="59" t="n">
        <f aca="false">'Point 4 - Tetco'!Y26</f>
        <v>0</v>
      </c>
      <c r="Q20" s="59" t="n">
        <f aca="false">P20*C20</f>
        <v>0</v>
      </c>
      <c r="S20" s="68" t="n">
        <f aca="false">'Point 1 - Transco'!Z26</f>
        <v>5.34346227152483</v>
      </c>
      <c r="T20" s="68" t="n">
        <f aca="false">'Point 2 - TGT'!Z26</f>
        <v>0</v>
      </c>
      <c r="U20" s="68" t="n">
        <f aca="false">'Point 3 - ColGulf'!Z26</f>
        <v>0</v>
      </c>
      <c r="V20" s="68" t="n">
        <f aca="false">'Point 4 - Tetco'!Z26</f>
        <v>0</v>
      </c>
      <c r="X20" s="59" t="n">
        <f aca="false">(H20*S20)+(K20*T20)+(N20*U20)+(Q20*V20)</f>
        <v>6925127.10389619</v>
      </c>
    </row>
    <row r="21" customFormat="false" ht="12.75" hidden="false" customHeight="false" outlineLevel="0" collapsed="false">
      <c r="B21" s="69" t="n">
        <f aca="false">'Point 1 - Transco'!B27</f>
        <v>37226</v>
      </c>
      <c r="C21" s="41" t="n">
        <f aca="false">'Point 1 - Transco'!C27</f>
        <v>31</v>
      </c>
      <c r="D21" s="66" t="n">
        <f aca="false">'Point 1 - Transco'!D27</f>
        <v>37281</v>
      </c>
      <c r="E21" s="41" t="n">
        <f aca="false">'Point 1 - Transco'!F27</f>
        <v>393</v>
      </c>
      <c r="G21" s="59" t="n">
        <f aca="false">'Point 1 - Transco'!Y27</f>
        <v>43200</v>
      </c>
      <c r="H21" s="59" t="n">
        <f aca="false">G21*C21</f>
        <v>1339200</v>
      </c>
      <c r="J21" s="59" t="n">
        <f aca="false">'Point 2 - TGT'!Y27</f>
        <v>0</v>
      </c>
      <c r="K21" s="59" t="n">
        <f aca="false">J21*C21</f>
        <v>0</v>
      </c>
      <c r="M21" s="59" t="n">
        <f aca="false">'Point 3 - ColGulf'!Y27</f>
        <v>0</v>
      </c>
      <c r="N21" s="59" t="n">
        <f aca="false">M21*C21</f>
        <v>0</v>
      </c>
      <c r="P21" s="59" t="n">
        <f aca="false">'Point 4 - Tetco'!Y27</f>
        <v>0</v>
      </c>
      <c r="Q21" s="59" t="n">
        <f aca="false">P21*C21</f>
        <v>0</v>
      </c>
      <c r="S21" s="68" t="n">
        <f aca="false">'Point 1 - Transco'!Z27</f>
        <v>5.34346227152483</v>
      </c>
      <c r="T21" s="68" t="n">
        <f aca="false">'Point 2 - TGT'!Z27</f>
        <v>0</v>
      </c>
      <c r="U21" s="68" t="n">
        <f aca="false">'Point 3 - ColGulf'!Z27</f>
        <v>0</v>
      </c>
      <c r="V21" s="68" t="n">
        <f aca="false">'Point 4 - Tetco'!Z27</f>
        <v>0</v>
      </c>
      <c r="X21" s="59" t="n">
        <f aca="false">(H21*S21)+(K21*T21)+(N21*U21)+(Q21*V21)</f>
        <v>7155964.67402606</v>
      </c>
    </row>
    <row r="22" customFormat="false" ht="12.75" hidden="false" customHeight="false" outlineLevel="0" collapsed="false">
      <c r="B22" s="69" t="n">
        <f aca="false">'Point 1 - Transco'!B28</f>
        <v>37257</v>
      </c>
      <c r="C22" s="41" t="n">
        <f aca="false">'Point 1 - Transco'!C28</f>
        <v>31</v>
      </c>
      <c r="D22" s="66" t="n">
        <f aca="false">'Point 1 - Transco'!D28</f>
        <v>37312</v>
      </c>
      <c r="E22" s="41" t="n">
        <f aca="false">'Point 1 - Transco'!F28</f>
        <v>424</v>
      </c>
      <c r="G22" s="59" t="n">
        <f aca="false">'Point 1 - Transco'!Y28</f>
        <v>43200</v>
      </c>
      <c r="H22" s="59" t="n">
        <f aca="false">G22*C22</f>
        <v>1339200</v>
      </c>
      <c r="J22" s="59" t="n">
        <f aca="false">'Point 2 - TGT'!Y28</f>
        <v>0</v>
      </c>
      <c r="K22" s="59" t="n">
        <f aca="false">J22*C22</f>
        <v>0</v>
      </c>
      <c r="M22" s="59" t="n">
        <f aca="false">'Point 3 - ColGulf'!Y28</f>
        <v>0</v>
      </c>
      <c r="N22" s="59" t="n">
        <f aca="false">M22*C22</f>
        <v>0</v>
      </c>
      <c r="P22" s="59" t="n">
        <f aca="false">'Point 4 - Tetco'!Y28</f>
        <v>0</v>
      </c>
      <c r="Q22" s="59" t="n">
        <f aca="false">P22*C22</f>
        <v>0</v>
      </c>
      <c r="S22" s="68" t="n">
        <f aca="false">'Point 1 - Transco'!Z28</f>
        <v>5.34346227152483</v>
      </c>
      <c r="T22" s="68" t="n">
        <f aca="false">'Point 2 - TGT'!Z28</f>
        <v>0</v>
      </c>
      <c r="U22" s="68" t="n">
        <f aca="false">'Point 3 - ColGulf'!Z28</f>
        <v>0</v>
      </c>
      <c r="V22" s="68" t="n">
        <f aca="false">'Point 4 - Tetco'!Z28</f>
        <v>0</v>
      </c>
      <c r="X22" s="59" t="n">
        <f aca="false">(H22*S22)+(K22*T22)+(N22*U22)+(Q22*V22)</f>
        <v>7155964.67402606</v>
      </c>
    </row>
    <row r="23" customFormat="false" ht="12.75" hidden="false" customHeight="false" outlineLevel="0" collapsed="false">
      <c r="B23" s="69" t="n">
        <f aca="false">'Point 1 - Transco'!B29</f>
        <v>37288</v>
      </c>
      <c r="C23" s="41" t="n">
        <f aca="false">'Point 1 - Transco'!C29</f>
        <v>28</v>
      </c>
      <c r="D23" s="66" t="n">
        <f aca="false">'Point 1 - Transco'!D29</f>
        <v>37340</v>
      </c>
      <c r="E23" s="41" t="n">
        <f aca="false">'Point 1 - Transco'!F29</f>
        <v>452</v>
      </c>
      <c r="G23" s="59" t="n">
        <f aca="false">'Point 1 - Transco'!Y29</f>
        <v>43200</v>
      </c>
      <c r="H23" s="59" t="n">
        <f aca="false">G23*C23</f>
        <v>1209600</v>
      </c>
      <c r="J23" s="59" t="n">
        <f aca="false">'Point 2 - TGT'!Y29</f>
        <v>0</v>
      </c>
      <c r="K23" s="59" t="n">
        <f aca="false">J23*C23</f>
        <v>0</v>
      </c>
      <c r="M23" s="59" t="n">
        <f aca="false">'Point 3 - ColGulf'!Y29</f>
        <v>0</v>
      </c>
      <c r="N23" s="59" t="n">
        <f aca="false">M23*C23</f>
        <v>0</v>
      </c>
      <c r="P23" s="59" t="n">
        <f aca="false">'Point 4 - Tetco'!Y29</f>
        <v>0</v>
      </c>
      <c r="Q23" s="59" t="n">
        <f aca="false">P23*C23</f>
        <v>0</v>
      </c>
      <c r="S23" s="68" t="n">
        <f aca="false">'Point 1 - Transco'!Z29</f>
        <v>5.34346227152483</v>
      </c>
      <c r="T23" s="68" t="n">
        <f aca="false">'Point 2 - TGT'!Z29</f>
        <v>0</v>
      </c>
      <c r="U23" s="68" t="n">
        <f aca="false">'Point 3 - ColGulf'!Z29</f>
        <v>0</v>
      </c>
      <c r="V23" s="68" t="n">
        <f aca="false">'Point 4 - Tetco'!Z29</f>
        <v>0</v>
      </c>
      <c r="X23" s="59" t="n">
        <f aca="false">(H23*S23)+(K23*T23)+(N23*U23)+(Q23*V23)</f>
        <v>6463451.96363644</v>
      </c>
    </row>
    <row r="24" customFormat="false" ht="12.75" hidden="false" customHeight="false" outlineLevel="0" collapsed="false">
      <c r="B24" s="69" t="n">
        <f aca="false">'Point 1 - Transco'!B30</f>
        <v>37316</v>
      </c>
      <c r="C24" s="41" t="n">
        <f aca="false">'Point 1 - Transco'!C30</f>
        <v>31</v>
      </c>
      <c r="D24" s="66" t="n">
        <f aca="false">'Point 1 - Transco'!D30</f>
        <v>37371</v>
      </c>
      <c r="E24" s="41" t="n">
        <f aca="false">'Point 1 - Transco'!F30</f>
        <v>483</v>
      </c>
      <c r="G24" s="59" t="n">
        <f aca="false">'Point 1 - Transco'!Y30</f>
        <v>43200</v>
      </c>
      <c r="H24" s="59" t="n">
        <f aca="false">G24*C24</f>
        <v>1339200</v>
      </c>
      <c r="J24" s="59" t="n">
        <f aca="false">'Point 2 - TGT'!Y30</f>
        <v>0</v>
      </c>
      <c r="K24" s="59" t="n">
        <f aca="false">J24*C24</f>
        <v>0</v>
      </c>
      <c r="M24" s="59" t="n">
        <f aca="false">'Point 3 - ColGulf'!Y30</f>
        <v>0</v>
      </c>
      <c r="N24" s="59" t="n">
        <f aca="false">M24*C24</f>
        <v>0</v>
      </c>
      <c r="P24" s="59" t="n">
        <f aca="false">'Point 4 - Tetco'!Y30</f>
        <v>0</v>
      </c>
      <c r="Q24" s="59" t="n">
        <f aca="false">P24*C24</f>
        <v>0</v>
      </c>
      <c r="S24" s="68" t="n">
        <f aca="false">'Point 1 - Transco'!Z30</f>
        <v>5.34346227152483</v>
      </c>
      <c r="T24" s="68" t="n">
        <f aca="false">'Point 2 - TGT'!Z30</f>
        <v>0</v>
      </c>
      <c r="U24" s="68" t="n">
        <f aca="false">'Point 3 - ColGulf'!Z30</f>
        <v>0</v>
      </c>
      <c r="V24" s="68" t="n">
        <f aca="false">'Point 4 - Tetco'!Z30</f>
        <v>0</v>
      </c>
      <c r="X24" s="59" t="n">
        <f aca="false">(H24*S24)+(K24*T24)+(N24*U24)+(Q24*V24)</f>
        <v>7155964.67402606</v>
      </c>
    </row>
    <row r="25" customFormat="false" ht="12.75" hidden="false" customHeight="false" outlineLevel="0" collapsed="false">
      <c r="B25" s="69" t="n">
        <f aca="false">'Point 1 - Transco'!B31</f>
        <v>37347</v>
      </c>
      <c r="C25" s="41" t="n">
        <f aca="false">'Point 1 - Transco'!C31</f>
        <v>30</v>
      </c>
      <c r="D25" s="66" t="n">
        <f aca="false">'Point 1 - Transco'!D31</f>
        <v>37403</v>
      </c>
      <c r="E25" s="41" t="n">
        <f aca="false">'Point 1 - Transco'!F31</f>
        <v>515</v>
      </c>
      <c r="G25" s="59" t="n">
        <f aca="false">'Point 1 - Transco'!Y31</f>
        <v>54200</v>
      </c>
      <c r="H25" s="59" t="n">
        <f aca="false">G25*C25</f>
        <v>1626000</v>
      </c>
      <c r="J25" s="59" t="n">
        <f aca="false">'Point 2 - TGT'!Y31</f>
        <v>0</v>
      </c>
      <c r="K25" s="59" t="n">
        <f aca="false">J25*C25</f>
        <v>0</v>
      </c>
      <c r="M25" s="59" t="n">
        <f aca="false">'Point 3 - ColGulf'!Y31</f>
        <v>0</v>
      </c>
      <c r="N25" s="59" t="n">
        <f aca="false">M25*C25</f>
        <v>0</v>
      </c>
      <c r="P25" s="59" t="n">
        <f aca="false">'Point 4 - Tetco'!Y31</f>
        <v>0</v>
      </c>
      <c r="Q25" s="59" t="n">
        <f aca="false">P25*C25</f>
        <v>0</v>
      </c>
      <c r="S25" s="68" t="n">
        <f aca="false">'Point 1 - Transco'!Z31</f>
        <v>4.25899575885374</v>
      </c>
      <c r="T25" s="68" t="n">
        <f aca="false">'Point 2 - TGT'!Z31</f>
        <v>0</v>
      </c>
      <c r="U25" s="68" t="n">
        <f aca="false">'Point 3 - ColGulf'!Z31</f>
        <v>0</v>
      </c>
      <c r="V25" s="68" t="n">
        <f aca="false">'Point 4 - Tetco'!Z31</f>
        <v>0</v>
      </c>
      <c r="X25" s="59" t="n">
        <f aca="false">(H25*S25)+(K25*T25)+(N25*U25)+(Q25*V25)</f>
        <v>6925127.10389619</v>
      </c>
    </row>
    <row r="26" customFormat="false" ht="12.75" hidden="false" customHeight="false" outlineLevel="0" collapsed="false">
      <c r="B26" s="69" t="n">
        <f aca="false">'Point 1 - Transco'!B32</f>
        <v>37377</v>
      </c>
      <c r="C26" s="41" t="n">
        <f aca="false">'Point 1 - Transco'!C32</f>
        <v>31</v>
      </c>
      <c r="D26" s="66" t="n">
        <f aca="false">'Point 1 - Transco'!D32</f>
        <v>37432</v>
      </c>
      <c r="E26" s="41" t="n">
        <f aca="false">'Point 1 - Transco'!F32</f>
        <v>544</v>
      </c>
      <c r="G26" s="59" t="n">
        <f aca="false">'Point 1 - Transco'!Y32</f>
        <v>54200</v>
      </c>
      <c r="H26" s="59" t="n">
        <f aca="false">G26*C26</f>
        <v>1680200</v>
      </c>
      <c r="J26" s="59" t="n">
        <f aca="false">'Point 2 - TGT'!Y32</f>
        <v>0</v>
      </c>
      <c r="K26" s="59" t="n">
        <f aca="false">J26*C26</f>
        <v>0</v>
      </c>
      <c r="M26" s="59" t="n">
        <f aca="false">'Point 3 - ColGulf'!Y32</f>
        <v>0</v>
      </c>
      <c r="N26" s="59" t="n">
        <f aca="false">M26*C26</f>
        <v>0</v>
      </c>
      <c r="P26" s="59" t="n">
        <f aca="false">'Point 4 - Tetco'!Y32</f>
        <v>0</v>
      </c>
      <c r="Q26" s="59" t="n">
        <f aca="false">P26*C26</f>
        <v>0</v>
      </c>
      <c r="S26" s="68" t="n">
        <f aca="false">'Point 1 - Transco'!Z32</f>
        <v>4.25899575885374</v>
      </c>
      <c r="T26" s="68" t="n">
        <f aca="false">'Point 2 - TGT'!Z32</f>
        <v>0</v>
      </c>
      <c r="U26" s="68" t="n">
        <f aca="false">'Point 3 - ColGulf'!Z32</f>
        <v>0</v>
      </c>
      <c r="V26" s="68" t="n">
        <f aca="false">'Point 4 - Tetco'!Z32</f>
        <v>0</v>
      </c>
      <c r="X26" s="59" t="n">
        <f aca="false">(H26*S26)+(K26*T26)+(N26*U26)+(Q26*V26)</f>
        <v>7155964.67402606</v>
      </c>
    </row>
    <row r="27" customFormat="false" ht="12.75" hidden="false" customHeight="false" outlineLevel="0" collapsed="false">
      <c r="B27" s="69" t="n">
        <f aca="false">'Point 1 - Transco'!B33</f>
        <v>37408</v>
      </c>
      <c r="C27" s="41" t="n">
        <f aca="false">'Point 1 - Transco'!C33</f>
        <v>30</v>
      </c>
      <c r="D27" s="66" t="n">
        <f aca="false">'Point 1 - Transco'!D33</f>
        <v>37462</v>
      </c>
      <c r="E27" s="41" t="n">
        <f aca="false">'Point 1 - Transco'!F33</f>
        <v>574</v>
      </c>
      <c r="G27" s="59" t="n">
        <f aca="false">'Point 1 - Transco'!Y33</f>
        <v>54200</v>
      </c>
      <c r="H27" s="59" t="n">
        <f aca="false">G27*C27</f>
        <v>1626000</v>
      </c>
      <c r="J27" s="59" t="n">
        <f aca="false">'Point 2 - TGT'!Y33</f>
        <v>0</v>
      </c>
      <c r="K27" s="59" t="n">
        <f aca="false">J27*C27</f>
        <v>0</v>
      </c>
      <c r="M27" s="59" t="n">
        <f aca="false">'Point 3 - ColGulf'!Y33</f>
        <v>0</v>
      </c>
      <c r="N27" s="59" t="n">
        <f aca="false">M27*C27</f>
        <v>0</v>
      </c>
      <c r="P27" s="59" t="n">
        <f aca="false">'Point 4 - Tetco'!Y33</f>
        <v>0</v>
      </c>
      <c r="Q27" s="59" t="n">
        <f aca="false">P27*C27</f>
        <v>0</v>
      </c>
      <c r="S27" s="68" t="n">
        <f aca="false">'Point 1 - Transco'!Z33</f>
        <v>4.25899575885374</v>
      </c>
      <c r="T27" s="68" t="n">
        <f aca="false">'Point 2 - TGT'!Z33</f>
        <v>0</v>
      </c>
      <c r="U27" s="68" t="n">
        <f aca="false">'Point 3 - ColGulf'!Z33</f>
        <v>0</v>
      </c>
      <c r="V27" s="68" t="n">
        <f aca="false">'Point 4 - Tetco'!Z33</f>
        <v>0</v>
      </c>
      <c r="X27" s="59" t="n">
        <f aca="false">(H27*S27)+(K27*T27)+(N27*U27)+(Q27*V27)</f>
        <v>6925127.10389619</v>
      </c>
    </row>
    <row r="28" customFormat="false" ht="12.75" hidden="false" customHeight="false" outlineLevel="0" collapsed="false">
      <c r="B28" s="69" t="n">
        <f aca="false">'Point 1 - Transco'!B34</f>
        <v>37438</v>
      </c>
      <c r="C28" s="41" t="n">
        <f aca="false">'Point 1 - Transco'!C34</f>
        <v>31</v>
      </c>
      <c r="D28" s="66" t="n">
        <f aca="false">'Point 1 - Transco'!D34</f>
        <v>37494</v>
      </c>
      <c r="E28" s="41" t="n">
        <f aca="false">'Point 1 - Transco'!F34</f>
        <v>606</v>
      </c>
      <c r="G28" s="59" t="n">
        <f aca="false">'Point 1 - Transco'!Y34</f>
        <v>54200</v>
      </c>
      <c r="H28" s="59" t="n">
        <f aca="false">G28*C28</f>
        <v>1680200</v>
      </c>
      <c r="J28" s="59" t="n">
        <f aca="false">'Point 2 - TGT'!Y34</f>
        <v>0</v>
      </c>
      <c r="K28" s="59" t="n">
        <f aca="false">J28*C28</f>
        <v>0</v>
      </c>
      <c r="M28" s="59" t="n">
        <f aca="false">'Point 3 - ColGulf'!Y34</f>
        <v>0</v>
      </c>
      <c r="N28" s="59" t="n">
        <f aca="false">M28*C28</f>
        <v>0</v>
      </c>
      <c r="P28" s="59" t="n">
        <f aca="false">'Point 4 - Tetco'!Y34</f>
        <v>0</v>
      </c>
      <c r="Q28" s="59" t="n">
        <f aca="false">P28*C28</f>
        <v>0</v>
      </c>
      <c r="S28" s="68" t="n">
        <f aca="false">'Point 1 - Transco'!Z34</f>
        <v>4.25899575885374</v>
      </c>
      <c r="T28" s="68" t="n">
        <f aca="false">'Point 2 - TGT'!Z34</f>
        <v>0</v>
      </c>
      <c r="U28" s="68" t="n">
        <f aca="false">'Point 3 - ColGulf'!Z34</f>
        <v>0</v>
      </c>
      <c r="V28" s="68" t="n">
        <f aca="false">'Point 4 - Tetco'!Z34</f>
        <v>0</v>
      </c>
      <c r="X28" s="59" t="n">
        <f aca="false">(H28*S28)+(K28*T28)+(N28*U28)+(Q28*V28)</f>
        <v>7155964.67402606</v>
      </c>
    </row>
    <row r="29" customFormat="false" ht="12.75" hidden="false" customHeight="false" outlineLevel="0" collapsed="false">
      <c r="B29" s="69" t="n">
        <f aca="false">'Point 1 - Transco'!B35</f>
        <v>37469</v>
      </c>
      <c r="C29" s="41" t="n">
        <f aca="false">'Point 1 - Transco'!C35</f>
        <v>31</v>
      </c>
      <c r="D29" s="66" t="n">
        <f aca="false">'Point 1 - Transco'!D35</f>
        <v>37524</v>
      </c>
      <c r="E29" s="41" t="n">
        <f aca="false">'Point 1 - Transco'!F35</f>
        <v>636</v>
      </c>
      <c r="G29" s="59" t="n">
        <f aca="false">'Point 1 - Transco'!Y35</f>
        <v>54200</v>
      </c>
      <c r="H29" s="59" t="n">
        <f aca="false">G29*C29</f>
        <v>1680200</v>
      </c>
      <c r="J29" s="59" t="n">
        <f aca="false">'Point 2 - TGT'!Y35</f>
        <v>0</v>
      </c>
      <c r="K29" s="59" t="n">
        <f aca="false">J29*C29</f>
        <v>0</v>
      </c>
      <c r="M29" s="59" t="n">
        <f aca="false">'Point 3 - ColGulf'!Y35</f>
        <v>0</v>
      </c>
      <c r="N29" s="59" t="n">
        <f aca="false">M29*C29</f>
        <v>0</v>
      </c>
      <c r="P29" s="59" t="n">
        <f aca="false">'Point 4 - Tetco'!Y35</f>
        <v>0</v>
      </c>
      <c r="Q29" s="59" t="n">
        <f aca="false">P29*C29</f>
        <v>0</v>
      </c>
      <c r="S29" s="68" t="n">
        <f aca="false">'Point 1 - Transco'!Z35</f>
        <v>4.25899575885374</v>
      </c>
      <c r="T29" s="68" t="n">
        <f aca="false">'Point 2 - TGT'!Z35</f>
        <v>0</v>
      </c>
      <c r="U29" s="68" t="n">
        <f aca="false">'Point 3 - ColGulf'!Z35</f>
        <v>0</v>
      </c>
      <c r="V29" s="68" t="n">
        <f aca="false">'Point 4 - Tetco'!Z35</f>
        <v>0</v>
      </c>
      <c r="X29" s="59" t="n">
        <f aca="false">(H29*S29)+(K29*T29)+(N29*U29)+(Q29*V29)</f>
        <v>7155964.67402606</v>
      </c>
    </row>
    <row r="30" customFormat="false" ht="12.75" hidden="false" customHeight="false" outlineLevel="0" collapsed="false">
      <c r="B30" s="69" t="n">
        <f aca="false">'Point 1 - Transco'!B36</f>
        <v>37500</v>
      </c>
      <c r="C30" s="41" t="n">
        <f aca="false">'Point 1 - Transco'!C36</f>
        <v>30</v>
      </c>
      <c r="D30" s="66" t="n">
        <f aca="false">'Point 1 - Transco'!D36</f>
        <v>37554</v>
      </c>
      <c r="E30" s="41" t="n">
        <f aca="false">'Point 1 - Transco'!F36</f>
        <v>666</v>
      </c>
      <c r="G30" s="59" t="n">
        <f aca="false">'Point 1 - Transco'!Y36</f>
        <v>54200</v>
      </c>
      <c r="H30" s="59" t="n">
        <f aca="false">G30*C30</f>
        <v>1626000</v>
      </c>
      <c r="J30" s="59" t="n">
        <f aca="false">'Point 2 - TGT'!Y36</f>
        <v>0</v>
      </c>
      <c r="K30" s="59" t="n">
        <f aca="false">J30*C30</f>
        <v>0</v>
      </c>
      <c r="M30" s="59" t="n">
        <f aca="false">'Point 3 - ColGulf'!Y36</f>
        <v>0</v>
      </c>
      <c r="N30" s="59" t="n">
        <f aca="false">M30*C30</f>
        <v>0</v>
      </c>
      <c r="P30" s="59" t="n">
        <f aca="false">'Point 4 - Tetco'!Y36</f>
        <v>0</v>
      </c>
      <c r="Q30" s="59" t="n">
        <f aca="false">P30*C30</f>
        <v>0</v>
      </c>
      <c r="S30" s="68" t="n">
        <f aca="false">'Point 1 - Transco'!Z36</f>
        <v>4.25899575885374</v>
      </c>
      <c r="T30" s="68" t="n">
        <f aca="false">'Point 2 - TGT'!Z36</f>
        <v>0</v>
      </c>
      <c r="U30" s="68" t="n">
        <f aca="false">'Point 3 - ColGulf'!Z36</f>
        <v>0</v>
      </c>
      <c r="V30" s="68" t="n">
        <f aca="false">'Point 4 - Tetco'!Z36</f>
        <v>0</v>
      </c>
      <c r="X30" s="59" t="n">
        <f aca="false">(H30*S30)+(K30*T30)+(N30*U30)+(Q30*V30)</f>
        <v>6925127.10389619</v>
      </c>
    </row>
    <row r="31" customFormat="false" ht="12.75" hidden="false" customHeight="false" outlineLevel="0" collapsed="false">
      <c r="B31" s="69" t="n">
        <f aca="false">'Point 1 - Transco'!B37</f>
        <v>37530</v>
      </c>
      <c r="C31" s="41" t="n">
        <f aca="false">'Point 1 - Transco'!C37</f>
        <v>31</v>
      </c>
      <c r="D31" s="66" t="n">
        <f aca="false">'Point 1 - Transco'!D37</f>
        <v>37585</v>
      </c>
      <c r="E31" s="41" t="n">
        <f aca="false">'Point 1 - Transco'!F37</f>
        <v>697</v>
      </c>
      <c r="G31" s="59" t="n">
        <f aca="false">'Point 1 - Transco'!Y37</f>
        <v>54200</v>
      </c>
      <c r="H31" s="59" t="n">
        <f aca="false">G31*C31</f>
        <v>1680200</v>
      </c>
      <c r="J31" s="59" t="n">
        <f aca="false">'Point 2 - TGT'!Y37</f>
        <v>0</v>
      </c>
      <c r="K31" s="59" t="n">
        <f aca="false">J31*C31</f>
        <v>0</v>
      </c>
      <c r="M31" s="59" t="n">
        <f aca="false">'Point 3 - ColGulf'!Y37</f>
        <v>0</v>
      </c>
      <c r="N31" s="59" t="n">
        <f aca="false">M31*C31</f>
        <v>0</v>
      </c>
      <c r="P31" s="59" t="n">
        <f aca="false">'Point 4 - Tetco'!Y37</f>
        <v>0</v>
      </c>
      <c r="Q31" s="59" t="n">
        <f aca="false">P31*C31</f>
        <v>0</v>
      </c>
      <c r="S31" s="68" t="n">
        <f aca="false">'Point 1 - Transco'!Z37</f>
        <v>4.25899575885374</v>
      </c>
      <c r="T31" s="68" t="n">
        <f aca="false">'Point 2 - TGT'!Z37</f>
        <v>0</v>
      </c>
      <c r="U31" s="68" t="n">
        <f aca="false">'Point 3 - ColGulf'!Z37</f>
        <v>0</v>
      </c>
      <c r="V31" s="68" t="n">
        <f aca="false">'Point 4 - Tetco'!Z37</f>
        <v>0</v>
      </c>
      <c r="X31" s="59" t="n">
        <f aca="false">(H31*S31)+(K31*T31)+(N31*U31)+(Q31*V31)</f>
        <v>7155964.67402606</v>
      </c>
    </row>
    <row r="32" customFormat="false" ht="12.75" hidden="false" customHeight="false" outlineLevel="0" collapsed="false">
      <c r="B32" s="69" t="n">
        <f aca="false">'Point 1 - Transco'!B38</f>
        <v>37561</v>
      </c>
      <c r="C32" s="41" t="n">
        <f aca="false">'Point 1 - Transco'!C38</f>
        <v>30</v>
      </c>
      <c r="D32" s="66" t="n">
        <f aca="false">'Point 1 - Transco'!D38</f>
        <v>37615</v>
      </c>
      <c r="E32" s="41" t="n">
        <f aca="false">'Point 1 - Transco'!F38</f>
        <v>727</v>
      </c>
      <c r="G32" s="59" t="n">
        <f aca="false">'Point 1 - Transco'!Y38</f>
        <v>54200</v>
      </c>
      <c r="H32" s="59" t="n">
        <f aca="false">G32*C32</f>
        <v>1626000</v>
      </c>
      <c r="J32" s="59" t="n">
        <f aca="false">'Point 2 - TGT'!Y38</f>
        <v>0</v>
      </c>
      <c r="K32" s="59" t="n">
        <f aca="false">J32*C32</f>
        <v>0</v>
      </c>
      <c r="M32" s="59" t="n">
        <f aca="false">'Point 3 - ColGulf'!Y38</f>
        <v>0</v>
      </c>
      <c r="N32" s="59" t="n">
        <f aca="false">M32*C32</f>
        <v>0</v>
      </c>
      <c r="P32" s="59" t="n">
        <f aca="false">'Point 4 - Tetco'!Y38</f>
        <v>0</v>
      </c>
      <c r="Q32" s="59" t="n">
        <f aca="false">P32*C32</f>
        <v>0</v>
      </c>
      <c r="S32" s="68" t="n">
        <f aca="false">'Point 1 - Transco'!Z38</f>
        <v>4.25899575885374</v>
      </c>
      <c r="T32" s="68" t="n">
        <f aca="false">'Point 2 - TGT'!Z38</f>
        <v>0</v>
      </c>
      <c r="U32" s="68" t="n">
        <f aca="false">'Point 3 - ColGulf'!Z38</f>
        <v>0</v>
      </c>
      <c r="V32" s="68" t="n">
        <f aca="false">'Point 4 - Tetco'!Z38</f>
        <v>0</v>
      </c>
      <c r="X32" s="59" t="n">
        <f aca="false">(H32*S32)+(K32*T32)+(N32*U32)+(Q32*V32)</f>
        <v>6925127.10389619</v>
      </c>
    </row>
    <row r="33" customFormat="false" ht="12.75" hidden="false" customHeight="false" outlineLevel="0" collapsed="false">
      <c r="B33" s="69" t="n">
        <f aca="false">'Point 1 - Transco'!B39</f>
        <v>37591</v>
      </c>
      <c r="C33" s="41" t="n">
        <f aca="false">'Point 1 - Transco'!C39</f>
        <v>31</v>
      </c>
      <c r="D33" s="66" t="n">
        <f aca="false">'Point 1 - Transco'!D39</f>
        <v>37648</v>
      </c>
      <c r="E33" s="41" t="n">
        <f aca="false">'Point 1 - Transco'!F39</f>
        <v>760</v>
      </c>
      <c r="G33" s="59" t="n">
        <f aca="false">'Point 1 - Transco'!Y39</f>
        <v>54200</v>
      </c>
      <c r="H33" s="59" t="n">
        <f aca="false">G33*C33</f>
        <v>1680200</v>
      </c>
      <c r="J33" s="59" t="n">
        <f aca="false">'Point 2 - TGT'!Y39</f>
        <v>0</v>
      </c>
      <c r="K33" s="59" t="n">
        <f aca="false">J33*C33</f>
        <v>0</v>
      </c>
      <c r="M33" s="59" t="n">
        <f aca="false">'Point 3 - ColGulf'!Y39</f>
        <v>0</v>
      </c>
      <c r="N33" s="59" t="n">
        <f aca="false">M33*C33</f>
        <v>0</v>
      </c>
      <c r="P33" s="59" t="n">
        <f aca="false">'Point 4 - Tetco'!Y39</f>
        <v>0</v>
      </c>
      <c r="Q33" s="59" t="n">
        <f aca="false">P33*C33</f>
        <v>0</v>
      </c>
      <c r="S33" s="68" t="n">
        <f aca="false">'Point 1 - Transco'!Z39</f>
        <v>4.25899575885374</v>
      </c>
      <c r="T33" s="68" t="n">
        <f aca="false">'Point 2 - TGT'!Z39</f>
        <v>0</v>
      </c>
      <c r="U33" s="68" t="n">
        <f aca="false">'Point 3 - ColGulf'!Z39</f>
        <v>0</v>
      </c>
      <c r="V33" s="68" t="n">
        <f aca="false">'Point 4 - Tetco'!Z39</f>
        <v>0</v>
      </c>
      <c r="X33" s="59" t="n">
        <f aca="false">(H33*S33)+(K33*T33)+(N33*U33)+(Q33*V33)</f>
        <v>7155964.67402606</v>
      </c>
    </row>
    <row r="34" customFormat="false" ht="12.75" hidden="false" customHeight="false" outlineLevel="0" collapsed="false">
      <c r="B34" s="69" t="n">
        <f aca="false">'Point 1 - Transco'!B40</f>
        <v>37622</v>
      </c>
      <c r="C34" s="41" t="n">
        <f aca="false">'Point 1 - Transco'!C40</f>
        <v>31</v>
      </c>
      <c r="D34" s="66" t="n">
        <f aca="false">'Point 1 - Transco'!D40</f>
        <v>37677</v>
      </c>
      <c r="E34" s="41" t="n">
        <f aca="false">'Point 1 - Transco'!F40</f>
        <v>789</v>
      </c>
      <c r="G34" s="59" t="n">
        <f aca="false">'Point 1 - Transco'!Y40</f>
        <v>54200</v>
      </c>
      <c r="H34" s="59" t="n">
        <f aca="false">G34*C34</f>
        <v>1680200</v>
      </c>
      <c r="J34" s="59" t="n">
        <f aca="false">'Point 2 - TGT'!Y40</f>
        <v>0</v>
      </c>
      <c r="K34" s="59" t="n">
        <f aca="false">J34*C34</f>
        <v>0</v>
      </c>
      <c r="M34" s="59" t="n">
        <f aca="false">'Point 3 - ColGulf'!Y40</f>
        <v>0</v>
      </c>
      <c r="N34" s="59" t="n">
        <f aca="false">M34*C34</f>
        <v>0</v>
      </c>
      <c r="P34" s="59" t="n">
        <f aca="false">'Point 4 - Tetco'!Y40</f>
        <v>0</v>
      </c>
      <c r="Q34" s="59" t="n">
        <f aca="false">P34*C34</f>
        <v>0</v>
      </c>
      <c r="S34" s="68" t="n">
        <f aca="false">'Point 1 - Transco'!Z40</f>
        <v>4.25899575885374</v>
      </c>
      <c r="T34" s="68" t="n">
        <f aca="false">'Point 2 - TGT'!Z40</f>
        <v>0</v>
      </c>
      <c r="U34" s="68" t="n">
        <f aca="false">'Point 3 - ColGulf'!Z40</f>
        <v>0</v>
      </c>
      <c r="V34" s="68" t="n">
        <f aca="false">'Point 4 - Tetco'!Z40</f>
        <v>0</v>
      </c>
      <c r="X34" s="59" t="n">
        <f aca="false">(H34*S34)+(K34*T34)+(N34*U34)+(Q34*V34)</f>
        <v>7155964.67402606</v>
      </c>
    </row>
    <row r="35" customFormat="false" ht="12.75" hidden="false" customHeight="false" outlineLevel="0" collapsed="false">
      <c r="B35" s="69" t="n">
        <f aca="false">'Point 1 - Transco'!B41</f>
        <v>37653</v>
      </c>
      <c r="C35" s="41" t="n">
        <f aca="false">'Point 1 - Transco'!C41</f>
        <v>28</v>
      </c>
      <c r="D35" s="66" t="n">
        <f aca="false">'Point 1 - Transco'!D41</f>
        <v>37705</v>
      </c>
      <c r="E35" s="41" t="n">
        <f aca="false">'Point 1 - Transco'!F41</f>
        <v>817</v>
      </c>
      <c r="G35" s="59" t="n">
        <f aca="false">'Point 1 - Transco'!Y41</f>
        <v>54200</v>
      </c>
      <c r="H35" s="59" t="n">
        <f aca="false">G35*C35</f>
        <v>1517600</v>
      </c>
      <c r="J35" s="59" t="n">
        <f aca="false">'Point 2 - TGT'!Y41</f>
        <v>0</v>
      </c>
      <c r="K35" s="59" t="n">
        <f aca="false">J35*C35</f>
        <v>0</v>
      </c>
      <c r="M35" s="59" t="n">
        <f aca="false">'Point 3 - ColGulf'!Y41</f>
        <v>0</v>
      </c>
      <c r="N35" s="59" t="n">
        <f aca="false">M35*C35</f>
        <v>0</v>
      </c>
      <c r="P35" s="59" t="n">
        <f aca="false">'Point 4 - Tetco'!Y41</f>
        <v>0</v>
      </c>
      <c r="Q35" s="59" t="n">
        <f aca="false">P35*C35</f>
        <v>0</v>
      </c>
      <c r="S35" s="68" t="n">
        <f aca="false">'Point 1 - Transco'!Z41</f>
        <v>4.25899575885374</v>
      </c>
      <c r="T35" s="68" t="n">
        <f aca="false">'Point 2 - TGT'!Z41</f>
        <v>0</v>
      </c>
      <c r="U35" s="68" t="n">
        <f aca="false">'Point 3 - ColGulf'!Z41</f>
        <v>0</v>
      </c>
      <c r="V35" s="68" t="n">
        <f aca="false">'Point 4 - Tetco'!Z41</f>
        <v>0</v>
      </c>
      <c r="X35" s="59" t="n">
        <f aca="false">(H35*S35)+(K35*T35)+(N35*U35)+(Q35*V35)</f>
        <v>6463451.96363644</v>
      </c>
    </row>
    <row r="36" customFormat="false" ht="12.75" hidden="false" customHeight="false" outlineLevel="0" collapsed="false">
      <c r="B36" s="69" t="n">
        <f aca="false">'Point 1 - Transco'!B42</f>
        <v>37681</v>
      </c>
      <c r="C36" s="41" t="n">
        <f aca="false">'Point 1 - Transco'!C42</f>
        <v>31</v>
      </c>
      <c r="D36" s="66" t="n">
        <f aca="false">'Point 1 - Transco'!D42</f>
        <v>37736</v>
      </c>
      <c r="E36" s="41" t="n">
        <f aca="false">'Point 1 - Transco'!F42</f>
        <v>848</v>
      </c>
      <c r="G36" s="59" t="n">
        <f aca="false">'Point 1 - Transco'!Y42</f>
        <v>54200</v>
      </c>
      <c r="H36" s="59" t="n">
        <f aca="false">G36*C36</f>
        <v>1680200</v>
      </c>
      <c r="J36" s="59" t="n">
        <f aca="false">'Point 2 - TGT'!Y42</f>
        <v>0</v>
      </c>
      <c r="K36" s="59" t="n">
        <f aca="false">J36*C36</f>
        <v>0</v>
      </c>
      <c r="M36" s="59" t="n">
        <f aca="false">'Point 3 - ColGulf'!Y42</f>
        <v>0</v>
      </c>
      <c r="N36" s="59" t="n">
        <f aca="false">M36*C36</f>
        <v>0</v>
      </c>
      <c r="P36" s="59" t="n">
        <f aca="false">'Point 4 - Tetco'!Y42</f>
        <v>0</v>
      </c>
      <c r="Q36" s="59" t="n">
        <f aca="false">P36*C36</f>
        <v>0</v>
      </c>
      <c r="S36" s="68" t="n">
        <f aca="false">'Point 1 - Transco'!Z42</f>
        <v>4.25899575885374</v>
      </c>
      <c r="T36" s="68" t="n">
        <f aca="false">'Point 2 - TGT'!Z42</f>
        <v>0</v>
      </c>
      <c r="U36" s="68" t="n">
        <f aca="false">'Point 3 - ColGulf'!Z42</f>
        <v>0</v>
      </c>
      <c r="V36" s="68" t="n">
        <f aca="false">'Point 4 - Tetco'!Z42</f>
        <v>0</v>
      </c>
      <c r="X36" s="59" t="n">
        <f aca="false">(H36*S36)+(K36*T36)+(N36*U36)+(Q36*V36)</f>
        <v>7155964.67402606</v>
      </c>
    </row>
    <row r="37" customFormat="false" ht="12.75" hidden="false" customHeight="false" outlineLevel="0" collapsed="false">
      <c r="B37" s="69" t="n">
        <f aca="false">'Point 1 - Transco'!B43</f>
        <v>37712</v>
      </c>
      <c r="C37" s="41" t="n">
        <f aca="false">'Point 1 - Transco'!C43</f>
        <v>30</v>
      </c>
      <c r="D37" s="66" t="n">
        <f aca="false">'Point 1 - Transco'!D43</f>
        <v>37767</v>
      </c>
      <c r="E37" s="41" t="n">
        <f aca="false">'Point 1 - Transco'!F43</f>
        <v>879</v>
      </c>
      <c r="G37" s="59" t="n">
        <f aca="false">'Point 1 - Transco'!Y43</f>
        <v>59200</v>
      </c>
      <c r="H37" s="59" t="n">
        <f aca="false">G37*C37</f>
        <v>1776000</v>
      </c>
      <c r="J37" s="59" t="n">
        <f aca="false">'Point 2 - TGT'!Y43</f>
        <v>0</v>
      </c>
      <c r="K37" s="59" t="n">
        <f aca="false">J37*C37</f>
        <v>0</v>
      </c>
      <c r="M37" s="59" t="n">
        <f aca="false">'Point 3 - ColGulf'!Y43</f>
        <v>0</v>
      </c>
      <c r="N37" s="59" t="n">
        <f aca="false">M37*C37</f>
        <v>0</v>
      </c>
      <c r="P37" s="59" t="n">
        <f aca="false">'Point 4 - Tetco'!Y43</f>
        <v>0</v>
      </c>
      <c r="Q37" s="59" t="n">
        <f aca="false">P37*C37</f>
        <v>0</v>
      </c>
      <c r="S37" s="68" t="n">
        <f aca="false">'Point 1 - Transco'!Z43</f>
        <v>3.89928327922083</v>
      </c>
      <c r="T37" s="68" t="n">
        <f aca="false">'Point 2 - TGT'!Z43</f>
        <v>0</v>
      </c>
      <c r="U37" s="68" t="n">
        <f aca="false">'Point 3 - ColGulf'!Z43</f>
        <v>0</v>
      </c>
      <c r="V37" s="68" t="n">
        <f aca="false">'Point 4 - Tetco'!Z43</f>
        <v>0</v>
      </c>
      <c r="X37" s="59" t="n">
        <f aca="false">(H37*S37)+(K37*T37)+(N37*U37)+(Q37*V37)</f>
        <v>6925127.10389619</v>
      </c>
    </row>
    <row r="38" customFormat="false" ht="12.75" hidden="false" customHeight="false" outlineLevel="0" collapsed="false">
      <c r="B38" s="69" t="n">
        <f aca="false">'Point 1 - Transco'!B44</f>
        <v>37742</v>
      </c>
      <c r="C38" s="41" t="n">
        <f aca="false">'Point 1 - Transco'!C44</f>
        <v>31</v>
      </c>
      <c r="D38" s="66" t="n">
        <f aca="false">'Point 1 - Transco'!D44</f>
        <v>37797</v>
      </c>
      <c r="E38" s="41" t="n">
        <f aca="false">'Point 1 - Transco'!F44</f>
        <v>909</v>
      </c>
      <c r="G38" s="59" t="n">
        <f aca="false">'Point 1 - Transco'!Y44</f>
        <v>59200</v>
      </c>
      <c r="H38" s="59" t="n">
        <f aca="false">G38*C38</f>
        <v>1835200</v>
      </c>
      <c r="J38" s="59" t="n">
        <f aca="false">'Point 2 - TGT'!Y44</f>
        <v>0</v>
      </c>
      <c r="K38" s="59" t="n">
        <f aca="false">J38*C38</f>
        <v>0</v>
      </c>
      <c r="M38" s="59" t="n">
        <f aca="false">'Point 3 - ColGulf'!Y44</f>
        <v>0</v>
      </c>
      <c r="N38" s="59" t="n">
        <f aca="false">M38*C38</f>
        <v>0</v>
      </c>
      <c r="P38" s="59" t="n">
        <f aca="false">'Point 4 - Tetco'!Y44</f>
        <v>0</v>
      </c>
      <c r="Q38" s="59" t="n">
        <f aca="false">P38*C38</f>
        <v>0</v>
      </c>
      <c r="S38" s="68" t="n">
        <f aca="false">'Point 1 - Transco'!Z44</f>
        <v>3.89928327922083</v>
      </c>
      <c r="T38" s="68" t="n">
        <f aca="false">'Point 2 - TGT'!Z44</f>
        <v>0</v>
      </c>
      <c r="U38" s="68" t="n">
        <f aca="false">'Point 3 - ColGulf'!Z44</f>
        <v>0</v>
      </c>
      <c r="V38" s="68" t="n">
        <f aca="false">'Point 4 - Tetco'!Z44</f>
        <v>0</v>
      </c>
      <c r="X38" s="59" t="n">
        <f aca="false">(H38*S38)+(K38*T38)+(N38*U38)+(Q38*V38)</f>
        <v>7155964.67402606</v>
      </c>
    </row>
    <row r="39" customFormat="false" ht="12.75" hidden="false" customHeight="false" outlineLevel="0" collapsed="false">
      <c r="B39" s="69" t="n">
        <f aca="false">'Point 1 - Transco'!B45</f>
        <v>37773</v>
      </c>
      <c r="C39" s="41" t="n">
        <f aca="false">'Point 1 - Transco'!C45</f>
        <v>30</v>
      </c>
      <c r="D39" s="66" t="n">
        <f aca="false">'Point 1 - Transco'!D45</f>
        <v>37827</v>
      </c>
      <c r="E39" s="41" t="n">
        <f aca="false">'Point 1 - Transco'!F45</f>
        <v>939</v>
      </c>
      <c r="G39" s="59" t="n">
        <f aca="false">'Point 1 - Transco'!Y45</f>
        <v>59200</v>
      </c>
      <c r="H39" s="59" t="n">
        <f aca="false">G39*C39</f>
        <v>1776000</v>
      </c>
      <c r="J39" s="59" t="n">
        <f aca="false">'Point 2 - TGT'!Y45</f>
        <v>0</v>
      </c>
      <c r="K39" s="59" t="n">
        <f aca="false">J39*C39</f>
        <v>0</v>
      </c>
      <c r="M39" s="59" t="n">
        <f aca="false">'Point 3 - ColGulf'!Y45</f>
        <v>0</v>
      </c>
      <c r="N39" s="59" t="n">
        <f aca="false">M39*C39</f>
        <v>0</v>
      </c>
      <c r="P39" s="59" t="n">
        <f aca="false">'Point 4 - Tetco'!Y45</f>
        <v>0</v>
      </c>
      <c r="Q39" s="59" t="n">
        <f aca="false">P39*C39</f>
        <v>0</v>
      </c>
      <c r="S39" s="68" t="n">
        <f aca="false">'Point 1 - Transco'!Z45</f>
        <v>3.89928327922083</v>
      </c>
      <c r="T39" s="68" t="n">
        <f aca="false">'Point 2 - TGT'!Z45</f>
        <v>0</v>
      </c>
      <c r="U39" s="68" t="n">
        <f aca="false">'Point 3 - ColGulf'!Z45</f>
        <v>0</v>
      </c>
      <c r="V39" s="68" t="n">
        <f aca="false">'Point 4 - Tetco'!Z45</f>
        <v>0</v>
      </c>
      <c r="X39" s="59" t="n">
        <f aca="false">(H39*S39)+(K39*T39)+(N39*U39)+(Q39*V39)</f>
        <v>6925127.10389619</v>
      </c>
    </row>
    <row r="40" customFormat="false" ht="12.75" hidden="false" customHeight="false" outlineLevel="0" collapsed="false">
      <c r="B40" s="69" t="n">
        <f aca="false">'Point 1 - Transco'!B46</f>
        <v>37803</v>
      </c>
      <c r="C40" s="41" t="n">
        <f aca="false">'Point 1 - Transco'!C46</f>
        <v>31</v>
      </c>
      <c r="D40" s="66" t="n">
        <f aca="false">'Point 1 - Transco'!D46</f>
        <v>37858</v>
      </c>
      <c r="E40" s="41" t="n">
        <f aca="false">'Point 1 - Transco'!F46</f>
        <v>970</v>
      </c>
      <c r="G40" s="59" t="n">
        <f aca="false">'Point 1 - Transco'!Y46</f>
        <v>59200</v>
      </c>
      <c r="H40" s="59" t="n">
        <f aca="false">G40*C40</f>
        <v>1835200</v>
      </c>
      <c r="J40" s="59" t="n">
        <f aca="false">'Point 2 - TGT'!Y46</f>
        <v>0</v>
      </c>
      <c r="K40" s="59" t="n">
        <f aca="false">J40*C40</f>
        <v>0</v>
      </c>
      <c r="M40" s="59" t="n">
        <f aca="false">'Point 3 - ColGulf'!Y46</f>
        <v>0</v>
      </c>
      <c r="N40" s="59" t="n">
        <f aca="false">M40*C40</f>
        <v>0</v>
      </c>
      <c r="P40" s="59" t="n">
        <f aca="false">'Point 4 - Tetco'!Y46</f>
        <v>0</v>
      </c>
      <c r="Q40" s="59" t="n">
        <f aca="false">P40*C40</f>
        <v>0</v>
      </c>
      <c r="S40" s="68" t="n">
        <f aca="false">'Point 1 - Transco'!Z46</f>
        <v>3.89928327922083</v>
      </c>
      <c r="T40" s="68" t="n">
        <f aca="false">'Point 2 - TGT'!Z46</f>
        <v>0</v>
      </c>
      <c r="U40" s="68" t="n">
        <f aca="false">'Point 3 - ColGulf'!Z46</f>
        <v>0</v>
      </c>
      <c r="V40" s="68" t="n">
        <f aca="false">'Point 4 - Tetco'!Z46</f>
        <v>0</v>
      </c>
      <c r="X40" s="59" t="n">
        <f aca="false">(H40*S40)+(K40*T40)+(N40*U40)+(Q40*V40)</f>
        <v>7155964.67402606</v>
      </c>
    </row>
    <row r="41" customFormat="false" ht="12.75" hidden="false" customHeight="false" outlineLevel="0" collapsed="false">
      <c r="B41" s="69" t="n">
        <f aca="false">'Point 1 - Transco'!B47</f>
        <v>37834</v>
      </c>
      <c r="C41" s="41" t="n">
        <f aca="false">'Point 1 - Transco'!C47</f>
        <v>31</v>
      </c>
      <c r="D41" s="66" t="n">
        <f aca="false">'Point 1 - Transco'!D47</f>
        <v>37889</v>
      </c>
      <c r="E41" s="41" t="n">
        <f aca="false">'Point 1 - Transco'!F47</f>
        <v>1001</v>
      </c>
      <c r="G41" s="59" t="n">
        <f aca="false">'Point 1 - Transco'!Y47</f>
        <v>59200</v>
      </c>
      <c r="H41" s="59" t="n">
        <f aca="false">G41*C41</f>
        <v>1835200</v>
      </c>
      <c r="J41" s="59" t="n">
        <f aca="false">'Point 2 - TGT'!Y47</f>
        <v>0</v>
      </c>
      <c r="K41" s="59" t="n">
        <f aca="false">J41*C41</f>
        <v>0</v>
      </c>
      <c r="M41" s="59" t="n">
        <f aca="false">'Point 3 - ColGulf'!Y47</f>
        <v>0</v>
      </c>
      <c r="N41" s="59" t="n">
        <f aca="false">M41*C41</f>
        <v>0</v>
      </c>
      <c r="P41" s="59" t="n">
        <f aca="false">'Point 4 - Tetco'!Y47</f>
        <v>0</v>
      </c>
      <c r="Q41" s="59" t="n">
        <f aca="false">P41*C41</f>
        <v>0</v>
      </c>
      <c r="S41" s="68" t="n">
        <f aca="false">'Point 1 - Transco'!Z47</f>
        <v>3.89928327922083</v>
      </c>
      <c r="T41" s="68" t="n">
        <f aca="false">'Point 2 - TGT'!Z47</f>
        <v>0</v>
      </c>
      <c r="U41" s="68" t="n">
        <f aca="false">'Point 3 - ColGulf'!Z47</f>
        <v>0</v>
      </c>
      <c r="V41" s="68" t="n">
        <f aca="false">'Point 4 - Tetco'!Z47</f>
        <v>0</v>
      </c>
      <c r="X41" s="59" t="n">
        <f aca="false">(H41*S41)+(K41*T41)+(N41*U41)+(Q41*V41)</f>
        <v>7155964.67402606</v>
      </c>
    </row>
    <row r="42" customFormat="false" ht="12.75" hidden="false" customHeight="false" outlineLevel="0" collapsed="false">
      <c r="B42" s="69" t="n">
        <f aca="false">'Point 1 - Transco'!B48</f>
        <v>37865</v>
      </c>
      <c r="C42" s="41" t="n">
        <f aca="false">'Point 1 - Transco'!C48</f>
        <v>30</v>
      </c>
      <c r="D42" s="66" t="n">
        <f aca="false">'Point 1 - Transco'!D48</f>
        <v>37921</v>
      </c>
      <c r="E42" s="41" t="n">
        <f aca="false">'Point 1 - Transco'!F48</f>
        <v>1033</v>
      </c>
      <c r="G42" s="59" t="n">
        <f aca="false">'Point 1 - Transco'!Y48</f>
        <v>59200</v>
      </c>
      <c r="H42" s="59" t="n">
        <f aca="false">G42*C42</f>
        <v>1776000</v>
      </c>
      <c r="J42" s="59" t="n">
        <f aca="false">'Point 2 - TGT'!Y48</f>
        <v>0</v>
      </c>
      <c r="K42" s="59" t="n">
        <f aca="false">J42*C42</f>
        <v>0</v>
      </c>
      <c r="M42" s="59" t="n">
        <f aca="false">'Point 3 - ColGulf'!Y48</f>
        <v>0</v>
      </c>
      <c r="N42" s="59" t="n">
        <f aca="false">M42*C42</f>
        <v>0</v>
      </c>
      <c r="P42" s="59" t="n">
        <f aca="false">'Point 4 - Tetco'!Y48</f>
        <v>0</v>
      </c>
      <c r="Q42" s="59" t="n">
        <f aca="false">P42*C42</f>
        <v>0</v>
      </c>
      <c r="S42" s="68" t="n">
        <f aca="false">'Point 1 - Transco'!Z48</f>
        <v>3.89928327922083</v>
      </c>
      <c r="T42" s="68" t="n">
        <f aca="false">'Point 2 - TGT'!Z48</f>
        <v>0</v>
      </c>
      <c r="U42" s="68" t="n">
        <f aca="false">'Point 3 - ColGulf'!Z48</f>
        <v>0</v>
      </c>
      <c r="V42" s="68" t="n">
        <f aca="false">'Point 4 - Tetco'!Z48</f>
        <v>0</v>
      </c>
      <c r="X42" s="59" t="n">
        <f aca="false">(H42*S42)+(K42*T42)+(N42*U42)+(Q42*V42)</f>
        <v>6925127.10389619</v>
      </c>
    </row>
    <row r="43" customFormat="false" ht="12.75" hidden="false" customHeight="false" outlineLevel="0" collapsed="false">
      <c r="B43" s="69" t="n">
        <f aca="false">'Point 1 - Transco'!B49</f>
        <v>37895</v>
      </c>
      <c r="C43" s="41" t="n">
        <f aca="false">'Point 1 - Transco'!C49</f>
        <v>31</v>
      </c>
      <c r="D43" s="66" t="n">
        <f aca="false">'Point 1 - Transco'!D49</f>
        <v>37950</v>
      </c>
      <c r="E43" s="41" t="n">
        <f aca="false">'Point 1 - Transco'!F49</f>
        <v>1062</v>
      </c>
      <c r="G43" s="59" t="n">
        <f aca="false">'Point 1 - Transco'!Y49</f>
        <v>59200</v>
      </c>
      <c r="H43" s="59" t="n">
        <f aca="false">G43*C43</f>
        <v>1835200</v>
      </c>
      <c r="J43" s="59" t="n">
        <f aca="false">'Point 2 - TGT'!Y49</f>
        <v>0</v>
      </c>
      <c r="K43" s="59" t="n">
        <f aca="false">J43*C43</f>
        <v>0</v>
      </c>
      <c r="M43" s="59" t="n">
        <f aca="false">'Point 3 - ColGulf'!Y49</f>
        <v>0</v>
      </c>
      <c r="N43" s="59" t="n">
        <f aca="false">M43*C43</f>
        <v>0</v>
      </c>
      <c r="P43" s="59" t="n">
        <f aca="false">'Point 4 - Tetco'!Y49</f>
        <v>0</v>
      </c>
      <c r="Q43" s="59" t="n">
        <f aca="false">P43*C43</f>
        <v>0</v>
      </c>
      <c r="S43" s="68" t="n">
        <f aca="false">'Point 1 - Transco'!Z49</f>
        <v>3.89928327922083</v>
      </c>
      <c r="T43" s="68" t="n">
        <f aca="false">'Point 2 - TGT'!Z49</f>
        <v>0</v>
      </c>
      <c r="U43" s="68" t="n">
        <f aca="false">'Point 3 - ColGulf'!Z49</f>
        <v>0</v>
      </c>
      <c r="V43" s="68" t="n">
        <f aca="false">'Point 4 - Tetco'!Z49</f>
        <v>0</v>
      </c>
      <c r="X43" s="59" t="n">
        <f aca="false">(H43*S43)+(K43*T43)+(N43*U43)+(Q43*V43)</f>
        <v>7155964.67402606</v>
      </c>
    </row>
    <row r="44" customFormat="false" ht="12.75" hidden="false" customHeight="false" outlineLevel="0" collapsed="false">
      <c r="B44" s="69" t="n">
        <f aca="false">'Point 1 - Transco'!B50</f>
        <v>37926</v>
      </c>
      <c r="C44" s="41" t="n">
        <f aca="false">'Point 1 - Transco'!C50</f>
        <v>30</v>
      </c>
      <c r="D44" s="66" t="n">
        <f aca="false">'Point 1 - Transco'!D50</f>
        <v>37980</v>
      </c>
      <c r="E44" s="41" t="n">
        <f aca="false">'Point 1 - Transco'!F50</f>
        <v>1092</v>
      </c>
      <c r="G44" s="59" t="n">
        <f aca="false">'Point 1 - Transco'!Y50</f>
        <v>59200</v>
      </c>
      <c r="H44" s="59" t="n">
        <f aca="false">G44*C44</f>
        <v>1776000</v>
      </c>
      <c r="J44" s="59" t="n">
        <f aca="false">'Point 2 - TGT'!Y50</f>
        <v>0</v>
      </c>
      <c r="K44" s="59" t="n">
        <f aca="false">J44*C44</f>
        <v>0</v>
      </c>
      <c r="M44" s="59" t="n">
        <f aca="false">'Point 3 - ColGulf'!Y50</f>
        <v>0</v>
      </c>
      <c r="N44" s="59" t="n">
        <f aca="false">M44*C44</f>
        <v>0</v>
      </c>
      <c r="P44" s="59" t="n">
        <f aca="false">'Point 4 - Tetco'!Y50</f>
        <v>0</v>
      </c>
      <c r="Q44" s="59" t="n">
        <f aca="false">P44*C44</f>
        <v>0</v>
      </c>
      <c r="S44" s="68" t="n">
        <f aca="false">'Point 1 - Transco'!Z50</f>
        <v>3.89928327922083</v>
      </c>
      <c r="T44" s="68" t="n">
        <f aca="false">'Point 2 - TGT'!Z50</f>
        <v>0</v>
      </c>
      <c r="U44" s="68" t="n">
        <f aca="false">'Point 3 - ColGulf'!Z50</f>
        <v>0</v>
      </c>
      <c r="V44" s="68" t="n">
        <f aca="false">'Point 4 - Tetco'!Z50</f>
        <v>0</v>
      </c>
      <c r="X44" s="59" t="n">
        <f aca="false">(H44*S44)+(K44*T44)+(N44*U44)+(Q44*V44)</f>
        <v>6925127.10389619</v>
      </c>
    </row>
    <row r="45" customFormat="false" ht="12.75" hidden="false" customHeight="false" outlineLevel="0" collapsed="false">
      <c r="B45" s="69" t="n">
        <f aca="false">'Point 1 - Transco'!B51</f>
        <v>37956</v>
      </c>
      <c r="C45" s="41" t="n">
        <f aca="false">'Point 1 - Transco'!C51</f>
        <v>31</v>
      </c>
      <c r="D45" s="66" t="n">
        <f aca="false">'Point 1 - Transco'!D51</f>
        <v>38012</v>
      </c>
      <c r="E45" s="41" t="n">
        <f aca="false">'Point 1 - Transco'!F51</f>
        <v>1124</v>
      </c>
      <c r="G45" s="59" t="n">
        <f aca="false">'Point 1 - Transco'!Y51</f>
        <v>59200</v>
      </c>
      <c r="H45" s="59" t="n">
        <f aca="false">G45*C45</f>
        <v>1835200</v>
      </c>
      <c r="J45" s="59" t="n">
        <f aca="false">'Point 2 - TGT'!Y51</f>
        <v>0</v>
      </c>
      <c r="K45" s="59" t="n">
        <f aca="false">J45*C45</f>
        <v>0</v>
      </c>
      <c r="M45" s="59" t="n">
        <f aca="false">'Point 3 - ColGulf'!Y51</f>
        <v>0</v>
      </c>
      <c r="N45" s="59" t="n">
        <f aca="false">M45*C45</f>
        <v>0</v>
      </c>
      <c r="P45" s="59" t="n">
        <f aca="false">'Point 4 - Tetco'!Y51</f>
        <v>0</v>
      </c>
      <c r="Q45" s="59" t="n">
        <f aca="false">P45*C45</f>
        <v>0</v>
      </c>
      <c r="S45" s="68" t="n">
        <f aca="false">'Point 1 - Transco'!Z51</f>
        <v>3.89928327922083</v>
      </c>
      <c r="T45" s="68" t="n">
        <f aca="false">'Point 2 - TGT'!Z51</f>
        <v>0</v>
      </c>
      <c r="U45" s="68" t="n">
        <f aca="false">'Point 3 - ColGulf'!Z51</f>
        <v>0</v>
      </c>
      <c r="V45" s="68" t="n">
        <f aca="false">'Point 4 - Tetco'!Z51</f>
        <v>0</v>
      </c>
      <c r="X45" s="59" t="n">
        <f aca="false">(H45*S45)+(K45*T45)+(N45*U45)+(Q45*V45)</f>
        <v>7155964.67402606</v>
      </c>
    </row>
    <row r="46" customFormat="false" ht="12.75" hidden="false" customHeight="false" outlineLevel="0" collapsed="false">
      <c r="B46" s="69" t="n">
        <f aca="false">'Point 1 - Transco'!B52</f>
        <v>37987</v>
      </c>
      <c r="C46" s="41" t="n">
        <f aca="false">'Point 1 - Transco'!C52</f>
        <v>31</v>
      </c>
      <c r="D46" s="66" t="n">
        <f aca="false">'Point 1 - Transco'!D52</f>
        <v>38042</v>
      </c>
      <c r="E46" s="41" t="n">
        <f aca="false">'Point 1 - Transco'!F52</f>
        <v>1154</v>
      </c>
      <c r="G46" s="59" t="n">
        <f aca="false">'Point 1 - Transco'!Y52</f>
        <v>59200</v>
      </c>
      <c r="H46" s="59" t="n">
        <f aca="false">G46*C46</f>
        <v>1835200</v>
      </c>
      <c r="J46" s="59" t="n">
        <f aca="false">'Point 2 - TGT'!Y52</f>
        <v>0</v>
      </c>
      <c r="K46" s="59" t="n">
        <f aca="false">J46*C46</f>
        <v>0</v>
      </c>
      <c r="M46" s="59" t="n">
        <f aca="false">'Point 3 - ColGulf'!Y52</f>
        <v>0</v>
      </c>
      <c r="N46" s="59" t="n">
        <f aca="false">M46*C46</f>
        <v>0</v>
      </c>
      <c r="P46" s="59" t="n">
        <f aca="false">'Point 4 - Tetco'!Y52</f>
        <v>0</v>
      </c>
      <c r="Q46" s="59" t="n">
        <f aca="false">P46*C46</f>
        <v>0</v>
      </c>
      <c r="S46" s="68" t="n">
        <f aca="false">'Point 1 - Transco'!Z52</f>
        <v>3.89928327922083</v>
      </c>
      <c r="T46" s="68" t="n">
        <f aca="false">'Point 2 - TGT'!Z52</f>
        <v>0</v>
      </c>
      <c r="U46" s="68" t="n">
        <f aca="false">'Point 3 - ColGulf'!Z52</f>
        <v>0</v>
      </c>
      <c r="V46" s="68" t="n">
        <f aca="false">'Point 4 - Tetco'!Z52</f>
        <v>0</v>
      </c>
      <c r="X46" s="59" t="n">
        <f aca="false">(H46*S46)+(K46*T46)+(N46*U46)+(Q46*V46)</f>
        <v>7155964.67402606</v>
      </c>
    </row>
    <row r="47" customFormat="false" ht="12.75" hidden="false" customHeight="false" outlineLevel="0" collapsed="false">
      <c r="B47" s="69" t="n">
        <f aca="false">'Point 1 - Transco'!B53</f>
        <v>38018</v>
      </c>
      <c r="C47" s="41" t="n">
        <f aca="false">'Point 1 - Transco'!C53</f>
        <v>29</v>
      </c>
      <c r="D47" s="66" t="n">
        <f aca="false">'Point 1 - Transco'!D53</f>
        <v>38071</v>
      </c>
      <c r="E47" s="41" t="n">
        <f aca="false">'Point 1 - Transco'!F53</f>
        <v>1183</v>
      </c>
      <c r="G47" s="59" t="n">
        <f aca="false">'Point 1 - Transco'!Y53</f>
        <v>59200</v>
      </c>
      <c r="H47" s="59" t="n">
        <f aca="false">G47*C47</f>
        <v>1716800</v>
      </c>
      <c r="J47" s="59" t="n">
        <f aca="false">'Point 2 - TGT'!Y53</f>
        <v>0</v>
      </c>
      <c r="K47" s="59" t="n">
        <f aca="false">J47*C47</f>
        <v>0</v>
      </c>
      <c r="M47" s="59" t="n">
        <f aca="false">'Point 3 - ColGulf'!Y53</f>
        <v>0</v>
      </c>
      <c r="N47" s="59" t="n">
        <f aca="false">M47*C47</f>
        <v>0</v>
      </c>
      <c r="P47" s="59" t="n">
        <f aca="false">'Point 4 - Tetco'!Y53</f>
        <v>0</v>
      </c>
      <c r="Q47" s="59" t="n">
        <f aca="false">P47*C47</f>
        <v>0</v>
      </c>
      <c r="S47" s="68" t="n">
        <f aca="false">'Point 1 - Transco'!Z53</f>
        <v>3.89928327922083</v>
      </c>
      <c r="T47" s="68" t="n">
        <f aca="false">'Point 2 - TGT'!Z53</f>
        <v>0</v>
      </c>
      <c r="U47" s="68" t="n">
        <f aca="false">'Point 3 - ColGulf'!Z53</f>
        <v>0</v>
      </c>
      <c r="V47" s="68" t="n">
        <f aca="false">'Point 4 - Tetco'!Z53</f>
        <v>0</v>
      </c>
      <c r="X47" s="59" t="n">
        <f aca="false">(H47*S47)+(K47*T47)+(N47*U47)+(Q47*V47)</f>
        <v>6694289.53376631</v>
      </c>
    </row>
    <row r="48" customFormat="false" ht="12.75" hidden="false" customHeight="false" outlineLevel="0" collapsed="false">
      <c r="B48" s="69" t="n">
        <f aca="false">'Point 1 - Transco'!B54</f>
        <v>38047</v>
      </c>
      <c r="C48" s="41" t="n">
        <f aca="false">'Point 1 - Transco'!C54</f>
        <v>31</v>
      </c>
      <c r="D48" s="66" t="n">
        <f aca="false">'Point 1 - Transco'!D54</f>
        <v>38103</v>
      </c>
      <c r="E48" s="41" t="n">
        <f aca="false">'Point 1 - Transco'!F54</f>
        <v>1215</v>
      </c>
      <c r="G48" s="59" t="n">
        <f aca="false">'Point 1 - Transco'!Y54</f>
        <v>59200</v>
      </c>
      <c r="H48" s="59" t="n">
        <f aca="false">G48*C48</f>
        <v>1835200</v>
      </c>
      <c r="J48" s="59" t="n">
        <f aca="false">'Point 2 - TGT'!Y54</f>
        <v>0</v>
      </c>
      <c r="K48" s="59" t="n">
        <f aca="false">J48*C48</f>
        <v>0</v>
      </c>
      <c r="M48" s="59" t="n">
        <f aca="false">'Point 3 - ColGulf'!Y54</f>
        <v>0</v>
      </c>
      <c r="N48" s="59" t="n">
        <f aca="false">M48*C48</f>
        <v>0</v>
      </c>
      <c r="P48" s="59" t="n">
        <f aca="false">'Point 4 - Tetco'!Y54</f>
        <v>0</v>
      </c>
      <c r="Q48" s="59" t="n">
        <f aca="false">P48*C48</f>
        <v>0</v>
      </c>
      <c r="S48" s="68" t="n">
        <f aca="false">'Point 1 - Transco'!Z54</f>
        <v>3.89928327922083</v>
      </c>
      <c r="T48" s="68" t="n">
        <f aca="false">'Point 2 - TGT'!Z54</f>
        <v>0</v>
      </c>
      <c r="U48" s="68" t="n">
        <f aca="false">'Point 3 - ColGulf'!Z54</f>
        <v>0</v>
      </c>
      <c r="V48" s="68" t="n">
        <f aca="false">'Point 4 - Tetco'!Z54</f>
        <v>0</v>
      </c>
      <c r="X48" s="59" t="n">
        <f aca="false">(H48*S48)+(K48*T48)+(N48*U48)+(Q48*V48)</f>
        <v>7155964.67402606</v>
      </c>
    </row>
    <row r="49" customFormat="false" ht="12.75" hidden="false" customHeight="false" outlineLevel="0" collapsed="false">
      <c r="B49" s="69" t="n">
        <f aca="false">'Point 1 - Transco'!B55</f>
        <v>38078</v>
      </c>
      <c r="C49" s="41" t="n">
        <f aca="false">'Point 1 - Transco'!C55</f>
        <v>30</v>
      </c>
      <c r="D49" s="66" t="n">
        <f aca="false">'Point 1 - Transco'!D55</f>
        <v>38132</v>
      </c>
      <c r="E49" s="41" t="n">
        <f aca="false">'Point 1 - Transco'!F55</f>
        <v>1244</v>
      </c>
      <c r="G49" s="59" t="n">
        <f aca="false">'Point 1 - Transco'!Y55</f>
        <v>60900</v>
      </c>
      <c r="H49" s="59" t="n">
        <f aca="false">G49*C49</f>
        <v>1827000</v>
      </c>
      <c r="J49" s="59" t="n">
        <f aca="false">'Point 2 - TGT'!Y55</f>
        <v>0</v>
      </c>
      <c r="K49" s="59" t="n">
        <f aca="false">J49*C49</f>
        <v>0</v>
      </c>
      <c r="M49" s="59" t="n">
        <f aca="false">'Point 3 - ColGulf'!Y55</f>
        <v>0</v>
      </c>
      <c r="N49" s="59" t="n">
        <f aca="false">M49*C49</f>
        <v>0</v>
      </c>
      <c r="P49" s="59" t="n">
        <f aca="false">'Point 4 - Tetco'!Y55</f>
        <v>0</v>
      </c>
      <c r="Q49" s="59" t="n">
        <f aca="false">P49*C49</f>
        <v>0</v>
      </c>
      <c r="S49" s="68" t="n">
        <f aca="false">'Point 1 - Transco'!Z55</f>
        <v>3.79043629113092</v>
      </c>
      <c r="T49" s="68" t="n">
        <f aca="false">'Point 2 - TGT'!Z55</f>
        <v>0</v>
      </c>
      <c r="U49" s="68" t="n">
        <f aca="false">'Point 3 - ColGulf'!Z55</f>
        <v>0</v>
      </c>
      <c r="V49" s="68" t="n">
        <f aca="false">'Point 4 - Tetco'!Z55</f>
        <v>0</v>
      </c>
      <c r="X49" s="59" t="n">
        <f aca="false">(H49*S49)+(K49*T49)+(N49*U49)+(Q49*V49)</f>
        <v>6925127.10389619</v>
      </c>
    </row>
    <row r="50" customFormat="false" ht="12.75" hidden="false" customHeight="false" outlineLevel="0" collapsed="false">
      <c r="B50" s="69" t="n">
        <f aca="false">'Point 1 - Transco'!B56</f>
        <v>38108</v>
      </c>
      <c r="C50" s="41" t="n">
        <f aca="false">'Point 1 - Transco'!C56</f>
        <v>31</v>
      </c>
      <c r="D50" s="66" t="n">
        <f aca="false">'Point 1 - Transco'!D56</f>
        <v>38163</v>
      </c>
      <c r="E50" s="41" t="n">
        <f aca="false">'Point 1 - Transco'!F56</f>
        <v>1275</v>
      </c>
      <c r="G50" s="59" t="n">
        <f aca="false">'Point 1 - Transco'!Y56</f>
        <v>60900</v>
      </c>
      <c r="H50" s="59" t="n">
        <f aca="false">G50*C50</f>
        <v>1887900</v>
      </c>
      <c r="J50" s="59" t="n">
        <f aca="false">'Point 2 - TGT'!Y56</f>
        <v>0</v>
      </c>
      <c r="K50" s="59" t="n">
        <f aca="false">J50*C50</f>
        <v>0</v>
      </c>
      <c r="M50" s="59" t="n">
        <f aca="false">'Point 3 - ColGulf'!Y56</f>
        <v>0</v>
      </c>
      <c r="N50" s="59" t="n">
        <f aca="false">M50*C50</f>
        <v>0</v>
      </c>
      <c r="P50" s="59" t="n">
        <f aca="false">'Point 4 - Tetco'!Y56</f>
        <v>0</v>
      </c>
      <c r="Q50" s="59" t="n">
        <f aca="false">P50*C50</f>
        <v>0</v>
      </c>
      <c r="S50" s="68" t="n">
        <f aca="false">'Point 1 - Transco'!Z56</f>
        <v>3.79043629113092</v>
      </c>
      <c r="T50" s="68" t="n">
        <f aca="false">'Point 2 - TGT'!Z56</f>
        <v>0</v>
      </c>
      <c r="U50" s="68" t="n">
        <f aca="false">'Point 3 - ColGulf'!Z56</f>
        <v>0</v>
      </c>
      <c r="V50" s="68" t="n">
        <f aca="false">'Point 4 - Tetco'!Z56</f>
        <v>0</v>
      </c>
      <c r="X50" s="59" t="n">
        <f aca="false">(H50*S50)+(K50*T50)+(N50*U50)+(Q50*V50)</f>
        <v>7155964.67402606</v>
      </c>
    </row>
    <row r="51" customFormat="false" ht="12.75" hidden="false" customHeight="false" outlineLevel="0" collapsed="false">
      <c r="B51" s="69" t="n">
        <f aca="false">'Point 1 - Transco'!B57</f>
        <v>38139</v>
      </c>
      <c r="C51" s="41" t="n">
        <f aca="false">'Point 1 - Transco'!C57</f>
        <v>30</v>
      </c>
      <c r="D51" s="66" t="n">
        <f aca="false">'Point 1 - Transco'!D57</f>
        <v>38194</v>
      </c>
      <c r="E51" s="41" t="n">
        <f aca="false">'Point 1 - Transco'!F57</f>
        <v>1306</v>
      </c>
      <c r="G51" s="59" t="n">
        <f aca="false">'Point 1 - Transco'!Y57</f>
        <v>60900</v>
      </c>
      <c r="H51" s="59" t="n">
        <f aca="false">G51*C51</f>
        <v>1827000</v>
      </c>
      <c r="J51" s="59" t="n">
        <f aca="false">'Point 2 - TGT'!Y57</f>
        <v>0</v>
      </c>
      <c r="K51" s="59" t="n">
        <f aca="false">J51*C51</f>
        <v>0</v>
      </c>
      <c r="M51" s="59" t="n">
        <f aca="false">'Point 3 - ColGulf'!Y57</f>
        <v>0</v>
      </c>
      <c r="N51" s="59" t="n">
        <f aca="false">M51*C51</f>
        <v>0</v>
      </c>
      <c r="P51" s="59" t="n">
        <f aca="false">'Point 4 - Tetco'!Y57</f>
        <v>0</v>
      </c>
      <c r="Q51" s="59" t="n">
        <f aca="false">P51*C51</f>
        <v>0</v>
      </c>
      <c r="S51" s="68" t="n">
        <f aca="false">'Point 1 - Transco'!Z57</f>
        <v>3.79043629113092</v>
      </c>
      <c r="T51" s="68" t="n">
        <f aca="false">'Point 2 - TGT'!Z57</f>
        <v>0</v>
      </c>
      <c r="U51" s="68" t="n">
        <f aca="false">'Point 3 - ColGulf'!Z57</f>
        <v>0</v>
      </c>
      <c r="V51" s="68" t="n">
        <f aca="false">'Point 4 - Tetco'!Z57</f>
        <v>0</v>
      </c>
      <c r="X51" s="59" t="n">
        <f aca="false">(H51*S51)+(K51*T51)+(N51*U51)+(Q51*V51)</f>
        <v>6925127.10389619</v>
      </c>
    </row>
    <row r="52" customFormat="false" ht="12.75" hidden="false" customHeight="false" outlineLevel="0" collapsed="false">
      <c r="B52" s="69" t="n">
        <f aca="false">'Point 1 - Transco'!B58</f>
        <v>38169</v>
      </c>
      <c r="C52" s="41" t="n">
        <f aca="false">'Point 1 - Transco'!C58</f>
        <v>31</v>
      </c>
      <c r="D52" s="66" t="n">
        <f aca="false">'Point 1 - Transco'!D58</f>
        <v>38224</v>
      </c>
      <c r="E52" s="41" t="n">
        <f aca="false">'Point 1 - Transco'!F58</f>
        <v>1336</v>
      </c>
      <c r="G52" s="59" t="n">
        <f aca="false">'Point 1 - Transco'!Y58</f>
        <v>60900</v>
      </c>
      <c r="H52" s="59" t="n">
        <f aca="false">G52*C52</f>
        <v>1887900</v>
      </c>
      <c r="J52" s="59" t="n">
        <f aca="false">'Point 2 - TGT'!Y58</f>
        <v>0</v>
      </c>
      <c r="K52" s="59" t="n">
        <f aca="false">J52*C52</f>
        <v>0</v>
      </c>
      <c r="M52" s="59" t="n">
        <f aca="false">'Point 3 - ColGulf'!Y58</f>
        <v>0</v>
      </c>
      <c r="N52" s="59" t="n">
        <f aca="false">M52*C52</f>
        <v>0</v>
      </c>
      <c r="P52" s="59" t="n">
        <f aca="false">'Point 4 - Tetco'!Y58</f>
        <v>0</v>
      </c>
      <c r="Q52" s="59" t="n">
        <f aca="false">P52*C52</f>
        <v>0</v>
      </c>
      <c r="S52" s="68" t="n">
        <f aca="false">'Point 1 - Transco'!Z58</f>
        <v>3.79043629113092</v>
      </c>
      <c r="T52" s="68" t="n">
        <f aca="false">'Point 2 - TGT'!Z58</f>
        <v>0</v>
      </c>
      <c r="U52" s="68" t="n">
        <f aca="false">'Point 3 - ColGulf'!Z58</f>
        <v>0</v>
      </c>
      <c r="V52" s="68" t="n">
        <f aca="false">'Point 4 - Tetco'!Z58</f>
        <v>0</v>
      </c>
      <c r="X52" s="59" t="n">
        <f aca="false">(H52*S52)+(K52*T52)+(N52*U52)+(Q52*V52)</f>
        <v>7155964.67402606</v>
      </c>
    </row>
    <row r="53" customFormat="false" ht="12.75" hidden="false" customHeight="false" outlineLevel="0" collapsed="false">
      <c r="B53" s="69" t="n">
        <f aca="false">'Point 1 - Transco'!B59</f>
        <v>38200</v>
      </c>
      <c r="C53" s="41" t="n">
        <f aca="false">'Point 1 - Transco'!C59</f>
        <v>31</v>
      </c>
      <c r="D53" s="66" t="n">
        <f aca="false">'Point 1 - Transco'!D59</f>
        <v>38257</v>
      </c>
      <c r="E53" s="41" t="n">
        <f aca="false">'Point 1 - Transco'!F59</f>
        <v>1369</v>
      </c>
      <c r="G53" s="59" t="n">
        <f aca="false">'Point 1 - Transco'!Y59</f>
        <v>60900</v>
      </c>
      <c r="H53" s="59" t="n">
        <f aca="false">G53*C53</f>
        <v>1887900</v>
      </c>
      <c r="J53" s="59" t="n">
        <f aca="false">'Point 2 - TGT'!Y59</f>
        <v>0</v>
      </c>
      <c r="K53" s="59" t="n">
        <f aca="false">J53*C53</f>
        <v>0</v>
      </c>
      <c r="M53" s="59" t="n">
        <f aca="false">'Point 3 - ColGulf'!Y59</f>
        <v>0</v>
      </c>
      <c r="N53" s="59" t="n">
        <f aca="false">M53*C53</f>
        <v>0</v>
      </c>
      <c r="P53" s="59" t="n">
        <f aca="false">'Point 4 - Tetco'!Y59</f>
        <v>0</v>
      </c>
      <c r="Q53" s="59" t="n">
        <f aca="false">P53*C53</f>
        <v>0</v>
      </c>
      <c r="S53" s="68" t="n">
        <f aca="false">'Point 1 - Transco'!Z59</f>
        <v>3.79043629113092</v>
      </c>
      <c r="T53" s="68" t="n">
        <f aca="false">'Point 2 - TGT'!Z59</f>
        <v>0</v>
      </c>
      <c r="U53" s="68" t="n">
        <f aca="false">'Point 3 - ColGulf'!Z59</f>
        <v>0</v>
      </c>
      <c r="V53" s="68" t="n">
        <f aca="false">'Point 4 - Tetco'!Z59</f>
        <v>0</v>
      </c>
      <c r="X53" s="59" t="n">
        <f aca="false">(H53*S53)+(K53*T53)+(N53*U53)+(Q53*V53)</f>
        <v>7155964.67402606</v>
      </c>
    </row>
    <row r="54" customFormat="false" ht="12.75" hidden="false" customHeight="false" outlineLevel="0" collapsed="false">
      <c r="B54" s="69" t="n">
        <f aca="false">'Point 1 - Transco'!B60</f>
        <v>38231</v>
      </c>
      <c r="C54" s="41" t="n">
        <f aca="false">'Point 1 - Transco'!C60</f>
        <v>30</v>
      </c>
      <c r="D54" s="66" t="n">
        <f aca="false">'Point 1 - Transco'!D60</f>
        <v>38285</v>
      </c>
      <c r="E54" s="41" t="n">
        <f aca="false">'Point 1 - Transco'!F60</f>
        <v>1397</v>
      </c>
      <c r="G54" s="59" t="n">
        <f aca="false">'Point 1 - Transco'!Y60</f>
        <v>60900</v>
      </c>
      <c r="H54" s="59" t="n">
        <f aca="false">G54*C54</f>
        <v>1827000</v>
      </c>
      <c r="J54" s="59" t="n">
        <f aca="false">'Point 2 - TGT'!Y60</f>
        <v>0</v>
      </c>
      <c r="K54" s="59" t="n">
        <f aca="false">J54*C54</f>
        <v>0</v>
      </c>
      <c r="M54" s="59" t="n">
        <f aca="false">'Point 3 - ColGulf'!Y60</f>
        <v>0</v>
      </c>
      <c r="N54" s="59" t="n">
        <f aca="false">M54*C54</f>
        <v>0</v>
      </c>
      <c r="P54" s="59" t="n">
        <f aca="false">'Point 4 - Tetco'!Y60</f>
        <v>0</v>
      </c>
      <c r="Q54" s="59" t="n">
        <f aca="false">P54*C54</f>
        <v>0</v>
      </c>
      <c r="S54" s="68" t="n">
        <f aca="false">'Point 1 - Transco'!Z60</f>
        <v>3.79043629113092</v>
      </c>
      <c r="T54" s="68" t="n">
        <f aca="false">'Point 2 - TGT'!Z60</f>
        <v>0</v>
      </c>
      <c r="U54" s="68" t="n">
        <f aca="false">'Point 3 - ColGulf'!Z60</f>
        <v>0</v>
      </c>
      <c r="V54" s="68" t="n">
        <f aca="false">'Point 4 - Tetco'!Z60</f>
        <v>0</v>
      </c>
      <c r="X54" s="59" t="n">
        <f aca="false">(H54*S54)+(K54*T54)+(N54*U54)+(Q54*V54)</f>
        <v>6925127.10389619</v>
      </c>
    </row>
    <row r="55" customFormat="false" ht="12.75" hidden="false" customHeight="false" outlineLevel="0" collapsed="false">
      <c r="B55" s="69" t="n">
        <f aca="false">'Point 1 - Transco'!B61</f>
        <v>38261</v>
      </c>
      <c r="C55" s="41" t="n">
        <f aca="false">'Point 1 - Transco'!C61</f>
        <v>31</v>
      </c>
      <c r="D55" s="66" t="n">
        <f aca="false">'Point 1 - Transco'!D61</f>
        <v>38316</v>
      </c>
      <c r="E55" s="41" t="n">
        <f aca="false">'Point 1 - Transco'!F61</f>
        <v>1428</v>
      </c>
      <c r="G55" s="59" t="n">
        <f aca="false">'Point 1 - Transco'!Y61</f>
        <v>60900</v>
      </c>
      <c r="H55" s="59" t="n">
        <f aca="false">G55*C55</f>
        <v>1887900</v>
      </c>
      <c r="J55" s="59" t="n">
        <f aca="false">'Point 2 - TGT'!Y61</f>
        <v>0</v>
      </c>
      <c r="K55" s="59" t="n">
        <f aca="false">J55*C55</f>
        <v>0</v>
      </c>
      <c r="M55" s="59" t="n">
        <f aca="false">'Point 3 - ColGulf'!Y61</f>
        <v>0</v>
      </c>
      <c r="N55" s="59" t="n">
        <f aca="false">M55*C55</f>
        <v>0</v>
      </c>
      <c r="P55" s="59" t="n">
        <f aca="false">'Point 4 - Tetco'!Y61</f>
        <v>0</v>
      </c>
      <c r="Q55" s="59" t="n">
        <f aca="false">P55*C55</f>
        <v>0</v>
      </c>
      <c r="S55" s="68" t="n">
        <f aca="false">'Point 1 - Transco'!Z61</f>
        <v>3.79043629113092</v>
      </c>
      <c r="T55" s="68" t="n">
        <f aca="false">'Point 2 - TGT'!Z61</f>
        <v>0</v>
      </c>
      <c r="U55" s="68" t="n">
        <f aca="false">'Point 3 - ColGulf'!Z61</f>
        <v>0</v>
      </c>
      <c r="V55" s="68" t="n">
        <f aca="false">'Point 4 - Tetco'!Z61</f>
        <v>0</v>
      </c>
      <c r="X55" s="59" t="n">
        <f aca="false">(H55*S55)+(K55*T55)+(N55*U55)+(Q55*V55)</f>
        <v>7155964.67402606</v>
      </c>
    </row>
    <row r="56" customFormat="false" ht="12.75" hidden="false" customHeight="false" outlineLevel="0" collapsed="false">
      <c r="B56" s="69" t="n">
        <f aca="false">'Point 1 - Transco'!B62</f>
        <v>38292</v>
      </c>
      <c r="C56" s="41" t="n">
        <f aca="false">'Point 1 - Transco'!C62</f>
        <v>30</v>
      </c>
      <c r="D56" s="66" t="n">
        <f aca="false">'Point 1 - Transco'!D62</f>
        <v>38348</v>
      </c>
      <c r="E56" s="41" t="n">
        <f aca="false">'Point 1 - Transco'!F62</f>
        <v>1460</v>
      </c>
      <c r="G56" s="59" t="n">
        <f aca="false">'Point 1 - Transco'!Y62</f>
        <v>60900</v>
      </c>
      <c r="H56" s="59" t="n">
        <f aca="false">G56*C56</f>
        <v>1827000</v>
      </c>
      <c r="J56" s="59" t="n">
        <f aca="false">'Point 2 - TGT'!Y62</f>
        <v>0</v>
      </c>
      <c r="K56" s="59" t="n">
        <f aca="false">J56*C56</f>
        <v>0</v>
      </c>
      <c r="M56" s="59" t="n">
        <f aca="false">'Point 3 - ColGulf'!Y62</f>
        <v>0</v>
      </c>
      <c r="N56" s="59" t="n">
        <f aca="false">M56*C56</f>
        <v>0</v>
      </c>
      <c r="P56" s="59" t="n">
        <f aca="false">'Point 4 - Tetco'!Y62</f>
        <v>0</v>
      </c>
      <c r="Q56" s="59" t="n">
        <f aca="false">P56*C56</f>
        <v>0</v>
      </c>
      <c r="S56" s="68" t="n">
        <f aca="false">'Point 1 - Transco'!Z62</f>
        <v>3.79043629113092</v>
      </c>
      <c r="T56" s="68" t="n">
        <f aca="false">'Point 2 - TGT'!Z62</f>
        <v>0</v>
      </c>
      <c r="U56" s="68" t="n">
        <f aca="false">'Point 3 - ColGulf'!Z62</f>
        <v>0</v>
      </c>
      <c r="V56" s="68" t="n">
        <f aca="false">'Point 4 - Tetco'!Z62</f>
        <v>0</v>
      </c>
      <c r="X56" s="59" t="n">
        <f aca="false">(H56*S56)+(K56*T56)+(N56*U56)+(Q56*V56)</f>
        <v>6925127.10389619</v>
      </c>
    </row>
    <row r="57" customFormat="false" ht="12.75" hidden="false" customHeight="false" outlineLevel="0" collapsed="false">
      <c r="B57" s="69" t="n">
        <f aca="false">'Point 1 - Transco'!B63</f>
        <v>38322</v>
      </c>
      <c r="C57" s="41" t="n">
        <f aca="false">'Point 1 - Transco'!C63</f>
        <v>31</v>
      </c>
      <c r="D57" s="66" t="n">
        <f aca="false">'Point 1 - Transco'!D63</f>
        <v>38377</v>
      </c>
      <c r="E57" s="41" t="n">
        <f aca="false">'Point 1 - Transco'!F63</f>
        <v>1489</v>
      </c>
      <c r="G57" s="59" t="n">
        <f aca="false">'Point 1 - Transco'!Y63</f>
        <v>60900</v>
      </c>
      <c r="H57" s="59" t="n">
        <f aca="false">G57*C57</f>
        <v>1887900</v>
      </c>
      <c r="J57" s="59" t="n">
        <f aca="false">'Point 2 - TGT'!Y63</f>
        <v>0</v>
      </c>
      <c r="K57" s="59" t="n">
        <f aca="false">J57*C57</f>
        <v>0</v>
      </c>
      <c r="M57" s="59" t="n">
        <f aca="false">'Point 3 - ColGulf'!Y63</f>
        <v>0</v>
      </c>
      <c r="N57" s="59" t="n">
        <f aca="false">M57*C57</f>
        <v>0</v>
      </c>
      <c r="P57" s="59" t="n">
        <f aca="false">'Point 4 - Tetco'!Y63</f>
        <v>0</v>
      </c>
      <c r="Q57" s="59" t="n">
        <f aca="false">P57*C57</f>
        <v>0</v>
      </c>
      <c r="S57" s="68" t="n">
        <f aca="false">'Point 1 - Transco'!Z63</f>
        <v>3.79043629113092</v>
      </c>
      <c r="T57" s="68" t="n">
        <f aca="false">'Point 2 - TGT'!Z63</f>
        <v>0</v>
      </c>
      <c r="U57" s="68" t="n">
        <f aca="false">'Point 3 - ColGulf'!Z63</f>
        <v>0</v>
      </c>
      <c r="V57" s="68" t="n">
        <f aca="false">'Point 4 - Tetco'!Z63</f>
        <v>0</v>
      </c>
      <c r="X57" s="59" t="n">
        <f aca="false">(H57*S57)+(K57*T57)+(N57*U57)+(Q57*V57)</f>
        <v>7155964.67402606</v>
      </c>
    </row>
    <row r="58" customFormat="false" ht="12.75" hidden="false" customHeight="false" outlineLevel="0" collapsed="false">
      <c r="B58" s="69" t="n">
        <f aca="false">'Point 1 - Transco'!B64</f>
        <v>38353</v>
      </c>
      <c r="C58" s="41" t="n">
        <f aca="false">'Point 1 - Transco'!C64</f>
        <v>31</v>
      </c>
      <c r="D58" s="66" t="n">
        <f aca="false">'Point 1 - Transco'!D64</f>
        <v>38408</v>
      </c>
      <c r="E58" s="41" t="n">
        <f aca="false">'Point 1 - Transco'!F64</f>
        <v>1520</v>
      </c>
      <c r="G58" s="59" t="n">
        <f aca="false">'Point 1 - Transco'!Y64</f>
        <v>60900</v>
      </c>
      <c r="H58" s="59" t="n">
        <f aca="false">G58*C58</f>
        <v>1887900</v>
      </c>
      <c r="J58" s="59" t="n">
        <f aca="false">'Point 2 - TGT'!Y64</f>
        <v>0</v>
      </c>
      <c r="K58" s="59" t="n">
        <f aca="false">J58*C58</f>
        <v>0</v>
      </c>
      <c r="M58" s="59" t="n">
        <f aca="false">'Point 3 - ColGulf'!Y64</f>
        <v>0</v>
      </c>
      <c r="N58" s="59" t="n">
        <f aca="false">M58*C58</f>
        <v>0</v>
      </c>
      <c r="P58" s="59" t="n">
        <f aca="false">'Point 4 - Tetco'!Y64</f>
        <v>0</v>
      </c>
      <c r="Q58" s="59" t="n">
        <f aca="false">P58*C58</f>
        <v>0</v>
      </c>
      <c r="S58" s="68" t="n">
        <f aca="false">'Point 1 - Transco'!Z64</f>
        <v>3.79043629113092</v>
      </c>
      <c r="T58" s="68" t="n">
        <f aca="false">'Point 2 - TGT'!Z64</f>
        <v>0</v>
      </c>
      <c r="U58" s="68" t="n">
        <f aca="false">'Point 3 - ColGulf'!Z64</f>
        <v>0</v>
      </c>
      <c r="V58" s="68" t="n">
        <f aca="false">'Point 4 - Tetco'!Z64</f>
        <v>0</v>
      </c>
      <c r="X58" s="59" t="n">
        <f aca="false">(H58*S58)+(K58*T58)+(N58*U58)+(Q58*V58)</f>
        <v>7155964.67402606</v>
      </c>
    </row>
    <row r="59" customFormat="false" ht="12.75" hidden="false" customHeight="false" outlineLevel="0" collapsed="false">
      <c r="B59" s="69" t="n">
        <f aca="false">'Point 1 - Transco'!B65</f>
        <v>38384</v>
      </c>
      <c r="C59" s="41" t="n">
        <f aca="false">'Point 1 - Transco'!C65</f>
        <v>28</v>
      </c>
      <c r="D59" s="66" t="n">
        <f aca="false">'Point 1 - Transco'!D65</f>
        <v>38436</v>
      </c>
      <c r="E59" s="41" t="n">
        <f aca="false">'Point 1 - Transco'!F65</f>
        <v>1548</v>
      </c>
      <c r="G59" s="59" t="n">
        <f aca="false">'Point 1 - Transco'!Y65</f>
        <v>60900</v>
      </c>
      <c r="H59" s="59" t="n">
        <f aca="false">G59*C59</f>
        <v>1705200</v>
      </c>
      <c r="J59" s="59" t="n">
        <f aca="false">'Point 2 - TGT'!Y65</f>
        <v>0</v>
      </c>
      <c r="K59" s="59" t="n">
        <f aca="false">J59*C59</f>
        <v>0</v>
      </c>
      <c r="M59" s="59" t="n">
        <f aca="false">'Point 3 - ColGulf'!Y65</f>
        <v>0</v>
      </c>
      <c r="N59" s="59" t="n">
        <f aca="false">M59*C59</f>
        <v>0</v>
      </c>
      <c r="P59" s="59" t="n">
        <f aca="false">'Point 4 - Tetco'!Y65</f>
        <v>0</v>
      </c>
      <c r="Q59" s="59" t="n">
        <f aca="false">P59*C59</f>
        <v>0</v>
      </c>
      <c r="S59" s="68" t="n">
        <f aca="false">'Point 1 - Transco'!Z65</f>
        <v>3.79043629113092</v>
      </c>
      <c r="T59" s="68" t="n">
        <f aca="false">'Point 2 - TGT'!Z65</f>
        <v>0</v>
      </c>
      <c r="U59" s="68" t="n">
        <f aca="false">'Point 3 - ColGulf'!Z65</f>
        <v>0</v>
      </c>
      <c r="V59" s="68" t="n">
        <f aca="false">'Point 4 - Tetco'!Z65</f>
        <v>0</v>
      </c>
      <c r="X59" s="59" t="n">
        <f aca="false">(H59*S59)+(K59*T59)+(N59*U59)+(Q59*V59)</f>
        <v>6463451.96363644</v>
      </c>
    </row>
    <row r="60" customFormat="false" ht="12.75" hidden="false" customHeight="false" outlineLevel="0" collapsed="false">
      <c r="B60" s="69" t="n">
        <f aca="false">'Point 1 - Transco'!B66</f>
        <v>38412</v>
      </c>
      <c r="C60" s="41" t="n">
        <f aca="false">'Point 1 - Transco'!C66</f>
        <v>31</v>
      </c>
      <c r="D60" s="66" t="n">
        <f aca="false">'Point 1 - Transco'!D66</f>
        <v>38467</v>
      </c>
      <c r="E60" s="41" t="n">
        <f aca="false">'Point 1 - Transco'!F66</f>
        <v>1579</v>
      </c>
      <c r="G60" s="59" t="n">
        <f aca="false">'Point 1 - Transco'!Y66</f>
        <v>60900</v>
      </c>
      <c r="H60" s="59" t="n">
        <f aca="false">G60*C60</f>
        <v>1887900</v>
      </c>
      <c r="J60" s="59" t="n">
        <f aca="false">'Point 2 - TGT'!Y66</f>
        <v>0</v>
      </c>
      <c r="K60" s="59" t="n">
        <f aca="false">J60*C60</f>
        <v>0</v>
      </c>
      <c r="M60" s="59" t="n">
        <f aca="false">'Point 3 - ColGulf'!Y66</f>
        <v>0</v>
      </c>
      <c r="N60" s="59" t="n">
        <f aca="false">M60*C60</f>
        <v>0</v>
      </c>
      <c r="P60" s="59" t="n">
        <f aca="false">'Point 4 - Tetco'!Y66</f>
        <v>0</v>
      </c>
      <c r="Q60" s="59" t="n">
        <f aca="false">P60*C60</f>
        <v>0</v>
      </c>
      <c r="S60" s="68" t="n">
        <f aca="false">'Point 1 - Transco'!Z66</f>
        <v>3.79043629113092</v>
      </c>
      <c r="T60" s="68" t="n">
        <f aca="false">'Point 2 - TGT'!Z66</f>
        <v>0</v>
      </c>
      <c r="U60" s="68" t="n">
        <f aca="false">'Point 3 - ColGulf'!Z66</f>
        <v>0</v>
      </c>
      <c r="V60" s="68" t="n">
        <f aca="false">'Point 4 - Tetco'!Z66</f>
        <v>0</v>
      </c>
      <c r="X60" s="59" t="n">
        <f aca="false">(H60*S60)+(K60*T60)+(N60*U60)+(Q60*V60)</f>
        <v>7155964.67402606</v>
      </c>
    </row>
    <row r="61" customFormat="false" ht="12.75" hidden="false" customHeight="false" outlineLevel="0" collapsed="false">
      <c r="B61" s="69" t="n">
        <f aca="false">'Point 1 - Transco'!B67</f>
        <v>38443</v>
      </c>
      <c r="C61" s="41" t="n">
        <f aca="false">'Point 1 - Transco'!C67</f>
        <v>30</v>
      </c>
      <c r="D61" s="66" t="n">
        <f aca="false">'Point 1 - Transco'!D67</f>
        <v>38497</v>
      </c>
      <c r="E61" s="41" t="n">
        <f aca="false">'Point 1 - Transco'!F67</f>
        <v>1609</v>
      </c>
      <c r="G61" s="59" t="n">
        <f aca="false">'Point 1 - Transco'!Y67</f>
        <v>60900</v>
      </c>
      <c r="H61" s="59" t="n">
        <f aca="false">G61*C61</f>
        <v>1827000</v>
      </c>
      <c r="J61" s="59" t="n">
        <f aca="false">'Point 2 - TGT'!Y67</f>
        <v>0</v>
      </c>
      <c r="K61" s="59" t="n">
        <f aca="false">J61*C61</f>
        <v>0</v>
      </c>
      <c r="M61" s="59" t="n">
        <f aca="false">'Point 3 - ColGulf'!Y67</f>
        <v>0</v>
      </c>
      <c r="N61" s="59" t="n">
        <f aca="false">M61*C61</f>
        <v>0</v>
      </c>
      <c r="P61" s="59" t="n">
        <f aca="false">'Point 4 - Tetco'!Y67</f>
        <v>0</v>
      </c>
      <c r="Q61" s="59" t="n">
        <f aca="false">P61*C61</f>
        <v>0</v>
      </c>
      <c r="S61" s="68" t="n">
        <f aca="false">'Point 1 - Transco'!Z67</f>
        <v>3.79043629113092</v>
      </c>
      <c r="T61" s="68" t="n">
        <f aca="false">'Point 2 - TGT'!Z67</f>
        <v>0</v>
      </c>
      <c r="U61" s="68" t="n">
        <f aca="false">'Point 3 - ColGulf'!Z67</f>
        <v>0</v>
      </c>
      <c r="V61" s="68" t="n">
        <f aca="false">'Point 4 - Tetco'!Z67</f>
        <v>0</v>
      </c>
      <c r="X61" s="59" t="n">
        <f aca="false">(H61*S61)+(K61*T61)+(N61*U61)+(Q61*V61)</f>
        <v>6925127.10389619</v>
      </c>
    </row>
    <row r="62" customFormat="false" ht="12.75" hidden="false" customHeight="false" outlineLevel="0" collapsed="false">
      <c r="B62" s="69" t="n">
        <f aca="false">'Point 1 - Transco'!B68</f>
        <v>38473</v>
      </c>
      <c r="C62" s="41" t="n">
        <f aca="false">'Point 1 - Transco'!C68</f>
        <v>31</v>
      </c>
      <c r="D62" s="66" t="n">
        <f aca="false">'Point 1 - Transco'!D68</f>
        <v>38530</v>
      </c>
      <c r="E62" s="41" t="n">
        <f aca="false">'Point 1 - Transco'!F68</f>
        <v>1642</v>
      </c>
      <c r="G62" s="59" t="n">
        <f aca="false">'Point 1 - Transco'!Y68</f>
        <v>60900</v>
      </c>
      <c r="H62" s="59" t="n">
        <f aca="false">G62*C62</f>
        <v>1887900</v>
      </c>
      <c r="J62" s="59" t="n">
        <f aca="false">'Point 2 - TGT'!Y68</f>
        <v>0</v>
      </c>
      <c r="K62" s="59" t="n">
        <f aca="false">J62*C62</f>
        <v>0</v>
      </c>
      <c r="M62" s="59" t="n">
        <f aca="false">'Point 3 - ColGulf'!Y68</f>
        <v>0</v>
      </c>
      <c r="N62" s="59" t="n">
        <f aca="false">M62*C62</f>
        <v>0</v>
      </c>
      <c r="P62" s="59" t="n">
        <f aca="false">'Point 4 - Tetco'!Y68</f>
        <v>0</v>
      </c>
      <c r="Q62" s="59" t="n">
        <f aca="false">P62*C62</f>
        <v>0</v>
      </c>
      <c r="S62" s="68" t="n">
        <f aca="false">'Point 1 - Transco'!Z68</f>
        <v>3.79043629113092</v>
      </c>
      <c r="T62" s="68" t="n">
        <f aca="false">'Point 2 - TGT'!Z68</f>
        <v>0</v>
      </c>
      <c r="U62" s="68" t="n">
        <f aca="false">'Point 3 - ColGulf'!Z68</f>
        <v>0</v>
      </c>
      <c r="V62" s="68" t="n">
        <f aca="false">'Point 4 - Tetco'!Z68</f>
        <v>0</v>
      </c>
      <c r="X62" s="59" t="n">
        <f aca="false">(H62*S62)+(K62*T62)+(N62*U62)+(Q62*V62)</f>
        <v>7155964.67402606</v>
      </c>
    </row>
    <row r="63" customFormat="false" ht="12.75" hidden="false" customHeight="false" outlineLevel="0" collapsed="false">
      <c r="B63" s="69" t="n">
        <f aca="false">'Point 1 - Transco'!B69</f>
        <v>38504</v>
      </c>
      <c r="C63" s="41" t="n">
        <f aca="false">'Point 1 - Transco'!C69</f>
        <v>30</v>
      </c>
      <c r="D63" s="66" t="n">
        <f aca="false">'Point 1 - Transco'!D69</f>
        <v>38558</v>
      </c>
      <c r="E63" s="41" t="n">
        <f aca="false">'Point 1 - Transco'!F69</f>
        <v>1670</v>
      </c>
      <c r="G63" s="59" t="n">
        <f aca="false">'Point 1 - Transco'!Y69</f>
        <v>60900</v>
      </c>
      <c r="H63" s="59" t="n">
        <f aca="false">G63*C63</f>
        <v>1827000</v>
      </c>
      <c r="J63" s="59" t="n">
        <f aca="false">'Point 2 - TGT'!Y69</f>
        <v>0</v>
      </c>
      <c r="K63" s="59" t="n">
        <f aca="false">J63*C63</f>
        <v>0</v>
      </c>
      <c r="M63" s="59" t="n">
        <f aca="false">'Point 3 - ColGulf'!Y69</f>
        <v>0</v>
      </c>
      <c r="N63" s="59" t="n">
        <f aca="false">M63*C63</f>
        <v>0</v>
      </c>
      <c r="P63" s="59" t="n">
        <f aca="false">'Point 4 - Tetco'!Y69</f>
        <v>0</v>
      </c>
      <c r="Q63" s="59" t="n">
        <f aca="false">P63*C63</f>
        <v>0</v>
      </c>
      <c r="S63" s="68" t="n">
        <f aca="false">'Point 1 - Transco'!Z69</f>
        <v>3.79043629113092</v>
      </c>
      <c r="T63" s="68" t="n">
        <f aca="false">'Point 2 - TGT'!Z69</f>
        <v>0</v>
      </c>
      <c r="U63" s="68" t="n">
        <f aca="false">'Point 3 - ColGulf'!Z69</f>
        <v>0</v>
      </c>
      <c r="V63" s="68" t="n">
        <f aca="false">'Point 4 - Tetco'!Z69</f>
        <v>0</v>
      </c>
      <c r="X63" s="59" t="n">
        <f aca="false">(H63*S63)+(K63*T63)+(N63*U63)+(Q63*V63)</f>
        <v>6925127.10389619</v>
      </c>
    </row>
    <row r="64" customFormat="false" ht="12.75" hidden="false" customHeight="false" outlineLevel="0" collapsed="false">
      <c r="B64" s="69" t="n">
        <f aca="false">'Point 1 - Transco'!B70</f>
        <v>38534</v>
      </c>
      <c r="C64" s="41" t="n">
        <f aca="false">'Point 1 - Transco'!C70</f>
        <v>31</v>
      </c>
      <c r="D64" s="66" t="n">
        <f aca="false">'Point 1 - Transco'!D70</f>
        <v>38589</v>
      </c>
      <c r="E64" s="41" t="n">
        <f aca="false">'Point 1 - Transco'!F70</f>
        <v>1701</v>
      </c>
      <c r="G64" s="59" t="n">
        <f aca="false">'Point 1 - Transco'!Y70</f>
        <v>60900</v>
      </c>
      <c r="H64" s="59" t="n">
        <f aca="false">G64*C64</f>
        <v>1887900</v>
      </c>
      <c r="J64" s="59" t="n">
        <f aca="false">'Point 2 - TGT'!Y70</f>
        <v>0</v>
      </c>
      <c r="K64" s="59" t="n">
        <f aca="false">J64*C64</f>
        <v>0</v>
      </c>
      <c r="M64" s="59" t="n">
        <f aca="false">'Point 3 - ColGulf'!Y70</f>
        <v>0</v>
      </c>
      <c r="N64" s="59" t="n">
        <f aca="false">M64*C64</f>
        <v>0</v>
      </c>
      <c r="P64" s="59" t="n">
        <f aca="false">'Point 4 - Tetco'!Y70</f>
        <v>0</v>
      </c>
      <c r="Q64" s="59" t="n">
        <f aca="false">P64*C64</f>
        <v>0</v>
      </c>
      <c r="S64" s="68" t="n">
        <f aca="false">'Point 1 - Transco'!Z70</f>
        <v>3.79043629113092</v>
      </c>
      <c r="T64" s="68" t="n">
        <f aca="false">'Point 2 - TGT'!Z70</f>
        <v>0</v>
      </c>
      <c r="U64" s="68" t="n">
        <f aca="false">'Point 3 - ColGulf'!Z70</f>
        <v>0</v>
      </c>
      <c r="V64" s="68" t="n">
        <f aca="false">'Point 4 - Tetco'!Z70</f>
        <v>0</v>
      </c>
      <c r="X64" s="59" t="n">
        <f aca="false">(H64*S64)+(K64*T64)+(N64*U64)+(Q64*V64)</f>
        <v>7155964.67402606</v>
      </c>
    </row>
    <row r="65" customFormat="false" ht="12.75" hidden="false" customHeight="false" outlineLevel="0" collapsed="false">
      <c r="B65" s="69" t="n">
        <f aca="false">'Point 1 - Transco'!B71</f>
        <v>38565</v>
      </c>
      <c r="C65" s="41" t="n">
        <f aca="false">'Point 1 - Transco'!C71</f>
        <v>31</v>
      </c>
      <c r="D65" s="66" t="n">
        <f aca="false">'Point 1 - Transco'!D71</f>
        <v>38621</v>
      </c>
      <c r="E65" s="41" t="n">
        <f aca="false">'Point 1 - Transco'!F71</f>
        <v>1733</v>
      </c>
      <c r="G65" s="59" t="n">
        <f aca="false">'Point 1 - Transco'!Y71</f>
        <v>60900</v>
      </c>
      <c r="H65" s="59" t="n">
        <f aca="false">G65*C65</f>
        <v>1887900</v>
      </c>
      <c r="J65" s="59" t="n">
        <f aca="false">'Point 2 - TGT'!Y71</f>
        <v>0</v>
      </c>
      <c r="K65" s="59" t="n">
        <f aca="false">J65*C65</f>
        <v>0</v>
      </c>
      <c r="M65" s="59" t="n">
        <f aca="false">'Point 3 - ColGulf'!Y71</f>
        <v>0</v>
      </c>
      <c r="N65" s="59" t="n">
        <f aca="false">M65*C65</f>
        <v>0</v>
      </c>
      <c r="P65" s="59" t="n">
        <f aca="false">'Point 4 - Tetco'!Y71</f>
        <v>0</v>
      </c>
      <c r="Q65" s="59" t="n">
        <f aca="false">P65*C65</f>
        <v>0</v>
      </c>
      <c r="S65" s="68" t="n">
        <f aca="false">'Point 1 - Transco'!Z71</f>
        <v>3.79043629113092</v>
      </c>
      <c r="T65" s="68" t="n">
        <f aca="false">'Point 2 - TGT'!Z71</f>
        <v>0</v>
      </c>
      <c r="U65" s="68" t="n">
        <f aca="false">'Point 3 - ColGulf'!Z71</f>
        <v>0</v>
      </c>
      <c r="V65" s="68" t="n">
        <f aca="false">'Point 4 - Tetco'!Z71</f>
        <v>0</v>
      </c>
      <c r="X65" s="59" t="n">
        <f aca="false">(H65*S65)+(K65*T65)+(N65*U65)+(Q65*V65)</f>
        <v>7155964.67402606</v>
      </c>
    </row>
    <row r="66" customFormat="false" ht="12.75" hidden="false" customHeight="false" outlineLevel="0" collapsed="false">
      <c r="B66" s="69" t="n">
        <f aca="false">'Point 1 - Transco'!B72</f>
        <v>38596</v>
      </c>
      <c r="C66" s="41" t="n">
        <f aca="false">'Point 1 - Transco'!C72</f>
        <v>30</v>
      </c>
      <c r="D66" s="66" t="n">
        <f aca="false">'Point 1 - Transco'!D72</f>
        <v>38650</v>
      </c>
      <c r="E66" s="41" t="n">
        <f aca="false">'Point 1 - Transco'!F72</f>
        <v>1762</v>
      </c>
      <c r="G66" s="59" t="n">
        <f aca="false">'Point 1 - Transco'!Y72</f>
        <v>60900</v>
      </c>
      <c r="H66" s="59" t="n">
        <f aca="false">G66*C66</f>
        <v>1827000</v>
      </c>
      <c r="J66" s="59" t="n">
        <f aca="false">'Point 2 - TGT'!Y72</f>
        <v>0</v>
      </c>
      <c r="K66" s="59" t="n">
        <f aca="false">J66*C66</f>
        <v>0</v>
      </c>
      <c r="M66" s="59" t="n">
        <f aca="false">'Point 3 - ColGulf'!Y72</f>
        <v>0</v>
      </c>
      <c r="N66" s="59" t="n">
        <f aca="false">M66*C66</f>
        <v>0</v>
      </c>
      <c r="P66" s="59" t="n">
        <f aca="false">'Point 4 - Tetco'!Y72</f>
        <v>0</v>
      </c>
      <c r="Q66" s="59" t="n">
        <f aca="false">P66*C66</f>
        <v>0</v>
      </c>
      <c r="S66" s="68" t="n">
        <f aca="false">'Point 1 - Transco'!Z72</f>
        <v>3.79043629113092</v>
      </c>
      <c r="T66" s="68" t="n">
        <f aca="false">'Point 2 - TGT'!Z72</f>
        <v>0</v>
      </c>
      <c r="U66" s="68" t="n">
        <f aca="false">'Point 3 - ColGulf'!Z72</f>
        <v>0</v>
      </c>
      <c r="V66" s="68" t="n">
        <f aca="false">'Point 4 - Tetco'!Z72</f>
        <v>0</v>
      </c>
      <c r="X66" s="59" t="n">
        <f aca="false">(H66*S66)+(K66*T66)+(N66*U66)+(Q66*V66)</f>
        <v>6925127.10389619</v>
      </c>
    </row>
    <row r="67" customFormat="false" ht="12.75" hidden="false" customHeight="false" outlineLevel="0" collapsed="false">
      <c r="B67" s="69" t="n">
        <f aca="false">'Point 1 - Transco'!B73</f>
        <v>38626</v>
      </c>
      <c r="C67" s="41" t="n">
        <f aca="false">'Point 1 - Transco'!C73</f>
        <v>31</v>
      </c>
      <c r="D67" s="66" t="n">
        <f aca="false">'Point 1 - Transco'!D73</f>
        <v>38681</v>
      </c>
      <c r="E67" s="41" t="n">
        <f aca="false">'Point 1 - Transco'!F73</f>
        <v>1793</v>
      </c>
      <c r="G67" s="59" t="n">
        <f aca="false">'Point 1 - Transco'!Y73</f>
        <v>60900</v>
      </c>
      <c r="H67" s="59" t="n">
        <f aca="false">G67*C67</f>
        <v>1887900</v>
      </c>
      <c r="J67" s="59" t="n">
        <f aca="false">'Point 2 - TGT'!Y73</f>
        <v>0</v>
      </c>
      <c r="K67" s="59" t="n">
        <f aca="false">J67*C67</f>
        <v>0</v>
      </c>
      <c r="M67" s="59" t="n">
        <f aca="false">'Point 3 - ColGulf'!Y73</f>
        <v>0</v>
      </c>
      <c r="N67" s="59" t="n">
        <f aca="false">M67*C67</f>
        <v>0</v>
      </c>
      <c r="P67" s="59" t="n">
        <f aca="false">'Point 4 - Tetco'!Y73</f>
        <v>0</v>
      </c>
      <c r="Q67" s="59" t="n">
        <f aca="false">P67*C67</f>
        <v>0</v>
      </c>
      <c r="S67" s="68" t="n">
        <f aca="false">'Point 1 - Transco'!Z73</f>
        <v>3.79043629113092</v>
      </c>
      <c r="T67" s="68" t="n">
        <f aca="false">'Point 2 - TGT'!Z73</f>
        <v>0</v>
      </c>
      <c r="U67" s="68" t="n">
        <f aca="false">'Point 3 - ColGulf'!Z73</f>
        <v>0</v>
      </c>
      <c r="V67" s="68" t="n">
        <f aca="false">'Point 4 - Tetco'!Z73</f>
        <v>0</v>
      </c>
      <c r="X67" s="59" t="n">
        <f aca="false">(H67*S67)+(K67*T67)+(N67*U67)+(Q67*V67)</f>
        <v>7155964.67402606</v>
      </c>
    </row>
    <row r="68" customFormat="false" ht="12.75" hidden="false" customHeight="false" outlineLevel="0" collapsed="false">
      <c r="B68" s="69" t="n">
        <f aca="false">'Point 1 - Transco'!B74</f>
        <v>38657</v>
      </c>
      <c r="C68" s="41" t="n">
        <f aca="false">'Point 1 - Transco'!C74</f>
        <v>30</v>
      </c>
      <c r="D68" s="66" t="n">
        <f aca="false">'Point 1 - Transco'!D74</f>
        <v>38712</v>
      </c>
      <c r="E68" s="41" t="n">
        <f aca="false">'Point 1 - Transco'!F74</f>
        <v>1824</v>
      </c>
      <c r="G68" s="59" t="n">
        <f aca="false">'Point 1 - Transco'!Y74</f>
        <v>60900</v>
      </c>
      <c r="H68" s="59" t="n">
        <f aca="false">G68*C68</f>
        <v>1827000</v>
      </c>
      <c r="J68" s="59" t="n">
        <f aca="false">'Point 2 - TGT'!Y74</f>
        <v>0</v>
      </c>
      <c r="K68" s="59" t="n">
        <f aca="false">J68*C68</f>
        <v>0</v>
      </c>
      <c r="M68" s="59" t="n">
        <f aca="false">'Point 3 - ColGulf'!Y74</f>
        <v>0</v>
      </c>
      <c r="N68" s="59" t="n">
        <f aca="false">M68*C68</f>
        <v>0</v>
      </c>
      <c r="P68" s="59" t="n">
        <f aca="false">'Point 4 - Tetco'!Y74</f>
        <v>0</v>
      </c>
      <c r="Q68" s="59" t="n">
        <f aca="false">P68*C68</f>
        <v>0</v>
      </c>
      <c r="S68" s="68" t="n">
        <f aca="false">'Point 1 - Transco'!Z74</f>
        <v>3.79043629113092</v>
      </c>
      <c r="T68" s="68" t="n">
        <f aca="false">'Point 2 - TGT'!Z74</f>
        <v>0</v>
      </c>
      <c r="U68" s="68" t="n">
        <f aca="false">'Point 3 - ColGulf'!Z74</f>
        <v>0</v>
      </c>
      <c r="V68" s="68" t="n">
        <f aca="false">'Point 4 - Tetco'!Z74</f>
        <v>0</v>
      </c>
      <c r="X68" s="59" t="n">
        <f aca="false">(H68*S68)+(K68*T68)+(N68*U68)+(Q68*V68)</f>
        <v>6925127.10389619</v>
      </c>
    </row>
    <row r="69" customFormat="false" ht="12.75" hidden="false" customHeight="false" outlineLevel="0" collapsed="false">
      <c r="B69" s="69"/>
      <c r="C69" s="41"/>
      <c r="D69" s="66"/>
      <c r="E69" s="41"/>
    </row>
    <row r="70" customFormat="false" ht="12.75" hidden="false" customHeight="false" outlineLevel="0" collapsed="false">
      <c r="B70" s="69"/>
      <c r="C70" s="41"/>
      <c r="D70" s="66"/>
      <c r="E70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I83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I17" activeCellId="0" sqref="I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85"/>
    <col collapsed="false" customWidth="true" hidden="false" outlineLevel="0" max="4" min="4" style="0" width="10.99"/>
    <col collapsed="false" customWidth="true" hidden="false" outlineLevel="0" max="5" min="5" style="0" width="10.85"/>
    <col collapsed="false" customWidth="true" hidden="false" outlineLevel="0" max="6" min="6" style="0" width="1.85"/>
    <col collapsed="false" customWidth="true" hidden="false" outlineLevel="0" max="8" min="8" style="0" width="13.85"/>
    <col collapsed="false" customWidth="true" hidden="false" outlineLevel="0" max="10" min="10" style="0" width="1.85"/>
    <col collapsed="false" customWidth="true" hidden="false" outlineLevel="0" max="11" min="11" style="0" width="9.7"/>
    <col collapsed="false" customWidth="true" hidden="false" outlineLevel="0" max="13" min="13" style="0" width="11.42"/>
    <col collapsed="false" customWidth="true" hidden="false" outlineLevel="0" max="14" min="14" style="0" width="11.28"/>
    <col collapsed="false" customWidth="true" hidden="false" outlineLevel="0" max="15" min="15" style="0" width="12.42"/>
    <col collapsed="false" customWidth="true" hidden="false" outlineLevel="0" max="16" min="16" style="0" width="9.99"/>
    <col collapsed="false" customWidth="true" hidden="false" outlineLevel="0" max="17" min="17" style="0" width="14.14"/>
    <col collapsed="false" customWidth="true" hidden="false" outlineLevel="0" max="18" min="18" style="0" width="1.85"/>
    <col collapsed="false" customWidth="true" hidden="false" outlineLevel="0" max="19" min="19" style="0" width="9.7"/>
    <col collapsed="false" customWidth="true" hidden="false" outlineLevel="0" max="21" min="21" style="0" width="11.42"/>
    <col collapsed="false" customWidth="true" hidden="false" outlineLevel="0" max="23" min="23" style="0" width="10.56"/>
    <col collapsed="false" customWidth="true" hidden="false" outlineLevel="0" max="24" min="24" style="0" width="9.85"/>
    <col collapsed="false" customWidth="true" hidden="false" outlineLevel="0" max="25" min="25" style="0" width="14.14"/>
    <col collapsed="false" customWidth="true" hidden="false" outlineLevel="0" max="26" min="26" style="0" width="1.85"/>
    <col collapsed="false" customWidth="true" hidden="false" outlineLevel="0" max="27" min="27" style="0" width="9.85"/>
    <col collapsed="false" customWidth="true" hidden="false" outlineLevel="0" max="29" min="29" style="0" width="11.42"/>
    <col collapsed="false" customWidth="true" hidden="false" outlineLevel="0" max="31" min="31" style="0" width="11.13"/>
    <col collapsed="false" customWidth="true" hidden="false" outlineLevel="0" max="32" min="32" style="0" width="9.85"/>
    <col collapsed="false" customWidth="true" hidden="false" outlineLevel="0" max="33" min="33" style="0" width="14.14"/>
    <col collapsed="false" customWidth="true" hidden="false" outlineLevel="0" max="34" min="34" style="0" width="1.85"/>
    <col collapsed="false" customWidth="true" hidden="false" outlineLevel="0" max="35" min="35" style="0" width="9.7"/>
    <col collapsed="false" customWidth="true" hidden="false" outlineLevel="0" max="37" min="37" style="0" width="11.42"/>
    <col collapsed="false" customWidth="true" hidden="false" outlineLevel="0" max="39" min="39" style="0" width="10.71"/>
    <col collapsed="false" customWidth="true" hidden="false" outlineLevel="0" max="40" min="40" style="0" width="9.85"/>
    <col collapsed="false" customWidth="true" hidden="false" outlineLevel="0" max="41" min="41" style="0" width="14.14"/>
    <col collapsed="false" customWidth="true" hidden="false" outlineLevel="0" max="42" min="42" style="0" width="1.85"/>
    <col collapsed="false" customWidth="true" hidden="false" outlineLevel="0" max="43" min="43" style="0" width="10.71"/>
    <col collapsed="false" customWidth="true" hidden="false" outlineLevel="0" max="45" min="44" style="0" width="9.28"/>
    <col collapsed="false" customWidth="true" hidden="false" outlineLevel="0" max="46" min="46" style="0" width="9.7"/>
    <col collapsed="false" customWidth="true" hidden="false" outlineLevel="0" max="49" min="49" style="0" width="1.85"/>
    <col collapsed="false" customWidth="true" hidden="false" outlineLevel="0" max="51" min="50" style="0" width="11.99"/>
    <col collapsed="false" customWidth="true" hidden="false" outlineLevel="0" max="52" min="52" style="0" width="1.85"/>
    <col collapsed="false" customWidth="true" hidden="false" outlineLevel="0" max="54" min="54" style="0" width="14.14"/>
    <col collapsed="false" customWidth="true" hidden="false" outlineLevel="0" max="55" min="55" style="0" width="9.7"/>
    <col collapsed="false" customWidth="true" hidden="false" outlineLevel="0" max="56" min="56" style="0" width="9.85"/>
    <col collapsed="false" customWidth="true" hidden="false" outlineLevel="0" max="58" min="57" style="0" width="9.99"/>
  </cols>
  <sheetData>
    <row r="1" customFormat="false" ht="12.75" hidden="false" customHeight="false" outlineLevel="0" collapsed="false">
      <c r="A1" s="1" t="s">
        <v>96</v>
      </c>
    </row>
    <row r="2" customFormat="false" ht="12.75" hidden="false" customHeight="false" outlineLevel="0" collapsed="false">
      <c r="A2" s="1" t="s">
        <v>97</v>
      </c>
      <c r="K2" s="1" t="s">
        <v>98</v>
      </c>
      <c r="S2" s="1" t="s">
        <v>99</v>
      </c>
      <c r="AA2" s="1" t="s">
        <v>100</v>
      </c>
      <c r="AI2" s="1" t="s">
        <v>101</v>
      </c>
      <c r="AQ2" s="1" t="s">
        <v>102</v>
      </c>
      <c r="BA2" s="1" t="s">
        <v>103</v>
      </c>
    </row>
    <row r="3" customFormat="false" ht="12.75" hidden="false" customHeight="false" outlineLevel="0" collapsed="false">
      <c r="A3" s="1"/>
      <c r="K3" s="1"/>
      <c r="S3" s="1"/>
      <c r="AA3" s="1"/>
      <c r="AI3" s="1"/>
      <c r="AQ3" s="1"/>
    </row>
    <row r="4" customFormat="false" ht="12.75" hidden="false" customHeight="false" outlineLevel="0" collapsed="false">
      <c r="A4" s="1"/>
      <c r="K4" s="1"/>
      <c r="S4" s="1"/>
      <c r="AA4" s="1"/>
      <c r="AI4" s="1"/>
      <c r="AQ4" s="1"/>
    </row>
    <row r="5" customFormat="false" ht="12.75" hidden="false" customHeight="false" outlineLevel="0" collapsed="false">
      <c r="A5" s="1"/>
      <c r="B5" s="1" t="s">
        <v>104</v>
      </c>
      <c r="C5" s="1"/>
      <c r="D5" s="1"/>
      <c r="H5" s="62" t="e">
        <f aca="false">O7+W7+AE7+AM7</f>
        <v>#NAME?</v>
      </c>
      <c r="K5" s="1"/>
      <c r="L5" s="0" t="s">
        <v>105</v>
      </c>
      <c r="O5" s="59" t="e">
        <f aca="false">SUM(O21:O76)</f>
        <v>#NAME?</v>
      </c>
      <c r="S5" s="1"/>
      <c r="T5" s="0" t="s">
        <v>105</v>
      </c>
      <c r="W5" s="59" t="e">
        <f aca="false">SUM(W21:W76)</f>
        <v>#NAME?</v>
      </c>
      <c r="AA5" s="1"/>
      <c r="AB5" s="0" t="s">
        <v>105</v>
      </c>
      <c r="AE5" s="59" t="e">
        <f aca="false">SUM(AE21:AE76)</f>
        <v>#NAME?</v>
      </c>
      <c r="AI5" s="1"/>
      <c r="AJ5" s="0" t="s">
        <v>105</v>
      </c>
      <c r="AM5" s="59" t="e">
        <f aca="false">SUM(AM21:AM76)</f>
        <v>#NAME?</v>
      </c>
      <c r="AQ5" s="1"/>
    </row>
    <row r="6" customFormat="false" ht="12.75" hidden="false" customHeight="false" outlineLevel="0" collapsed="false">
      <c r="A6" s="1"/>
      <c r="B6" s="1" t="s">
        <v>106</v>
      </c>
      <c r="H6" s="62" t="e">
        <f aca="false">-AY18</f>
        <v>#NAME?</v>
      </c>
      <c r="K6" s="1"/>
      <c r="L6" s="0" t="s">
        <v>107</v>
      </c>
      <c r="O6" s="70" t="e">
        <f aca="false">SUM(P21:P76)</f>
        <v>#NAME?</v>
      </c>
      <c r="S6" s="1"/>
      <c r="T6" s="0" t="s">
        <v>107</v>
      </c>
      <c r="W6" s="70" t="e">
        <f aca="false">SUM(X21:X76)</f>
        <v>#NAME?</v>
      </c>
      <c r="AA6" s="1"/>
      <c r="AB6" s="0" t="s">
        <v>107</v>
      </c>
      <c r="AE6" s="70" t="e">
        <f aca="false">SUM(AF21:AF76)</f>
        <v>#NAME?</v>
      </c>
      <c r="AI6" s="1"/>
      <c r="AJ6" s="0" t="s">
        <v>107</v>
      </c>
      <c r="AM6" s="70" t="e">
        <f aca="false">SUM(AN21:AN76)</f>
        <v>#NAME?</v>
      </c>
      <c r="AQ6" s="1"/>
    </row>
    <row r="7" customFormat="false" ht="12.75" hidden="false" customHeight="false" outlineLevel="0" collapsed="false">
      <c r="A7" s="1"/>
      <c r="K7" s="1"/>
      <c r="L7" s="0" t="s">
        <v>108</v>
      </c>
      <c r="O7" s="59" t="e">
        <f aca="false">SUM(Q21:Q76)</f>
        <v>#NAME?</v>
      </c>
      <c r="S7" s="1"/>
      <c r="T7" s="0" t="s">
        <v>108</v>
      </c>
      <c r="W7" s="59" t="e">
        <f aca="false">SUM(Y21:Y76)</f>
        <v>#NAME?</v>
      </c>
      <c r="AA7" s="1"/>
      <c r="AB7" s="0" t="s">
        <v>108</v>
      </c>
      <c r="AE7" s="59" t="e">
        <f aca="false">SUM(AG21:AG76)</f>
        <v>#NAME?</v>
      </c>
      <c r="AI7" s="1"/>
      <c r="AJ7" s="0" t="s">
        <v>108</v>
      </c>
      <c r="AM7" s="59" t="e">
        <f aca="false">SUM(AO21:AO76)</f>
        <v>#NAME?</v>
      </c>
      <c r="AQ7" s="1"/>
    </row>
    <row r="11" customFormat="false" ht="12.75" hidden="false" customHeight="false" outlineLevel="0" collapsed="false">
      <c r="BG11" s="41"/>
    </row>
    <row r="12" customFormat="false" ht="12.75" hidden="false" customHeight="false" outlineLevel="0" collapsed="false">
      <c r="E12" s="41" t="s">
        <v>109</v>
      </c>
      <c r="H12" s="41" t="s">
        <v>70</v>
      </c>
      <c r="AQ12" s="41" t="s">
        <v>110</v>
      </c>
      <c r="AR12" s="41" t="s">
        <v>111</v>
      </c>
      <c r="AS12" s="41" t="s">
        <v>112</v>
      </c>
      <c r="AT12" s="41" t="s">
        <v>109</v>
      </c>
      <c r="AU12" s="41" t="s">
        <v>112</v>
      </c>
      <c r="AV12" s="41" t="s">
        <v>109</v>
      </c>
      <c r="AX12" s="41" t="s">
        <v>112</v>
      </c>
      <c r="AY12" s="41" t="s">
        <v>109</v>
      </c>
      <c r="BB12" s="41" t="s">
        <v>90</v>
      </c>
      <c r="BF12" s="41" t="s">
        <v>113</v>
      </c>
      <c r="BG12" s="41"/>
    </row>
    <row r="13" customFormat="false" ht="12.75" hidden="false" customHeight="false" outlineLevel="0" collapsed="false">
      <c r="B13" s="41" t="s">
        <v>69</v>
      </c>
      <c r="C13" s="41" t="s">
        <v>69</v>
      </c>
      <c r="D13" s="41" t="s">
        <v>89</v>
      </c>
      <c r="E13" s="41" t="s">
        <v>90</v>
      </c>
      <c r="H13" s="71" t="s">
        <v>114</v>
      </c>
      <c r="I13" s="41" t="s">
        <v>90</v>
      </c>
      <c r="K13" s="41" t="s">
        <v>115</v>
      </c>
      <c r="L13" s="41" t="s">
        <v>116</v>
      </c>
      <c r="M13" s="41" t="s">
        <v>116</v>
      </c>
      <c r="N13" s="41" t="s">
        <v>117</v>
      </c>
      <c r="O13" s="41" t="s">
        <v>118</v>
      </c>
      <c r="P13" s="41" t="s">
        <v>119</v>
      </c>
      <c r="Q13" s="41" t="s">
        <v>116</v>
      </c>
      <c r="S13" s="41" t="s">
        <v>115</v>
      </c>
      <c r="T13" s="41" t="s">
        <v>116</v>
      </c>
      <c r="U13" s="41" t="s">
        <v>116</v>
      </c>
      <c r="V13" s="41" t="s">
        <v>117</v>
      </c>
      <c r="W13" s="41" t="s">
        <v>118</v>
      </c>
      <c r="X13" s="41" t="s">
        <v>119</v>
      </c>
      <c r="Y13" s="41" t="s">
        <v>116</v>
      </c>
      <c r="AA13" s="41" t="s">
        <v>115</v>
      </c>
      <c r="AB13" s="41" t="s">
        <v>116</v>
      </c>
      <c r="AC13" s="41" t="s">
        <v>116</v>
      </c>
      <c r="AD13" s="41" t="s">
        <v>117</v>
      </c>
      <c r="AE13" s="41" t="s">
        <v>118</v>
      </c>
      <c r="AF13" s="41" t="s">
        <v>119</v>
      </c>
      <c r="AG13" s="41" t="s">
        <v>116</v>
      </c>
      <c r="AI13" s="41" t="s">
        <v>115</v>
      </c>
      <c r="AJ13" s="41" t="s">
        <v>116</v>
      </c>
      <c r="AK13" s="41" t="s">
        <v>116</v>
      </c>
      <c r="AL13" s="41" t="s">
        <v>117</v>
      </c>
      <c r="AM13" s="41" t="s">
        <v>118</v>
      </c>
      <c r="AN13" s="41" t="s">
        <v>119</v>
      </c>
      <c r="AO13" s="41" t="s">
        <v>116</v>
      </c>
      <c r="AQ13" s="71" t="s">
        <v>116</v>
      </c>
      <c r="AR13" s="71" t="s">
        <v>120</v>
      </c>
      <c r="AS13" s="71" t="s">
        <v>121</v>
      </c>
      <c r="AT13" s="71" t="s">
        <v>90</v>
      </c>
      <c r="AU13" s="71" t="s">
        <v>90</v>
      </c>
      <c r="AV13" s="71" t="s">
        <v>90</v>
      </c>
      <c r="AX13" s="71" t="s">
        <v>117</v>
      </c>
      <c r="AY13" s="71" t="s">
        <v>117</v>
      </c>
      <c r="BB13" s="41" t="s">
        <v>122</v>
      </c>
      <c r="BC13" s="41" t="s">
        <v>119</v>
      </c>
      <c r="BD13" s="41" t="s">
        <v>117</v>
      </c>
      <c r="BE13" s="41" t="s">
        <v>117</v>
      </c>
      <c r="BF13" s="41" t="s">
        <v>123</v>
      </c>
      <c r="BG13" s="41"/>
    </row>
    <row r="14" customFormat="false" ht="12.75" hidden="false" customHeight="false" outlineLevel="0" collapsed="false">
      <c r="B14" s="60" t="s">
        <v>75</v>
      </c>
      <c r="C14" s="60" t="s">
        <v>76</v>
      </c>
      <c r="D14" s="60" t="s">
        <v>75</v>
      </c>
      <c r="E14" s="60" t="s">
        <v>76</v>
      </c>
      <c r="G14" s="60" t="s">
        <v>113</v>
      </c>
      <c r="H14" s="60" t="s">
        <v>124</v>
      </c>
      <c r="I14" s="60" t="s">
        <v>122</v>
      </c>
      <c r="K14" s="60" t="s">
        <v>125</v>
      </c>
      <c r="L14" s="60" t="s">
        <v>37</v>
      </c>
      <c r="M14" s="60" t="s">
        <v>126</v>
      </c>
      <c r="N14" s="60" t="s">
        <v>93</v>
      </c>
      <c r="O14" s="60" t="s">
        <v>127</v>
      </c>
      <c r="P14" s="60" t="s">
        <v>127</v>
      </c>
      <c r="Q14" s="60" t="s">
        <v>128</v>
      </c>
      <c r="S14" s="60" t="s">
        <v>125</v>
      </c>
      <c r="T14" s="60" t="s">
        <v>37</v>
      </c>
      <c r="U14" s="60" t="s">
        <v>126</v>
      </c>
      <c r="V14" s="60" t="s">
        <v>93</v>
      </c>
      <c r="W14" s="60" t="s">
        <v>127</v>
      </c>
      <c r="X14" s="60" t="s">
        <v>127</v>
      </c>
      <c r="Y14" s="60" t="s">
        <v>128</v>
      </c>
      <c r="AA14" s="60" t="s">
        <v>125</v>
      </c>
      <c r="AB14" s="60" t="s">
        <v>37</v>
      </c>
      <c r="AC14" s="60" t="s">
        <v>126</v>
      </c>
      <c r="AD14" s="60" t="s">
        <v>93</v>
      </c>
      <c r="AE14" s="60" t="s">
        <v>127</v>
      </c>
      <c r="AF14" s="60" t="s">
        <v>127</v>
      </c>
      <c r="AG14" s="60" t="s">
        <v>128</v>
      </c>
      <c r="AI14" s="60" t="s">
        <v>125</v>
      </c>
      <c r="AJ14" s="60" t="s">
        <v>37</v>
      </c>
      <c r="AK14" s="60" t="s">
        <v>126</v>
      </c>
      <c r="AL14" s="60" t="s">
        <v>93</v>
      </c>
      <c r="AM14" s="60" t="s">
        <v>127</v>
      </c>
      <c r="AN14" s="60" t="s">
        <v>127</v>
      </c>
      <c r="AO14" s="60" t="s">
        <v>128</v>
      </c>
      <c r="AQ14" s="60" t="s">
        <v>127</v>
      </c>
      <c r="AR14" s="60" t="s">
        <v>129</v>
      </c>
      <c r="AS14" s="60" t="s">
        <v>76</v>
      </c>
      <c r="AT14" s="60" t="s">
        <v>76</v>
      </c>
      <c r="AU14" s="60" t="s">
        <v>122</v>
      </c>
      <c r="AV14" s="60" t="s">
        <v>122</v>
      </c>
      <c r="AX14" s="60" t="s">
        <v>127</v>
      </c>
      <c r="AY14" s="60" t="s">
        <v>127</v>
      </c>
      <c r="BA14" s="60" t="s">
        <v>113</v>
      </c>
      <c r="BB14" s="60" t="s">
        <v>130</v>
      </c>
      <c r="BC14" s="60" t="s">
        <v>131</v>
      </c>
      <c r="BD14" s="60" t="s">
        <v>131</v>
      </c>
      <c r="BE14" s="60" t="s">
        <v>132</v>
      </c>
      <c r="BF14" s="60" t="s">
        <v>37</v>
      </c>
      <c r="BG14" s="60"/>
    </row>
    <row r="15" customFormat="false" ht="12.75" hidden="false" customHeight="false" outlineLevel="0" collapsed="false">
      <c r="AR15" s="41"/>
      <c r="AS15" s="41"/>
    </row>
    <row r="16" customFormat="false" ht="12.75" hidden="false" customHeight="false" outlineLevel="0" collapsed="false">
      <c r="D16" s="66" t="n">
        <f aca="false">'Enron Proposal'!D8</f>
        <v>36888</v>
      </c>
      <c r="AR16" s="71"/>
      <c r="AS16" s="71"/>
    </row>
    <row r="17" customFormat="false" ht="12.75" hidden="false" customHeight="false" outlineLevel="0" collapsed="false">
      <c r="B17" s="69" t="n">
        <f aca="false">'Enron Proposal'!B9</f>
        <v>36861</v>
      </c>
      <c r="C17" s="41" t="n">
        <f aca="false">'Enron Proposal'!C9</f>
        <v>31</v>
      </c>
      <c r="D17" s="66" t="n">
        <f aca="false">'Enron Proposal'!D9</f>
        <v>36916</v>
      </c>
      <c r="E17" s="41" t="n">
        <f aca="false">D17-$D$16</f>
        <v>28</v>
      </c>
      <c r="AU17" s="4" t="s">
        <v>133</v>
      </c>
      <c r="AX17" s="59" t="e">
        <f aca="false">SUM(AX21:AX76)</f>
        <v>#NAME?</v>
      </c>
      <c r="AY17" s="59" t="e">
        <f aca="false">SUM(AY21:AY76)</f>
        <v>#NAME?</v>
      </c>
    </row>
    <row r="18" customFormat="false" ht="12.75" hidden="false" customHeight="false" outlineLevel="0" collapsed="false">
      <c r="B18" s="69" t="n">
        <f aca="false">'Enron Proposal'!B10</f>
        <v>36892</v>
      </c>
      <c r="C18" s="41" t="n">
        <f aca="false">'Enron Proposal'!C10</f>
        <v>31</v>
      </c>
      <c r="D18" s="66" t="n">
        <f aca="false">'Enron Proposal'!D10</f>
        <v>36948</v>
      </c>
      <c r="E18" s="41" t="n">
        <f aca="false">D18-$D$16</f>
        <v>60</v>
      </c>
      <c r="AU18" s="4" t="s">
        <v>134</v>
      </c>
      <c r="AY18" s="59" t="e">
        <f aca="false">AX17-AY17</f>
        <v>#NAME?</v>
      </c>
    </row>
    <row r="19" customFormat="false" ht="12.75" hidden="false" customHeight="false" outlineLevel="0" collapsed="false">
      <c r="B19" s="69" t="n">
        <f aca="false">'Enron Proposal'!B11</f>
        <v>36923</v>
      </c>
      <c r="C19" s="41" t="n">
        <f aca="false">'Enron Proposal'!C11</f>
        <v>28</v>
      </c>
      <c r="D19" s="66" t="n">
        <f aca="false">'Enron Proposal'!D11</f>
        <v>36976</v>
      </c>
      <c r="E19" s="41" t="n">
        <f aca="false">D19-$D$16</f>
        <v>88</v>
      </c>
    </row>
    <row r="20" customFormat="false" ht="12.75" hidden="false" customHeight="false" outlineLevel="0" collapsed="false">
      <c r="B20" s="69" t="n">
        <f aca="false">'Enron Proposal'!B12</f>
        <v>36951</v>
      </c>
      <c r="C20" s="41" t="n">
        <f aca="false">'Enron Proposal'!C12</f>
        <v>31</v>
      </c>
      <c r="D20" s="66" t="n">
        <f aca="false">'Enron Proposal'!D12</f>
        <v>37006</v>
      </c>
      <c r="E20" s="41" t="n">
        <f aca="false">D20-$D$16</f>
        <v>118</v>
      </c>
    </row>
    <row r="21" customFormat="false" ht="12.75" hidden="false" customHeight="false" outlineLevel="0" collapsed="false">
      <c r="B21" s="69" t="n">
        <f aca="false">'Enron Proposal'!B13</f>
        <v>36982</v>
      </c>
      <c r="C21" s="41" t="n">
        <f aca="false">'Enron Proposal'!C13</f>
        <v>30</v>
      </c>
      <c r="D21" s="66" t="n">
        <f aca="false">'Enron Proposal'!D13</f>
        <v>37036</v>
      </c>
      <c r="E21" s="41" t="n">
        <f aca="false">D21-$D$16</f>
        <v>148</v>
      </c>
      <c r="G21" s="72" t="n">
        <f aca="false">Curves!B5</f>
        <v>6.01</v>
      </c>
      <c r="H21" s="73" t="e">
        <f aca="false">Spline('Financing Assumptions'!$G$20:$G$29,'Financing Assumptions'!$F$20:$F$29,B21,1)+Curves!C5</f>
        <v>#NAME?</v>
      </c>
      <c r="I21" s="74" t="e">
        <f aca="false">(1+H21/2)^(-2*E21/365.25)</f>
        <v>#NAME?</v>
      </c>
      <c r="K21" s="0" t="n">
        <f aca="false">Curves!D5+Curves!E5</f>
        <v>0.035</v>
      </c>
      <c r="L21" s="72" t="n">
        <f aca="false">'Enron Proposal'!S13</f>
        <v>5.34346227152483</v>
      </c>
      <c r="M21" s="59" t="n">
        <f aca="false">'Enron Proposal'!G13</f>
        <v>43200</v>
      </c>
      <c r="N21" s="59" t="e">
        <f aca="false">M21*C21*I21</f>
        <v>#NAME?</v>
      </c>
      <c r="O21" s="59" t="e">
        <f aca="false">(G21+K21)*N21</f>
        <v>#NAME?</v>
      </c>
      <c r="P21" s="59" t="e">
        <f aca="false">N21*L21</f>
        <v>#NAME?</v>
      </c>
      <c r="Q21" s="59" t="e">
        <f aca="false">O21-P21</f>
        <v>#NAME?</v>
      </c>
      <c r="S21" s="68" t="n">
        <f aca="false">Curves!F5+Curves!G5</f>
        <v>-0.0175</v>
      </c>
      <c r="T21" s="68" t="n">
        <f aca="false">'Enron Proposal'!T13</f>
        <v>0</v>
      </c>
      <c r="U21" s="59" t="n">
        <f aca="false">'Enron Proposal'!J13</f>
        <v>0</v>
      </c>
      <c r="V21" s="59" t="e">
        <f aca="false">U21*C21*I21</f>
        <v>#NAME?</v>
      </c>
      <c r="W21" s="59" t="e">
        <f aca="false">(G21+S21)*V21</f>
        <v>#NAME?</v>
      </c>
      <c r="X21" s="59" t="e">
        <f aca="false">V21*T21</f>
        <v>#NAME?</v>
      </c>
      <c r="Y21" s="59" t="e">
        <f aca="false">W21-X21</f>
        <v>#NAME?</v>
      </c>
      <c r="AA21" s="68" t="n">
        <f aca="false">Curves!H5+Curves!I5</f>
        <v>-0.015</v>
      </c>
      <c r="AB21" s="68" t="n">
        <f aca="false">'Enron Proposal'!U13</f>
        <v>0</v>
      </c>
      <c r="AC21" s="59" t="n">
        <f aca="false">'Enron Proposal'!M13</f>
        <v>0</v>
      </c>
      <c r="AD21" s="59" t="e">
        <f aca="false">AC21*C21*I21</f>
        <v>#NAME?</v>
      </c>
      <c r="AE21" s="59" t="e">
        <f aca="false">(G21+AA21)*AD21</f>
        <v>#NAME?</v>
      </c>
      <c r="AF21" s="59" t="e">
        <f aca="false">AD21*AB21</f>
        <v>#NAME?</v>
      </c>
      <c r="AG21" s="59" t="e">
        <f aca="false">AE21-AF21</f>
        <v>#NAME?</v>
      </c>
      <c r="AI21" s="68" t="n">
        <f aca="false">Curves!J5+Curves!K5</f>
        <v>-0.055</v>
      </c>
      <c r="AJ21" s="68" t="n">
        <f aca="false">'Enron Proposal'!V13</f>
        <v>0</v>
      </c>
      <c r="AK21" s="59" t="n">
        <f aca="false">'Enron Proposal'!P13</f>
        <v>0</v>
      </c>
      <c r="AL21" s="59" t="e">
        <f aca="false">AK21*C21*I21</f>
        <v>#NAME?</v>
      </c>
      <c r="AM21" s="59" t="e">
        <f aca="false">(G21+AI21)*AL21</f>
        <v>#NAME?</v>
      </c>
      <c r="AN21" s="59" t="e">
        <f aca="false">AL21*AJ21</f>
        <v>#NAME?</v>
      </c>
      <c r="AO21" s="59" t="e">
        <f aca="false">AM21-AN21</f>
        <v>#NAME?</v>
      </c>
      <c r="AQ21" s="59" t="e">
        <f aca="false">(P21+X21+AF21+AN21)/I21</f>
        <v>#NAME?</v>
      </c>
      <c r="AR21" s="11" t="n">
        <f aca="false">Curves!C5</f>
        <v>0.066009899863733</v>
      </c>
      <c r="AS21" s="0" t="n">
        <f aca="false">B21-$D$16</f>
        <v>94</v>
      </c>
      <c r="AT21" s="0" t="n">
        <f aca="false">D21-$D$16</f>
        <v>148</v>
      </c>
      <c r="AU21" s="74" t="n">
        <f aca="false">(1+AR21/2)^(-2*AS21/365.25)</f>
        <v>0.983425054443439</v>
      </c>
      <c r="AV21" s="74" t="n">
        <f aca="false">(1+AR22/2)^(-2*AT21/365.25)</f>
        <v>0.974421293837232</v>
      </c>
      <c r="AX21" s="59" t="e">
        <f aca="false">AQ21*AU21</f>
        <v>#NAME?</v>
      </c>
      <c r="AY21" s="59" t="e">
        <f aca="false">AQ21*AV21</f>
        <v>#NAME?</v>
      </c>
      <c r="BA21" s="72" t="n">
        <f aca="false">G21</f>
        <v>6.01</v>
      </c>
      <c r="BB21" s="75" t="n">
        <f aca="false">'Point 1 - Transco'!H19</f>
        <v>0.974015782510108</v>
      </c>
      <c r="BC21" s="59" t="n">
        <f aca="false">M21</f>
        <v>43200</v>
      </c>
      <c r="BD21" s="59" t="n">
        <f aca="false">BC21*BB21*C21</f>
        <v>1262324.4541331</v>
      </c>
      <c r="BE21" s="59" t="n">
        <f aca="false">BD21*(BA21+K21)</f>
        <v>7630751.32523458</v>
      </c>
      <c r="BF21" s="68" t="n">
        <f aca="false">ROUND(SUM(BE21:BE32)/SUM(BD21:BD32),4)</f>
        <v>5.3396</v>
      </c>
    </row>
    <row r="22" customFormat="false" ht="12.75" hidden="false" customHeight="false" outlineLevel="0" collapsed="false">
      <c r="B22" s="69" t="n">
        <f aca="false">'Enron Proposal'!B14</f>
        <v>37012</v>
      </c>
      <c r="C22" s="41" t="n">
        <f aca="false">'Enron Proposal'!C14</f>
        <v>31</v>
      </c>
      <c r="D22" s="66" t="n">
        <f aca="false">'Enron Proposal'!D14</f>
        <v>37067</v>
      </c>
      <c r="E22" s="41" t="n">
        <f aca="false">D22-$D$16</f>
        <v>179</v>
      </c>
      <c r="G22" s="72" t="n">
        <f aca="false">Curves!B6</f>
        <v>5.36</v>
      </c>
      <c r="H22" s="73" t="e">
        <f aca="false">Spline('Financing Assumptions'!$G$20:$G$29,'Financing Assumptions'!$F$20:$F$29,B22,1)+Curves!C6</f>
        <v>#NAME?</v>
      </c>
      <c r="I22" s="74" t="e">
        <f aca="false">(1+H22/2)^(-2*E22/365.25)</f>
        <v>#NAME?</v>
      </c>
      <c r="K22" s="0" t="n">
        <f aca="false">Curves!D6+Curves!E6</f>
        <v>0.035</v>
      </c>
      <c r="L22" s="72" t="n">
        <f aca="false">'Enron Proposal'!S14</f>
        <v>5.34346227152483</v>
      </c>
      <c r="M22" s="59" t="n">
        <f aca="false">'Enron Proposal'!G14</f>
        <v>43200</v>
      </c>
      <c r="N22" s="59" t="e">
        <f aca="false">M22*C22*I22</f>
        <v>#NAME?</v>
      </c>
      <c r="O22" s="59" t="e">
        <f aca="false">(G22+K22)*N22</f>
        <v>#NAME?</v>
      </c>
      <c r="P22" s="59" t="e">
        <f aca="false">N22*L22</f>
        <v>#NAME?</v>
      </c>
      <c r="Q22" s="59" t="e">
        <f aca="false">O22-P22</f>
        <v>#NAME?</v>
      </c>
      <c r="S22" s="68" t="n">
        <f aca="false">Curves!F6+Curves!G6</f>
        <v>-0.0175</v>
      </c>
      <c r="T22" s="68" t="n">
        <f aca="false">'Enron Proposal'!T14</f>
        <v>0</v>
      </c>
      <c r="U22" s="59" t="n">
        <f aca="false">'Enron Proposal'!J14</f>
        <v>0</v>
      </c>
      <c r="V22" s="59" t="e">
        <f aca="false">U22*C22*I22</f>
        <v>#NAME?</v>
      </c>
      <c r="W22" s="59" t="e">
        <f aca="false">(G22+S22)*V22</f>
        <v>#NAME?</v>
      </c>
      <c r="X22" s="59" t="e">
        <f aca="false">V22*T22</f>
        <v>#NAME?</v>
      </c>
      <c r="Y22" s="59" t="e">
        <f aca="false">W22-X22</f>
        <v>#NAME?</v>
      </c>
      <c r="AA22" s="68" t="n">
        <f aca="false">Curves!H6+Curves!I6</f>
        <v>-0.015</v>
      </c>
      <c r="AB22" s="68" t="n">
        <f aca="false">'Enron Proposal'!U14</f>
        <v>0</v>
      </c>
      <c r="AC22" s="59" t="n">
        <f aca="false">'Enron Proposal'!M14</f>
        <v>0</v>
      </c>
      <c r="AD22" s="59" t="e">
        <f aca="false">AC22*C22*I22</f>
        <v>#NAME?</v>
      </c>
      <c r="AE22" s="59" t="e">
        <f aca="false">(G22+AA22)*AD22</f>
        <v>#NAME?</v>
      </c>
      <c r="AF22" s="59" t="e">
        <f aca="false">AD22*AB22</f>
        <v>#NAME?</v>
      </c>
      <c r="AG22" s="59" t="e">
        <f aca="false">AE22-AF22</f>
        <v>#NAME?</v>
      </c>
      <c r="AI22" s="68" t="n">
        <f aca="false">Curves!J6+Curves!K6</f>
        <v>-0.055</v>
      </c>
      <c r="AJ22" s="68" t="n">
        <f aca="false">'Enron Proposal'!V14</f>
        <v>0</v>
      </c>
      <c r="AK22" s="59" t="n">
        <f aca="false">'Enron Proposal'!P14</f>
        <v>0</v>
      </c>
      <c r="AL22" s="59" t="e">
        <f aca="false">AK22*C22*I22</f>
        <v>#NAME?</v>
      </c>
      <c r="AM22" s="59" t="e">
        <f aca="false">(G22+AI22)*AL22</f>
        <v>#NAME?</v>
      </c>
      <c r="AN22" s="59" t="e">
        <f aca="false">AL22*AJ22</f>
        <v>#NAME?</v>
      </c>
      <c r="AO22" s="59" t="e">
        <f aca="false">AM22-AN22</f>
        <v>#NAME?</v>
      </c>
      <c r="AQ22" s="59" t="e">
        <f aca="false">(P22+X22+AF22+AN22)/I22</f>
        <v>#NAME?</v>
      </c>
      <c r="AR22" s="11" t="n">
        <f aca="false">Curves!C6</f>
        <v>0.06498049692698</v>
      </c>
      <c r="AS22" s="0" t="n">
        <f aca="false">B22-$D$16</f>
        <v>124</v>
      </c>
      <c r="AT22" s="0" t="n">
        <f aca="false">D22-$D$16</f>
        <v>179</v>
      </c>
      <c r="AU22" s="74" t="n">
        <f aca="false">(1+AR22/2)^(-2*AS22/365.25)</f>
        <v>0.978524299125011</v>
      </c>
      <c r="AV22" s="74" t="n">
        <f aca="false">(1+AR23/2)^(-2*AT22/365.25)</f>
        <v>0.969636599816097</v>
      </c>
      <c r="AX22" s="59" t="e">
        <f aca="false">AQ22*AU22</f>
        <v>#NAME?</v>
      </c>
      <c r="AY22" s="59" t="e">
        <f aca="false">AQ22*AV22</f>
        <v>#NAME?</v>
      </c>
      <c r="BA22" s="72" t="n">
        <f aca="false">G22</f>
        <v>5.36</v>
      </c>
      <c r="BB22" s="75" t="n">
        <f aca="false">'Point 1 - Transco'!H20</f>
        <v>0.969132676480879</v>
      </c>
      <c r="BC22" s="59" t="n">
        <f aca="false">M22</f>
        <v>43200</v>
      </c>
      <c r="BD22" s="59" t="n">
        <f aca="false">BC22*BB22*C22</f>
        <v>1297862.48034319</v>
      </c>
      <c r="BE22" s="59" t="n">
        <f aca="false">BD22*(BA22+K22)</f>
        <v>7001968.08145153</v>
      </c>
      <c r="BF22" s="68" t="n">
        <f aca="false">$BF$21</f>
        <v>5.3396</v>
      </c>
    </row>
    <row r="23" customFormat="false" ht="12.75" hidden="false" customHeight="false" outlineLevel="0" collapsed="false">
      <c r="B23" s="69" t="n">
        <f aca="false">'Enron Proposal'!B15</f>
        <v>37043</v>
      </c>
      <c r="C23" s="41" t="n">
        <f aca="false">'Enron Proposal'!C15</f>
        <v>30</v>
      </c>
      <c r="D23" s="66" t="n">
        <f aca="false">'Enron Proposal'!D15</f>
        <v>37097</v>
      </c>
      <c r="E23" s="41" t="n">
        <f aca="false">D23-$D$16</f>
        <v>209</v>
      </c>
      <c r="G23" s="72" t="n">
        <f aca="false">Curves!B7</f>
        <v>5.31</v>
      </c>
      <c r="H23" s="73" t="e">
        <f aca="false">Spline('Financing Assumptions'!$G$20:$G$29,'Financing Assumptions'!$F$20:$F$29,B23,1)+Curves!C7</f>
        <v>#NAME?</v>
      </c>
      <c r="I23" s="74" t="e">
        <f aca="false">(1+H23/2)^(-2*E23/365.25)</f>
        <v>#NAME?</v>
      </c>
      <c r="K23" s="0" t="n">
        <f aca="false">Curves!D7+Curves!E7</f>
        <v>0.035</v>
      </c>
      <c r="L23" s="72" t="n">
        <f aca="false">'Enron Proposal'!S15</f>
        <v>5.34346227152483</v>
      </c>
      <c r="M23" s="59" t="n">
        <f aca="false">'Enron Proposal'!G15</f>
        <v>43200</v>
      </c>
      <c r="N23" s="59" t="e">
        <f aca="false">M23*C23*I23</f>
        <v>#NAME?</v>
      </c>
      <c r="O23" s="59" t="e">
        <f aca="false">(G23+K23)*N23</f>
        <v>#NAME?</v>
      </c>
      <c r="P23" s="59" t="e">
        <f aca="false">N23*L23</f>
        <v>#NAME?</v>
      </c>
      <c r="Q23" s="59" t="e">
        <f aca="false">O23-P23</f>
        <v>#NAME?</v>
      </c>
      <c r="S23" s="68" t="n">
        <f aca="false">Curves!F7+Curves!G7</f>
        <v>-0.0175</v>
      </c>
      <c r="T23" s="68" t="n">
        <f aca="false">'Enron Proposal'!T15</f>
        <v>0</v>
      </c>
      <c r="U23" s="59" t="n">
        <f aca="false">'Enron Proposal'!J15</f>
        <v>0</v>
      </c>
      <c r="V23" s="59" t="e">
        <f aca="false">U23*C23*I23</f>
        <v>#NAME?</v>
      </c>
      <c r="W23" s="59" t="e">
        <f aca="false">(G23+S23)*V23</f>
        <v>#NAME?</v>
      </c>
      <c r="X23" s="59" t="e">
        <f aca="false">V23*T23</f>
        <v>#NAME?</v>
      </c>
      <c r="Y23" s="59" t="e">
        <f aca="false">W23-X23</f>
        <v>#NAME?</v>
      </c>
      <c r="AA23" s="68" t="n">
        <f aca="false">Curves!H7+Curves!I7</f>
        <v>-0.015</v>
      </c>
      <c r="AB23" s="68" t="n">
        <f aca="false">'Enron Proposal'!U15</f>
        <v>0</v>
      </c>
      <c r="AC23" s="59" t="n">
        <f aca="false">'Enron Proposal'!M15</f>
        <v>0</v>
      </c>
      <c r="AD23" s="59" t="e">
        <f aca="false">AC23*C23*I23</f>
        <v>#NAME?</v>
      </c>
      <c r="AE23" s="59" t="e">
        <f aca="false">(G23+AA23)*AD23</f>
        <v>#NAME?</v>
      </c>
      <c r="AF23" s="59" t="e">
        <f aca="false">AD23*AB23</f>
        <v>#NAME?</v>
      </c>
      <c r="AG23" s="59" t="e">
        <f aca="false">AE23-AF23</f>
        <v>#NAME?</v>
      </c>
      <c r="AI23" s="68" t="n">
        <f aca="false">Curves!J7+Curves!K7</f>
        <v>-0.055</v>
      </c>
      <c r="AJ23" s="68" t="n">
        <f aca="false">'Enron Proposal'!V15</f>
        <v>0</v>
      </c>
      <c r="AK23" s="59" t="n">
        <f aca="false">'Enron Proposal'!P15</f>
        <v>0</v>
      </c>
      <c r="AL23" s="59" t="e">
        <f aca="false">AK23*C23*I23</f>
        <v>#NAME?</v>
      </c>
      <c r="AM23" s="59" t="e">
        <f aca="false">(G23+AI23)*AL23</f>
        <v>#NAME?</v>
      </c>
      <c r="AN23" s="59" t="e">
        <f aca="false">AL23*AJ23</f>
        <v>#NAME?</v>
      </c>
      <c r="AO23" s="59" t="e">
        <f aca="false">AM23-AN23</f>
        <v>#NAME?</v>
      </c>
      <c r="AQ23" s="59" t="e">
        <f aca="false">(P23+X23+AF23+AN23)/I23</f>
        <v>#NAME?</v>
      </c>
      <c r="AR23" s="11" t="n">
        <f aca="false">Curves!C7</f>
        <v>0.063916780928</v>
      </c>
      <c r="AS23" s="0" t="n">
        <f aca="false">B23-$D$16</f>
        <v>155</v>
      </c>
      <c r="AT23" s="0" t="n">
        <f aca="false">D23-$D$16</f>
        <v>209</v>
      </c>
      <c r="AU23" s="74" t="n">
        <f aca="false">(1+AR23/2)^(-2*AS23/365.25)</f>
        <v>0.973653526825058</v>
      </c>
      <c r="AV23" s="74" t="n">
        <f aca="false">(1+AR24/2)^(-2*AT23/365.25)</f>
        <v>0.965125995167278</v>
      </c>
      <c r="AX23" s="59" t="e">
        <f aca="false">AQ23*AU23</f>
        <v>#NAME?</v>
      </c>
      <c r="AY23" s="59" t="e">
        <f aca="false">AQ23*AV23</f>
        <v>#NAME?</v>
      </c>
      <c r="BA23" s="72" t="n">
        <f aca="false">G23</f>
        <v>5.31</v>
      </c>
      <c r="BB23" s="75" t="n">
        <f aca="false">'Point 1 - Transco'!H21</f>
        <v>0.964622209264917</v>
      </c>
      <c r="BC23" s="59" t="n">
        <f aca="false">M23</f>
        <v>43200</v>
      </c>
      <c r="BD23" s="59" t="n">
        <f aca="false">BC23*BB23*C23</f>
        <v>1250150.38320733</v>
      </c>
      <c r="BE23" s="59" t="n">
        <f aca="false">BD23*(BA23+K23)</f>
        <v>6682053.79824319</v>
      </c>
      <c r="BF23" s="68" t="n">
        <f aca="false">$BF$21</f>
        <v>5.3396</v>
      </c>
    </row>
    <row r="24" customFormat="false" ht="12.75" hidden="false" customHeight="false" outlineLevel="0" collapsed="false">
      <c r="B24" s="69" t="n">
        <f aca="false">'Enron Proposal'!B16</f>
        <v>37073</v>
      </c>
      <c r="C24" s="41" t="n">
        <f aca="false">'Enron Proposal'!C16</f>
        <v>31</v>
      </c>
      <c r="D24" s="66" t="n">
        <f aca="false">'Enron Proposal'!D16</f>
        <v>37130</v>
      </c>
      <c r="E24" s="41" t="n">
        <f aca="false">D24-$D$16</f>
        <v>242</v>
      </c>
      <c r="G24" s="72" t="n">
        <f aca="false">Curves!B8</f>
        <v>5.295</v>
      </c>
      <c r="H24" s="73" t="e">
        <f aca="false">Spline('Financing Assumptions'!$G$20:$G$29,'Financing Assumptions'!$F$20:$F$29,B24,1)+Curves!C8</f>
        <v>#NAME?</v>
      </c>
      <c r="I24" s="74" t="e">
        <f aca="false">(1+H24/2)^(-2*E24/365.25)</f>
        <v>#NAME?</v>
      </c>
      <c r="K24" s="0" t="n">
        <f aca="false">Curves!D8+Curves!E8</f>
        <v>0.035</v>
      </c>
      <c r="L24" s="72" t="n">
        <f aca="false">'Enron Proposal'!S16</f>
        <v>5.34346227152483</v>
      </c>
      <c r="M24" s="59" t="n">
        <f aca="false">'Enron Proposal'!G16</f>
        <v>43200</v>
      </c>
      <c r="N24" s="59" t="e">
        <f aca="false">M24*C24*I24</f>
        <v>#NAME?</v>
      </c>
      <c r="O24" s="59" t="e">
        <f aca="false">(G24+K24)*N24</f>
        <v>#NAME?</v>
      </c>
      <c r="P24" s="59" t="e">
        <f aca="false">N24*L24</f>
        <v>#NAME?</v>
      </c>
      <c r="Q24" s="59" t="e">
        <f aca="false">O24-P24</f>
        <v>#NAME?</v>
      </c>
      <c r="S24" s="68" t="n">
        <f aca="false">Curves!F8+Curves!G8</f>
        <v>-0.0175</v>
      </c>
      <c r="T24" s="68" t="n">
        <f aca="false">'Enron Proposal'!T16</f>
        <v>0</v>
      </c>
      <c r="U24" s="59" t="n">
        <f aca="false">'Enron Proposal'!J16</f>
        <v>0</v>
      </c>
      <c r="V24" s="59" t="e">
        <f aca="false">U24*C24*I24</f>
        <v>#NAME?</v>
      </c>
      <c r="W24" s="59" t="e">
        <f aca="false">(G24+S24)*V24</f>
        <v>#NAME?</v>
      </c>
      <c r="X24" s="59" t="e">
        <f aca="false">V24*T24</f>
        <v>#NAME?</v>
      </c>
      <c r="Y24" s="59" t="e">
        <f aca="false">W24-X24</f>
        <v>#NAME?</v>
      </c>
      <c r="AA24" s="68" t="n">
        <f aca="false">Curves!H8+Curves!I8</f>
        <v>-0.015</v>
      </c>
      <c r="AB24" s="68" t="n">
        <f aca="false">'Enron Proposal'!U16</f>
        <v>0</v>
      </c>
      <c r="AC24" s="59" t="n">
        <f aca="false">'Enron Proposal'!M16</f>
        <v>0</v>
      </c>
      <c r="AD24" s="59" t="e">
        <f aca="false">AC24*C24*I24</f>
        <v>#NAME?</v>
      </c>
      <c r="AE24" s="59" t="e">
        <f aca="false">(G24+AA24)*AD24</f>
        <v>#NAME?</v>
      </c>
      <c r="AF24" s="59" t="e">
        <f aca="false">AD24*AB24</f>
        <v>#NAME?</v>
      </c>
      <c r="AG24" s="59" t="e">
        <f aca="false">AE24-AF24</f>
        <v>#NAME?</v>
      </c>
      <c r="AI24" s="68" t="n">
        <f aca="false">Curves!J8+Curves!K8</f>
        <v>-0.055</v>
      </c>
      <c r="AJ24" s="68" t="n">
        <f aca="false">'Enron Proposal'!V16</f>
        <v>0</v>
      </c>
      <c r="AK24" s="59" t="n">
        <f aca="false">'Enron Proposal'!P16</f>
        <v>0</v>
      </c>
      <c r="AL24" s="59" t="e">
        <f aca="false">AK24*C24*I24</f>
        <v>#NAME?</v>
      </c>
      <c r="AM24" s="59" t="e">
        <f aca="false">(G24+AI24)*AL24</f>
        <v>#NAME?</v>
      </c>
      <c r="AN24" s="59" t="e">
        <f aca="false">AL24*AJ24</f>
        <v>#NAME?</v>
      </c>
      <c r="AO24" s="59" t="e">
        <f aca="false">AM24-AN24</f>
        <v>#NAME?</v>
      </c>
      <c r="AQ24" s="59" t="e">
        <f aca="false">(P24+X24+AF24+AN24)/I24</f>
        <v>#NAME?</v>
      </c>
      <c r="AR24" s="11" t="n">
        <f aca="false">Curves!C8</f>
        <v>0.063006250837977</v>
      </c>
      <c r="AS24" s="0" t="n">
        <f aca="false">B24-$D$16</f>
        <v>185</v>
      </c>
      <c r="AT24" s="0" t="n">
        <f aca="false">D24-$D$16</f>
        <v>242</v>
      </c>
      <c r="AU24" s="74" t="n">
        <f aca="false">(1+AR24/2)^(-2*AS24/365.25)</f>
        <v>0.969068038685045</v>
      </c>
      <c r="AV24" s="74" t="n">
        <f aca="false">(1+AR25/2)^(-2*AT24/365.25)</f>
        <v>0.960175543715246</v>
      </c>
      <c r="AX24" s="59" t="e">
        <f aca="false">AQ24*AU24</f>
        <v>#NAME?</v>
      </c>
      <c r="AY24" s="59" t="e">
        <f aca="false">AQ24*AV24</f>
        <v>#NAME?</v>
      </c>
      <c r="BA24" s="72" t="n">
        <f aca="false">G24</f>
        <v>5.295</v>
      </c>
      <c r="BB24" s="75" t="n">
        <f aca="false">'Point 1 - Transco'!H22</f>
        <v>0.959712969314342</v>
      </c>
      <c r="BC24" s="59" t="n">
        <f aca="false">M24</f>
        <v>43200</v>
      </c>
      <c r="BD24" s="59" t="n">
        <f aca="false">BC24*BB24*C24</f>
        <v>1285247.60850577</v>
      </c>
      <c r="BE24" s="59" t="n">
        <f aca="false">BD24*(BA24+K24)</f>
        <v>6850369.75333573</v>
      </c>
      <c r="BF24" s="68" t="n">
        <f aca="false">$BF$21</f>
        <v>5.3396</v>
      </c>
    </row>
    <row r="25" customFormat="false" ht="12.75" hidden="false" customHeight="false" outlineLevel="0" collapsed="false">
      <c r="B25" s="69" t="n">
        <f aca="false">'Enron Proposal'!B17</f>
        <v>37104</v>
      </c>
      <c r="C25" s="41" t="n">
        <f aca="false">'Enron Proposal'!C17</f>
        <v>31</v>
      </c>
      <c r="D25" s="66" t="n">
        <f aca="false">'Enron Proposal'!D17</f>
        <v>37159</v>
      </c>
      <c r="E25" s="41" t="n">
        <f aca="false">D25-$D$16</f>
        <v>271</v>
      </c>
      <c r="G25" s="72" t="n">
        <f aca="false">Curves!B9</f>
        <v>5.275</v>
      </c>
      <c r="H25" s="73" t="e">
        <f aca="false">Spline('Financing Assumptions'!$G$20:$G$29,'Financing Assumptions'!$F$20:$F$29,B25,1)+Curves!C9</f>
        <v>#NAME?</v>
      </c>
      <c r="I25" s="74" t="e">
        <f aca="false">(1+H25/2)^(-2*E25/365.25)</f>
        <v>#NAME?</v>
      </c>
      <c r="K25" s="0" t="n">
        <f aca="false">Curves!D9+Curves!E9</f>
        <v>0.035</v>
      </c>
      <c r="L25" s="72" t="n">
        <f aca="false">'Enron Proposal'!S17</f>
        <v>5.34346227152483</v>
      </c>
      <c r="M25" s="59" t="n">
        <f aca="false">'Enron Proposal'!G17</f>
        <v>43200</v>
      </c>
      <c r="N25" s="59" t="e">
        <f aca="false">M25*C25*I25</f>
        <v>#NAME?</v>
      </c>
      <c r="O25" s="59" t="e">
        <f aca="false">(G25+K25)*N25</f>
        <v>#NAME?</v>
      </c>
      <c r="P25" s="59" t="e">
        <f aca="false">N25*L25</f>
        <v>#NAME?</v>
      </c>
      <c r="Q25" s="59" t="e">
        <f aca="false">O25-P25</f>
        <v>#NAME?</v>
      </c>
      <c r="S25" s="68" t="n">
        <f aca="false">Curves!F9+Curves!G9</f>
        <v>-0.0175</v>
      </c>
      <c r="T25" s="68" t="n">
        <f aca="false">'Enron Proposal'!T17</f>
        <v>0</v>
      </c>
      <c r="U25" s="59" t="n">
        <f aca="false">'Enron Proposal'!J17</f>
        <v>0</v>
      </c>
      <c r="V25" s="59" t="e">
        <f aca="false">U25*C25*I25</f>
        <v>#NAME?</v>
      </c>
      <c r="W25" s="59" t="e">
        <f aca="false">(G25+S25)*V25</f>
        <v>#NAME?</v>
      </c>
      <c r="X25" s="59" t="e">
        <f aca="false">V25*T25</f>
        <v>#NAME?</v>
      </c>
      <c r="Y25" s="59" t="e">
        <f aca="false">W25-X25</f>
        <v>#NAME?</v>
      </c>
      <c r="AA25" s="68" t="n">
        <f aca="false">Curves!H9+Curves!I9</f>
        <v>-0.015</v>
      </c>
      <c r="AB25" s="68" t="n">
        <f aca="false">'Enron Proposal'!U17</f>
        <v>0</v>
      </c>
      <c r="AC25" s="59" t="n">
        <f aca="false">'Enron Proposal'!M17</f>
        <v>0</v>
      </c>
      <c r="AD25" s="59" t="e">
        <f aca="false">AC25*C25*I25</f>
        <v>#NAME?</v>
      </c>
      <c r="AE25" s="59" t="e">
        <f aca="false">(G25+AA25)*AD25</f>
        <v>#NAME?</v>
      </c>
      <c r="AF25" s="59" t="e">
        <f aca="false">AD25*AB25</f>
        <v>#NAME?</v>
      </c>
      <c r="AG25" s="59" t="e">
        <f aca="false">AE25-AF25</f>
        <v>#NAME?</v>
      </c>
      <c r="AI25" s="68" t="n">
        <f aca="false">Curves!J9+Curves!K9</f>
        <v>-0.055</v>
      </c>
      <c r="AJ25" s="68" t="n">
        <f aca="false">'Enron Proposal'!V17</f>
        <v>0</v>
      </c>
      <c r="AK25" s="59" t="n">
        <f aca="false">'Enron Proposal'!P17</f>
        <v>0</v>
      </c>
      <c r="AL25" s="59" t="e">
        <f aca="false">AK25*C25*I25</f>
        <v>#NAME?</v>
      </c>
      <c r="AM25" s="59" t="e">
        <f aca="false">(G25+AI25)*AL25</f>
        <v>#NAME?</v>
      </c>
      <c r="AN25" s="59" t="e">
        <f aca="false">AL25*AJ25</f>
        <v>#NAME?</v>
      </c>
      <c r="AO25" s="59" t="e">
        <f aca="false">AM25-AN25</f>
        <v>#NAME?</v>
      </c>
      <c r="AQ25" s="59" t="e">
        <f aca="false">(P25+X25+AF25+AN25)/I25</f>
        <v>#NAME?</v>
      </c>
      <c r="AR25" s="11" t="n">
        <f aca="false">Curves!C9</f>
        <v>0.062286806097195</v>
      </c>
      <c r="AS25" s="0" t="n">
        <f aca="false">B25-$D$16</f>
        <v>216</v>
      </c>
      <c r="AT25" s="0" t="n">
        <f aca="false">D25-$D$16</f>
        <v>271</v>
      </c>
      <c r="AU25" s="74" t="n">
        <f aca="false">(1+AR25/2)^(-2*AS25/365.25)</f>
        <v>0.964377018128366</v>
      </c>
      <c r="AV25" s="74" t="n">
        <f aca="false">(1+AR26/2)^(-2*AT25/365.25)</f>
        <v>0.956005733200222</v>
      </c>
      <c r="AX25" s="59" t="e">
        <f aca="false">AQ25*AU25</f>
        <v>#NAME?</v>
      </c>
      <c r="AY25" s="59" t="e">
        <f aca="false">AQ25*AV25</f>
        <v>#NAME?</v>
      </c>
      <c r="BA25" s="72" t="n">
        <f aca="false">G25</f>
        <v>5.275</v>
      </c>
      <c r="BB25" s="75" t="n">
        <f aca="false">'Point 1 - Transco'!H23</f>
        <v>0.955489957381465</v>
      </c>
      <c r="BC25" s="59" t="n">
        <f aca="false">M25</f>
        <v>43200</v>
      </c>
      <c r="BD25" s="59" t="n">
        <f aca="false">BC25*BB25*C25</f>
        <v>1279592.15092526</v>
      </c>
      <c r="BE25" s="59" t="n">
        <f aca="false">BD25*(BA25+K25)</f>
        <v>6794634.32141312</v>
      </c>
      <c r="BF25" s="68" t="n">
        <f aca="false">$BF$21</f>
        <v>5.3396</v>
      </c>
    </row>
    <row r="26" customFormat="false" ht="12.75" hidden="false" customHeight="false" outlineLevel="0" collapsed="false">
      <c r="B26" s="69" t="n">
        <f aca="false">'Enron Proposal'!B18</f>
        <v>37135</v>
      </c>
      <c r="C26" s="41" t="n">
        <f aca="false">'Enron Proposal'!C18</f>
        <v>30</v>
      </c>
      <c r="D26" s="66" t="n">
        <f aca="false">'Enron Proposal'!D18</f>
        <v>37189</v>
      </c>
      <c r="E26" s="41" t="n">
        <f aca="false">D26-$D$16</f>
        <v>301</v>
      </c>
      <c r="G26" s="72" t="n">
        <f aca="false">Curves!B10</f>
        <v>5.245</v>
      </c>
      <c r="H26" s="73" t="e">
        <f aca="false">Spline('Financing Assumptions'!$G$20:$G$29,'Financing Assumptions'!$F$20:$F$29,B26,1)+Curves!C10</f>
        <v>#NAME?</v>
      </c>
      <c r="I26" s="74" t="e">
        <f aca="false">(1+H26/2)^(-2*E26/365.25)</f>
        <v>#NAME?</v>
      </c>
      <c r="K26" s="0" t="n">
        <f aca="false">Curves!D10+Curves!E10</f>
        <v>0.035</v>
      </c>
      <c r="L26" s="72" t="n">
        <f aca="false">'Enron Proposal'!S18</f>
        <v>5.34346227152483</v>
      </c>
      <c r="M26" s="59" t="n">
        <f aca="false">'Enron Proposal'!G18</f>
        <v>43200</v>
      </c>
      <c r="N26" s="59" t="e">
        <f aca="false">M26*C26*I26</f>
        <v>#NAME?</v>
      </c>
      <c r="O26" s="59" t="e">
        <f aca="false">(G26+K26)*N26</f>
        <v>#NAME?</v>
      </c>
      <c r="P26" s="59" t="e">
        <f aca="false">N26*L26</f>
        <v>#NAME?</v>
      </c>
      <c r="Q26" s="59" t="e">
        <f aca="false">O26-P26</f>
        <v>#NAME?</v>
      </c>
      <c r="S26" s="68" t="n">
        <f aca="false">Curves!F10+Curves!G10</f>
        <v>-0.0175</v>
      </c>
      <c r="T26" s="68" t="n">
        <f aca="false">'Enron Proposal'!T18</f>
        <v>0</v>
      </c>
      <c r="U26" s="59" t="n">
        <f aca="false">'Enron Proposal'!J18</f>
        <v>0</v>
      </c>
      <c r="V26" s="59" t="e">
        <f aca="false">U26*C26*I26</f>
        <v>#NAME?</v>
      </c>
      <c r="W26" s="59" t="e">
        <f aca="false">(G26+S26)*V26</f>
        <v>#NAME?</v>
      </c>
      <c r="X26" s="59" t="e">
        <f aca="false">V26*T26</f>
        <v>#NAME?</v>
      </c>
      <c r="Y26" s="59" t="e">
        <f aca="false">W26-X26</f>
        <v>#NAME?</v>
      </c>
      <c r="AA26" s="68" t="n">
        <f aca="false">Curves!H10+Curves!I10</f>
        <v>-0.015</v>
      </c>
      <c r="AB26" s="68" t="n">
        <f aca="false">'Enron Proposal'!U18</f>
        <v>0</v>
      </c>
      <c r="AC26" s="59" t="n">
        <f aca="false">'Enron Proposal'!M18</f>
        <v>0</v>
      </c>
      <c r="AD26" s="59" t="e">
        <f aca="false">AC26*C26*I26</f>
        <v>#NAME?</v>
      </c>
      <c r="AE26" s="59" t="e">
        <f aca="false">(G26+AA26)*AD26</f>
        <v>#NAME?</v>
      </c>
      <c r="AF26" s="59" t="e">
        <f aca="false">AD26*AB26</f>
        <v>#NAME?</v>
      </c>
      <c r="AG26" s="59" t="e">
        <f aca="false">AE26-AF26</f>
        <v>#NAME?</v>
      </c>
      <c r="AI26" s="68" t="n">
        <f aca="false">Curves!J10+Curves!K10</f>
        <v>-0.055</v>
      </c>
      <c r="AJ26" s="68" t="n">
        <f aca="false">'Enron Proposal'!V18</f>
        <v>0</v>
      </c>
      <c r="AK26" s="59" t="n">
        <f aca="false">'Enron Proposal'!P18</f>
        <v>0</v>
      </c>
      <c r="AL26" s="59" t="e">
        <f aca="false">AK26*C26*I26</f>
        <v>#NAME?</v>
      </c>
      <c r="AM26" s="59" t="e">
        <f aca="false">(G26+AI26)*AL26</f>
        <v>#NAME?</v>
      </c>
      <c r="AN26" s="59" t="e">
        <f aca="false">AL26*AJ26</f>
        <v>#NAME?</v>
      </c>
      <c r="AO26" s="59" t="e">
        <f aca="false">AM26-AN26</f>
        <v>#NAME?</v>
      </c>
      <c r="AQ26" s="59" t="e">
        <f aca="false">(P26+X26+AF26+AN26)/I26</f>
        <v>#NAME?</v>
      </c>
      <c r="AR26" s="11" t="n">
        <f aca="false">Curves!C10</f>
        <v>0.061567361528203</v>
      </c>
      <c r="AS26" s="0" t="n">
        <f aca="false">B26-$D$16</f>
        <v>247</v>
      </c>
      <c r="AT26" s="0" t="n">
        <f aca="false">D26-$D$16</f>
        <v>301</v>
      </c>
      <c r="AU26" s="74" t="n">
        <f aca="false">(1+AR26/2)^(-2*AS26/365.25)</f>
        <v>0.95982251347985</v>
      </c>
      <c r="AV26" s="74" t="n">
        <f aca="false">(1+AR27/2)^(-2*AT26/365.25)</f>
        <v>0.951724843853342</v>
      </c>
      <c r="AX26" s="59" t="e">
        <f aca="false">AQ26*AU26</f>
        <v>#NAME?</v>
      </c>
      <c r="AY26" s="59" t="e">
        <f aca="false">AQ26*AV26</f>
        <v>#NAME?</v>
      </c>
      <c r="BA26" s="72" t="n">
        <f aca="false">G26</f>
        <v>5.245</v>
      </c>
      <c r="BB26" s="75" t="n">
        <f aca="false">'Point 1 - Transco'!H24</f>
        <v>0.951233121215417</v>
      </c>
      <c r="BC26" s="59" t="n">
        <f aca="false">M26</f>
        <v>43200</v>
      </c>
      <c r="BD26" s="59" t="n">
        <f aca="false">BC26*BB26*C26</f>
        <v>1232798.12509518</v>
      </c>
      <c r="BE26" s="59" t="n">
        <f aca="false">BD26*(BA26+K26)</f>
        <v>6509174.10050255</v>
      </c>
      <c r="BF26" s="68" t="n">
        <f aca="false">$BF$21</f>
        <v>5.3396</v>
      </c>
    </row>
    <row r="27" customFormat="false" ht="12.75" hidden="false" customHeight="false" outlineLevel="0" collapsed="false">
      <c r="B27" s="69" t="n">
        <f aca="false">'Enron Proposal'!B19</f>
        <v>37165</v>
      </c>
      <c r="C27" s="41" t="n">
        <f aca="false">'Enron Proposal'!C19</f>
        <v>31</v>
      </c>
      <c r="D27" s="66" t="n">
        <f aca="false">'Enron Proposal'!D19</f>
        <v>37221</v>
      </c>
      <c r="E27" s="41" t="n">
        <f aca="false">D27-$D$16</f>
        <v>333</v>
      </c>
      <c r="G27" s="72" t="n">
        <f aca="false">Curves!B11</f>
        <v>5.225</v>
      </c>
      <c r="H27" s="73" t="e">
        <f aca="false">Spline('Financing Assumptions'!$G$20:$G$29,'Financing Assumptions'!$F$20:$F$29,B27,1)+Curves!C11</f>
        <v>#NAME?</v>
      </c>
      <c r="I27" s="74" t="e">
        <f aca="false">(1+H27/2)^(-2*E27/365.25)</f>
        <v>#NAME?</v>
      </c>
      <c r="K27" s="0" t="n">
        <f aca="false">Curves!D11+Curves!E11</f>
        <v>0.035</v>
      </c>
      <c r="L27" s="72" t="n">
        <f aca="false">'Enron Proposal'!S19</f>
        <v>5.34346227152483</v>
      </c>
      <c r="M27" s="59" t="n">
        <f aca="false">'Enron Proposal'!G19</f>
        <v>43200</v>
      </c>
      <c r="N27" s="59" t="e">
        <f aca="false">M27*C27*I27</f>
        <v>#NAME?</v>
      </c>
      <c r="O27" s="59" t="e">
        <f aca="false">(G27+K27)*N27</f>
        <v>#NAME?</v>
      </c>
      <c r="P27" s="59" t="e">
        <f aca="false">N27*L27</f>
        <v>#NAME?</v>
      </c>
      <c r="Q27" s="59" t="e">
        <f aca="false">O27-P27</f>
        <v>#NAME?</v>
      </c>
      <c r="S27" s="68" t="n">
        <f aca="false">Curves!F11+Curves!G11</f>
        <v>-0.0175</v>
      </c>
      <c r="T27" s="68" t="n">
        <f aca="false">'Enron Proposal'!T19</f>
        <v>0</v>
      </c>
      <c r="U27" s="59" t="n">
        <f aca="false">'Enron Proposal'!J19</f>
        <v>0</v>
      </c>
      <c r="V27" s="59" t="e">
        <f aca="false">U27*C27*I27</f>
        <v>#NAME?</v>
      </c>
      <c r="W27" s="59" t="e">
        <f aca="false">(G27+S27)*V27</f>
        <v>#NAME?</v>
      </c>
      <c r="X27" s="59" t="e">
        <f aca="false">V27*T27</f>
        <v>#NAME?</v>
      </c>
      <c r="Y27" s="59" t="e">
        <f aca="false">W27-X27</f>
        <v>#NAME?</v>
      </c>
      <c r="AA27" s="68" t="n">
        <f aca="false">Curves!H11+Curves!I11</f>
        <v>-0.015</v>
      </c>
      <c r="AB27" s="68" t="n">
        <f aca="false">'Enron Proposal'!U19</f>
        <v>0</v>
      </c>
      <c r="AC27" s="59" t="n">
        <f aca="false">'Enron Proposal'!M19</f>
        <v>0</v>
      </c>
      <c r="AD27" s="59" t="e">
        <f aca="false">AC27*C27*I27</f>
        <v>#NAME?</v>
      </c>
      <c r="AE27" s="59" t="e">
        <f aca="false">(G27+AA27)*AD27</f>
        <v>#NAME?</v>
      </c>
      <c r="AF27" s="59" t="e">
        <f aca="false">AD27*AB27</f>
        <v>#NAME?</v>
      </c>
      <c r="AG27" s="59" t="e">
        <f aca="false">AE27-AF27</f>
        <v>#NAME?</v>
      </c>
      <c r="AI27" s="68" t="n">
        <f aca="false">Curves!J11+Curves!K11</f>
        <v>-0.055</v>
      </c>
      <c r="AJ27" s="68" t="n">
        <f aca="false">'Enron Proposal'!V19</f>
        <v>0</v>
      </c>
      <c r="AK27" s="59" t="n">
        <f aca="false">'Enron Proposal'!P19</f>
        <v>0</v>
      </c>
      <c r="AL27" s="59" t="e">
        <f aca="false">AK27*C27*I27</f>
        <v>#NAME?</v>
      </c>
      <c r="AM27" s="59" t="e">
        <f aca="false">(G27+AI27)*AL27</f>
        <v>#NAME?</v>
      </c>
      <c r="AN27" s="59" t="e">
        <f aca="false">AL27*AJ27</f>
        <v>#NAME?</v>
      </c>
      <c r="AO27" s="59" t="e">
        <f aca="false">AM27-AN27</f>
        <v>#NAME?</v>
      </c>
      <c r="AQ27" s="59" t="e">
        <f aca="false">(P27+X27+AF27+AN27)/I27</f>
        <v>#NAME?</v>
      </c>
      <c r="AR27" s="11" t="n">
        <f aca="false">Curves!C11</f>
        <v>0.060951245077802</v>
      </c>
      <c r="AS27" s="0" t="n">
        <f aca="false">B27-$D$16</f>
        <v>277</v>
      </c>
      <c r="AT27" s="0" t="n">
        <f aca="false">D27-$D$16</f>
        <v>333</v>
      </c>
      <c r="AU27" s="74" t="n">
        <f aca="false">(1+AR27/2)^(-2*AS27/365.25)</f>
        <v>0.955486999901494</v>
      </c>
      <c r="AV27" s="74" t="n">
        <f aca="false">(1+AR28/2)^(-2*AT27/365.25)</f>
        <v>0.947156102283479</v>
      </c>
      <c r="AX27" s="59" t="e">
        <f aca="false">AQ27*AU27</f>
        <v>#NAME?</v>
      </c>
      <c r="AY27" s="59" t="e">
        <f aca="false">AQ27*AV27</f>
        <v>#NAME?</v>
      </c>
      <c r="BA27" s="72" t="n">
        <f aca="false">G27</f>
        <v>5.225</v>
      </c>
      <c r="BB27" s="75" t="n">
        <f aca="false">'Point 1 - Transco'!H25</f>
        <v>0.946706523365583</v>
      </c>
      <c r="BC27" s="59" t="n">
        <f aca="false">M27</f>
        <v>43200</v>
      </c>
      <c r="BD27" s="59" t="n">
        <f aca="false">BC27*BB27*C27</f>
        <v>1267829.37609119</v>
      </c>
      <c r="BE27" s="59" t="n">
        <f aca="false">BD27*(BA27+K27)</f>
        <v>6668782.51823965</v>
      </c>
      <c r="BF27" s="68" t="n">
        <f aca="false">$BF$21</f>
        <v>5.3396</v>
      </c>
    </row>
    <row r="28" customFormat="false" ht="12.75" hidden="false" customHeight="false" outlineLevel="0" collapsed="false">
      <c r="B28" s="69" t="n">
        <f aca="false">'Enron Proposal'!B20</f>
        <v>37196</v>
      </c>
      <c r="C28" s="41" t="n">
        <f aca="false">'Enron Proposal'!C20</f>
        <v>30</v>
      </c>
      <c r="D28" s="66" t="n">
        <f aca="false">'Enron Proposal'!D20</f>
        <v>37250</v>
      </c>
      <c r="E28" s="41" t="n">
        <f aca="false">D28-$D$16</f>
        <v>362</v>
      </c>
      <c r="G28" s="72" t="n">
        <f aca="false">Curves!B12</f>
        <v>5.3</v>
      </c>
      <c r="H28" s="73" t="e">
        <f aca="false">Spline('Financing Assumptions'!$G$20:$G$29,'Financing Assumptions'!$F$20:$F$29,B28,1)+Curves!C12</f>
        <v>#NAME?</v>
      </c>
      <c r="I28" s="74" t="e">
        <f aca="false">(1+H28/2)^(-2*E28/365.25)</f>
        <v>#NAME?</v>
      </c>
      <c r="K28" s="0" t="n">
        <f aca="false">Curves!D12+Curves!E12</f>
        <v>0.03</v>
      </c>
      <c r="L28" s="72" t="n">
        <f aca="false">'Enron Proposal'!S20</f>
        <v>5.34346227152483</v>
      </c>
      <c r="M28" s="59" t="n">
        <f aca="false">'Enron Proposal'!G20</f>
        <v>43200</v>
      </c>
      <c r="N28" s="59" t="e">
        <f aca="false">M28*C28*I28</f>
        <v>#NAME?</v>
      </c>
      <c r="O28" s="59" t="e">
        <f aca="false">(G28+K28)*N28</f>
        <v>#NAME?</v>
      </c>
      <c r="P28" s="59" t="e">
        <f aca="false">N28*L28</f>
        <v>#NAME?</v>
      </c>
      <c r="Q28" s="59" t="e">
        <f aca="false">O28-P28</f>
        <v>#NAME?</v>
      </c>
      <c r="S28" s="68" t="n">
        <f aca="false">Curves!F12+Curves!G12</f>
        <v>-0.02</v>
      </c>
      <c r="T28" s="68" t="n">
        <f aca="false">'Enron Proposal'!T20</f>
        <v>0</v>
      </c>
      <c r="U28" s="59" t="n">
        <f aca="false">'Enron Proposal'!J20</f>
        <v>0</v>
      </c>
      <c r="V28" s="59" t="e">
        <f aca="false">U28*C28*I28</f>
        <v>#NAME?</v>
      </c>
      <c r="W28" s="59" t="e">
        <f aca="false">(G28+S28)*V28</f>
        <v>#NAME?</v>
      </c>
      <c r="X28" s="59" t="e">
        <f aca="false">V28*T28</f>
        <v>#NAME?</v>
      </c>
      <c r="Y28" s="59" t="e">
        <f aca="false">W28-X28</f>
        <v>#NAME?</v>
      </c>
      <c r="AA28" s="68" t="n">
        <f aca="false">Curves!H12+Curves!I12</f>
        <v>-0.0125</v>
      </c>
      <c r="AB28" s="68" t="n">
        <f aca="false">'Enron Proposal'!U20</f>
        <v>0</v>
      </c>
      <c r="AC28" s="59" t="n">
        <f aca="false">'Enron Proposal'!M20</f>
        <v>0</v>
      </c>
      <c r="AD28" s="59" t="e">
        <f aca="false">AC28*C28*I28</f>
        <v>#NAME?</v>
      </c>
      <c r="AE28" s="59" t="e">
        <f aca="false">(G28+AA28)*AD28</f>
        <v>#NAME?</v>
      </c>
      <c r="AF28" s="59" t="e">
        <f aca="false">AD28*AB28</f>
        <v>#NAME?</v>
      </c>
      <c r="AG28" s="59" t="e">
        <f aca="false">AE28-AF28</f>
        <v>#NAME?</v>
      </c>
      <c r="AI28" s="68" t="n">
        <f aca="false">Curves!J12+Curves!K12</f>
        <v>-0.06</v>
      </c>
      <c r="AJ28" s="68" t="n">
        <f aca="false">'Enron Proposal'!V20</f>
        <v>0</v>
      </c>
      <c r="AK28" s="59" t="n">
        <f aca="false">'Enron Proposal'!P20</f>
        <v>0</v>
      </c>
      <c r="AL28" s="59" t="e">
        <f aca="false">AK28*C28*I28</f>
        <v>#NAME?</v>
      </c>
      <c r="AM28" s="59" t="e">
        <f aca="false">(G28+AI28)*AL28</f>
        <v>#NAME?</v>
      </c>
      <c r="AN28" s="59" t="e">
        <f aca="false">AL28*AJ28</f>
        <v>#NAME?</v>
      </c>
      <c r="AO28" s="59" t="e">
        <f aca="false">AM28-AN28</f>
        <v>#NAME?</v>
      </c>
      <c r="AQ28" s="59" t="e">
        <f aca="false">(P28+X28+AF28+AN28)/I28</f>
        <v>#NAME?</v>
      </c>
      <c r="AR28" s="11" t="n">
        <f aca="false">Curves!C12</f>
        <v>0.060444702340902</v>
      </c>
      <c r="AS28" s="0" t="n">
        <f aca="false">B28-$D$16</f>
        <v>308</v>
      </c>
      <c r="AT28" s="0" t="n">
        <f aca="false">D28-$D$16</f>
        <v>362</v>
      </c>
      <c r="AU28" s="74" t="n">
        <f aca="false">(1+AR28/2)^(-2*AS28/365.25)</f>
        <v>0.951024520680496</v>
      </c>
      <c r="AV28" s="74" t="n">
        <f aca="false">(1+AR29/2)^(-2*AT28/365.25)</f>
        <v>0.943133164388334</v>
      </c>
      <c r="AX28" s="59" t="e">
        <f aca="false">AQ28*AU28</f>
        <v>#NAME?</v>
      </c>
      <c r="AY28" s="59" t="e">
        <f aca="false">AQ28*AV28</f>
        <v>#NAME?</v>
      </c>
      <c r="BA28" s="72" t="n">
        <f aca="false">G28</f>
        <v>5.3</v>
      </c>
      <c r="BB28" s="75" t="n">
        <f aca="false">'Point 1 - Transco'!H26</f>
        <v>0.942661362271595</v>
      </c>
      <c r="BC28" s="59" t="n">
        <f aca="false">M28</f>
        <v>43200</v>
      </c>
      <c r="BD28" s="59" t="n">
        <f aca="false">BC28*BB28*C28</f>
        <v>1221689.12550399</v>
      </c>
      <c r="BE28" s="59" t="n">
        <f aca="false">BD28*(BA28+K28)</f>
        <v>6511603.03893625</v>
      </c>
      <c r="BF28" s="68" t="n">
        <f aca="false">$BF$21</f>
        <v>5.3396</v>
      </c>
    </row>
    <row r="29" customFormat="false" ht="12.75" hidden="false" customHeight="false" outlineLevel="0" collapsed="false">
      <c r="B29" s="69" t="n">
        <f aca="false">'Enron Proposal'!B21</f>
        <v>37226</v>
      </c>
      <c r="C29" s="41" t="n">
        <f aca="false">'Enron Proposal'!C21</f>
        <v>31</v>
      </c>
      <c r="D29" s="66" t="n">
        <f aca="false">'Enron Proposal'!D21</f>
        <v>37281</v>
      </c>
      <c r="E29" s="41" t="n">
        <f aca="false">D29-$D$16</f>
        <v>393</v>
      </c>
      <c r="G29" s="72" t="n">
        <f aca="false">Curves!B13</f>
        <v>5.375</v>
      </c>
      <c r="H29" s="73" t="e">
        <f aca="false">Spline('Financing Assumptions'!$G$20:$G$29,'Financing Assumptions'!$F$20:$F$29,B29,1)+Curves!C13</f>
        <v>#NAME?</v>
      </c>
      <c r="I29" s="74" t="e">
        <f aca="false">(1+H29/2)^(-2*E29/365.25)</f>
        <v>#NAME?</v>
      </c>
      <c r="K29" s="0" t="n">
        <f aca="false">Curves!D13+Curves!E13</f>
        <v>0.03</v>
      </c>
      <c r="L29" s="72" t="n">
        <f aca="false">'Enron Proposal'!S21</f>
        <v>5.34346227152483</v>
      </c>
      <c r="M29" s="59" t="n">
        <f aca="false">'Enron Proposal'!G21</f>
        <v>43200</v>
      </c>
      <c r="N29" s="59" t="e">
        <f aca="false">M29*C29*I29</f>
        <v>#NAME?</v>
      </c>
      <c r="O29" s="59" t="e">
        <f aca="false">(G29+K29)*N29</f>
        <v>#NAME?</v>
      </c>
      <c r="P29" s="59" t="e">
        <f aca="false">N29*L29</f>
        <v>#NAME?</v>
      </c>
      <c r="Q29" s="59" t="e">
        <f aca="false">O29-P29</f>
        <v>#NAME?</v>
      </c>
      <c r="S29" s="68" t="n">
        <f aca="false">Curves!F13+Curves!G13</f>
        <v>-0.02</v>
      </c>
      <c r="T29" s="68" t="n">
        <f aca="false">'Enron Proposal'!T21</f>
        <v>0</v>
      </c>
      <c r="U29" s="59" t="n">
        <f aca="false">'Enron Proposal'!J21</f>
        <v>0</v>
      </c>
      <c r="V29" s="59" t="e">
        <f aca="false">U29*C29*I29</f>
        <v>#NAME?</v>
      </c>
      <c r="W29" s="59" t="e">
        <f aca="false">(G29+S29)*V29</f>
        <v>#NAME?</v>
      </c>
      <c r="X29" s="59" t="e">
        <f aca="false">V29*T29</f>
        <v>#NAME?</v>
      </c>
      <c r="Y29" s="59" t="e">
        <f aca="false">W29-X29</f>
        <v>#NAME?</v>
      </c>
      <c r="AA29" s="68" t="n">
        <f aca="false">Curves!H13+Curves!I13</f>
        <v>-0.0125</v>
      </c>
      <c r="AB29" s="68" t="n">
        <f aca="false">'Enron Proposal'!U21</f>
        <v>0</v>
      </c>
      <c r="AC29" s="59" t="n">
        <f aca="false">'Enron Proposal'!M21</f>
        <v>0</v>
      </c>
      <c r="AD29" s="59" t="e">
        <f aca="false">AC29*C29*I29</f>
        <v>#NAME?</v>
      </c>
      <c r="AE29" s="59" t="e">
        <f aca="false">(G29+AA29)*AD29</f>
        <v>#NAME?</v>
      </c>
      <c r="AF29" s="59" t="e">
        <f aca="false">AD29*AB29</f>
        <v>#NAME?</v>
      </c>
      <c r="AG29" s="59" t="e">
        <f aca="false">AE29-AF29</f>
        <v>#NAME?</v>
      </c>
      <c r="AI29" s="68" t="n">
        <f aca="false">Curves!J13+Curves!K13</f>
        <v>-0.06</v>
      </c>
      <c r="AJ29" s="68" t="n">
        <f aca="false">'Enron Proposal'!V21</f>
        <v>0</v>
      </c>
      <c r="AK29" s="59" t="n">
        <f aca="false">'Enron Proposal'!P21</f>
        <v>0</v>
      </c>
      <c r="AL29" s="59" t="e">
        <f aca="false">AK29*C29*I29</f>
        <v>#NAME?</v>
      </c>
      <c r="AM29" s="59" t="e">
        <f aca="false">(G29+AI29)*AL29</f>
        <v>#NAME?</v>
      </c>
      <c r="AN29" s="59" t="e">
        <f aca="false">AL29*AJ29</f>
        <v>#NAME?</v>
      </c>
      <c r="AO29" s="59" t="e">
        <f aca="false">AM29-AN29</f>
        <v>#NAME?</v>
      </c>
      <c r="AQ29" s="59" t="e">
        <f aca="false">(P29+X29+AF29+AN29)/I29</f>
        <v>#NAME?</v>
      </c>
      <c r="AR29" s="11" t="n">
        <f aca="false">Curves!C13</f>
        <v>0.059954499773445</v>
      </c>
      <c r="AS29" s="0" t="n">
        <f aca="false">B29-$D$16</f>
        <v>338</v>
      </c>
      <c r="AT29" s="0" t="n">
        <f aca="false">D29-$D$16</f>
        <v>393</v>
      </c>
      <c r="AU29" s="74" t="n">
        <f aca="false">(1+AR29/2)^(-2*AS29/365.25)</f>
        <v>0.94680116475835</v>
      </c>
      <c r="AV29" s="74" t="n">
        <f aca="false">(1+AR30/2)^(-2*AT29/365.25)</f>
        <v>0.938803177129092</v>
      </c>
      <c r="AX29" s="59" t="e">
        <f aca="false">AQ29*AU29</f>
        <v>#NAME?</v>
      </c>
      <c r="AY29" s="59" t="e">
        <f aca="false">AQ29*AV29</f>
        <v>#NAME?</v>
      </c>
      <c r="BA29" s="72" t="n">
        <f aca="false">G29</f>
        <v>5.375</v>
      </c>
      <c r="BB29" s="75" t="n">
        <f aca="false">'Point 1 - Transco'!H27</f>
        <v>0.938387226828226</v>
      </c>
      <c r="BC29" s="59" t="n">
        <f aca="false">M29</f>
        <v>43200</v>
      </c>
      <c r="BD29" s="59" t="n">
        <f aca="false">BC29*BB29*C29</f>
        <v>1256688.17416836</v>
      </c>
      <c r="BE29" s="59" t="n">
        <f aca="false">BD29*(BA29+K29)</f>
        <v>6792399.58137998</v>
      </c>
      <c r="BF29" s="68" t="n">
        <f aca="false">$BF$21</f>
        <v>5.3396</v>
      </c>
      <c r="BI29" s="0" t="s">
        <v>135</v>
      </c>
    </row>
    <row r="30" customFormat="false" ht="12.75" hidden="false" customHeight="false" outlineLevel="0" collapsed="false">
      <c r="B30" s="69" t="n">
        <f aca="false">'Enron Proposal'!B22</f>
        <v>37257</v>
      </c>
      <c r="C30" s="41" t="n">
        <f aca="false">'Enron Proposal'!C22</f>
        <v>31</v>
      </c>
      <c r="D30" s="66" t="n">
        <f aca="false">'Enron Proposal'!D22</f>
        <v>37312</v>
      </c>
      <c r="E30" s="41" t="n">
        <f aca="false">D30-$D$16</f>
        <v>424</v>
      </c>
      <c r="G30" s="72" t="n">
        <f aca="false">Curves!B14</f>
        <v>5.365</v>
      </c>
      <c r="H30" s="73" t="e">
        <f aca="false">Spline('Financing Assumptions'!$G$20:$G$29,'Financing Assumptions'!$F$20:$F$29,B30,1)+Curves!C14</f>
        <v>#NAME?</v>
      </c>
      <c r="I30" s="74" t="e">
        <f aca="false">(1+H30/2)^(-2*E30/365.25)</f>
        <v>#NAME?</v>
      </c>
      <c r="K30" s="0" t="n">
        <f aca="false">Curves!D14+Curves!E14</f>
        <v>0.03</v>
      </c>
      <c r="L30" s="72" t="n">
        <f aca="false">'Enron Proposal'!S22</f>
        <v>5.34346227152483</v>
      </c>
      <c r="M30" s="59" t="n">
        <f aca="false">'Enron Proposal'!G22</f>
        <v>43200</v>
      </c>
      <c r="N30" s="59" t="e">
        <f aca="false">M30*C30*I30</f>
        <v>#NAME?</v>
      </c>
      <c r="O30" s="59" t="e">
        <f aca="false">(G30+K30)*N30</f>
        <v>#NAME?</v>
      </c>
      <c r="P30" s="59" t="e">
        <f aca="false">N30*L30</f>
        <v>#NAME?</v>
      </c>
      <c r="Q30" s="59" t="e">
        <f aca="false">O30-P30</f>
        <v>#NAME?</v>
      </c>
      <c r="S30" s="68" t="n">
        <f aca="false">Curves!F14+Curves!G14</f>
        <v>0.011</v>
      </c>
      <c r="T30" s="68" t="n">
        <f aca="false">'Enron Proposal'!T22</f>
        <v>0</v>
      </c>
      <c r="U30" s="59" t="n">
        <f aca="false">'Enron Proposal'!J22</f>
        <v>0</v>
      </c>
      <c r="V30" s="59" t="e">
        <f aca="false">U30*C30*I30</f>
        <v>#NAME?</v>
      </c>
      <c r="W30" s="59" t="e">
        <f aca="false">(G30+S30)*V30</f>
        <v>#NAME?</v>
      </c>
      <c r="X30" s="59" t="e">
        <f aca="false">V30*T30</f>
        <v>#NAME?</v>
      </c>
      <c r="Y30" s="59" t="e">
        <f aca="false">W30-X30</f>
        <v>#NAME?</v>
      </c>
      <c r="AA30" s="68" t="n">
        <f aca="false">Curves!H14+Curves!I14</f>
        <v>-0.0125</v>
      </c>
      <c r="AB30" s="68" t="n">
        <f aca="false">'Enron Proposal'!U22</f>
        <v>0</v>
      </c>
      <c r="AC30" s="59" t="n">
        <f aca="false">'Enron Proposal'!M22</f>
        <v>0</v>
      </c>
      <c r="AD30" s="59" t="e">
        <f aca="false">AC30*C30*I30</f>
        <v>#NAME?</v>
      </c>
      <c r="AE30" s="59" t="e">
        <f aca="false">(G30+AA30)*AD30</f>
        <v>#NAME?</v>
      </c>
      <c r="AF30" s="59" t="e">
        <f aca="false">AD30*AB30</f>
        <v>#NAME?</v>
      </c>
      <c r="AG30" s="59" t="e">
        <f aca="false">AE30-AF30</f>
        <v>#NAME?</v>
      </c>
      <c r="AI30" s="68" t="n">
        <f aca="false">Curves!J14+Curves!K14</f>
        <v>-0.055</v>
      </c>
      <c r="AJ30" s="68" t="n">
        <f aca="false">'Enron Proposal'!V22</f>
        <v>0</v>
      </c>
      <c r="AK30" s="59" t="n">
        <f aca="false">'Enron Proposal'!P22</f>
        <v>0</v>
      </c>
      <c r="AL30" s="59" t="e">
        <f aca="false">AK30*C30*I30</f>
        <v>#NAME?</v>
      </c>
      <c r="AM30" s="59" t="e">
        <f aca="false">(G30+AI30)*AL30</f>
        <v>#NAME?</v>
      </c>
      <c r="AN30" s="59" t="e">
        <f aca="false">AL30*AJ30</f>
        <v>#NAME?</v>
      </c>
      <c r="AO30" s="59" t="e">
        <f aca="false">AM30-AN30</f>
        <v>#NAME?</v>
      </c>
      <c r="AQ30" s="59" t="e">
        <f aca="false">(P30+X30+AF30+AN30)/I30</f>
        <v>#NAME?</v>
      </c>
      <c r="AR30" s="11" t="n">
        <f aca="false">Curves!C14</f>
        <v>0.059560032629286</v>
      </c>
      <c r="AS30" s="0" t="n">
        <f aca="false">B30-$D$16</f>
        <v>369</v>
      </c>
      <c r="AT30" s="0" t="n">
        <f aca="false">D30-$D$16</f>
        <v>424</v>
      </c>
      <c r="AU30" s="74" t="n">
        <f aca="false">(1+AR30/2)^(-2*AS30/365.25)</f>
        <v>0.942430618230816</v>
      </c>
      <c r="AV30" s="74" t="n">
        <f aca="false">(1+AR31/2)^(-2*AT30/365.25)</f>
        <v>0.934390413714025</v>
      </c>
      <c r="AX30" s="59" t="e">
        <f aca="false">AQ30*AU30</f>
        <v>#NAME?</v>
      </c>
      <c r="AY30" s="59" t="e">
        <f aca="false">AQ30*AV30</f>
        <v>#NAME?</v>
      </c>
      <c r="BA30" s="72" t="n">
        <f aca="false">G30</f>
        <v>5.365</v>
      </c>
      <c r="BB30" s="75" t="n">
        <f aca="false">'Point 1 - Transco'!H28</f>
        <v>0.934107231415215</v>
      </c>
      <c r="BC30" s="59" t="n">
        <f aca="false">M30</f>
        <v>43200</v>
      </c>
      <c r="BD30" s="59" t="n">
        <f aca="false">BC30*BB30*C30</f>
        <v>1250956.40431126</v>
      </c>
      <c r="BE30" s="59" t="n">
        <f aca="false">BD30*(BA30+K30)</f>
        <v>6748909.80125923</v>
      </c>
      <c r="BF30" s="68" t="n">
        <f aca="false">$BF$21</f>
        <v>5.3396</v>
      </c>
    </row>
    <row r="31" customFormat="false" ht="12.75" hidden="false" customHeight="false" outlineLevel="0" collapsed="false">
      <c r="B31" s="69" t="n">
        <f aca="false">'Enron Proposal'!B23</f>
        <v>37288</v>
      </c>
      <c r="C31" s="41" t="n">
        <f aca="false">'Enron Proposal'!C23</f>
        <v>28</v>
      </c>
      <c r="D31" s="66" t="n">
        <f aca="false">'Enron Proposal'!D23</f>
        <v>37340</v>
      </c>
      <c r="E31" s="41" t="n">
        <f aca="false">D31-$D$16</f>
        <v>452</v>
      </c>
      <c r="G31" s="72" t="n">
        <f aca="false">Curves!B15</f>
        <v>5.11</v>
      </c>
      <c r="H31" s="73" t="e">
        <f aca="false">Spline('Financing Assumptions'!$G$20:$G$29,'Financing Assumptions'!$F$20:$F$29,B31,1)+Curves!C15</f>
        <v>#NAME?</v>
      </c>
      <c r="I31" s="74" t="e">
        <f aca="false">(1+H31/2)^(-2*E31/365.25)</f>
        <v>#NAME?</v>
      </c>
      <c r="K31" s="0" t="n">
        <f aca="false">Curves!D15+Curves!E15</f>
        <v>0.03</v>
      </c>
      <c r="L31" s="72" t="n">
        <f aca="false">'Enron Proposal'!S23</f>
        <v>5.34346227152483</v>
      </c>
      <c r="M31" s="59" t="n">
        <f aca="false">'Enron Proposal'!G23</f>
        <v>43200</v>
      </c>
      <c r="N31" s="59" t="e">
        <f aca="false">M31*C31*I31</f>
        <v>#NAME?</v>
      </c>
      <c r="O31" s="59" t="e">
        <f aca="false">(G31+K31)*N31</f>
        <v>#NAME?</v>
      </c>
      <c r="P31" s="59" t="e">
        <f aca="false">N31*L31</f>
        <v>#NAME?</v>
      </c>
      <c r="Q31" s="59" t="e">
        <f aca="false">O31-P31</f>
        <v>#NAME?</v>
      </c>
      <c r="S31" s="68" t="n">
        <f aca="false">Curves!F15+Curves!G15</f>
        <v>0.000999999999999999</v>
      </c>
      <c r="T31" s="68" t="n">
        <f aca="false">'Enron Proposal'!T23</f>
        <v>0</v>
      </c>
      <c r="U31" s="59" t="n">
        <f aca="false">'Enron Proposal'!J23</f>
        <v>0</v>
      </c>
      <c r="V31" s="59" t="e">
        <f aca="false">U31*C31*I31</f>
        <v>#NAME?</v>
      </c>
      <c r="W31" s="59" t="e">
        <f aca="false">(G31+S31)*V31</f>
        <v>#NAME?</v>
      </c>
      <c r="X31" s="59" t="e">
        <f aca="false">V31*T31</f>
        <v>#NAME?</v>
      </c>
      <c r="Y31" s="59" t="e">
        <f aca="false">W31-X31</f>
        <v>#NAME?</v>
      </c>
      <c r="AA31" s="68" t="n">
        <f aca="false">Curves!H15+Curves!I15</f>
        <v>-0.0125</v>
      </c>
      <c r="AB31" s="68" t="n">
        <f aca="false">'Enron Proposal'!U23</f>
        <v>0</v>
      </c>
      <c r="AC31" s="59" t="n">
        <f aca="false">'Enron Proposal'!M23</f>
        <v>0</v>
      </c>
      <c r="AD31" s="59" t="e">
        <f aca="false">AC31*C31*I31</f>
        <v>#NAME?</v>
      </c>
      <c r="AE31" s="59" t="e">
        <f aca="false">(G31+AA31)*AD31</f>
        <v>#NAME?</v>
      </c>
      <c r="AF31" s="59" t="e">
        <f aca="false">AD31*AB31</f>
        <v>#NAME?</v>
      </c>
      <c r="AG31" s="59" t="e">
        <f aca="false">AE31-AF31</f>
        <v>#NAME?</v>
      </c>
      <c r="AI31" s="68" t="n">
        <f aca="false">Curves!J15+Curves!K15</f>
        <v>-0.055</v>
      </c>
      <c r="AJ31" s="68" t="n">
        <f aca="false">'Enron Proposal'!V23</f>
        <v>0</v>
      </c>
      <c r="AK31" s="59" t="n">
        <f aca="false">'Enron Proposal'!P23</f>
        <v>0</v>
      </c>
      <c r="AL31" s="59" t="e">
        <f aca="false">AK31*C31*I31</f>
        <v>#NAME?</v>
      </c>
      <c r="AM31" s="59" t="e">
        <f aca="false">(G31+AI31)*AL31</f>
        <v>#NAME?</v>
      </c>
      <c r="AN31" s="59" t="e">
        <f aca="false">AL31*AJ31</f>
        <v>#NAME?</v>
      </c>
      <c r="AO31" s="59" t="e">
        <f aca="false">AM31-AN31</f>
        <v>#NAME?</v>
      </c>
      <c r="AQ31" s="59" t="e">
        <f aca="false">(P31+X31+AF31+AN31)/I31</f>
        <v>#NAME?</v>
      </c>
      <c r="AR31" s="11" t="n">
        <f aca="false">Curves!C15</f>
        <v>0.059320746881078</v>
      </c>
      <c r="AS31" s="0" t="n">
        <f aca="false">B31-$D$16</f>
        <v>400</v>
      </c>
      <c r="AT31" s="0" t="n">
        <f aca="false">D31-$D$16</f>
        <v>452</v>
      </c>
      <c r="AU31" s="74" t="n">
        <f aca="false">(1+AR31/2)^(-2*AS31/365.25)</f>
        <v>0.937986481851919</v>
      </c>
      <c r="AV31" s="74" t="n">
        <f aca="false">(1+AR32/2)^(-2*AT31/365.25)</f>
        <v>0.930454095292277</v>
      </c>
      <c r="AX31" s="59" t="e">
        <f aca="false">AQ31*AU31</f>
        <v>#NAME?</v>
      </c>
      <c r="AY31" s="59" t="e">
        <f aca="false">AQ31*AV31</f>
        <v>#NAME?</v>
      </c>
      <c r="BA31" s="72" t="n">
        <f aca="false">G31</f>
        <v>5.11</v>
      </c>
      <c r="BB31" s="75" t="n">
        <f aca="false">'Point 1 - Transco'!H29</f>
        <v>0.930179426803669</v>
      </c>
      <c r="BC31" s="59" t="n">
        <f aca="false">M31</f>
        <v>43200</v>
      </c>
      <c r="BD31" s="59" t="n">
        <f aca="false">BC31*BB31*C31</f>
        <v>1125145.03466172</v>
      </c>
      <c r="BE31" s="59" t="n">
        <f aca="false">BD31*(BA31+K31)</f>
        <v>5783245.47816123</v>
      </c>
      <c r="BF31" s="68" t="n">
        <f aca="false">$BF$21</f>
        <v>5.3396</v>
      </c>
    </row>
    <row r="32" customFormat="false" ht="12.75" hidden="false" customHeight="false" outlineLevel="0" collapsed="false">
      <c r="B32" s="69" t="n">
        <f aca="false">'Enron Proposal'!B24</f>
        <v>37316</v>
      </c>
      <c r="C32" s="41" t="n">
        <f aca="false">'Enron Proposal'!C24</f>
        <v>31</v>
      </c>
      <c r="D32" s="66" t="n">
        <f aca="false">'Enron Proposal'!D24</f>
        <v>37371</v>
      </c>
      <c r="E32" s="41" t="n">
        <f aca="false">D32-$D$16</f>
        <v>483</v>
      </c>
      <c r="G32" s="72" t="n">
        <f aca="false">Curves!B16</f>
        <v>4.777</v>
      </c>
      <c r="H32" s="73" t="e">
        <f aca="false">Spline('Financing Assumptions'!$G$20:$G$29,'Financing Assumptions'!$F$20:$F$29,B32,1)+Curves!C16</f>
        <v>#NAME?</v>
      </c>
      <c r="I32" s="74" t="e">
        <f aca="false">(1+H32/2)^(-2*E32/365.25)</f>
        <v>#NAME?</v>
      </c>
      <c r="K32" s="0" t="n">
        <f aca="false">Curves!D16+Curves!E16</f>
        <v>0.03</v>
      </c>
      <c r="L32" s="72" t="n">
        <f aca="false">'Enron Proposal'!S24</f>
        <v>5.34346227152483</v>
      </c>
      <c r="M32" s="59" t="n">
        <f aca="false">'Enron Proposal'!G24</f>
        <v>43200</v>
      </c>
      <c r="N32" s="59" t="e">
        <f aca="false">M32*C32*I32</f>
        <v>#NAME?</v>
      </c>
      <c r="O32" s="59" t="e">
        <f aca="false">(G32+K32)*N32</f>
        <v>#NAME?</v>
      </c>
      <c r="P32" s="59" t="e">
        <f aca="false">N32*L32</f>
        <v>#NAME?</v>
      </c>
      <c r="Q32" s="59" t="e">
        <f aca="false">O32-P32</f>
        <v>#NAME?</v>
      </c>
      <c r="S32" s="68" t="n">
        <f aca="false">Curves!F16+Curves!G16</f>
        <v>0.000999999999999999</v>
      </c>
      <c r="T32" s="68" t="n">
        <f aca="false">'Enron Proposal'!T24</f>
        <v>0</v>
      </c>
      <c r="U32" s="59" t="n">
        <f aca="false">'Enron Proposal'!J24</f>
        <v>0</v>
      </c>
      <c r="V32" s="59" t="e">
        <f aca="false">U32*C32*I32</f>
        <v>#NAME?</v>
      </c>
      <c r="W32" s="59" t="e">
        <f aca="false">(G32+S32)*V32</f>
        <v>#NAME?</v>
      </c>
      <c r="X32" s="59" t="e">
        <f aca="false">V32*T32</f>
        <v>#NAME?</v>
      </c>
      <c r="Y32" s="59" t="e">
        <f aca="false">W32-X32</f>
        <v>#NAME?</v>
      </c>
      <c r="AA32" s="68" t="n">
        <f aca="false">Curves!H16+Curves!I16</f>
        <v>-0.0125</v>
      </c>
      <c r="AB32" s="68" t="n">
        <f aca="false">'Enron Proposal'!U24</f>
        <v>0</v>
      </c>
      <c r="AC32" s="59" t="n">
        <f aca="false">'Enron Proposal'!M24</f>
        <v>0</v>
      </c>
      <c r="AD32" s="59" t="e">
        <f aca="false">AC32*C32*I32</f>
        <v>#NAME?</v>
      </c>
      <c r="AE32" s="59" t="e">
        <f aca="false">(G32+AA32)*AD32</f>
        <v>#NAME?</v>
      </c>
      <c r="AF32" s="59" t="e">
        <f aca="false">AD32*AB32</f>
        <v>#NAME?</v>
      </c>
      <c r="AG32" s="59" t="e">
        <f aca="false">AE32-AF32</f>
        <v>#NAME?</v>
      </c>
      <c r="AI32" s="68" t="n">
        <f aca="false">Curves!J16+Curves!K16</f>
        <v>-0.055</v>
      </c>
      <c r="AJ32" s="68" t="n">
        <f aca="false">'Enron Proposal'!V24</f>
        <v>0</v>
      </c>
      <c r="AK32" s="59" t="n">
        <f aca="false">'Enron Proposal'!P24</f>
        <v>0</v>
      </c>
      <c r="AL32" s="59" t="e">
        <f aca="false">AK32*C32*I32</f>
        <v>#NAME?</v>
      </c>
      <c r="AM32" s="59" t="e">
        <f aca="false">(G32+AI32)*AL32</f>
        <v>#NAME?</v>
      </c>
      <c r="AN32" s="59" t="e">
        <f aca="false">AL32*AJ32</f>
        <v>#NAME?</v>
      </c>
      <c r="AO32" s="59" t="e">
        <f aca="false">AM32-AN32</f>
        <v>#NAME?</v>
      </c>
      <c r="AQ32" s="59" t="e">
        <f aca="false">(P32+X32+AF32+AN32)/I32</f>
        <v>#NAME?</v>
      </c>
      <c r="AR32" s="11" t="n">
        <f aca="false">Curves!C16</f>
        <v>0.059104617834538</v>
      </c>
      <c r="AS32" s="0" t="n">
        <f aca="false">B32-$D$16</f>
        <v>428</v>
      </c>
      <c r="AT32" s="0" t="n">
        <f aca="false">D32-$D$16</f>
        <v>483</v>
      </c>
      <c r="AU32" s="74" t="n">
        <f aca="false">(1+AR32/2)^(-2*AS32/365.25)</f>
        <v>0.934022131047033</v>
      </c>
      <c r="AV32" s="74" t="n">
        <f aca="false">(1+AR33/2)^(-2*AT32/365.25)</f>
        <v>0.926116370440044</v>
      </c>
      <c r="AX32" s="59" t="e">
        <f aca="false">AQ32*AU32</f>
        <v>#NAME?</v>
      </c>
      <c r="AY32" s="59" t="e">
        <f aca="false">AQ32*AV32</f>
        <v>#NAME?</v>
      </c>
      <c r="BA32" s="72" t="n">
        <f aca="false">G32</f>
        <v>4.777</v>
      </c>
      <c r="BB32" s="75" t="n">
        <f aca="false">'Point 1 - Transco'!H30</f>
        <v>0.925830532354364</v>
      </c>
      <c r="BC32" s="59" t="n">
        <f aca="false">M32</f>
        <v>43200</v>
      </c>
      <c r="BD32" s="59" t="n">
        <f aca="false">BC32*BB32*C32</f>
        <v>1239872.24892896</v>
      </c>
      <c r="BE32" s="59" t="n">
        <f aca="false">BD32*(BA32+K32)</f>
        <v>5960065.90060153</v>
      </c>
      <c r="BF32" s="68" t="n">
        <f aca="false">$BF$21</f>
        <v>5.3396</v>
      </c>
    </row>
    <row r="33" customFormat="false" ht="12.75" hidden="false" customHeight="false" outlineLevel="0" collapsed="false">
      <c r="B33" s="69" t="n">
        <f aca="false">'Enron Proposal'!B25</f>
        <v>37347</v>
      </c>
      <c r="C33" s="41" t="n">
        <f aca="false">'Enron Proposal'!C25</f>
        <v>30</v>
      </c>
      <c r="D33" s="66" t="n">
        <f aca="false">'Enron Proposal'!D25</f>
        <v>37403</v>
      </c>
      <c r="E33" s="41" t="n">
        <f aca="false">D33-$D$16</f>
        <v>515</v>
      </c>
      <c r="G33" s="72" t="n">
        <f aca="false">Curves!B17</f>
        <v>4.317</v>
      </c>
      <c r="H33" s="73" t="e">
        <f aca="false">Spline('Financing Assumptions'!$G$20:$G$29,'Financing Assumptions'!$F$20:$F$29,B33,1)+Curves!C17</f>
        <v>#NAME?</v>
      </c>
      <c r="I33" s="74" t="e">
        <f aca="false">(1+H33/2)^(-2*E33/365.25)</f>
        <v>#NAME?</v>
      </c>
      <c r="K33" s="0" t="n">
        <f aca="false">Curves!D17+Curves!E17</f>
        <v>0.036</v>
      </c>
      <c r="L33" s="72" t="n">
        <f aca="false">'Enron Proposal'!S25</f>
        <v>4.25899575885374</v>
      </c>
      <c r="M33" s="59" t="n">
        <f aca="false">'Enron Proposal'!G25</f>
        <v>54200</v>
      </c>
      <c r="N33" s="59" t="e">
        <f aca="false">M33*C33*I33</f>
        <v>#NAME?</v>
      </c>
      <c r="O33" s="59" t="e">
        <f aca="false">(G33+K33)*N33</f>
        <v>#NAME?</v>
      </c>
      <c r="P33" s="59" t="e">
        <f aca="false">N33*L33</f>
        <v>#NAME?</v>
      </c>
      <c r="Q33" s="59" t="e">
        <f aca="false">O33-P33</f>
        <v>#NAME?</v>
      </c>
      <c r="S33" s="68" t="n">
        <f aca="false">Curves!F17+Curves!G17</f>
        <v>-0.0165</v>
      </c>
      <c r="T33" s="68" t="n">
        <f aca="false">'Enron Proposal'!T25</f>
        <v>0</v>
      </c>
      <c r="U33" s="59" t="n">
        <f aca="false">'Enron Proposal'!J25</f>
        <v>0</v>
      </c>
      <c r="V33" s="59" t="e">
        <f aca="false">U33*C33*I33</f>
        <v>#NAME?</v>
      </c>
      <c r="W33" s="59" t="e">
        <f aca="false">(G33+S33)*V33</f>
        <v>#NAME?</v>
      </c>
      <c r="X33" s="59" t="e">
        <f aca="false">V33*T33</f>
        <v>#NAME?</v>
      </c>
      <c r="Y33" s="59" t="e">
        <f aca="false">W33-X33</f>
        <v>#NAME?</v>
      </c>
      <c r="AA33" s="68" t="n">
        <f aca="false">Curves!H17+Curves!I17</f>
        <v>-0.015</v>
      </c>
      <c r="AB33" s="68" t="n">
        <f aca="false">'Enron Proposal'!U25</f>
        <v>0</v>
      </c>
      <c r="AC33" s="59" t="n">
        <f aca="false">'Enron Proposal'!M25</f>
        <v>0</v>
      </c>
      <c r="AD33" s="59" t="e">
        <f aca="false">AC33*C33*I33</f>
        <v>#NAME?</v>
      </c>
      <c r="AE33" s="59" t="e">
        <f aca="false">(G33+AA33)*AD33</f>
        <v>#NAME?</v>
      </c>
      <c r="AF33" s="59" t="e">
        <f aca="false">AD33*AB33</f>
        <v>#NAME?</v>
      </c>
      <c r="AG33" s="59" t="e">
        <f aca="false">AE33-AF33</f>
        <v>#NAME?</v>
      </c>
      <c r="AI33" s="68" t="n">
        <f aca="false">Curves!J17+Curves!K17</f>
        <v>-0.055</v>
      </c>
      <c r="AJ33" s="68" t="n">
        <f aca="false">'Enron Proposal'!V25</f>
        <v>0</v>
      </c>
      <c r="AK33" s="59" t="n">
        <f aca="false">'Enron Proposal'!P25</f>
        <v>0</v>
      </c>
      <c r="AL33" s="59" t="e">
        <f aca="false">AK33*C33*I33</f>
        <v>#NAME?</v>
      </c>
      <c r="AM33" s="59" t="e">
        <f aca="false">(G33+AI33)*AL33</f>
        <v>#NAME?</v>
      </c>
      <c r="AN33" s="59" t="e">
        <f aca="false">AL33*AJ33</f>
        <v>#NAME?</v>
      </c>
      <c r="AO33" s="59" t="e">
        <f aca="false">AM33-AN33</f>
        <v>#NAME?</v>
      </c>
      <c r="AQ33" s="59" t="e">
        <f aca="false">(P33+X33+AF33+AN33)/I33</f>
        <v>#NAME?</v>
      </c>
      <c r="AR33" s="11" t="n">
        <f aca="false">Curves!C17</f>
        <v>0.058893741036666</v>
      </c>
      <c r="AS33" s="0" t="n">
        <f aca="false">B33-$D$16</f>
        <v>459</v>
      </c>
      <c r="AT33" s="0" t="n">
        <f aca="false">D33-$D$16</f>
        <v>515</v>
      </c>
      <c r="AU33" s="74" t="n">
        <f aca="false">(1+AR33/2)^(-2*AS33/365.25)</f>
        <v>0.929655259585263</v>
      </c>
      <c r="AV33" s="74" t="n">
        <f aca="false">(1+AR34/2)^(-2*AT33/365.25)</f>
        <v>0.921627568668553</v>
      </c>
      <c r="AX33" s="59" t="e">
        <f aca="false">AQ33*AU33</f>
        <v>#NAME?</v>
      </c>
      <c r="AY33" s="59" t="e">
        <f aca="false">AQ33*AV33</f>
        <v>#NAME?</v>
      </c>
      <c r="BA33" s="72" t="n">
        <f aca="false">G33</f>
        <v>4.317</v>
      </c>
      <c r="BB33" s="75" t="n">
        <f aca="false">'Point 1 - Transco'!H31</f>
        <v>0.921381722659421</v>
      </c>
      <c r="BC33" s="59" t="n">
        <f aca="false">M33</f>
        <v>54200</v>
      </c>
      <c r="BD33" s="59" t="n">
        <f aca="false">BC33*BB33*C33</f>
        <v>1498166.68104422</v>
      </c>
      <c r="BE33" s="59" t="n">
        <f aca="false">BD33*(BA33+K33)</f>
        <v>6521519.56258548</v>
      </c>
      <c r="BF33" s="68" t="n">
        <f aca="false">ROUND(SUM(BE33:BE44)/SUM(BD33:BD44),4)</f>
        <v>4.2604</v>
      </c>
    </row>
    <row r="34" customFormat="false" ht="12.75" hidden="false" customHeight="false" outlineLevel="0" collapsed="false">
      <c r="B34" s="69" t="n">
        <f aca="false">'Enron Proposal'!B26</f>
        <v>37377</v>
      </c>
      <c r="C34" s="41" t="n">
        <f aca="false">'Enron Proposal'!C26</f>
        <v>31</v>
      </c>
      <c r="D34" s="66" t="n">
        <f aca="false">'Enron Proposal'!D26</f>
        <v>37432</v>
      </c>
      <c r="E34" s="41" t="n">
        <f aca="false">D34-$D$16</f>
        <v>544</v>
      </c>
      <c r="G34" s="72" t="n">
        <f aca="false">Curves!B18</f>
        <v>4.212</v>
      </c>
      <c r="H34" s="73" t="e">
        <f aca="false">Spline('Financing Assumptions'!$G$20:$G$29,'Financing Assumptions'!$F$20:$F$29,B34,1)+Curves!C18</f>
        <v>#NAME?</v>
      </c>
      <c r="I34" s="74" t="e">
        <f aca="false">(1+H34/2)^(-2*E34/365.25)</f>
        <v>#NAME?</v>
      </c>
      <c r="K34" s="0" t="n">
        <f aca="false">Curves!D18+Curves!E18</f>
        <v>0.036</v>
      </c>
      <c r="L34" s="72" t="n">
        <f aca="false">'Enron Proposal'!S26</f>
        <v>4.25899575885374</v>
      </c>
      <c r="M34" s="59" t="n">
        <f aca="false">'Enron Proposal'!G26</f>
        <v>54200</v>
      </c>
      <c r="N34" s="59" t="e">
        <f aca="false">M34*C34*I34</f>
        <v>#NAME?</v>
      </c>
      <c r="O34" s="59" t="e">
        <f aca="false">(G34+K34)*N34</f>
        <v>#NAME?</v>
      </c>
      <c r="P34" s="59" t="e">
        <f aca="false">N34*L34</f>
        <v>#NAME?</v>
      </c>
      <c r="Q34" s="59" t="e">
        <f aca="false">O34-P34</f>
        <v>#NAME?</v>
      </c>
      <c r="S34" s="68" t="n">
        <f aca="false">Curves!F18+Curves!G18</f>
        <v>-0.0165</v>
      </c>
      <c r="T34" s="68" t="n">
        <f aca="false">'Enron Proposal'!T26</f>
        <v>0</v>
      </c>
      <c r="U34" s="59" t="n">
        <f aca="false">'Enron Proposal'!J26</f>
        <v>0</v>
      </c>
      <c r="V34" s="59" t="e">
        <f aca="false">U34*C34*I34</f>
        <v>#NAME?</v>
      </c>
      <c r="W34" s="59" t="e">
        <f aca="false">(G34+S34)*V34</f>
        <v>#NAME?</v>
      </c>
      <c r="X34" s="59" t="e">
        <f aca="false">V34*T34</f>
        <v>#NAME?</v>
      </c>
      <c r="Y34" s="59" t="e">
        <f aca="false">W34-X34</f>
        <v>#NAME?</v>
      </c>
      <c r="AA34" s="68" t="n">
        <f aca="false">Curves!H18+Curves!I18</f>
        <v>-0.015</v>
      </c>
      <c r="AB34" s="68" t="n">
        <f aca="false">'Enron Proposal'!U26</f>
        <v>0</v>
      </c>
      <c r="AC34" s="59" t="n">
        <f aca="false">'Enron Proposal'!M26</f>
        <v>0</v>
      </c>
      <c r="AD34" s="59" t="e">
        <f aca="false">AC34*C34*I34</f>
        <v>#NAME?</v>
      </c>
      <c r="AE34" s="59" t="e">
        <f aca="false">(G34+AA34)*AD34</f>
        <v>#NAME?</v>
      </c>
      <c r="AF34" s="59" t="e">
        <f aca="false">AD34*AB34</f>
        <v>#NAME?</v>
      </c>
      <c r="AG34" s="59" t="e">
        <f aca="false">AE34-AF34</f>
        <v>#NAME?</v>
      </c>
      <c r="AI34" s="68" t="n">
        <f aca="false">Curves!J18+Curves!K18</f>
        <v>-0.055</v>
      </c>
      <c r="AJ34" s="68" t="n">
        <f aca="false">'Enron Proposal'!V26</f>
        <v>0</v>
      </c>
      <c r="AK34" s="59" t="n">
        <f aca="false">'Enron Proposal'!P26</f>
        <v>0</v>
      </c>
      <c r="AL34" s="59" t="e">
        <f aca="false">AK34*C34*I34</f>
        <v>#NAME?</v>
      </c>
      <c r="AM34" s="59" t="e">
        <f aca="false">(G34+AI34)*AL34</f>
        <v>#NAME?</v>
      </c>
      <c r="AN34" s="59" t="e">
        <f aca="false">AL34*AJ34</f>
        <v>#NAME?</v>
      </c>
      <c r="AO34" s="59" t="e">
        <f aca="false">AM34-AN34</f>
        <v>#NAME?</v>
      </c>
      <c r="AQ34" s="59" t="e">
        <f aca="false">(P34+X34+AF34+AN34)/I34</f>
        <v>#NAME?</v>
      </c>
      <c r="AR34" s="11" t="n">
        <f aca="false">Curves!C18</f>
        <v>0.058728342249746</v>
      </c>
      <c r="AS34" s="0" t="n">
        <f aca="false">B34-$D$16</f>
        <v>489</v>
      </c>
      <c r="AT34" s="0" t="n">
        <f aca="false">D34-$D$16</f>
        <v>544</v>
      </c>
      <c r="AU34" s="74" t="n">
        <f aca="false">(1+AR34/2)^(-2*AS34/365.25)</f>
        <v>0.925432805273797</v>
      </c>
      <c r="AV34" s="74" t="n">
        <f aca="false">(1+AR35/2)^(-2*AT34/365.25)</f>
        <v>0.917628626914862</v>
      </c>
      <c r="AX34" s="59" t="e">
        <f aca="false">AQ34*AU34</f>
        <v>#NAME?</v>
      </c>
      <c r="AY34" s="59" t="e">
        <f aca="false">AQ34*AV34</f>
        <v>#NAME?</v>
      </c>
      <c r="BA34" s="72" t="n">
        <f aca="false">G34</f>
        <v>4.212</v>
      </c>
      <c r="BB34" s="75" t="n">
        <f aca="false">'Point 1 - Transco'!H32</f>
        <v>0.917362796476308</v>
      </c>
      <c r="BC34" s="59" t="n">
        <f aca="false">M34</f>
        <v>54200</v>
      </c>
      <c r="BD34" s="59" t="n">
        <f aca="false">BC34*BB34*C34</f>
        <v>1541352.97063949</v>
      </c>
      <c r="BE34" s="59" t="n">
        <f aca="false">BD34*(BA34+K34)</f>
        <v>6547667.41927657</v>
      </c>
      <c r="BF34" s="68" t="n">
        <f aca="false">$BF$33</f>
        <v>4.2604</v>
      </c>
    </row>
    <row r="35" customFormat="false" ht="12.75" hidden="false" customHeight="false" outlineLevel="0" collapsed="false">
      <c r="B35" s="69" t="n">
        <f aca="false">'Enron Proposal'!B27</f>
        <v>37408</v>
      </c>
      <c r="C35" s="41" t="n">
        <f aca="false">'Enron Proposal'!C27</f>
        <v>30</v>
      </c>
      <c r="D35" s="66" t="n">
        <f aca="false">'Enron Proposal'!D27</f>
        <v>37462</v>
      </c>
      <c r="E35" s="41" t="n">
        <f aca="false">D35-$D$16</f>
        <v>574</v>
      </c>
      <c r="G35" s="72" t="n">
        <f aca="false">Curves!B19</f>
        <v>4.192</v>
      </c>
      <c r="H35" s="73" t="e">
        <f aca="false">Spline('Financing Assumptions'!$G$20:$G$29,'Financing Assumptions'!$F$20:$F$29,B35,1)+Curves!C19</f>
        <v>#NAME?</v>
      </c>
      <c r="I35" s="74" t="e">
        <f aca="false">(1+H35/2)^(-2*E35/365.25)</f>
        <v>#NAME?</v>
      </c>
      <c r="K35" s="0" t="n">
        <f aca="false">Curves!D19+Curves!E19</f>
        <v>0.036</v>
      </c>
      <c r="L35" s="72" t="n">
        <f aca="false">'Enron Proposal'!S27</f>
        <v>4.25899575885374</v>
      </c>
      <c r="M35" s="59" t="n">
        <f aca="false">'Enron Proposal'!G27</f>
        <v>54200</v>
      </c>
      <c r="N35" s="59" t="e">
        <f aca="false">M35*C35*I35</f>
        <v>#NAME?</v>
      </c>
      <c r="O35" s="59" t="e">
        <f aca="false">(G35+K35)*N35</f>
        <v>#NAME?</v>
      </c>
      <c r="P35" s="59" t="e">
        <f aca="false">N35*L35</f>
        <v>#NAME?</v>
      </c>
      <c r="Q35" s="59" t="e">
        <f aca="false">O35-P35</f>
        <v>#NAME?</v>
      </c>
      <c r="S35" s="68" t="n">
        <f aca="false">Curves!F19+Curves!G19</f>
        <v>-0.0165</v>
      </c>
      <c r="T35" s="68" t="n">
        <f aca="false">'Enron Proposal'!T27</f>
        <v>0</v>
      </c>
      <c r="U35" s="59" t="n">
        <f aca="false">'Enron Proposal'!J27</f>
        <v>0</v>
      </c>
      <c r="V35" s="59" t="e">
        <f aca="false">U35*C35*I35</f>
        <v>#NAME?</v>
      </c>
      <c r="W35" s="59" t="e">
        <f aca="false">(G35+S35)*V35</f>
        <v>#NAME?</v>
      </c>
      <c r="X35" s="59" t="e">
        <f aca="false">V35*T35</f>
        <v>#NAME?</v>
      </c>
      <c r="Y35" s="59" t="e">
        <f aca="false">W35-X35</f>
        <v>#NAME?</v>
      </c>
      <c r="AA35" s="68" t="n">
        <f aca="false">Curves!H19+Curves!I19</f>
        <v>-0.015</v>
      </c>
      <c r="AB35" s="68" t="n">
        <f aca="false">'Enron Proposal'!U27</f>
        <v>0</v>
      </c>
      <c r="AC35" s="59" t="n">
        <f aca="false">'Enron Proposal'!M27</f>
        <v>0</v>
      </c>
      <c r="AD35" s="59" t="e">
        <f aca="false">AC35*C35*I35</f>
        <v>#NAME?</v>
      </c>
      <c r="AE35" s="59" t="e">
        <f aca="false">(G35+AA35)*AD35</f>
        <v>#NAME?</v>
      </c>
      <c r="AF35" s="59" t="e">
        <f aca="false">AD35*AB35</f>
        <v>#NAME?</v>
      </c>
      <c r="AG35" s="59" t="e">
        <f aca="false">AE35-AF35</f>
        <v>#NAME?</v>
      </c>
      <c r="AI35" s="68" t="n">
        <f aca="false">Curves!J19+Curves!K19</f>
        <v>-0.055</v>
      </c>
      <c r="AJ35" s="68" t="n">
        <f aca="false">'Enron Proposal'!V27</f>
        <v>0</v>
      </c>
      <c r="AK35" s="59" t="n">
        <f aca="false">'Enron Proposal'!P27</f>
        <v>0</v>
      </c>
      <c r="AL35" s="59" t="e">
        <f aca="false">AK35*C35*I35</f>
        <v>#NAME?</v>
      </c>
      <c r="AM35" s="59" t="e">
        <f aca="false">(G35+AI35)*AL35</f>
        <v>#NAME?</v>
      </c>
      <c r="AN35" s="59" t="e">
        <f aca="false">AL35*AJ35</f>
        <v>#NAME?</v>
      </c>
      <c r="AO35" s="59" t="e">
        <f aca="false">AM35-AN35</f>
        <v>#NAME?</v>
      </c>
      <c r="AQ35" s="59" t="e">
        <f aca="false">(P35+X35+AF35+AN35)/I35</f>
        <v>#NAME?</v>
      </c>
      <c r="AR35" s="11" t="n">
        <f aca="false">Curves!C19</f>
        <v>0.058557430179484</v>
      </c>
      <c r="AS35" s="0" t="n">
        <f aca="false">B35-$D$16</f>
        <v>520</v>
      </c>
      <c r="AT35" s="0" t="n">
        <f aca="false">D35-$D$16</f>
        <v>574</v>
      </c>
      <c r="AU35" s="74" t="n">
        <f aca="false">(1+AR35/2)^(-2*AS35/365.25)</f>
        <v>0.921115307772831</v>
      </c>
      <c r="AV35" s="74" t="n">
        <f aca="false">(1+AR36/2)^(-2*AT35/365.25)</f>
        <v>0.913470181117722</v>
      </c>
      <c r="AX35" s="59" t="e">
        <f aca="false">AQ35*AU35</f>
        <v>#NAME?</v>
      </c>
      <c r="AY35" s="59" t="e">
        <f aca="false">AQ35*AV35</f>
        <v>#NAME?</v>
      </c>
      <c r="BA35" s="72" t="n">
        <f aca="false">G35</f>
        <v>4.192</v>
      </c>
      <c r="BB35" s="75" t="n">
        <f aca="false">'Point 1 - Transco'!H33</f>
        <v>0.913248014448641</v>
      </c>
      <c r="BC35" s="59" t="n">
        <f aca="false">M35</f>
        <v>54200</v>
      </c>
      <c r="BD35" s="59" t="n">
        <f aca="false">BC35*BB35*C35</f>
        <v>1484941.27149349</v>
      </c>
      <c r="BE35" s="59" t="n">
        <f aca="false">BD35*(BA35+K35)</f>
        <v>6278331.69587447</v>
      </c>
      <c r="BF35" s="68" t="n">
        <f aca="false">$BF$33</f>
        <v>4.2604</v>
      </c>
    </row>
    <row r="36" customFormat="false" ht="12.75" hidden="false" customHeight="false" outlineLevel="0" collapsed="false">
      <c r="B36" s="69" t="n">
        <f aca="false">'Enron Proposal'!B28</f>
        <v>37438</v>
      </c>
      <c r="C36" s="41" t="n">
        <f aca="false">'Enron Proposal'!C28</f>
        <v>31</v>
      </c>
      <c r="D36" s="66" t="n">
        <f aca="false">'Enron Proposal'!D28</f>
        <v>37494</v>
      </c>
      <c r="E36" s="41" t="n">
        <f aca="false">D36-$D$16</f>
        <v>606</v>
      </c>
      <c r="G36" s="72" t="n">
        <f aca="false">Curves!B20</f>
        <v>4.192</v>
      </c>
      <c r="H36" s="73" t="e">
        <f aca="false">Spline('Financing Assumptions'!$G$20:$G$29,'Financing Assumptions'!$F$20:$F$29,B36,1)+Curves!C20</f>
        <v>#NAME?</v>
      </c>
      <c r="I36" s="74" t="e">
        <f aca="false">(1+H36/2)^(-2*E36/365.25)</f>
        <v>#NAME?</v>
      </c>
      <c r="K36" s="0" t="n">
        <f aca="false">Curves!D20+Curves!E20</f>
        <v>0.036</v>
      </c>
      <c r="L36" s="72" t="n">
        <f aca="false">'Enron Proposal'!S28</f>
        <v>4.25899575885374</v>
      </c>
      <c r="M36" s="59" t="n">
        <f aca="false">'Enron Proposal'!G28</f>
        <v>54200</v>
      </c>
      <c r="N36" s="59" t="e">
        <f aca="false">M36*C36*I36</f>
        <v>#NAME?</v>
      </c>
      <c r="O36" s="59" t="e">
        <f aca="false">(G36+K36)*N36</f>
        <v>#NAME?</v>
      </c>
      <c r="P36" s="59" t="e">
        <f aca="false">N36*L36</f>
        <v>#NAME?</v>
      </c>
      <c r="Q36" s="59" t="e">
        <f aca="false">O36-P36</f>
        <v>#NAME?</v>
      </c>
      <c r="S36" s="68" t="n">
        <f aca="false">Curves!F20+Curves!G20</f>
        <v>-0.0165</v>
      </c>
      <c r="T36" s="68" t="n">
        <f aca="false">'Enron Proposal'!T28</f>
        <v>0</v>
      </c>
      <c r="U36" s="59" t="n">
        <f aca="false">'Enron Proposal'!J28</f>
        <v>0</v>
      </c>
      <c r="V36" s="59" t="e">
        <f aca="false">U36*C36*I36</f>
        <v>#NAME?</v>
      </c>
      <c r="W36" s="59" t="e">
        <f aca="false">(G36+S36)*V36</f>
        <v>#NAME?</v>
      </c>
      <c r="X36" s="59" t="e">
        <f aca="false">V36*T36</f>
        <v>#NAME?</v>
      </c>
      <c r="Y36" s="59" t="e">
        <f aca="false">W36-X36</f>
        <v>#NAME?</v>
      </c>
      <c r="AA36" s="68" t="n">
        <f aca="false">Curves!H20+Curves!I20</f>
        <v>-0.015</v>
      </c>
      <c r="AB36" s="68" t="n">
        <f aca="false">'Enron Proposal'!U28</f>
        <v>0</v>
      </c>
      <c r="AC36" s="59" t="n">
        <f aca="false">'Enron Proposal'!M28</f>
        <v>0</v>
      </c>
      <c r="AD36" s="59" t="e">
        <f aca="false">AC36*C36*I36</f>
        <v>#NAME?</v>
      </c>
      <c r="AE36" s="59" t="e">
        <f aca="false">(G36+AA36)*AD36</f>
        <v>#NAME?</v>
      </c>
      <c r="AF36" s="59" t="e">
        <f aca="false">AD36*AB36</f>
        <v>#NAME?</v>
      </c>
      <c r="AG36" s="59" t="e">
        <f aca="false">AE36-AF36</f>
        <v>#NAME?</v>
      </c>
      <c r="AI36" s="68" t="n">
        <f aca="false">Curves!J20+Curves!K20</f>
        <v>-0.055</v>
      </c>
      <c r="AJ36" s="68" t="n">
        <f aca="false">'Enron Proposal'!V28</f>
        <v>0</v>
      </c>
      <c r="AK36" s="59" t="n">
        <f aca="false">'Enron Proposal'!P28</f>
        <v>0</v>
      </c>
      <c r="AL36" s="59" t="e">
        <f aca="false">AK36*C36*I36</f>
        <v>#NAME?</v>
      </c>
      <c r="AM36" s="59" t="e">
        <f aca="false">(G36+AI36)*AL36</f>
        <v>#NAME?</v>
      </c>
      <c r="AN36" s="59" t="e">
        <f aca="false">AL36*AJ36</f>
        <v>#NAME?</v>
      </c>
      <c r="AO36" s="59" t="e">
        <f aca="false">AM36-AN36</f>
        <v>#NAME?</v>
      </c>
      <c r="AQ36" s="59" t="e">
        <f aca="false">(P36+X36+AF36+AN36)/I36</f>
        <v>#NAME?</v>
      </c>
      <c r="AR36" s="11" t="n">
        <f aca="false">Curves!C20</f>
        <v>0.058427393120956</v>
      </c>
      <c r="AS36" s="0" t="n">
        <f aca="false">B36-$D$16</f>
        <v>550</v>
      </c>
      <c r="AT36" s="0" t="n">
        <f aca="false">D36-$D$16</f>
        <v>606</v>
      </c>
      <c r="AU36" s="74" t="n">
        <f aca="false">(1+AR36/2)^(-2*AS36/365.25)</f>
        <v>0.916933449106752</v>
      </c>
      <c r="AV36" s="74" t="n">
        <f aca="false">(1+AR37/2)^(-2*AT36/365.25)</f>
        <v>0.908984620241182</v>
      </c>
      <c r="AX36" s="59" t="e">
        <f aca="false">AQ36*AU36</f>
        <v>#NAME?</v>
      </c>
      <c r="AY36" s="59" t="e">
        <f aca="false">AQ36*AV36</f>
        <v>#NAME?</v>
      </c>
      <c r="BA36" s="72" t="n">
        <f aca="false">G36</f>
        <v>4.192</v>
      </c>
      <c r="BB36" s="75" t="n">
        <f aca="false">'Point 1 - Transco'!H34</f>
        <v>0.908830005873734</v>
      </c>
      <c r="BC36" s="59" t="n">
        <f aca="false">M36</f>
        <v>54200</v>
      </c>
      <c r="BD36" s="59" t="n">
        <f aca="false">BC36*BB36*C36</f>
        <v>1527016.17586905</v>
      </c>
      <c r="BE36" s="59" t="n">
        <f aca="false">BD36*(BA36+K36)</f>
        <v>6456224.39157433</v>
      </c>
      <c r="BF36" s="68" t="n">
        <f aca="false">$BF$33</f>
        <v>4.2604</v>
      </c>
    </row>
    <row r="37" customFormat="false" ht="12.75" hidden="false" customHeight="false" outlineLevel="0" collapsed="false">
      <c r="B37" s="69" t="n">
        <f aca="false">'Enron Proposal'!B29</f>
        <v>37469</v>
      </c>
      <c r="C37" s="41" t="n">
        <f aca="false">'Enron Proposal'!C29</f>
        <v>31</v>
      </c>
      <c r="D37" s="66" t="n">
        <f aca="false">'Enron Proposal'!D29</f>
        <v>37524</v>
      </c>
      <c r="E37" s="41" t="n">
        <f aca="false">D37-$D$16</f>
        <v>636</v>
      </c>
      <c r="G37" s="72" t="n">
        <f aca="false">Curves!B21</f>
        <v>4.192</v>
      </c>
      <c r="H37" s="73" t="e">
        <f aca="false">Spline('Financing Assumptions'!$G$20:$G$29,'Financing Assumptions'!$F$20:$F$29,B37,1)+Curves!C21</f>
        <v>#NAME?</v>
      </c>
      <c r="I37" s="74" t="e">
        <f aca="false">(1+H37/2)^(-2*E37/365.25)</f>
        <v>#NAME?</v>
      </c>
      <c r="K37" s="0" t="n">
        <f aca="false">Curves!D21+Curves!E21</f>
        <v>0.036</v>
      </c>
      <c r="L37" s="72" t="n">
        <f aca="false">'Enron Proposal'!S29</f>
        <v>4.25899575885374</v>
      </c>
      <c r="M37" s="59" t="n">
        <f aca="false">'Enron Proposal'!G29</f>
        <v>54200</v>
      </c>
      <c r="N37" s="59" t="e">
        <f aca="false">M37*C37*I37</f>
        <v>#NAME?</v>
      </c>
      <c r="O37" s="59" t="e">
        <f aca="false">(G37+K37)*N37</f>
        <v>#NAME?</v>
      </c>
      <c r="P37" s="59" t="e">
        <f aca="false">N37*L37</f>
        <v>#NAME?</v>
      </c>
      <c r="Q37" s="59" t="e">
        <f aca="false">O37-P37</f>
        <v>#NAME?</v>
      </c>
      <c r="S37" s="68" t="n">
        <f aca="false">Curves!F21+Curves!G21</f>
        <v>-0.0165</v>
      </c>
      <c r="T37" s="68" t="n">
        <f aca="false">'Enron Proposal'!T29</f>
        <v>0</v>
      </c>
      <c r="U37" s="59" t="n">
        <f aca="false">'Enron Proposal'!J29</f>
        <v>0</v>
      </c>
      <c r="V37" s="59" t="e">
        <f aca="false">U37*C37*I37</f>
        <v>#NAME?</v>
      </c>
      <c r="W37" s="59" t="e">
        <f aca="false">(G37+S37)*V37</f>
        <v>#NAME?</v>
      </c>
      <c r="X37" s="59" t="e">
        <f aca="false">V37*T37</f>
        <v>#NAME?</v>
      </c>
      <c r="Y37" s="59" t="e">
        <f aca="false">W37-X37</f>
        <v>#NAME?</v>
      </c>
      <c r="AA37" s="68" t="n">
        <f aca="false">Curves!H21+Curves!I21</f>
        <v>-0.015</v>
      </c>
      <c r="AB37" s="68" t="n">
        <f aca="false">'Enron Proposal'!U29</f>
        <v>0</v>
      </c>
      <c r="AC37" s="59" t="n">
        <f aca="false">'Enron Proposal'!M29</f>
        <v>0</v>
      </c>
      <c r="AD37" s="59" t="e">
        <f aca="false">AC37*C37*I37</f>
        <v>#NAME?</v>
      </c>
      <c r="AE37" s="59" t="e">
        <f aca="false">(G37+AA37)*AD37</f>
        <v>#NAME?</v>
      </c>
      <c r="AF37" s="59" t="e">
        <f aca="false">AD37*AB37</f>
        <v>#NAME?</v>
      </c>
      <c r="AG37" s="59" t="e">
        <f aca="false">AE37-AF37</f>
        <v>#NAME?</v>
      </c>
      <c r="AI37" s="68" t="n">
        <f aca="false">Curves!J21+Curves!K21</f>
        <v>-0.055</v>
      </c>
      <c r="AJ37" s="68" t="n">
        <f aca="false">'Enron Proposal'!V29</f>
        <v>0</v>
      </c>
      <c r="AK37" s="59" t="n">
        <f aca="false">'Enron Proposal'!P29</f>
        <v>0</v>
      </c>
      <c r="AL37" s="59" t="e">
        <f aca="false">AK37*C37*I37</f>
        <v>#NAME?</v>
      </c>
      <c r="AM37" s="59" t="e">
        <f aca="false">(G37+AI37)*AL37</f>
        <v>#NAME?</v>
      </c>
      <c r="AN37" s="59" t="e">
        <f aca="false">AL37*AJ37</f>
        <v>#NAME?</v>
      </c>
      <c r="AO37" s="59" t="e">
        <f aca="false">AM37-AN37</f>
        <v>#NAME?</v>
      </c>
      <c r="AQ37" s="59" t="e">
        <f aca="false">(P37+X37+AF37+AN37)/I37</f>
        <v>#NAME?</v>
      </c>
      <c r="AR37" s="11" t="n">
        <f aca="false">Curves!C21</f>
        <v>0.058351099221517</v>
      </c>
      <c r="AS37" s="0" t="n">
        <f aca="false">B37-$D$16</f>
        <v>581</v>
      </c>
      <c r="AT37" s="0" t="n">
        <f aca="false">D37-$D$16</f>
        <v>636</v>
      </c>
      <c r="AU37" s="74" t="n">
        <f aca="false">(1+AR37/2)^(-2*AS37/365.25)</f>
        <v>0.912570129125147</v>
      </c>
      <c r="AV37" s="74" t="n">
        <f aca="false">(1+AR38/2)^(-2*AT37/365.25)</f>
        <v>0.904817390947842</v>
      </c>
      <c r="AX37" s="59" t="e">
        <f aca="false">AQ37*AU37</f>
        <v>#NAME?</v>
      </c>
      <c r="AY37" s="59" t="e">
        <f aca="false">AQ37*AV37</f>
        <v>#NAME?</v>
      </c>
      <c r="BA37" s="72" t="n">
        <f aca="false">G37</f>
        <v>4.192</v>
      </c>
      <c r="BB37" s="75" t="n">
        <f aca="false">'Point 1 - Transco'!H35</f>
        <v>0.904655898527032</v>
      </c>
      <c r="BC37" s="59" t="n">
        <f aca="false">M37</f>
        <v>54200</v>
      </c>
      <c r="BD37" s="59" t="n">
        <f aca="false">BC37*BB37*C37</f>
        <v>1520002.84070512</v>
      </c>
      <c r="BE37" s="59" t="n">
        <f aca="false">BD37*(BA37+K37)</f>
        <v>6426572.01050125</v>
      </c>
      <c r="BF37" s="68" t="n">
        <f aca="false">$BF$33</f>
        <v>4.2604</v>
      </c>
    </row>
    <row r="38" customFormat="false" ht="12.75" hidden="false" customHeight="false" outlineLevel="0" collapsed="false">
      <c r="B38" s="69" t="n">
        <f aca="false">'Enron Proposal'!B30</f>
        <v>37500</v>
      </c>
      <c r="C38" s="41" t="n">
        <f aca="false">'Enron Proposal'!C30</f>
        <v>30</v>
      </c>
      <c r="D38" s="66" t="n">
        <f aca="false">'Enron Proposal'!D30</f>
        <v>37554</v>
      </c>
      <c r="E38" s="41" t="n">
        <f aca="false">D38-$D$16</f>
        <v>666</v>
      </c>
      <c r="G38" s="72" t="n">
        <f aca="false">Curves!B22</f>
        <v>4.187</v>
      </c>
      <c r="H38" s="73" t="e">
        <f aca="false">Spline('Financing Assumptions'!$G$20:$G$29,'Financing Assumptions'!$F$20:$F$29,B38,1)+Curves!C22</f>
        <v>#NAME?</v>
      </c>
      <c r="I38" s="74" t="e">
        <f aca="false">(1+H38/2)^(-2*E38/365.25)</f>
        <v>#NAME?</v>
      </c>
      <c r="K38" s="0" t="n">
        <f aca="false">Curves!D22+Curves!E22</f>
        <v>0.036</v>
      </c>
      <c r="L38" s="72" t="n">
        <f aca="false">'Enron Proposal'!S30</f>
        <v>4.25899575885374</v>
      </c>
      <c r="M38" s="59" t="n">
        <f aca="false">'Enron Proposal'!G30</f>
        <v>54200</v>
      </c>
      <c r="N38" s="59" t="e">
        <f aca="false">M38*C38*I38</f>
        <v>#NAME?</v>
      </c>
      <c r="O38" s="59" t="e">
        <f aca="false">(G38+K38)*N38</f>
        <v>#NAME?</v>
      </c>
      <c r="P38" s="59" t="e">
        <f aca="false">N38*L38</f>
        <v>#NAME?</v>
      </c>
      <c r="Q38" s="59" t="e">
        <f aca="false">O38-P38</f>
        <v>#NAME?</v>
      </c>
      <c r="S38" s="68" t="n">
        <f aca="false">Curves!F22+Curves!G22</f>
        <v>-0.0165</v>
      </c>
      <c r="T38" s="68" t="n">
        <f aca="false">'Enron Proposal'!T30</f>
        <v>0</v>
      </c>
      <c r="U38" s="59" t="n">
        <f aca="false">'Enron Proposal'!J30</f>
        <v>0</v>
      </c>
      <c r="V38" s="59" t="e">
        <f aca="false">U38*C38*I38</f>
        <v>#NAME?</v>
      </c>
      <c r="W38" s="59" t="e">
        <f aca="false">(G38+S38)*V38</f>
        <v>#NAME?</v>
      </c>
      <c r="X38" s="59" t="e">
        <f aca="false">V38*T38</f>
        <v>#NAME?</v>
      </c>
      <c r="Y38" s="59" t="e">
        <f aca="false">W38-X38</f>
        <v>#NAME?</v>
      </c>
      <c r="AA38" s="68" t="n">
        <f aca="false">Curves!H22+Curves!I22</f>
        <v>-0.015</v>
      </c>
      <c r="AB38" s="68" t="n">
        <f aca="false">'Enron Proposal'!U30</f>
        <v>0</v>
      </c>
      <c r="AC38" s="59" t="n">
        <f aca="false">'Enron Proposal'!M30</f>
        <v>0</v>
      </c>
      <c r="AD38" s="59" t="e">
        <f aca="false">AC38*C38*I38</f>
        <v>#NAME?</v>
      </c>
      <c r="AE38" s="59" t="e">
        <f aca="false">(G38+AA38)*AD38</f>
        <v>#NAME?</v>
      </c>
      <c r="AF38" s="59" t="e">
        <f aca="false">AD38*AB38</f>
        <v>#NAME?</v>
      </c>
      <c r="AG38" s="59" t="e">
        <f aca="false">AE38-AF38</f>
        <v>#NAME?</v>
      </c>
      <c r="AI38" s="68" t="n">
        <f aca="false">Curves!J22+Curves!K22</f>
        <v>-0.055</v>
      </c>
      <c r="AJ38" s="68" t="n">
        <f aca="false">'Enron Proposal'!V30</f>
        <v>0</v>
      </c>
      <c r="AK38" s="59" t="n">
        <f aca="false">'Enron Proposal'!P30</f>
        <v>0</v>
      </c>
      <c r="AL38" s="59" t="e">
        <f aca="false">AK38*C38*I38</f>
        <v>#NAME?</v>
      </c>
      <c r="AM38" s="59" t="e">
        <f aca="false">(G38+AI38)*AL38</f>
        <v>#NAME?</v>
      </c>
      <c r="AN38" s="59" t="e">
        <f aca="false">AL38*AJ38</f>
        <v>#NAME?</v>
      </c>
      <c r="AO38" s="59" t="e">
        <f aca="false">AM38-AN38</f>
        <v>#NAME?</v>
      </c>
      <c r="AQ38" s="59" t="e">
        <f aca="false">(P38+X38+AF38+AN38)/I38</f>
        <v>#NAME?</v>
      </c>
      <c r="AR38" s="11" t="n">
        <f aca="false">Curves!C22</f>
        <v>0.058274805324013</v>
      </c>
      <c r="AS38" s="0" t="n">
        <f aca="false">B38-$D$16</f>
        <v>612</v>
      </c>
      <c r="AT38" s="0" t="n">
        <f aca="false">D38-$D$16</f>
        <v>666</v>
      </c>
      <c r="AU38" s="74" t="n">
        <f aca="false">(1+AR38/2)^(-2*AS38/365.25)</f>
        <v>0.908239005170225</v>
      </c>
      <c r="AV38" s="74" t="n">
        <f aca="false">(1+AR39/2)^(-2*AT38/365.25)</f>
        <v>0.900647616416714</v>
      </c>
      <c r="AX38" s="59" t="e">
        <f aca="false">AQ38*AU38</f>
        <v>#NAME?</v>
      </c>
      <c r="AY38" s="59" t="e">
        <f aca="false">AQ38*AV38</f>
        <v>#NAME?</v>
      </c>
      <c r="BA38" s="72" t="n">
        <f aca="false">G38</f>
        <v>4.187</v>
      </c>
      <c r="BB38" s="75" t="n">
        <f aca="false">'Point 1 - Transco'!H36</f>
        <v>0.900511935900842</v>
      </c>
      <c r="BC38" s="59" t="n">
        <f aca="false">M38</f>
        <v>54200</v>
      </c>
      <c r="BD38" s="59" t="n">
        <f aca="false">BC38*BB38*C38</f>
        <v>1464232.40777477</v>
      </c>
      <c r="BE38" s="59" t="n">
        <f aca="false">BD38*(BA38+K38)</f>
        <v>6183453.45803285</v>
      </c>
      <c r="BF38" s="68" t="n">
        <f aca="false">$BF$33</f>
        <v>4.2604</v>
      </c>
    </row>
    <row r="39" customFormat="false" ht="12.75" hidden="false" customHeight="false" outlineLevel="0" collapsed="false">
      <c r="B39" s="69" t="n">
        <f aca="false">'Enron Proposal'!B31</f>
        <v>37530</v>
      </c>
      <c r="C39" s="41" t="n">
        <f aca="false">'Enron Proposal'!C31</f>
        <v>31</v>
      </c>
      <c r="D39" s="66" t="n">
        <f aca="false">'Enron Proposal'!D31</f>
        <v>37585</v>
      </c>
      <c r="E39" s="41" t="n">
        <f aca="false">D39-$D$16</f>
        <v>697</v>
      </c>
      <c r="G39" s="72" t="n">
        <f aca="false">Curves!B23</f>
        <v>4.177</v>
      </c>
      <c r="H39" s="73" t="e">
        <f aca="false">Spline('Financing Assumptions'!$G$20:$G$29,'Financing Assumptions'!$F$20:$F$29,B39,1)+Curves!C23</f>
        <v>#NAME?</v>
      </c>
      <c r="I39" s="74" t="e">
        <f aca="false">(1+H39/2)^(-2*E39/365.25)</f>
        <v>#NAME?</v>
      </c>
      <c r="K39" s="0" t="n">
        <f aca="false">Curves!D23+Curves!E23</f>
        <v>0.036</v>
      </c>
      <c r="L39" s="72" t="n">
        <f aca="false">'Enron Proposal'!S31</f>
        <v>4.25899575885374</v>
      </c>
      <c r="M39" s="59" t="n">
        <f aca="false">'Enron Proposal'!G31</f>
        <v>54200</v>
      </c>
      <c r="N39" s="59" t="e">
        <f aca="false">M39*C39*I39</f>
        <v>#NAME?</v>
      </c>
      <c r="O39" s="59" t="e">
        <f aca="false">(G39+K39)*N39</f>
        <v>#NAME?</v>
      </c>
      <c r="P39" s="59" t="e">
        <f aca="false">N39*L39</f>
        <v>#NAME?</v>
      </c>
      <c r="Q39" s="59" t="e">
        <f aca="false">O39-P39</f>
        <v>#NAME?</v>
      </c>
      <c r="S39" s="68" t="n">
        <f aca="false">Curves!F23+Curves!G23</f>
        <v>-0.0165</v>
      </c>
      <c r="T39" s="68" t="n">
        <f aca="false">'Enron Proposal'!T31</f>
        <v>0</v>
      </c>
      <c r="U39" s="59" t="n">
        <f aca="false">'Enron Proposal'!J31</f>
        <v>0</v>
      </c>
      <c r="V39" s="59" t="e">
        <f aca="false">U39*C39*I39</f>
        <v>#NAME?</v>
      </c>
      <c r="W39" s="59" t="e">
        <f aca="false">(G39+S39)*V39</f>
        <v>#NAME?</v>
      </c>
      <c r="X39" s="59" t="e">
        <f aca="false">V39*T39</f>
        <v>#NAME?</v>
      </c>
      <c r="Y39" s="59" t="e">
        <f aca="false">W39-X39</f>
        <v>#NAME?</v>
      </c>
      <c r="AA39" s="68" t="n">
        <f aca="false">Curves!H23+Curves!I23</f>
        <v>-0.015</v>
      </c>
      <c r="AB39" s="68" t="n">
        <f aca="false">'Enron Proposal'!U31</f>
        <v>0</v>
      </c>
      <c r="AC39" s="59" t="n">
        <f aca="false">'Enron Proposal'!M31</f>
        <v>0</v>
      </c>
      <c r="AD39" s="59" t="e">
        <f aca="false">AC39*C39*I39</f>
        <v>#NAME?</v>
      </c>
      <c r="AE39" s="59" t="e">
        <f aca="false">(G39+AA39)*AD39</f>
        <v>#NAME?</v>
      </c>
      <c r="AF39" s="59" t="e">
        <f aca="false">AD39*AB39</f>
        <v>#NAME?</v>
      </c>
      <c r="AG39" s="59" t="e">
        <f aca="false">AE39-AF39</f>
        <v>#NAME?</v>
      </c>
      <c r="AI39" s="68" t="n">
        <f aca="false">Curves!J23+Curves!K23</f>
        <v>-0.055</v>
      </c>
      <c r="AJ39" s="68" t="n">
        <f aca="false">'Enron Proposal'!V31</f>
        <v>0</v>
      </c>
      <c r="AK39" s="59" t="n">
        <f aca="false">'Enron Proposal'!P31</f>
        <v>0</v>
      </c>
      <c r="AL39" s="59" t="e">
        <f aca="false">AK39*C39*I39</f>
        <v>#NAME?</v>
      </c>
      <c r="AM39" s="59" t="e">
        <f aca="false">(G39+AI39)*AL39</f>
        <v>#NAME?</v>
      </c>
      <c r="AN39" s="59" t="e">
        <f aca="false">AL39*AJ39</f>
        <v>#NAME?</v>
      </c>
      <c r="AO39" s="59" t="e">
        <f aca="false">AM39-AN39</f>
        <v>#NAME?</v>
      </c>
      <c r="AQ39" s="59" t="e">
        <f aca="false">(P39+X39+AF39+AN39)/I39</f>
        <v>#NAME?</v>
      </c>
      <c r="AR39" s="11" t="n">
        <f aca="false">Curves!C23</f>
        <v>0.058218953805259</v>
      </c>
      <c r="AS39" s="0" t="n">
        <f aca="false">B39-$D$16</f>
        <v>642</v>
      </c>
      <c r="AT39" s="0" t="n">
        <f aca="false">D39-$D$16</f>
        <v>697</v>
      </c>
      <c r="AU39" s="74" t="n">
        <f aca="false">(1+AR39/2)^(-2*AS39/365.25)</f>
        <v>0.904050238516609</v>
      </c>
      <c r="AV39" s="74" t="n">
        <f aca="false">(1+AR40/2)^(-2*AT39/365.25)</f>
        <v>0.896324616124709</v>
      </c>
      <c r="AX39" s="59" t="e">
        <f aca="false">AQ39*AU39</f>
        <v>#NAME?</v>
      </c>
      <c r="AY39" s="59" t="e">
        <f aca="false">AQ39*AV39</f>
        <v>#NAME?</v>
      </c>
      <c r="BA39" s="72" t="n">
        <f aca="false">G39</f>
        <v>4.177</v>
      </c>
      <c r="BB39" s="75" t="n">
        <f aca="false">'Point 1 - Transco'!H37</f>
        <v>0.896223045123328</v>
      </c>
      <c r="BC39" s="59" t="n">
        <f aca="false">M39</f>
        <v>54200</v>
      </c>
      <c r="BD39" s="59" t="n">
        <f aca="false">BC39*BB39*C39</f>
        <v>1505833.96041622</v>
      </c>
      <c r="BE39" s="59" t="n">
        <f aca="false">BD39*(BA39+K39)</f>
        <v>6344078.47523352</v>
      </c>
      <c r="BF39" s="68" t="n">
        <f aca="false">$BF$33</f>
        <v>4.2604</v>
      </c>
    </row>
    <row r="40" customFormat="false" ht="12.75" hidden="false" customHeight="false" outlineLevel="0" collapsed="false">
      <c r="B40" s="69" t="n">
        <f aca="false">'Enron Proposal'!B32</f>
        <v>37561</v>
      </c>
      <c r="C40" s="41" t="n">
        <f aca="false">'Enron Proposal'!C32</f>
        <v>30</v>
      </c>
      <c r="D40" s="66" t="n">
        <f aca="false">'Enron Proposal'!D32</f>
        <v>37615</v>
      </c>
      <c r="E40" s="41" t="n">
        <f aca="false">D40-$D$16</f>
        <v>727</v>
      </c>
      <c r="G40" s="72" t="n">
        <f aca="false">Curves!B24</f>
        <v>4.267</v>
      </c>
      <c r="H40" s="73" t="e">
        <f aca="false">Spline('Financing Assumptions'!$G$20:$G$29,'Financing Assumptions'!$F$20:$F$29,B40,1)+Curves!C24</f>
        <v>#NAME?</v>
      </c>
      <c r="I40" s="74" t="e">
        <f aca="false">(1+H40/2)^(-2*E40/365.25)</f>
        <v>#NAME?</v>
      </c>
      <c r="K40" s="0" t="n">
        <f aca="false">Curves!D24+Curves!E24</f>
        <v>0.025</v>
      </c>
      <c r="L40" s="72" t="n">
        <f aca="false">'Enron Proposal'!S32</f>
        <v>4.25899575885374</v>
      </c>
      <c r="M40" s="59" t="n">
        <f aca="false">'Enron Proposal'!G32</f>
        <v>54200</v>
      </c>
      <c r="N40" s="59" t="e">
        <f aca="false">M40*C40*I40</f>
        <v>#NAME?</v>
      </c>
      <c r="O40" s="59" t="e">
        <f aca="false">(G40+K40)*N40</f>
        <v>#NAME?</v>
      </c>
      <c r="P40" s="59" t="e">
        <f aca="false">N40*L40</f>
        <v>#NAME?</v>
      </c>
      <c r="Q40" s="59" t="e">
        <f aca="false">O40-P40</f>
        <v>#NAME?</v>
      </c>
      <c r="S40" s="68" t="n">
        <f aca="false">Curves!F24+Curves!G24</f>
        <v>-0.019</v>
      </c>
      <c r="T40" s="68" t="n">
        <f aca="false">'Enron Proposal'!T32</f>
        <v>0</v>
      </c>
      <c r="U40" s="59" t="n">
        <f aca="false">'Enron Proposal'!J32</f>
        <v>0</v>
      </c>
      <c r="V40" s="59" t="e">
        <f aca="false">U40*C40*I40</f>
        <v>#NAME?</v>
      </c>
      <c r="W40" s="59" t="e">
        <f aca="false">(G40+S40)*V40</f>
        <v>#NAME?</v>
      </c>
      <c r="X40" s="59" t="e">
        <f aca="false">V40*T40</f>
        <v>#NAME?</v>
      </c>
      <c r="Y40" s="59" t="e">
        <f aca="false">W40-X40</f>
        <v>#NAME?</v>
      </c>
      <c r="AA40" s="68" t="n">
        <f aca="false">Curves!H24+Curves!I24</f>
        <v>-0.0205</v>
      </c>
      <c r="AB40" s="68" t="n">
        <f aca="false">'Enron Proposal'!U32</f>
        <v>0</v>
      </c>
      <c r="AC40" s="59" t="n">
        <f aca="false">'Enron Proposal'!M32</f>
        <v>0</v>
      </c>
      <c r="AD40" s="59" t="e">
        <f aca="false">AC40*C40*I40</f>
        <v>#NAME?</v>
      </c>
      <c r="AE40" s="59" t="e">
        <f aca="false">(G40+AA40)*AD40</f>
        <v>#NAME?</v>
      </c>
      <c r="AF40" s="59" t="e">
        <f aca="false">AD40*AB40</f>
        <v>#NAME?</v>
      </c>
      <c r="AG40" s="59" t="e">
        <f aca="false">AE40-AF40</f>
        <v>#NAME?</v>
      </c>
      <c r="AI40" s="68" t="n">
        <f aca="false">Curves!J24+Curves!K24</f>
        <v>-0.06</v>
      </c>
      <c r="AJ40" s="68" t="n">
        <f aca="false">'Enron Proposal'!V32</f>
        <v>0</v>
      </c>
      <c r="AK40" s="59" t="n">
        <f aca="false">'Enron Proposal'!P32</f>
        <v>0</v>
      </c>
      <c r="AL40" s="59" t="e">
        <f aca="false">AK40*C40*I40</f>
        <v>#NAME?</v>
      </c>
      <c r="AM40" s="59" t="e">
        <f aca="false">(G40+AI40)*AL40</f>
        <v>#NAME?</v>
      </c>
      <c r="AN40" s="59" t="e">
        <f aca="false">AL40*AJ40</f>
        <v>#NAME?</v>
      </c>
      <c r="AO40" s="59" t="e">
        <f aca="false">AM40-AN40</f>
        <v>#NAME?</v>
      </c>
      <c r="AQ40" s="59" t="e">
        <f aca="false">(P40+X40+AF40+AN40)/I40</f>
        <v>#NAME?</v>
      </c>
      <c r="AR40" s="11" t="n">
        <f aca="false">Curves!C24</f>
        <v>0.058187001200475</v>
      </c>
      <c r="AS40" s="0" t="n">
        <f aca="false">B40-$D$16</f>
        <v>673</v>
      </c>
      <c r="AT40" s="0" t="n">
        <f aca="false">D40-$D$16</f>
        <v>727</v>
      </c>
      <c r="AU40" s="74" t="n">
        <f aca="false">(1+AR40/2)^(-2*AS40/365.25)</f>
        <v>0.899709070474725</v>
      </c>
      <c r="AV40" s="74" t="n">
        <f aca="false">(1+AR41/2)^(-2*AT40/365.25)</f>
        <v>0.892165302986719</v>
      </c>
      <c r="AX40" s="59" t="e">
        <f aca="false">AQ40*AU40</f>
        <v>#NAME?</v>
      </c>
      <c r="AY40" s="59" t="e">
        <f aca="false">AQ40*AV40</f>
        <v>#NAME?</v>
      </c>
      <c r="BA40" s="72" t="n">
        <f aca="false">G40</f>
        <v>4.267</v>
      </c>
      <c r="BB40" s="75" t="n">
        <f aca="false">'Point 1 - Transco'!H38</f>
        <v>0.892061646636689</v>
      </c>
      <c r="BC40" s="59" t="n">
        <f aca="false">M40</f>
        <v>54200</v>
      </c>
      <c r="BD40" s="59" t="n">
        <f aca="false">BC40*BB40*C40</f>
        <v>1450492.23743126</v>
      </c>
      <c r="BE40" s="59" t="n">
        <f aca="false">BD40*(BA40+K40)</f>
        <v>6225512.68305495</v>
      </c>
      <c r="BF40" s="68" t="n">
        <f aca="false">$BF$33</f>
        <v>4.2604</v>
      </c>
    </row>
    <row r="41" customFormat="false" ht="12.75" hidden="false" customHeight="false" outlineLevel="0" collapsed="false">
      <c r="B41" s="69" t="n">
        <f aca="false">'Enron Proposal'!B33</f>
        <v>37591</v>
      </c>
      <c r="C41" s="41" t="n">
        <f aca="false">'Enron Proposal'!C33</f>
        <v>31</v>
      </c>
      <c r="D41" s="66" t="n">
        <f aca="false">'Enron Proposal'!D33</f>
        <v>37648</v>
      </c>
      <c r="E41" s="41" t="n">
        <f aca="false">D41-$D$16</f>
        <v>760</v>
      </c>
      <c r="G41" s="72" t="n">
        <f aca="false">Curves!B25</f>
        <v>4.36</v>
      </c>
      <c r="H41" s="73" t="e">
        <f aca="false">Spline('Financing Assumptions'!$G$20:$G$29,'Financing Assumptions'!$F$20:$F$29,B41,1)+Curves!C25</f>
        <v>#NAME?</v>
      </c>
      <c r="I41" s="74" t="e">
        <f aca="false">(1+H41/2)^(-2*E41/365.25)</f>
        <v>#NAME?</v>
      </c>
      <c r="K41" s="0" t="n">
        <f aca="false">Curves!D25+Curves!E25</f>
        <v>0.025</v>
      </c>
      <c r="L41" s="72" t="n">
        <f aca="false">'Enron Proposal'!S33</f>
        <v>4.25899575885374</v>
      </c>
      <c r="M41" s="59" t="n">
        <f aca="false">'Enron Proposal'!G33</f>
        <v>54200</v>
      </c>
      <c r="N41" s="59" t="e">
        <f aca="false">M41*C41*I41</f>
        <v>#NAME?</v>
      </c>
      <c r="O41" s="59" t="e">
        <f aca="false">(G41+K41)*N41</f>
        <v>#NAME?</v>
      </c>
      <c r="P41" s="59" t="e">
        <f aca="false">N41*L41</f>
        <v>#NAME?</v>
      </c>
      <c r="Q41" s="59" t="e">
        <f aca="false">O41-P41</f>
        <v>#NAME?</v>
      </c>
      <c r="S41" s="68" t="n">
        <f aca="false">Curves!F25+Curves!G25</f>
        <v>-0.019</v>
      </c>
      <c r="T41" s="68" t="n">
        <f aca="false">'Enron Proposal'!T33</f>
        <v>0</v>
      </c>
      <c r="U41" s="59" t="n">
        <f aca="false">'Enron Proposal'!J33</f>
        <v>0</v>
      </c>
      <c r="V41" s="59" t="e">
        <f aca="false">U41*C41*I41</f>
        <v>#NAME?</v>
      </c>
      <c r="W41" s="59" t="e">
        <f aca="false">(G41+S41)*V41</f>
        <v>#NAME?</v>
      </c>
      <c r="X41" s="59" t="e">
        <f aca="false">V41*T41</f>
        <v>#NAME?</v>
      </c>
      <c r="Y41" s="59" t="e">
        <f aca="false">W41-X41</f>
        <v>#NAME?</v>
      </c>
      <c r="AA41" s="68" t="n">
        <f aca="false">Curves!H25+Curves!I25</f>
        <v>-0.0205</v>
      </c>
      <c r="AB41" s="68" t="n">
        <f aca="false">'Enron Proposal'!U33</f>
        <v>0</v>
      </c>
      <c r="AC41" s="59" t="n">
        <f aca="false">'Enron Proposal'!M33</f>
        <v>0</v>
      </c>
      <c r="AD41" s="59" t="e">
        <f aca="false">AC41*C41*I41</f>
        <v>#NAME?</v>
      </c>
      <c r="AE41" s="59" t="e">
        <f aca="false">(G41+AA41)*AD41</f>
        <v>#NAME?</v>
      </c>
      <c r="AF41" s="59" t="e">
        <f aca="false">AD41*AB41</f>
        <v>#NAME?</v>
      </c>
      <c r="AG41" s="59" t="e">
        <f aca="false">AE41-AF41</f>
        <v>#NAME?</v>
      </c>
      <c r="AI41" s="68" t="n">
        <f aca="false">Curves!J25+Curves!K25</f>
        <v>-0.06</v>
      </c>
      <c r="AJ41" s="68" t="n">
        <f aca="false">'Enron Proposal'!V33</f>
        <v>0</v>
      </c>
      <c r="AK41" s="59" t="n">
        <f aca="false">'Enron Proposal'!P33</f>
        <v>0</v>
      </c>
      <c r="AL41" s="59" t="e">
        <f aca="false">AK41*C41*I41</f>
        <v>#NAME?</v>
      </c>
      <c r="AM41" s="59" t="e">
        <f aca="false">(G41+AI41)*AL41</f>
        <v>#NAME?</v>
      </c>
      <c r="AN41" s="59" t="e">
        <f aca="false">AL41*AJ41</f>
        <v>#NAME?</v>
      </c>
      <c r="AO41" s="59" t="e">
        <f aca="false">AM41-AN41</f>
        <v>#NAME?</v>
      </c>
      <c r="AQ41" s="59" t="e">
        <f aca="false">(P41+X41+AF41+AN41)/I41</f>
        <v>#NAME?</v>
      </c>
      <c r="AR41" s="11" t="n">
        <f aca="false">Curves!C25</f>
        <v>0.058156079325201</v>
      </c>
      <c r="AS41" s="0" t="n">
        <f aca="false">B41-$D$16</f>
        <v>703</v>
      </c>
      <c r="AT41" s="0" t="n">
        <f aca="false">D41-$D$16</f>
        <v>760</v>
      </c>
      <c r="AU41" s="74" t="n">
        <f aca="false">(1+AR41/2)^(-2*AS41/365.25)</f>
        <v>0.895532283941891</v>
      </c>
      <c r="AV41" s="74" t="n">
        <f aca="false">(1+AR42/2)^(-2*AT41/365.25)</f>
        <v>0.887570922712829</v>
      </c>
      <c r="AX41" s="59" t="e">
        <f aca="false">AQ41*AU41</f>
        <v>#NAME?</v>
      </c>
      <c r="AY41" s="59" t="e">
        <f aca="false">AQ41*AV41</f>
        <v>#NAME?</v>
      </c>
      <c r="BA41" s="72" t="n">
        <f aca="false">G41</f>
        <v>4.36</v>
      </c>
      <c r="BB41" s="75" t="n">
        <f aca="false">'Point 1 - Transco'!H39</f>
        <v>0.887504067329826</v>
      </c>
      <c r="BC41" s="59" t="n">
        <f aca="false">M41</f>
        <v>54200</v>
      </c>
      <c r="BD41" s="59" t="n">
        <f aca="false">BC41*BB41*C41</f>
        <v>1491184.33392757</v>
      </c>
      <c r="BE41" s="59" t="n">
        <f aca="false">BD41*(BA41+K41)</f>
        <v>6538843.30427241</v>
      </c>
      <c r="BF41" s="68" t="n">
        <f aca="false">$BF$33</f>
        <v>4.2604</v>
      </c>
    </row>
    <row r="42" customFormat="false" ht="12.75" hidden="false" customHeight="false" outlineLevel="0" collapsed="false">
      <c r="B42" s="69" t="n">
        <f aca="false">'Enron Proposal'!B34</f>
        <v>37622</v>
      </c>
      <c r="C42" s="41" t="n">
        <f aca="false">'Enron Proposal'!C34</f>
        <v>31</v>
      </c>
      <c r="D42" s="66" t="n">
        <f aca="false">'Enron Proposal'!D34</f>
        <v>37677</v>
      </c>
      <c r="E42" s="41" t="n">
        <f aca="false">D42-$D$16</f>
        <v>789</v>
      </c>
      <c r="G42" s="72" t="n">
        <f aca="false">Curves!B26</f>
        <v>4.382</v>
      </c>
      <c r="H42" s="73" t="e">
        <f aca="false">Spline('Financing Assumptions'!$G$20:$G$29,'Financing Assumptions'!$F$20:$F$29,B42,1)+Curves!C26</f>
        <v>#NAME?</v>
      </c>
      <c r="I42" s="74" t="e">
        <f aca="false">(1+H42/2)^(-2*E42/365.25)</f>
        <v>#NAME?</v>
      </c>
      <c r="K42" s="0" t="n">
        <f aca="false">Curves!D26+Curves!E26</f>
        <v>0.03</v>
      </c>
      <c r="L42" s="72" t="n">
        <f aca="false">'Enron Proposal'!S34</f>
        <v>4.25899575885374</v>
      </c>
      <c r="M42" s="59" t="n">
        <f aca="false">'Enron Proposal'!G34</f>
        <v>54200</v>
      </c>
      <c r="N42" s="59" t="e">
        <f aca="false">M42*C42*I42</f>
        <v>#NAME?</v>
      </c>
      <c r="O42" s="59" t="e">
        <f aca="false">(G42+K42)*N42</f>
        <v>#NAME?</v>
      </c>
      <c r="P42" s="59" t="e">
        <f aca="false">N42*L42</f>
        <v>#NAME?</v>
      </c>
      <c r="Q42" s="59" t="e">
        <f aca="false">O42-P42</f>
        <v>#NAME?</v>
      </c>
      <c r="S42" s="68" t="n">
        <f aca="false">Curves!F26+Curves!G26</f>
        <v>0.012</v>
      </c>
      <c r="T42" s="68" t="n">
        <f aca="false">'Enron Proposal'!T34</f>
        <v>0</v>
      </c>
      <c r="U42" s="59" t="n">
        <f aca="false">'Enron Proposal'!J34</f>
        <v>0</v>
      </c>
      <c r="V42" s="59" t="e">
        <f aca="false">U42*C42*I42</f>
        <v>#NAME?</v>
      </c>
      <c r="W42" s="59" t="e">
        <f aca="false">(G42+S42)*V42</f>
        <v>#NAME?</v>
      </c>
      <c r="X42" s="59" t="e">
        <f aca="false">V42*T42</f>
        <v>#NAME?</v>
      </c>
      <c r="Y42" s="59" t="e">
        <f aca="false">W42-X42</f>
        <v>#NAME?</v>
      </c>
      <c r="AA42" s="68" t="n">
        <f aca="false">Curves!H26+Curves!I26</f>
        <v>-0.015</v>
      </c>
      <c r="AB42" s="68" t="n">
        <f aca="false">'Enron Proposal'!U34</f>
        <v>0</v>
      </c>
      <c r="AC42" s="59" t="n">
        <f aca="false">'Enron Proposal'!M34</f>
        <v>0</v>
      </c>
      <c r="AD42" s="59" t="e">
        <f aca="false">AC42*C42*I42</f>
        <v>#NAME?</v>
      </c>
      <c r="AE42" s="59" t="e">
        <f aca="false">(G42+AA42)*AD42</f>
        <v>#NAME?</v>
      </c>
      <c r="AF42" s="59" t="e">
        <f aca="false">AD42*AB42</f>
        <v>#NAME?</v>
      </c>
      <c r="AG42" s="59" t="e">
        <f aca="false">AE42-AF42</f>
        <v>#NAME?</v>
      </c>
      <c r="AI42" s="68" t="n">
        <f aca="false">Curves!J26+Curves!K26</f>
        <v>-0.055</v>
      </c>
      <c r="AJ42" s="68" t="n">
        <f aca="false">'Enron Proposal'!V34</f>
        <v>0</v>
      </c>
      <c r="AK42" s="59" t="n">
        <f aca="false">'Enron Proposal'!P34</f>
        <v>0</v>
      </c>
      <c r="AL42" s="59" t="e">
        <f aca="false">AK42*C42*I42</f>
        <v>#NAME?</v>
      </c>
      <c r="AM42" s="59" t="e">
        <f aca="false">(G42+AI42)*AL42</f>
        <v>#NAME?</v>
      </c>
      <c r="AN42" s="59" t="e">
        <f aca="false">AL42*AJ42</f>
        <v>#NAME?</v>
      </c>
      <c r="AO42" s="59" t="e">
        <f aca="false">AM42-AN42</f>
        <v>#NAME?</v>
      </c>
      <c r="AQ42" s="59" t="e">
        <f aca="false">(P42+X42+AF42+AN42)/I42</f>
        <v>#NAME?</v>
      </c>
      <c r="AR42" s="11" t="n">
        <f aca="false">Curves!C26</f>
        <v>0.058147967103</v>
      </c>
      <c r="AS42" s="0" t="n">
        <f aca="false">B42-$D$16</f>
        <v>734</v>
      </c>
      <c r="AT42" s="0" t="n">
        <f aca="false">D42-$D$16</f>
        <v>789</v>
      </c>
      <c r="AU42" s="74" t="n">
        <f aca="false">(1+AR42/2)^(-2*AS42/365.25)</f>
        <v>0.891199771441594</v>
      </c>
      <c r="AV42" s="74" t="n">
        <f aca="false">(1+AR43/2)^(-2*AT42/365.25)</f>
        <v>0.883502145530632</v>
      </c>
      <c r="AX42" s="59" t="e">
        <f aca="false">AQ42*AU42</f>
        <v>#NAME?</v>
      </c>
      <c r="AY42" s="59" t="e">
        <f aca="false">AQ42*AV42</f>
        <v>#NAME?</v>
      </c>
      <c r="BA42" s="72" t="n">
        <f aca="false">G42</f>
        <v>4.382</v>
      </c>
      <c r="BB42" s="75" t="n">
        <f aca="false">'Point 1 - Transco'!H40</f>
        <v>0.88348674778144</v>
      </c>
      <c r="BC42" s="59" t="n">
        <f aca="false">M42</f>
        <v>54200</v>
      </c>
      <c r="BD42" s="59" t="n">
        <f aca="false">BC42*BB42*C42</f>
        <v>1484434.43362238</v>
      </c>
      <c r="BE42" s="59" t="n">
        <f aca="false">BD42*(BA42+K42)</f>
        <v>6549324.72114192</v>
      </c>
      <c r="BF42" s="68" t="n">
        <f aca="false">$BF$33</f>
        <v>4.2604</v>
      </c>
    </row>
    <row r="43" customFormat="false" ht="12.75" hidden="false" customHeight="false" outlineLevel="0" collapsed="false">
      <c r="B43" s="69" t="n">
        <f aca="false">'Enron Proposal'!B35</f>
        <v>37653</v>
      </c>
      <c r="C43" s="41" t="n">
        <f aca="false">'Enron Proposal'!C35</f>
        <v>28</v>
      </c>
      <c r="D43" s="66" t="n">
        <f aca="false">'Enron Proposal'!D35</f>
        <v>37705</v>
      </c>
      <c r="E43" s="41" t="n">
        <f aca="false">D43-$D$16</f>
        <v>817</v>
      </c>
      <c r="G43" s="72" t="n">
        <f aca="false">Curves!B27</f>
        <v>4.227</v>
      </c>
      <c r="H43" s="73" t="e">
        <f aca="false">Spline('Financing Assumptions'!$G$20:$G$29,'Financing Assumptions'!$F$20:$F$29,B43,1)+Curves!C27</f>
        <v>#NAME?</v>
      </c>
      <c r="I43" s="74" t="e">
        <f aca="false">(1+H43/2)^(-2*E43/365.25)</f>
        <v>#NAME?</v>
      </c>
      <c r="K43" s="0" t="n">
        <f aca="false">Curves!D27+Curves!E27</f>
        <v>0.03</v>
      </c>
      <c r="L43" s="72" t="n">
        <f aca="false">'Enron Proposal'!S35</f>
        <v>4.25899575885374</v>
      </c>
      <c r="M43" s="59" t="n">
        <f aca="false">'Enron Proposal'!G35</f>
        <v>54200</v>
      </c>
      <c r="N43" s="59" t="e">
        <f aca="false">M43*C43*I43</f>
        <v>#NAME?</v>
      </c>
      <c r="O43" s="59" t="e">
        <f aca="false">(G43+K43)*N43</f>
        <v>#NAME?</v>
      </c>
      <c r="P43" s="59" t="e">
        <f aca="false">N43*L43</f>
        <v>#NAME?</v>
      </c>
      <c r="Q43" s="59" t="e">
        <f aca="false">O43-P43</f>
        <v>#NAME?</v>
      </c>
      <c r="S43" s="68" t="n">
        <f aca="false">Curves!F27+Curves!G27</f>
        <v>0.002</v>
      </c>
      <c r="T43" s="68" t="n">
        <f aca="false">'Enron Proposal'!T35</f>
        <v>0</v>
      </c>
      <c r="U43" s="59" t="n">
        <f aca="false">'Enron Proposal'!J35</f>
        <v>0</v>
      </c>
      <c r="V43" s="59" t="e">
        <f aca="false">U43*C43*I43</f>
        <v>#NAME?</v>
      </c>
      <c r="W43" s="59" t="e">
        <f aca="false">(G43+S43)*V43</f>
        <v>#NAME?</v>
      </c>
      <c r="X43" s="59" t="e">
        <f aca="false">V43*T43</f>
        <v>#NAME?</v>
      </c>
      <c r="Y43" s="59" t="e">
        <f aca="false">W43-X43</f>
        <v>#NAME?</v>
      </c>
      <c r="AA43" s="68" t="n">
        <f aca="false">Curves!H27+Curves!I27</f>
        <v>-0.015</v>
      </c>
      <c r="AB43" s="68" t="n">
        <f aca="false">'Enron Proposal'!U35</f>
        <v>0</v>
      </c>
      <c r="AC43" s="59" t="n">
        <f aca="false">'Enron Proposal'!M35</f>
        <v>0</v>
      </c>
      <c r="AD43" s="59" t="e">
        <f aca="false">AC43*C43*I43</f>
        <v>#NAME?</v>
      </c>
      <c r="AE43" s="59" t="e">
        <f aca="false">(G43+AA43)*AD43</f>
        <v>#NAME?</v>
      </c>
      <c r="AF43" s="59" t="e">
        <f aca="false">AD43*AB43</f>
        <v>#NAME?</v>
      </c>
      <c r="AG43" s="59" t="e">
        <f aca="false">AE43-AF43</f>
        <v>#NAME?</v>
      </c>
      <c r="AI43" s="68" t="n">
        <f aca="false">Curves!J27+Curves!K27</f>
        <v>-0.055</v>
      </c>
      <c r="AJ43" s="68" t="n">
        <f aca="false">'Enron Proposal'!V35</f>
        <v>0</v>
      </c>
      <c r="AK43" s="59" t="n">
        <f aca="false">'Enron Proposal'!P35</f>
        <v>0</v>
      </c>
      <c r="AL43" s="59" t="e">
        <f aca="false">AK43*C43*I43</f>
        <v>#NAME?</v>
      </c>
      <c r="AM43" s="59" t="e">
        <f aca="false">(G43+AI43)*AL43</f>
        <v>#NAME?</v>
      </c>
      <c r="AN43" s="59" t="e">
        <f aca="false">AL43*AJ43</f>
        <v>#NAME?</v>
      </c>
      <c r="AO43" s="59" t="e">
        <f aca="false">AM43-AN43</f>
        <v>#NAME?</v>
      </c>
      <c r="AQ43" s="59" t="e">
        <f aca="false">(P43+X43+AF43+AN43)/I43</f>
        <v>#NAME?</v>
      </c>
      <c r="AR43" s="11" t="n">
        <f aca="false">Curves!C27</f>
        <v>0.058168803916155</v>
      </c>
      <c r="AS43" s="0" t="n">
        <f aca="false">B43-$D$16</f>
        <v>765</v>
      </c>
      <c r="AT43" s="0" t="n">
        <f aca="false">D43-$D$16</f>
        <v>817</v>
      </c>
      <c r="AU43" s="74" t="n">
        <f aca="false">(1+AR43/2)^(-2*AS43/365.25)</f>
        <v>0.886837152765131</v>
      </c>
      <c r="AV43" s="74" t="n">
        <f aca="false">(1+AR44/2)^(-2*AT43/365.25)</f>
        <v>0.87959116860681</v>
      </c>
      <c r="AX43" s="59" t="e">
        <f aca="false">AQ43*AU43</f>
        <v>#NAME?</v>
      </c>
      <c r="AY43" s="59" t="e">
        <f aca="false">AQ43*AV43</f>
        <v>#NAME?</v>
      </c>
      <c r="BA43" s="72" t="n">
        <f aca="false">G43</f>
        <v>4.227</v>
      </c>
      <c r="BB43" s="75" t="n">
        <f aca="false">'Point 1 - Transco'!H41</f>
        <v>0.879571427183127</v>
      </c>
      <c r="BC43" s="59" t="n">
        <f aca="false">M43</f>
        <v>54200</v>
      </c>
      <c r="BD43" s="59" t="n">
        <f aca="false">BC43*BB43*C43</f>
        <v>1334837.59789311</v>
      </c>
      <c r="BE43" s="59" t="n">
        <f aca="false">BD43*(BA43+K43)</f>
        <v>5682403.65423099</v>
      </c>
      <c r="BF43" s="68" t="n">
        <f aca="false">$BF$33</f>
        <v>4.2604</v>
      </c>
    </row>
    <row r="44" customFormat="false" ht="12.75" hidden="false" customHeight="false" outlineLevel="0" collapsed="false">
      <c r="B44" s="69" t="n">
        <f aca="false">'Enron Proposal'!B36</f>
        <v>37681</v>
      </c>
      <c r="C44" s="41" t="n">
        <f aca="false">'Enron Proposal'!C36</f>
        <v>31</v>
      </c>
      <c r="D44" s="66" t="n">
        <f aca="false">'Enron Proposal'!D36</f>
        <v>37736</v>
      </c>
      <c r="E44" s="41" t="n">
        <f aca="false">D44-$D$16</f>
        <v>848</v>
      </c>
      <c r="G44" s="72" t="n">
        <f aca="false">Curves!B28</f>
        <v>4.027</v>
      </c>
      <c r="H44" s="73" t="e">
        <f aca="false">Spline('Financing Assumptions'!$G$20:$G$29,'Financing Assumptions'!$F$20:$F$29,B44,1)+Curves!C28</f>
        <v>#NAME?</v>
      </c>
      <c r="I44" s="74" t="e">
        <f aca="false">(1+H44/2)^(-2*E44/365.25)</f>
        <v>#NAME?</v>
      </c>
      <c r="K44" s="0" t="n">
        <f aca="false">Curves!D28+Curves!E28</f>
        <v>0.03</v>
      </c>
      <c r="L44" s="72" t="n">
        <f aca="false">'Enron Proposal'!S36</f>
        <v>4.25899575885374</v>
      </c>
      <c r="M44" s="59" t="n">
        <f aca="false">'Enron Proposal'!G36</f>
        <v>54200</v>
      </c>
      <c r="N44" s="59" t="e">
        <f aca="false">M44*C44*I44</f>
        <v>#NAME?</v>
      </c>
      <c r="O44" s="59" t="e">
        <f aca="false">(G44+K44)*N44</f>
        <v>#NAME?</v>
      </c>
      <c r="P44" s="59" t="e">
        <f aca="false">N44*L44</f>
        <v>#NAME?</v>
      </c>
      <c r="Q44" s="59" t="e">
        <f aca="false">O44-P44</f>
        <v>#NAME?</v>
      </c>
      <c r="S44" s="68" t="n">
        <f aca="false">Curves!F28+Curves!G28</f>
        <v>0.002</v>
      </c>
      <c r="T44" s="68" t="n">
        <f aca="false">'Enron Proposal'!T36</f>
        <v>0</v>
      </c>
      <c r="U44" s="59" t="n">
        <f aca="false">'Enron Proposal'!J36</f>
        <v>0</v>
      </c>
      <c r="V44" s="59" t="e">
        <f aca="false">U44*C44*I44</f>
        <v>#NAME?</v>
      </c>
      <c r="W44" s="59" t="e">
        <f aca="false">(G44+S44)*V44</f>
        <v>#NAME?</v>
      </c>
      <c r="X44" s="59" t="e">
        <f aca="false">V44*T44</f>
        <v>#NAME?</v>
      </c>
      <c r="Y44" s="59" t="e">
        <f aca="false">W44-X44</f>
        <v>#NAME?</v>
      </c>
      <c r="AA44" s="68" t="n">
        <f aca="false">Curves!H28+Curves!I28</f>
        <v>-0.015</v>
      </c>
      <c r="AB44" s="68" t="n">
        <f aca="false">'Enron Proposal'!U36</f>
        <v>0</v>
      </c>
      <c r="AC44" s="59" t="n">
        <f aca="false">'Enron Proposal'!M36</f>
        <v>0</v>
      </c>
      <c r="AD44" s="59" t="e">
        <f aca="false">AC44*C44*I44</f>
        <v>#NAME?</v>
      </c>
      <c r="AE44" s="59" t="e">
        <f aca="false">(G44+AA44)*AD44</f>
        <v>#NAME?</v>
      </c>
      <c r="AF44" s="59" t="e">
        <f aca="false">AD44*AB44</f>
        <v>#NAME?</v>
      </c>
      <c r="AG44" s="59" t="e">
        <f aca="false">AE44-AF44</f>
        <v>#NAME?</v>
      </c>
      <c r="AI44" s="68" t="n">
        <f aca="false">Curves!J28+Curves!K28</f>
        <v>-0.055</v>
      </c>
      <c r="AJ44" s="68" t="n">
        <f aca="false">'Enron Proposal'!V36</f>
        <v>0</v>
      </c>
      <c r="AK44" s="59" t="n">
        <f aca="false">'Enron Proposal'!P36</f>
        <v>0</v>
      </c>
      <c r="AL44" s="59" t="e">
        <f aca="false">AK44*C44*I44</f>
        <v>#NAME?</v>
      </c>
      <c r="AM44" s="59" t="e">
        <f aca="false">(G44+AI44)*AL44</f>
        <v>#NAME?</v>
      </c>
      <c r="AN44" s="59" t="e">
        <f aca="false">AL44*AJ44</f>
        <v>#NAME?</v>
      </c>
      <c r="AO44" s="59" t="e">
        <f aca="false">AM44-AN44</f>
        <v>#NAME?</v>
      </c>
      <c r="AQ44" s="59" t="e">
        <f aca="false">(P44+X44+AF44+AN44)/I44</f>
        <v>#NAME?</v>
      </c>
      <c r="AR44" s="11" t="n">
        <f aca="false">Curves!C28</f>
        <v>0.058187624263651</v>
      </c>
      <c r="AS44" s="0" t="n">
        <f aca="false">B44-$D$16</f>
        <v>793</v>
      </c>
      <c r="AT44" s="0" t="n">
        <f aca="false">D44-$D$16</f>
        <v>848</v>
      </c>
      <c r="AU44" s="74" t="n">
        <f aca="false">(1+AR44/2)^(-2*AS44/365.25)</f>
        <v>0.882912473842255</v>
      </c>
      <c r="AV44" s="74" t="n">
        <f aca="false">(1+AR45/2)^(-2*AT44/365.25)</f>
        <v>0.875291529453389</v>
      </c>
      <c r="AX44" s="59" t="e">
        <f aca="false">AQ44*AU44</f>
        <v>#NAME?</v>
      </c>
      <c r="AY44" s="59" t="e">
        <f aca="false">AQ44*AV44</f>
        <v>#NAME?</v>
      </c>
      <c r="BA44" s="72" t="n">
        <f aca="false">G44</f>
        <v>4.027</v>
      </c>
      <c r="BB44" s="75" t="n">
        <f aca="false">'Point 1 - Transco'!H42</f>
        <v>0.875262067194094</v>
      </c>
      <c r="BC44" s="59" t="n">
        <f aca="false">M44</f>
        <v>54200</v>
      </c>
      <c r="BD44" s="59" t="n">
        <f aca="false">BC44*BB44*C44</f>
        <v>1470615.32529952</v>
      </c>
      <c r="BE44" s="59" t="n">
        <f aca="false">BD44*(BA44+K44)</f>
        <v>5966286.37474014</v>
      </c>
      <c r="BF44" s="68" t="n">
        <f aca="false">$BF$33</f>
        <v>4.2604</v>
      </c>
    </row>
    <row r="45" customFormat="false" ht="12.75" hidden="false" customHeight="false" outlineLevel="0" collapsed="false">
      <c r="B45" s="69" t="n">
        <f aca="false">'Enron Proposal'!B37</f>
        <v>37712</v>
      </c>
      <c r="C45" s="41" t="n">
        <f aca="false">'Enron Proposal'!C37</f>
        <v>30</v>
      </c>
      <c r="D45" s="66" t="n">
        <f aca="false">'Enron Proposal'!D37</f>
        <v>37767</v>
      </c>
      <c r="E45" s="41" t="n">
        <f aca="false">D45-$D$16</f>
        <v>879</v>
      </c>
      <c r="G45" s="72" t="n">
        <f aca="false">Curves!B29</f>
        <v>3.792</v>
      </c>
      <c r="H45" s="73" t="e">
        <f aca="false">Spline('Financing Assumptions'!$G$20:$G$29,'Financing Assumptions'!$F$20:$F$29,B45,1)+Curves!C29</f>
        <v>#NAME?</v>
      </c>
      <c r="I45" s="74" t="e">
        <f aca="false">(1+H45/2)^(-2*E45/365.25)</f>
        <v>#NAME?</v>
      </c>
      <c r="K45" s="0" t="n">
        <f aca="false">Curves!D29+Curves!E29</f>
        <v>0.036</v>
      </c>
      <c r="L45" s="72" t="n">
        <f aca="false">'Enron Proposal'!S37</f>
        <v>3.89928327922083</v>
      </c>
      <c r="M45" s="59" t="n">
        <f aca="false">'Enron Proposal'!G37</f>
        <v>59200</v>
      </c>
      <c r="N45" s="59" t="e">
        <f aca="false">M45*C45*I45</f>
        <v>#NAME?</v>
      </c>
      <c r="O45" s="59" t="e">
        <f aca="false">(G45+K45)*N45</f>
        <v>#NAME?</v>
      </c>
      <c r="P45" s="59" t="e">
        <f aca="false">N45*L45</f>
        <v>#NAME?</v>
      </c>
      <c r="Q45" s="59" t="e">
        <f aca="false">O45-P45</f>
        <v>#NAME?</v>
      </c>
      <c r="S45" s="68" t="n">
        <f aca="false">Curves!F29+Curves!G29</f>
        <v>-0.0155</v>
      </c>
      <c r="T45" s="68" t="n">
        <f aca="false">'Enron Proposal'!T37</f>
        <v>0</v>
      </c>
      <c r="U45" s="59" t="n">
        <f aca="false">'Enron Proposal'!J37</f>
        <v>0</v>
      </c>
      <c r="V45" s="59" t="e">
        <f aca="false">U45*C45*I45</f>
        <v>#NAME?</v>
      </c>
      <c r="W45" s="59" t="e">
        <f aca="false">(G45+S45)*V45</f>
        <v>#NAME?</v>
      </c>
      <c r="X45" s="59" t="e">
        <f aca="false">V45*T45</f>
        <v>#NAME?</v>
      </c>
      <c r="Y45" s="59" t="e">
        <f aca="false">W45-X45</f>
        <v>#NAME?</v>
      </c>
      <c r="AA45" s="68" t="n">
        <f aca="false">Curves!H29+Curves!I29</f>
        <v>-0.015</v>
      </c>
      <c r="AB45" s="68" t="n">
        <f aca="false">'Enron Proposal'!U37</f>
        <v>0</v>
      </c>
      <c r="AC45" s="59" t="n">
        <f aca="false">'Enron Proposal'!M37</f>
        <v>0</v>
      </c>
      <c r="AD45" s="59" t="e">
        <f aca="false">AC45*C45*I45</f>
        <v>#NAME?</v>
      </c>
      <c r="AE45" s="59" t="e">
        <f aca="false">(G45+AA45)*AD45</f>
        <v>#NAME?</v>
      </c>
      <c r="AF45" s="59" t="e">
        <f aca="false">AD45*AB45</f>
        <v>#NAME?</v>
      </c>
      <c r="AG45" s="59" t="e">
        <f aca="false">AE45-AF45</f>
        <v>#NAME?</v>
      </c>
      <c r="AI45" s="68" t="n">
        <f aca="false">Curves!J29+Curves!K29</f>
        <v>-0.0575</v>
      </c>
      <c r="AJ45" s="68" t="n">
        <f aca="false">'Enron Proposal'!V37</f>
        <v>0</v>
      </c>
      <c r="AK45" s="59" t="n">
        <f aca="false">'Enron Proposal'!P37</f>
        <v>0</v>
      </c>
      <c r="AL45" s="59" t="e">
        <f aca="false">AK45*C45*I45</f>
        <v>#NAME?</v>
      </c>
      <c r="AM45" s="59" t="e">
        <f aca="false">(G45+AI45)*AL45</f>
        <v>#NAME?</v>
      </c>
      <c r="AN45" s="59" t="e">
        <f aca="false">AL45*AJ45</f>
        <v>#NAME?</v>
      </c>
      <c r="AO45" s="59" t="e">
        <f aca="false">AM45-AN45</f>
        <v>#NAME?</v>
      </c>
      <c r="AQ45" s="59" t="e">
        <f aca="false">(P45+X45+AF45+AN45)/I45</f>
        <v>#NAME?</v>
      </c>
      <c r="AR45" s="11" t="n">
        <f aca="false">Curves!C29</f>
        <v>0.058201856354669</v>
      </c>
      <c r="AS45" s="0" t="n">
        <f aca="false">B45-$D$16</f>
        <v>824</v>
      </c>
      <c r="AT45" s="0" t="n">
        <f aca="false">D45-$D$16</f>
        <v>879</v>
      </c>
      <c r="AU45" s="74" t="n">
        <f aca="false">(1+AR45/2)^(-2*AS45/365.25)</f>
        <v>0.878597397807511</v>
      </c>
      <c r="AV45" s="74" t="n">
        <f aca="false">(1+AR46/2)^(-2*AT45/365.25)</f>
        <v>0.871029938128743</v>
      </c>
      <c r="AX45" s="59" t="e">
        <f aca="false">AQ45*AU45</f>
        <v>#NAME?</v>
      </c>
      <c r="AY45" s="59" t="e">
        <f aca="false">AQ45*AV45</f>
        <v>#NAME?</v>
      </c>
      <c r="BA45" s="72" t="n">
        <f aca="false">G45</f>
        <v>3.792</v>
      </c>
      <c r="BB45" s="75" t="n">
        <f aca="false">'Point 1 - Transco'!H43</f>
        <v>0.870980464302634</v>
      </c>
      <c r="BC45" s="59" t="n">
        <f aca="false">M45</f>
        <v>59200</v>
      </c>
      <c r="BD45" s="59" t="n">
        <f aca="false">BC45*BB45*C45</f>
        <v>1546861.30460148</v>
      </c>
      <c r="BE45" s="59" t="n">
        <f aca="false">BD45*(BA45+K45)</f>
        <v>5921385.07401446</v>
      </c>
      <c r="BF45" s="68" t="n">
        <f aca="false">ROUND(SUM(BE45:BE56)/SUM(BD45:BD56),4)</f>
        <v>3.8964</v>
      </c>
    </row>
    <row r="46" customFormat="false" ht="12.75" hidden="false" customHeight="false" outlineLevel="0" collapsed="false">
      <c r="B46" s="69" t="n">
        <f aca="false">'Enron Proposal'!B38</f>
        <v>37742</v>
      </c>
      <c r="C46" s="41" t="n">
        <f aca="false">'Enron Proposal'!C38</f>
        <v>31</v>
      </c>
      <c r="D46" s="66" t="n">
        <f aca="false">'Enron Proposal'!D38</f>
        <v>37797</v>
      </c>
      <c r="E46" s="41" t="n">
        <f aca="false">D46-$D$16</f>
        <v>909</v>
      </c>
      <c r="G46" s="72" t="n">
        <f aca="false">Curves!B30</f>
        <v>3.742</v>
      </c>
      <c r="H46" s="73" t="e">
        <f aca="false">Spline('Financing Assumptions'!$G$20:$G$29,'Financing Assumptions'!$F$20:$F$29,B46,1)+Curves!C30</f>
        <v>#NAME?</v>
      </c>
      <c r="I46" s="74" t="e">
        <f aca="false">(1+H46/2)^(-2*E46/365.25)</f>
        <v>#NAME?</v>
      </c>
      <c r="K46" s="0" t="n">
        <f aca="false">Curves!D30+Curves!E30</f>
        <v>0.036</v>
      </c>
      <c r="L46" s="72" t="n">
        <f aca="false">'Enron Proposal'!S38</f>
        <v>3.89928327922083</v>
      </c>
      <c r="M46" s="59" t="n">
        <f aca="false">'Enron Proposal'!G38</f>
        <v>59200</v>
      </c>
      <c r="N46" s="59" t="e">
        <f aca="false">M46*C46*I46</f>
        <v>#NAME?</v>
      </c>
      <c r="O46" s="59" t="e">
        <f aca="false">(G46+K46)*N46</f>
        <v>#NAME?</v>
      </c>
      <c r="P46" s="59" t="e">
        <f aca="false">N46*L46</f>
        <v>#NAME?</v>
      </c>
      <c r="Q46" s="59" t="e">
        <f aca="false">O46-P46</f>
        <v>#NAME?</v>
      </c>
      <c r="S46" s="68" t="n">
        <f aca="false">Curves!F30+Curves!G30</f>
        <v>-0.0155</v>
      </c>
      <c r="T46" s="68" t="n">
        <f aca="false">'Enron Proposal'!T38</f>
        <v>0</v>
      </c>
      <c r="U46" s="59" t="n">
        <f aca="false">'Enron Proposal'!J38</f>
        <v>0</v>
      </c>
      <c r="V46" s="59" t="e">
        <f aca="false">U46*C46*I46</f>
        <v>#NAME?</v>
      </c>
      <c r="W46" s="59" t="e">
        <f aca="false">(G46+S46)*V46</f>
        <v>#NAME?</v>
      </c>
      <c r="X46" s="59" t="e">
        <f aca="false">V46*T46</f>
        <v>#NAME?</v>
      </c>
      <c r="Y46" s="59" t="e">
        <f aca="false">W46-X46</f>
        <v>#NAME?</v>
      </c>
      <c r="AA46" s="68" t="n">
        <f aca="false">Curves!H30+Curves!I30</f>
        <v>-0.015</v>
      </c>
      <c r="AB46" s="68" t="n">
        <f aca="false">'Enron Proposal'!U38</f>
        <v>0</v>
      </c>
      <c r="AC46" s="59" t="n">
        <f aca="false">'Enron Proposal'!M38</f>
        <v>0</v>
      </c>
      <c r="AD46" s="59" t="e">
        <f aca="false">AC46*C46*I46</f>
        <v>#NAME?</v>
      </c>
      <c r="AE46" s="59" t="e">
        <f aca="false">(G46+AA46)*AD46</f>
        <v>#NAME?</v>
      </c>
      <c r="AF46" s="59" t="e">
        <f aca="false">AD46*AB46</f>
        <v>#NAME?</v>
      </c>
      <c r="AG46" s="59" t="e">
        <f aca="false">AE46-AF46</f>
        <v>#NAME?</v>
      </c>
      <c r="AI46" s="68" t="n">
        <f aca="false">Curves!J30+Curves!K30</f>
        <v>-0.0575</v>
      </c>
      <c r="AJ46" s="68" t="n">
        <f aca="false">'Enron Proposal'!V38</f>
        <v>0</v>
      </c>
      <c r="AK46" s="59" t="n">
        <f aca="false">'Enron Proposal'!P38</f>
        <v>0</v>
      </c>
      <c r="AL46" s="59" t="e">
        <f aca="false">AK46*C46*I46</f>
        <v>#NAME?</v>
      </c>
      <c r="AM46" s="59" t="e">
        <f aca="false">(G46+AI46)*AL46</f>
        <v>#NAME?</v>
      </c>
      <c r="AN46" s="59" t="e">
        <f aca="false">AL46*AJ46</f>
        <v>#NAME?</v>
      </c>
      <c r="AO46" s="59" t="e">
        <f aca="false">AM46-AN46</f>
        <v>#NAME?</v>
      </c>
      <c r="AQ46" s="59" t="e">
        <f aca="false">(P46+X46+AF46+AN46)/I46</f>
        <v>#NAME?</v>
      </c>
      <c r="AR46" s="11" t="n">
        <f aca="false">Curves!C30</f>
        <v>0.05820672378151</v>
      </c>
      <c r="AS46" s="0" t="n">
        <f aca="false">B46-$D$16</f>
        <v>854</v>
      </c>
      <c r="AT46" s="0" t="n">
        <f aca="false">D46-$D$16</f>
        <v>909</v>
      </c>
      <c r="AU46" s="74" t="n">
        <f aca="false">(1+AR46/2)^(-2*AS46/365.25)</f>
        <v>0.874457337255327</v>
      </c>
      <c r="AV46" s="74" t="n">
        <f aca="false">(1+AR47/2)^(-2*AT46/365.25)</f>
        <v>0.866924242036878</v>
      </c>
      <c r="AX46" s="59" t="e">
        <f aca="false">AQ46*AU46</f>
        <v>#NAME?</v>
      </c>
      <c r="AY46" s="59" t="e">
        <f aca="false">AQ46*AV46</f>
        <v>#NAME?</v>
      </c>
      <c r="BA46" s="72" t="n">
        <f aca="false">G46</f>
        <v>3.742</v>
      </c>
      <c r="BB46" s="75" t="n">
        <f aca="false">'Point 1 - Transco'!H44</f>
        <v>0.86687365785672</v>
      </c>
      <c r="BC46" s="59" t="n">
        <f aca="false">M46</f>
        <v>59200</v>
      </c>
      <c r="BD46" s="59" t="n">
        <f aca="false">BC46*BB46*C46</f>
        <v>1590886.53689865</v>
      </c>
      <c r="BE46" s="59" t="n">
        <f aca="false">BD46*(BA46+K46)</f>
        <v>6010369.33640311</v>
      </c>
      <c r="BF46" s="68" t="n">
        <f aca="false">$BF$45</f>
        <v>3.8964</v>
      </c>
    </row>
    <row r="47" customFormat="false" ht="12.75" hidden="false" customHeight="false" outlineLevel="0" collapsed="false">
      <c r="B47" s="69" t="n">
        <f aca="false">'Enron Proposal'!B39</f>
        <v>37773</v>
      </c>
      <c r="C47" s="41" t="n">
        <f aca="false">'Enron Proposal'!C39</f>
        <v>30</v>
      </c>
      <c r="D47" s="66" t="n">
        <f aca="false">'Enron Proposal'!D39</f>
        <v>37827</v>
      </c>
      <c r="E47" s="41" t="n">
        <f aca="false">D47-$D$16</f>
        <v>939</v>
      </c>
      <c r="G47" s="72" t="n">
        <f aca="false">Curves!B31</f>
        <v>3.752</v>
      </c>
      <c r="H47" s="73" t="e">
        <f aca="false">Spline('Financing Assumptions'!$G$20:$G$29,'Financing Assumptions'!$F$20:$F$29,B47,1)+Curves!C31</f>
        <v>#NAME?</v>
      </c>
      <c r="I47" s="74" t="e">
        <f aca="false">(1+H47/2)^(-2*E47/365.25)</f>
        <v>#NAME?</v>
      </c>
      <c r="K47" s="0" t="n">
        <f aca="false">Curves!D31+Curves!E31</f>
        <v>0.036</v>
      </c>
      <c r="L47" s="72" t="n">
        <f aca="false">'Enron Proposal'!S39</f>
        <v>3.89928327922083</v>
      </c>
      <c r="M47" s="59" t="n">
        <f aca="false">'Enron Proposal'!G39</f>
        <v>59200</v>
      </c>
      <c r="N47" s="59" t="e">
        <f aca="false">M47*C47*I47</f>
        <v>#NAME?</v>
      </c>
      <c r="O47" s="59" t="e">
        <f aca="false">(G47+K47)*N47</f>
        <v>#NAME?</v>
      </c>
      <c r="P47" s="59" t="e">
        <f aca="false">N47*L47</f>
        <v>#NAME?</v>
      </c>
      <c r="Q47" s="59" t="e">
        <f aca="false">O47-P47</f>
        <v>#NAME?</v>
      </c>
      <c r="S47" s="68" t="n">
        <f aca="false">Curves!F31+Curves!G31</f>
        <v>-0.0155</v>
      </c>
      <c r="T47" s="68" t="n">
        <f aca="false">'Enron Proposal'!T39</f>
        <v>0</v>
      </c>
      <c r="U47" s="59" t="n">
        <f aca="false">'Enron Proposal'!J39</f>
        <v>0</v>
      </c>
      <c r="V47" s="59" t="e">
        <f aca="false">U47*C47*I47</f>
        <v>#NAME?</v>
      </c>
      <c r="W47" s="59" t="e">
        <f aca="false">(G47+S47)*V47</f>
        <v>#NAME?</v>
      </c>
      <c r="X47" s="59" t="e">
        <f aca="false">V47*T47</f>
        <v>#NAME?</v>
      </c>
      <c r="Y47" s="59" t="e">
        <f aca="false">W47-X47</f>
        <v>#NAME?</v>
      </c>
      <c r="AA47" s="68" t="n">
        <f aca="false">Curves!H31+Curves!I31</f>
        <v>-0.015</v>
      </c>
      <c r="AB47" s="68" t="n">
        <f aca="false">'Enron Proposal'!U39</f>
        <v>0</v>
      </c>
      <c r="AC47" s="59" t="n">
        <f aca="false">'Enron Proposal'!M39</f>
        <v>0</v>
      </c>
      <c r="AD47" s="59" t="e">
        <f aca="false">AC47*C47*I47</f>
        <v>#NAME?</v>
      </c>
      <c r="AE47" s="59" t="e">
        <f aca="false">(G47+AA47)*AD47</f>
        <v>#NAME?</v>
      </c>
      <c r="AF47" s="59" t="e">
        <f aca="false">AD47*AB47</f>
        <v>#NAME?</v>
      </c>
      <c r="AG47" s="59" t="e">
        <f aca="false">AE47-AF47</f>
        <v>#NAME?</v>
      </c>
      <c r="AI47" s="68" t="n">
        <f aca="false">Curves!J31+Curves!K31</f>
        <v>-0.0575</v>
      </c>
      <c r="AJ47" s="68" t="n">
        <f aca="false">'Enron Proposal'!V39</f>
        <v>0</v>
      </c>
      <c r="AK47" s="59" t="n">
        <f aca="false">'Enron Proposal'!P39</f>
        <v>0</v>
      </c>
      <c r="AL47" s="59" t="e">
        <f aca="false">AK47*C47*I47</f>
        <v>#NAME?</v>
      </c>
      <c r="AM47" s="59" t="e">
        <f aca="false">(G47+AI47)*AL47</f>
        <v>#NAME?</v>
      </c>
      <c r="AN47" s="59" t="e">
        <f aca="false">AL47*AJ47</f>
        <v>#NAME?</v>
      </c>
      <c r="AO47" s="59" t="e">
        <f aca="false">AM47-AN47</f>
        <v>#NAME?</v>
      </c>
      <c r="AQ47" s="59" t="e">
        <f aca="false">(P47+X47+AF47+AN47)/I47</f>
        <v>#NAME?</v>
      </c>
      <c r="AR47" s="11" t="n">
        <f aca="false">Curves!C31</f>
        <v>0.058211753455922</v>
      </c>
      <c r="AS47" s="0" t="n">
        <f aca="false">B47-$D$16</f>
        <v>885</v>
      </c>
      <c r="AT47" s="0" t="n">
        <f aca="false">D47-$D$16</f>
        <v>939</v>
      </c>
      <c r="AU47" s="74" t="n">
        <f aca="false">(1+AR47/2)^(-2*AS47/365.25)</f>
        <v>0.870199058082519</v>
      </c>
      <c r="AV47" s="74" t="n">
        <f aca="false">(1+AR48/2)^(-2*AT47/365.25)</f>
        <v>0.8628293966132</v>
      </c>
      <c r="AX47" s="59" t="e">
        <f aca="false">AQ47*AU47</f>
        <v>#NAME?</v>
      </c>
      <c r="AY47" s="59" t="e">
        <f aca="false">AQ47*AV47</f>
        <v>#NAME?</v>
      </c>
      <c r="BA47" s="72" t="n">
        <f aca="false">G47</f>
        <v>3.752</v>
      </c>
      <c r="BB47" s="75" t="n">
        <f aca="false">'Point 1 - Transco'!H45</f>
        <v>0.862785195287996</v>
      </c>
      <c r="BC47" s="59" t="n">
        <f aca="false">M47</f>
        <v>59200</v>
      </c>
      <c r="BD47" s="59" t="n">
        <f aca="false">BC47*BB47*C47</f>
        <v>1532306.50683148</v>
      </c>
      <c r="BE47" s="59" t="n">
        <f aca="false">BD47*(BA47+K47)</f>
        <v>5804377.04787765</v>
      </c>
      <c r="BF47" s="68" t="n">
        <f aca="false">$BF$45</f>
        <v>3.8964</v>
      </c>
    </row>
    <row r="48" customFormat="false" ht="12.75" hidden="false" customHeight="false" outlineLevel="0" collapsed="false">
      <c r="B48" s="69" t="n">
        <f aca="false">'Enron Proposal'!B40</f>
        <v>37803</v>
      </c>
      <c r="C48" s="41" t="n">
        <f aca="false">'Enron Proposal'!C40</f>
        <v>31</v>
      </c>
      <c r="D48" s="66" t="n">
        <f aca="false">'Enron Proposal'!D40</f>
        <v>37858</v>
      </c>
      <c r="E48" s="41" t="n">
        <f aca="false">D48-$D$16</f>
        <v>970</v>
      </c>
      <c r="G48" s="72" t="n">
        <f aca="false">Curves!B32</f>
        <v>3.767</v>
      </c>
      <c r="H48" s="73" t="e">
        <f aca="false">Spline('Financing Assumptions'!$G$20:$G$29,'Financing Assumptions'!$F$20:$F$29,B48,1)+Curves!C32</f>
        <v>#NAME?</v>
      </c>
      <c r="I48" s="74" t="e">
        <f aca="false">(1+H48/2)^(-2*E48/365.25)</f>
        <v>#NAME?</v>
      </c>
      <c r="K48" s="0" t="n">
        <f aca="false">Curves!D32+Curves!E32</f>
        <v>0.036</v>
      </c>
      <c r="L48" s="72" t="n">
        <f aca="false">'Enron Proposal'!S40</f>
        <v>3.89928327922083</v>
      </c>
      <c r="M48" s="59" t="n">
        <f aca="false">'Enron Proposal'!G40</f>
        <v>59200</v>
      </c>
      <c r="N48" s="59" t="e">
        <f aca="false">M48*C48*I48</f>
        <v>#NAME?</v>
      </c>
      <c r="O48" s="59" t="e">
        <f aca="false">(G48+K48)*N48</f>
        <v>#NAME?</v>
      </c>
      <c r="P48" s="59" t="e">
        <f aca="false">N48*L48</f>
        <v>#NAME?</v>
      </c>
      <c r="Q48" s="59" t="e">
        <f aca="false">O48-P48</f>
        <v>#NAME?</v>
      </c>
      <c r="S48" s="68" t="n">
        <f aca="false">Curves!F32+Curves!G32</f>
        <v>-0.0155</v>
      </c>
      <c r="T48" s="68" t="n">
        <f aca="false">'Enron Proposal'!T40</f>
        <v>0</v>
      </c>
      <c r="U48" s="59" t="n">
        <f aca="false">'Enron Proposal'!J40</f>
        <v>0</v>
      </c>
      <c r="V48" s="59" t="e">
        <f aca="false">U48*C48*I48</f>
        <v>#NAME?</v>
      </c>
      <c r="W48" s="59" t="e">
        <f aca="false">(G48+S48)*V48</f>
        <v>#NAME?</v>
      </c>
      <c r="X48" s="59" t="e">
        <f aca="false">V48*T48</f>
        <v>#NAME?</v>
      </c>
      <c r="Y48" s="59" t="e">
        <f aca="false">W48-X48</f>
        <v>#NAME?</v>
      </c>
      <c r="AA48" s="68" t="n">
        <f aca="false">Curves!H32+Curves!I32</f>
        <v>-0.015</v>
      </c>
      <c r="AB48" s="68" t="n">
        <f aca="false">'Enron Proposal'!U40</f>
        <v>0</v>
      </c>
      <c r="AC48" s="59" t="n">
        <f aca="false">'Enron Proposal'!M40</f>
        <v>0</v>
      </c>
      <c r="AD48" s="59" t="e">
        <f aca="false">AC48*C48*I48</f>
        <v>#NAME?</v>
      </c>
      <c r="AE48" s="59" t="e">
        <f aca="false">(G48+AA48)*AD48</f>
        <v>#NAME?</v>
      </c>
      <c r="AF48" s="59" t="e">
        <f aca="false">AD48*AB48</f>
        <v>#NAME?</v>
      </c>
      <c r="AG48" s="59" t="e">
        <f aca="false">AE48-AF48</f>
        <v>#NAME?</v>
      </c>
      <c r="AI48" s="68" t="n">
        <f aca="false">Curves!J32+Curves!K32</f>
        <v>-0.0575</v>
      </c>
      <c r="AJ48" s="68" t="n">
        <f aca="false">'Enron Proposal'!V40</f>
        <v>0</v>
      </c>
      <c r="AK48" s="59" t="n">
        <f aca="false">'Enron Proposal'!P40</f>
        <v>0</v>
      </c>
      <c r="AL48" s="59" t="e">
        <f aca="false">AK48*C48*I48</f>
        <v>#NAME?</v>
      </c>
      <c r="AM48" s="59" t="e">
        <f aca="false">(G48+AI48)*AL48</f>
        <v>#NAME?</v>
      </c>
      <c r="AN48" s="59" t="e">
        <f aca="false">AL48*AJ48</f>
        <v>#NAME?</v>
      </c>
      <c r="AO48" s="59" t="e">
        <f aca="false">AM48-AN48</f>
        <v>#NAME?</v>
      </c>
      <c r="AQ48" s="59" t="e">
        <f aca="false">(P48+X48+AF48+AN48)/I48</f>
        <v>#NAME?</v>
      </c>
      <c r="AR48" s="11" t="n">
        <f aca="false">Curves!C32</f>
        <v>0.058220406142149</v>
      </c>
      <c r="AS48" s="0" t="n">
        <f aca="false">B48-$D$16</f>
        <v>915</v>
      </c>
      <c r="AT48" s="0" t="n">
        <f aca="false">D48-$D$16</f>
        <v>970</v>
      </c>
      <c r="AU48" s="74" t="n">
        <f aca="false">(1+AR48/2)^(-2*AS48/365.25)</f>
        <v>0.866089222825051</v>
      </c>
      <c r="AV48" s="74" t="n">
        <f aca="false">(1+AR49/2)^(-2*AT48/365.25)</f>
        <v>0.85860508220354</v>
      </c>
      <c r="AX48" s="59" t="e">
        <f aca="false">AQ48*AU48</f>
        <v>#NAME?</v>
      </c>
      <c r="AY48" s="59" t="e">
        <f aca="false">AQ48*AV48</f>
        <v>#NAME?</v>
      </c>
      <c r="BA48" s="72" t="n">
        <f aca="false">G48</f>
        <v>3.767</v>
      </c>
      <c r="BB48" s="75" t="n">
        <f aca="false">'Point 1 - Transco'!H46</f>
        <v>0.85857232440857</v>
      </c>
      <c r="BC48" s="59" t="n">
        <f aca="false">M48</f>
        <v>59200</v>
      </c>
      <c r="BD48" s="59" t="n">
        <f aca="false">BC48*BB48*C48</f>
        <v>1575651.92975461</v>
      </c>
      <c r="BE48" s="59" t="n">
        <f aca="false">BD48*(BA48+K48)</f>
        <v>5992204.28885677</v>
      </c>
      <c r="BF48" s="68" t="n">
        <f aca="false">$BF$45</f>
        <v>3.8964</v>
      </c>
    </row>
    <row r="49" customFormat="false" ht="12.75" hidden="false" customHeight="false" outlineLevel="0" collapsed="false">
      <c r="B49" s="69" t="n">
        <f aca="false">'Enron Proposal'!B41</f>
        <v>37834</v>
      </c>
      <c r="C49" s="41" t="n">
        <f aca="false">'Enron Proposal'!C41</f>
        <v>31</v>
      </c>
      <c r="D49" s="66" t="n">
        <f aca="false">'Enron Proposal'!D41</f>
        <v>37889</v>
      </c>
      <c r="E49" s="41" t="n">
        <f aca="false">D49-$D$16</f>
        <v>1001</v>
      </c>
      <c r="G49" s="72" t="n">
        <f aca="false">Curves!B33</f>
        <v>3.762</v>
      </c>
      <c r="H49" s="73" t="e">
        <f aca="false">Spline('Financing Assumptions'!$G$20:$G$29,'Financing Assumptions'!$F$20:$F$29,B49,1)+Curves!C33</f>
        <v>#NAME?</v>
      </c>
      <c r="I49" s="74" t="e">
        <f aca="false">(1+H49/2)^(-2*E49/365.25)</f>
        <v>#NAME?</v>
      </c>
      <c r="K49" s="0" t="n">
        <f aca="false">Curves!D33+Curves!E33</f>
        <v>0.036</v>
      </c>
      <c r="L49" s="72" t="n">
        <f aca="false">'Enron Proposal'!S41</f>
        <v>3.89928327922083</v>
      </c>
      <c r="M49" s="59" t="n">
        <f aca="false">'Enron Proposal'!G41</f>
        <v>59200</v>
      </c>
      <c r="N49" s="59" t="e">
        <f aca="false">M49*C49*I49</f>
        <v>#NAME?</v>
      </c>
      <c r="O49" s="59" t="e">
        <f aca="false">(G49+K49)*N49</f>
        <v>#NAME?</v>
      </c>
      <c r="P49" s="59" t="e">
        <f aca="false">N49*L49</f>
        <v>#NAME?</v>
      </c>
      <c r="Q49" s="59" t="e">
        <f aca="false">O49-P49</f>
        <v>#NAME?</v>
      </c>
      <c r="S49" s="68" t="n">
        <f aca="false">Curves!F33+Curves!G33</f>
        <v>-0.0155</v>
      </c>
      <c r="T49" s="68" t="n">
        <f aca="false">'Enron Proposal'!T41</f>
        <v>0</v>
      </c>
      <c r="U49" s="59" t="n">
        <f aca="false">'Enron Proposal'!J41</f>
        <v>0</v>
      </c>
      <c r="V49" s="59" t="e">
        <f aca="false">U49*C49*I49</f>
        <v>#NAME?</v>
      </c>
      <c r="W49" s="59" t="e">
        <f aca="false">(G49+S49)*V49</f>
        <v>#NAME?</v>
      </c>
      <c r="X49" s="59" t="e">
        <f aca="false">V49*T49</f>
        <v>#NAME?</v>
      </c>
      <c r="Y49" s="59" t="e">
        <f aca="false">W49-X49</f>
        <v>#NAME?</v>
      </c>
      <c r="AA49" s="68" t="n">
        <f aca="false">Curves!H33+Curves!I33</f>
        <v>-0.015</v>
      </c>
      <c r="AB49" s="68" t="n">
        <f aca="false">'Enron Proposal'!U41</f>
        <v>0</v>
      </c>
      <c r="AC49" s="59" t="n">
        <f aca="false">'Enron Proposal'!M41</f>
        <v>0</v>
      </c>
      <c r="AD49" s="59" t="e">
        <f aca="false">AC49*C49*I49</f>
        <v>#NAME?</v>
      </c>
      <c r="AE49" s="59" t="e">
        <f aca="false">(G49+AA49)*AD49</f>
        <v>#NAME?</v>
      </c>
      <c r="AF49" s="59" t="e">
        <f aca="false">AD49*AB49</f>
        <v>#NAME?</v>
      </c>
      <c r="AG49" s="59" t="e">
        <f aca="false">AE49-AF49</f>
        <v>#NAME?</v>
      </c>
      <c r="AI49" s="68" t="n">
        <f aca="false">Curves!J33+Curves!K33</f>
        <v>-0.0575</v>
      </c>
      <c r="AJ49" s="68" t="n">
        <f aca="false">'Enron Proposal'!V41</f>
        <v>0</v>
      </c>
      <c r="AK49" s="59" t="n">
        <f aca="false">'Enron Proposal'!P41</f>
        <v>0</v>
      </c>
      <c r="AL49" s="59" t="e">
        <f aca="false">AK49*C49*I49</f>
        <v>#NAME?</v>
      </c>
      <c r="AM49" s="59" t="e">
        <f aca="false">(G49+AI49)*AL49</f>
        <v>#NAME?</v>
      </c>
      <c r="AN49" s="59" t="e">
        <f aca="false">AL49*AJ49</f>
        <v>#NAME?</v>
      </c>
      <c r="AO49" s="59" t="e">
        <f aca="false">AM49-AN49</f>
        <v>#NAME?</v>
      </c>
      <c r="AQ49" s="59" t="e">
        <f aca="false">(P49+X49+AF49+AN49)/I49</f>
        <v>#NAME?</v>
      </c>
      <c r="AR49" s="11" t="n">
        <f aca="false">Curves!C33</f>
        <v>0.058234784229674</v>
      </c>
      <c r="AS49" s="0" t="n">
        <f aca="false">B49-$D$16</f>
        <v>946</v>
      </c>
      <c r="AT49" s="0" t="n">
        <f aca="false">D49-$D$16</f>
        <v>1001</v>
      </c>
      <c r="AU49" s="74" t="n">
        <f aca="false">(1+AR49/2)^(-2*AS49/365.25)</f>
        <v>0.861849739884655</v>
      </c>
      <c r="AV49" s="74" t="n">
        <f aca="false">(1+AR50/2)^(-2*AT49/365.25)</f>
        <v>0.854399423498708</v>
      </c>
      <c r="AX49" s="59" t="e">
        <f aca="false">AQ49*AU49</f>
        <v>#NAME?</v>
      </c>
      <c r="AY49" s="59" t="e">
        <f aca="false">AQ49*AV49</f>
        <v>#NAME?</v>
      </c>
      <c r="BA49" s="72" t="n">
        <f aca="false">G49</f>
        <v>3.762</v>
      </c>
      <c r="BB49" s="75" t="n">
        <f aca="false">'Point 1 - Transco'!H47</f>
        <v>0.854365774105387</v>
      </c>
      <c r="BC49" s="59" t="n">
        <f aca="false">M49</f>
        <v>59200</v>
      </c>
      <c r="BD49" s="59" t="n">
        <f aca="false">BC49*BB49*C49</f>
        <v>1567932.06863821</v>
      </c>
      <c r="BE49" s="59" t="n">
        <f aca="false">BD49*(BA49+K49)</f>
        <v>5955005.99668791</v>
      </c>
      <c r="BF49" s="68" t="n">
        <f aca="false">$BF$45</f>
        <v>3.8964</v>
      </c>
    </row>
    <row r="50" customFormat="false" ht="12.75" hidden="false" customHeight="false" outlineLevel="0" collapsed="false">
      <c r="B50" s="69" t="n">
        <f aca="false">'Enron Proposal'!B42</f>
        <v>37865</v>
      </c>
      <c r="C50" s="41" t="n">
        <f aca="false">'Enron Proposal'!C42</f>
        <v>30</v>
      </c>
      <c r="D50" s="66" t="n">
        <f aca="false">'Enron Proposal'!D42</f>
        <v>37921</v>
      </c>
      <c r="E50" s="41" t="n">
        <f aca="false">D50-$D$16</f>
        <v>1033</v>
      </c>
      <c r="G50" s="72" t="n">
        <f aca="false">Curves!B34</f>
        <v>3.774</v>
      </c>
      <c r="H50" s="73" t="e">
        <f aca="false">Spline('Financing Assumptions'!$G$20:$G$29,'Financing Assumptions'!$F$20:$F$29,B50,1)+Curves!C34</f>
        <v>#NAME?</v>
      </c>
      <c r="I50" s="74" t="e">
        <f aca="false">(1+H50/2)^(-2*E50/365.25)</f>
        <v>#NAME?</v>
      </c>
      <c r="K50" s="0" t="n">
        <f aca="false">Curves!D34+Curves!E34</f>
        <v>0.036</v>
      </c>
      <c r="L50" s="72" t="n">
        <f aca="false">'Enron Proposal'!S42</f>
        <v>3.89928327922083</v>
      </c>
      <c r="M50" s="59" t="n">
        <f aca="false">'Enron Proposal'!G42</f>
        <v>59200</v>
      </c>
      <c r="N50" s="59" t="e">
        <f aca="false">M50*C50*I50</f>
        <v>#NAME?</v>
      </c>
      <c r="O50" s="59" t="e">
        <f aca="false">(G50+K50)*N50</f>
        <v>#NAME?</v>
      </c>
      <c r="P50" s="59" t="e">
        <f aca="false">N50*L50</f>
        <v>#NAME?</v>
      </c>
      <c r="Q50" s="59" t="e">
        <f aca="false">O50-P50</f>
        <v>#NAME?</v>
      </c>
      <c r="S50" s="68" t="n">
        <f aca="false">Curves!F34+Curves!G34</f>
        <v>-0.0155</v>
      </c>
      <c r="T50" s="68" t="n">
        <f aca="false">'Enron Proposal'!T42</f>
        <v>0</v>
      </c>
      <c r="U50" s="59" t="n">
        <f aca="false">'Enron Proposal'!J42</f>
        <v>0</v>
      </c>
      <c r="V50" s="59" t="e">
        <f aca="false">U50*C50*I50</f>
        <v>#NAME?</v>
      </c>
      <c r="W50" s="59" t="e">
        <f aca="false">(G50+S50)*V50</f>
        <v>#NAME?</v>
      </c>
      <c r="X50" s="59" t="e">
        <f aca="false">V50*T50</f>
        <v>#NAME?</v>
      </c>
      <c r="Y50" s="59" t="e">
        <f aca="false">W50-X50</f>
        <v>#NAME?</v>
      </c>
      <c r="AA50" s="68" t="n">
        <f aca="false">Curves!H34+Curves!I34</f>
        <v>-0.015</v>
      </c>
      <c r="AB50" s="68" t="n">
        <f aca="false">'Enron Proposal'!U42</f>
        <v>0</v>
      </c>
      <c r="AC50" s="59" t="n">
        <f aca="false">'Enron Proposal'!M42</f>
        <v>0</v>
      </c>
      <c r="AD50" s="59" t="e">
        <f aca="false">AC50*C50*I50</f>
        <v>#NAME?</v>
      </c>
      <c r="AE50" s="59" t="e">
        <f aca="false">(G50+AA50)*AD50</f>
        <v>#NAME?</v>
      </c>
      <c r="AF50" s="59" t="e">
        <f aca="false">AD50*AB50</f>
        <v>#NAME?</v>
      </c>
      <c r="AG50" s="59" t="e">
        <f aca="false">AE50-AF50</f>
        <v>#NAME?</v>
      </c>
      <c r="AI50" s="68" t="n">
        <f aca="false">Curves!J34+Curves!K34</f>
        <v>-0.0575</v>
      </c>
      <c r="AJ50" s="68" t="n">
        <f aca="false">'Enron Proposal'!V42</f>
        <v>0</v>
      </c>
      <c r="AK50" s="59" t="n">
        <f aca="false">'Enron Proposal'!P42</f>
        <v>0</v>
      </c>
      <c r="AL50" s="59" t="e">
        <f aca="false">AK50*C50*I50</f>
        <v>#NAME?</v>
      </c>
      <c r="AM50" s="59" t="e">
        <f aca="false">(G50+AI50)*AL50</f>
        <v>#NAME?</v>
      </c>
      <c r="AN50" s="59" t="e">
        <f aca="false">AL50*AJ50</f>
        <v>#NAME?</v>
      </c>
      <c r="AO50" s="59" t="e">
        <f aca="false">AM50-AN50</f>
        <v>#NAME?</v>
      </c>
      <c r="AQ50" s="59" t="e">
        <f aca="false">(P50+X50+AF50+AN50)/I50</f>
        <v>#NAME?</v>
      </c>
      <c r="AR50" s="11" t="n">
        <f aca="false">Curves!C34</f>
        <v>0.058249162317267</v>
      </c>
      <c r="AS50" s="0" t="n">
        <f aca="false">B50-$D$16</f>
        <v>977</v>
      </c>
      <c r="AT50" s="0" t="n">
        <f aca="false">D50-$D$16</f>
        <v>1033</v>
      </c>
      <c r="AU50" s="74" t="n">
        <f aca="false">(1+AR50/2)^(-2*AS50/365.25)</f>
        <v>0.857628975375741</v>
      </c>
      <c r="AV50" s="74" t="n">
        <f aca="false">(1+AR51/2)^(-2*AT50/365.25)</f>
        <v>0.850074276741523</v>
      </c>
      <c r="AX50" s="59" t="e">
        <f aca="false">AQ50*AU50</f>
        <v>#NAME?</v>
      </c>
      <c r="AY50" s="59" t="e">
        <f aca="false">AQ50*AV50</f>
        <v>#NAME?</v>
      </c>
      <c r="BA50" s="72" t="n">
        <f aca="false">G50</f>
        <v>3.774</v>
      </c>
      <c r="BB50" s="75" t="n">
        <f aca="false">'Point 1 - Transco'!H48</f>
        <v>0.850044114204394</v>
      </c>
      <c r="BC50" s="59" t="n">
        <f aca="false">M50</f>
        <v>59200</v>
      </c>
      <c r="BD50" s="59" t="n">
        <f aca="false">BC50*BB50*C50</f>
        <v>1509678.346827</v>
      </c>
      <c r="BE50" s="59" t="n">
        <f aca="false">BD50*(BA50+K50)</f>
        <v>5751874.50141088</v>
      </c>
      <c r="BF50" s="68" t="n">
        <f aca="false">$BF$45</f>
        <v>3.8964</v>
      </c>
    </row>
    <row r="51" customFormat="false" ht="12.75" hidden="false" customHeight="false" outlineLevel="0" collapsed="false">
      <c r="B51" s="69" t="n">
        <f aca="false">'Enron Proposal'!B43</f>
        <v>37895</v>
      </c>
      <c r="C51" s="41" t="n">
        <f aca="false">'Enron Proposal'!C43</f>
        <v>31</v>
      </c>
      <c r="D51" s="66" t="n">
        <f aca="false">'Enron Proposal'!D43</f>
        <v>37950</v>
      </c>
      <c r="E51" s="41" t="n">
        <f aca="false">D51-$D$16</f>
        <v>1062</v>
      </c>
      <c r="G51" s="72" t="n">
        <f aca="false">Curves!B35</f>
        <v>3.792</v>
      </c>
      <c r="H51" s="73" t="e">
        <f aca="false">Spline('Financing Assumptions'!$G$20:$G$29,'Financing Assumptions'!$F$20:$F$29,B51,1)+Curves!C35</f>
        <v>#NAME?</v>
      </c>
      <c r="I51" s="74" t="e">
        <f aca="false">(1+H51/2)^(-2*E51/365.25)</f>
        <v>#NAME?</v>
      </c>
      <c r="K51" s="0" t="n">
        <f aca="false">Curves!D35+Curves!E35</f>
        <v>0.036</v>
      </c>
      <c r="L51" s="72" t="n">
        <f aca="false">'Enron Proposal'!S43</f>
        <v>3.89928327922083</v>
      </c>
      <c r="M51" s="59" t="n">
        <f aca="false">'Enron Proposal'!G43</f>
        <v>59200</v>
      </c>
      <c r="N51" s="59" t="e">
        <f aca="false">M51*C51*I51</f>
        <v>#NAME?</v>
      </c>
      <c r="O51" s="59" t="e">
        <f aca="false">(G51+K51)*N51</f>
        <v>#NAME?</v>
      </c>
      <c r="P51" s="59" t="e">
        <f aca="false">N51*L51</f>
        <v>#NAME?</v>
      </c>
      <c r="Q51" s="59" t="e">
        <f aca="false">O51-P51</f>
        <v>#NAME?</v>
      </c>
      <c r="S51" s="68" t="n">
        <f aca="false">Curves!F35+Curves!G35</f>
        <v>-0.0155</v>
      </c>
      <c r="T51" s="68" t="n">
        <f aca="false">'Enron Proposal'!T43</f>
        <v>0</v>
      </c>
      <c r="U51" s="59" t="n">
        <f aca="false">'Enron Proposal'!J43</f>
        <v>0</v>
      </c>
      <c r="V51" s="59" t="e">
        <f aca="false">U51*C51*I51</f>
        <v>#NAME?</v>
      </c>
      <c r="W51" s="59" t="e">
        <f aca="false">(G51+S51)*V51</f>
        <v>#NAME?</v>
      </c>
      <c r="X51" s="59" t="e">
        <f aca="false">V51*T51</f>
        <v>#NAME?</v>
      </c>
      <c r="Y51" s="59" t="e">
        <f aca="false">W51-X51</f>
        <v>#NAME?</v>
      </c>
      <c r="AA51" s="68" t="n">
        <f aca="false">Curves!H35+Curves!I35</f>
        <v>-0.015</v>
      </c>
      <c r="AB51" s="68" t="n">
        <f aca="false">'Enron Proposal'!U43</f>
        <v>0</v>
      </c>
      <c r="AC51" s="59" t="n">
        <f aca="false">'Enron Proposal'!M43</f>
        <v>0</v>
      </c>
      <c r="AD51" s="59" t="e">
        <f aca="false">AC51*C51*I51</f>
        <v>#NAME?</v>
      </c>
      <c r="AE51" s="59" t="e">
        <f aca="false">(G51+AA51)*AD51</f>
        <v>#NAME?</v>
      </c>
      <c r="AF51" s="59" t="e">
        <f aca="false">AD51*AB51</f>
        <v>#NAME?</v>
      </c>
      <c r="AG51" s="59" t="e">
        <f aca="false">AE51-AF51</f>
        <v>#NAME?</v>
      </c>
      <c r="AI51" s="68" t="n">
        <f aca="false">Curves!J35+Curves!K35</f>
        <v>-0.0575</v>
      </c>
      <c r="AJ51" s="68" t="n">
        <f aca="false">'Enron Proposal'!V43</f>
        <v>0</v>
      </c>
      <c r="AK51" s="59" t="n">
        <f aca="false">'Enron Proposal'!P43</f>
        <v>0</v>
      </c>
      <c r="AL51" s="59" t="e">
        <f aca="false">AK51*C51*I51</f>
        <v>#NAME?</v>
      </c>
      <c r="AM51" s="59" t="e">
        <f aca="false">(G51+AI51)*AL51</f>
        <v>#NAME?</v>
      </c>
      <c r="AN51" s="59" t="e">
        <f aca="false">AL51*AJ51</f>
        <v>#NAME?</v>
      </c>
      <c r="AO51" s="59" t="e">
        <f aca="false">AM51-AN51</f>
        <v>#NAME?</v>
      </c>
      <c r="AQ51" s="59" t="e">
        <f aca="false">(P51+X51+AF51+AN51)/I51</f>
        <v>#NAME?</v>
      </c>
      <c r="AR51" s="11" t="n">
        <f aca="false">Curves!C35</f>
        <v>0.058265422795858</v>
      </c>
      <c r="AS51" s="0" t="n">
        <f aca="false">B51-$D$16</f>
        <v>1007</v>
      </c>
      <c r="AT51" s="0" t="n">
        <f aca="false">D51-$D$16</f>
        <v>1062</v>
      </c>
      <c r="AU51" s="74" t="n">
        <f aca="false">(1+AR51/2)^(-2*AS51/365.25)</f>
        <v>0.853556754517665</v>
      </c>
      <c r="AV51" s="74" t="n">
        <f aca="false">(1+AR52/2)^(-2*AT51/365.25)</f>
        <v>0.846159523288873</v>
      </c>
      <c r="AX51" s="59" t="e">
        <f aca="false">AQ51*AU51</f>
        <v>#NAME?</v>
      </c>
      <c r="AY51" s="59" t="e">
        <f aca="false">AQ51*AV51</f>
        <v>#NAME?</v>
      </c>
      <c r="BA51" s="72" t="n">
        <f aca="false">G51</f>
        <v>3.792</v>
      </c>
      <c r="BB51" s="75" t="n">
        <f aca="false">'Point 1 - Transco'!H49</f>
        <v>0.846136980844054</v>
      </c>
      <c r="BC51" s="59" t="n">
        <f aca="false">M51</f>
        <v>59200</v>
      </c>
      <c r="BD51" s="59" t="n">
        <f aca="false">BC51*BB51*C51</f>
        <v>1552830.58724501</v>
      </c>
      <c r="BE51" s="59" t="n">
        <f aca="false">BD51*(BA51+K51)</f>
        <v>5944235.48797389</v>
      </c>
      <c r="BF51" s="68" t="n">
        <f aca="false">$BF$45</f>
        <v>3.8964</v>
      </c>
    </row>
    <row r="52" customFormat="false" ht="12.75" hidden="false" customHeight="false" outlineLevel="0" collapsed="false">
      <c r="B52" s="69" t="n">
        <f aca="false">'Enron Proposal'!B44</f>
        <v>37926</v>
      </c>
      <c r="C52" s="41" t="n">
        <f aca="false">'Enron Proposal'!C44</f>
        <v>30</v>
      </c>
      <c r="D52" s="66" t="n">
        <f aca="false">'Enron Proposal'!D44</f>
        <v>37980</v>
      </c>
      <c r="E52" s="41" t="n">
        <f aca="false">D52-$D$16</f>
        <v>1092</v>
      </c>
      <c r="G52" s="72" t="n">
        <f aca="false">Curves!B36</f>
        <v>3.927</v>
      </c>
      <c r="H52" s="73" t="e">
        <f aca="false">Spline('Financing Assumptions'!$G$20:$G$29,'Financing Assumptions'!$F$20:$F$29,B52,1)+Curves!C36</f>
        <v>#NAME?</v>
      </c>
      <c r="I52" s="74" t="e">
        <f aca="false">(1+H52/2)^(-2*E52/365.25)</f>
        <v>#NAME?</v>
      </c>
      <c r="K52" s="0" t="n">
        <f aca="false">Curves!D36+Curves!E36</f>
        <v>0.025</v>
      </c>
      <c r="L52" s="72" t="n">
        <f aca="false">'Enron Proposal'!S44</f>
        <v>3.89928327922083</v>
      </c>
      <c r="M52" s="59" t="n">
        <f aca="false">'Enron Proposal'!G44</f>
        <v>59200</v>
      </c>
      <c r="N52" s="59" t="e">
        <f aca="false">M52*C52*I52</f>
        <v>#NAME?</v>
      </c>
      <c r="O52" s="59" t="e">
        <f aca="false">(G52+K52)*N52</f>
        <v>#NAME?</v>
      </c>
      <c r="P52" s="59" t="e">
        <f aca="false">N52*L52</f>
        <v>#NAME?</v>
      </c>
      <c r="Q52" s="59" t="e">
        <f aca="false">O52-P52</f>
        <v>#NAME?</v>
      </c>
      <c r="S52" s="68" t="n">
        <f aca="false">Curves!F36+Curves!G36</f>
        <v>-0.018</v>
      </c>
      <c r="T52" s="68" t="n">
        <f aca="false">'Enron Proposal'!T44</f>
        <v>0</v>
      </c>
      <c r="U52" s="59" t="n">
        <f aca="false">'Enron Proposal'!J44</f>
        <v>0</v>
      </c>
      <c r="V52" s="59" t="e">
        <f aca="false">U52*C52*I52</f>
        <v>#NAME?</v>
      </c>
      <c r="W52" s="59" t="e">
        <f aca="false">(G52+S52)*V52</f>
        <v>#NAME?</v>
      </c>
      <c r="X52" s="59" t="e">
        <f aca="false">V52*T52</f>
        <v>#NAME?</v>
      </c>
      <c r="Y52" s="59" t="e">
        <f aca="false">W52-X52</f>
        <v>#NAME?</v>
      </c>
      <c r="AA52" s="68" t="n">
        <f aca="false">Curves!H36+Curves!I36</f>
        <v>-0.0205</v>
      </c>
      <c r="AB52" s="68" t="n">
        <f aca="false">'Enron Proposal'!U44</f>
        <v>0</v>
      </c>
      <c r="AC52" s="59" t="n">
        <f aca="false">'Enron Proposal'!M44</f>
        <v>0</v>
      </c>
      <c r="AD52" s="59" t="e">
        <f aca="false">AC52*C52*I52</f>
        <v>#NAME?</v>
      </c>
      <c r="AE52" s="59" t="e">
        <f aca="false">(G52+AA52)*AD52</f>
        <v>#NAME?</v>
      </c>
      <c r="AF52" s="59" t="e">
        <f aca="false">AD52*AB52</f>
        <v>#NAME?</v>
      </c>
      <c r="AG52" s="59" t="e">
        <f aca="false">AE52-AF52</f>
        <v>#NAME?</v>
      </c>
      <c r="AI52" s="68" t="n">
        <f aca="false">Curves!J36+Curves!K36</f>
        <v>-0.06</v>
      </c>
      <c r="AJ52" s="68" t="n">
        <f aca="false">'Enron Proposal'!V44</f>
        <v>0</v>
      </c>
      <c r="AK52" s="59" t="n">
        <f aca="false">'Enron Proposal'!P44</f>
        <v>0</v>
      </c>
      <c r="AL52" s="59" t="e">
        <f aca="false">AK52*C52*I52</f>
        <v>#NAME?</v>
      </c>
      <c r="AM52" s="59" t="e">
        <f aca="false">(G52+AI52)*AL52</f>
        <v>#NAME?</v>
      </c>
      <c r="AN52" s="59" t="e">
        <f aca="false">AL52*AJ52</f>
        <v>#NAME?</v>
      </c>
      <c r="AO52" s="59" t="e">
        <f aca="false">AM52-AN52</f>
        <v>#NAME?</v>
      </c>
      <c r="AQ52" s="59" t="e">
        <f aca="false">(P52+X52+AF52+AN52)/I52</f>
        <v>#NAME?</v>
      </c>
      <c r="AR52" s="11" t="n">
        <f aca="false">Curves!C36</f>
        <v>0.058285170471645</v>
      </c>
      <c r="AS52" s="0" t="n">
        <f aca="false">B52-$D$16</f>
        <v>1038</v>
      </c>
      <c r="AT52" s="0" t="n">
        <f aca="false">D52-$D$16</f>
        <v>1092</v>
      </c>
      <c r="AU52" s="74" t="n">
        <f aca="false">(1+AR52/2)^(-2*AS52/365.25)</f>
        <v>0.849359881821099</v>
      </c>
      <c r="AV52" s="74" t="n">
        <f aca="false">(1+AR53/2)^(-2*AT52/365.25)</f>
        <v>0.842129273275098</v>
      </c>
      <c r="AX52" s="59" t="e">
        <f aca="false">AQ52*AU52</f>
        <v>#NAME?</v>
      </c>
      <c r="AY52" s="59" t="e">
        <f aca="false">AQ52*AV52</f>
        <v>#NAME?</v>
      </c>
      <c r="BA52" s="72" t="n">
        <f aca="false">G52</f>
        <v>3.927</v>
      </c>
      <c r="BB52" s="75" t="n">
        <f aca="false">'Point 1 - Transco'!H50</f>
        <v>0.842104630740119</v>
      </c>
      <c r="BC52" s="59" t="n">
        <f aca="false">M52</f>
        <v>59200</v>
      </c>
      <c r="BD52" s="59" t="n">
        <f aca="false">BC52*BB52*C52</f>
        <v>1495577.82419445</v>
      </c>
      <c r="BE52" s="59" t="n">
        <f aca="false">BD52*(BA52+K52)</f>
        <v>5910523.56121647</v>
      </c>
      <c r="BF52" s="68" t="n">
        <f aca="false">$BF$45</f>
        <v>3.8964</v>
      </c>
    </row>
    <row r="53" customFormat="false" ht="12.75" hidden="false" customHeight="false" outlineLevel="0" collapsed="false">
      <c r="B53" s="69" t="n">
        <f aca="false">'Enron Proposal'!B45</f>
        <v>37956</v>
      </c>
      <c r="C53" s="41" t="n">
        <f aca="false">'Enron Proposal'!C45</f>
        <v>31</v>
      </c>
      <c r="D53" s="66" t="n">
        <f aca="false">'Enron Proposal'!D45</f>
        <v>38012</v>
      </c>
      <c r="E53" s="41" t="n">
        <f aca="false">D53-$D$16</f>
        <v>1124</v>
      </c>
      <c r="G53" s="72" t="n">
        <f aca="false">Curves!B37</f>
        <v>4.052</v>
      </c>
      <c r="H53" s="73" t="e">
        <f aca="false">Spline('Financing Assumptions'!$G$20:$G$29,'Financing Assumptions'!$F$20:$F$29,B53,1)+Curves!C37</f>
        <v>#NAME?</v>
      </c>
      <c r="I53" s="74" t="e">
        <f aca="false">(1+H53/2)^(-2*E53/365.25)</f>
        <v>#NAME?</v>
      </c>
      <c r="K53" s="0" t="n">
        <f aca="false">Curves!D37+Curves!E37</f>
        <v>0.025</v>
      </c>
      <c r="L53" s="72" t="n">
        <f aca="false">'Enron Proposal'!S45</f>
        <v>3.89928327922083</v>
      </c>
      <c r="M53" s="59" t="n">
        <f aca="false">'Enron Proposal'!G45</f>
        <v>59200</v>
      </c>
      <c r="N53" s="59" t="e">
        <f aca="false">M53*C53*I53</f>
        <v>#NAME?</v>
      </c>
      <c r="O53" s="59" t="e">
        <f aca="false">(G53+K53)*N53</f>
        <v>#NAME?</v>
      </c>
      <c r="P53" s="59" t="e">
        <f aca="false">N53*L53</f>
        <v>#NAME?</v>
      </c>
      <c r="Q53" s="59" t="e">
        <f aca="false">O53-P53</f>
        <v>#NAME?</v>
      </c>
      <c r="S53" s="68" t="n">
        <f aca="false">Curves!F37+Curves!G37</f>
        <v>-0.018</v>
      </c>
      <c r="T53" s="68" t="n">
        <f aca="false">'Enron Proposal'!T45</f>
        <v>0</v>
      </c>
      <c r="U53" s="59" t="n">
        <f aca="false">'Enron Proposal'!J45</f>
        <v>0</v>
      </c>
      <c r="V53" s="59" t="e">
        <f aca="false">U53*C53*I53</f>
        <v>#NAME?</v>
      </c>
      <c r="W53" s="59" t="e">
        <f aca="false">(G53+S53)*V53</f>
        <v>#NAME?</v>
      </c>
      <c r="X53" s="59" t="e">
        <f aca="false">V53*T53</f>
        <v>#NAME?</v>
      </c>
      <c r="Y53" s="59" t="e">
        <f aca="false">W53-X53</f>
        <v>#NAME?</v>
      </c>
      <c r="AA53" s="68" t="n">
        <f aca="false">Curves!H37+Curves!I37</f>
        <v>-0.0205</v>
      </c>
      <c r="AB53" s="68" t="n">
        <f aca="false">'Enron Proposal'!U45</f>
        <v>0</v>
      </c>
      <c r="AC53" s="59" t="n">
        <f aca="false">'Enron Proposal'!M45</f>
        <v>0</v>
      </c>
      <c r="AD53" s="59" t="e">
        <f aca="false">AC53*C53*I53</f>
        <v>#NAME?</v>
      </c>
      <c r="AE53" s="59" t="e">
        <f aca="false">(G53+AA53)*AD53</f>
        <v>#NAME?</v>
      </c>
      <c r="AF53" s="59" t="e">
        <f aca="false">AD53*AB53</f>
        <v>#NAME?</v>
      </c>
      <c r="AG53" s="59" t="e">
        <f aca="false">AE53-AF53</f>
        <v>#NAME?</v>
      </c>
      <c r="AI53" s="68" t="n">
        <f aca="false">Curves!J37+Curves!K37</f>
        <v>-0.06</v>
      </c>
      <c r="AJ53" s="68" t="n">
        <f aca="false">'Enron Proposal'!V45</f>
        <v>0</v>
      </c>
      <c r="AK53" s="59" t="n">
        <f aca="false">'Enron Proposal'!P45</f>
        <v>0</v>
      </c>
      <c r="AL53" s="59" t="e">
        <f aca="false">AK53*C53*I53</f>
        <v>#NAME?</v>
      </c>
      <c r="AM53" s="59" t="e">
        <f aca="false">(G53+AI53)*AL53</f>
        <v>#NAME?</v>
      </c>
      <c r="AN53" s="59" t="e">
        <f aca="false">AL53*AJ53</f>
        <v>#NAME?</v>
      </c>
      <c r="AO53" s="59" t="e">
        <f aca="false">AM53-AN53</f>
        <v>#NAME?</v>
      </c>
      <c r="AQ53" s="59" t="e">
        <f aca="false">(P53+X53+AF53+AN53)/I53</f>
        <v>#NAME?</v>
      </c>
      <c r="AR53" s="11" t="n">
        <f aca="false">Curves!C37</f>
        <v>0.058304281125756</v>
      </c>
      <c r="AS53" s="0" t="n">
        <f aca="false">B53-$D$16</f>
        <v>1068</v>
      </c>
      <c r="AT53" s="0" t="n">
        <f aca="false">D53-$D$16</f>
        <v>1124</v>
      </c>
      <c r="AU53" s="74" t="n">
        <f aca="false">(1+AR53/2)^(-2*AS53/365.25)</f>
        <v>0.845315419953825</v>
      </c>
      <c r="AV53" s="74" t="n">
        <f aca="false">(1+AR54/2)^(-2*AT53/365.25)</f>
        <v>0.837825851322328</v>
      </c>
      <c r="AX53" s="59" t="e">
        <f aca="false">AQ53*AU53</f>
        <v>#NAME?</v>
      </c>
      <c r="AY53" s="59" t="e">
        <f aca="false">AQ53*AV53</f>
        <v>#NAME?</v>
      </c>
      <c r="BA53" s="72" t="n">
        <f aca="false">G53</f>
        <v>4.052</v>
      </c>
      <c r="BB53" s="75" t="n">
        <f aca="false">'Point 1 - Transco'!H51</f>
        <v>0.837826620299008</v>
      </c>
      <c r="BC53" s="59" t="n">
        <f aca="false">M53</f>
        <v>59200</v>
      </c>
      <c r="BD53" s="59" t="n">
        <f aca="false">BC53*BB53*C53</f>
        <v>1537579.41357274</v>
      </c>
      <c r="BE53" s="59" t="n">
        <f aca="false">BD53*(BA53+K53)</f>
        <v>6268711.26913606</v>
      </c>
      <c r="BF53" s="68" t="n">
        <f aca="false">$BF$45</f>
        <v>3.8964</v>
      </c>
    </row>
    <row r="54" customFormat="false" ht="12.75" hidden="false" customHeight="false" outlineLevel="0" collapsed="false">
      <c r="B54" s="69" t="n">
        <f aca="false">'Enron Proposal'!B46</f>
        <v>37987</v>
      </c>
      <c r="C54" s="41" t="n">
        <f aca="false">'Enron Proposal'!C46</f>
        <v>31</v>
      </c>
      <c r="D54" s="66" t="n">
        <f aca="false">'Enron Proposal'!D46</f>
        <v>38042</v>
      </c>
      <c r="E54" s="41" t="n">
        <f aca="false">D54-$D$16</f>
        <v>1154</v>
      </c>
      <c r="G54" s="72" t="n">
        <f aca="false">Curves!B38</f>
        <v>4.132</v>
      </c>
      <c r="H54" s="73" t="e">
        <f aca="false">Spline('Financing Assumptions'!$G$20:$G$29,'Financing Assumptions'!$F$20:$F$29,B54,1)+Curves!C38</f>
        <v>#NAME?</v>
      </c>
      <c r="I54" s="74" t="e">
        <f aca="false">(1+H54/2)^(-2*E54/365.25)</f>
        <v>#NAME?</v>
      </c>
      <c r="K54" s="0" t="n">
        <f aca="false">Curves!D38+Curves!E38</f>
        <v>0.03</v>
      </c>
      <c r="L54" s="72" t="n">
        <f aca="false">'Enron Proposal'!S46</f>
        <v>3.89928327922083</v>
      </c>
      <c r="M54" s="59" t="n">
        <f aca="false">'Enron Proposal'!G46</f>
        <v>59200</v>
      </c>
      <c r="N54" s="59" t="e">
        <f aca="false">M54*C54*I54</f>
        <v>#NAME?</v>
      </c>
      <c r="O54" s="59" t="e">
        <f aca="false">(G54+K54)*N54</f>
        <v>#NAME?</v>
      </c>
      <c r="P54" s="59" t="e">
        <f aca="false">N54*L54</f>
        <v>#NAME?</v>
      </c>
      <c r="Q54" s="59" t="e">
        <f aca="false">O54-P54</f>
        <v>#NAME?</v>
      </c>
      <c r="S54" s="68" t="n">
        <f aca="false">Curves!F38+Curves!G38</f>
        <v>0.013</v>
      </c>
      <c r="T54" s="68" t="n">
        <f aca="false">'Enron Proposal'!T46</f>
        <v>0</v>
      </c>
      <c r="U54" s="59" t="n">
        <f aca="false">'Enron Proposal'!J46</f>
        <v>0</v>
      </c>
      <c r="V54" s="59" t="e">
        <f aca="false">U54*C54*I54</f>
        <v>#NAME?</v>
      </c>
      <c r="W54" s="59" t="e">
        <f aca="false">(G54+S54)*V54</f>
        <v>#NAME?</v>
      </c>
      <c r="X54" s="59" t="e">
        <f aca="false">V54*T54</f>
        <v>#NAME?</v>
      </c>
      <c r="Y54" s="59" t="e">
        <f aca="false">W54-X54</f>
        <v>#NAME?</v>
      </c>
      <c r="AA54" s="68" t="n">
        <f aca="false">Curves!H38+Curves!I38</f>
        <v>-0.0175</v>
      </c>
      <c r="AB54" s="68" t="n">
        <f aca="false">'Enron Proposal'!U46</f>
        <v>0</v>
      </c>
      <c r="AC54" s="59" t="n">
        <f aca="false">'Enron Proposal'!M46</f>
        <v>0</v>
      </c>
      <c r="AD54" s="59" t="e">
        <f aca="false">AC54*C54*I54</f>
        <v>#NAME?</v>
      </c>
      <c r="AE54" s="59" t="e">
        <f aca="false">(G54+AA54)*AD54</f>
        <v>#NAME?</v>
      </c>
      <c r="AF54" s="59" t="e">
        <f aca="false">AD54*AB54</f>
        <v>#NAME?</v>
      </c>
      <c r="AG54" s="59" t="e">
        <f aca="false">AE54-AF54</f>
        <v>#NAME?</v>
      </c>
      <c r="AI54" s="68" t="n">
        <f aca="false">Curves!J38+Curves!K38</f>
        <v>-0.053</v>
      </c>
      <c r="AJ54" s="68" t="n">
        <f aca="false">'Enron Proposal'!V46</f>
        <v>0</v>
      </c>
      <c r="AK54" s="59" t="n">
        <f aca="false">'Enron Proposal'!P46</f>
        <v>0</v>
      </c>
      <c r="AL54" s="59" t="e">
        <f aca="false">AK54*C54*I54</f>
        <v>#NAME?</v>
      </c>
      <c r="AM54" s="59" t="e">
        <f aca="false">(G54+AI54)*AL54</f>
        <v>#NAME?</v>
      </c>
      <c r="AN54" s="59" t="e">
        <f aca="false">AL54*AJ54</f>
        <v>#NAME?</v>
      </c>
      <c r="AO54" s="59" t="e">
        <f aca="false">AM54-AN54</f>
        <v>#NAME?</v>
      </c>
      <c r="AQ54" s="59" t="e">
        <f aca="false">(P54+X54+AF54+AN54)/I54</f>
        <v>#NAME?</v>
      </c>
      <c r="AR54" s="11" t="n">
        <f aca="false">Curves!C38</f>
        <v>0.058333777934929</v>
      </c>
      <c r="AS54" s="0" t="n">
        <f aca="false">B54-$D$16</f>
        <v>1099</v>
      </c>
      <c r="AT54" s="0" t="n">
        <f aca="false">D54-$D$16</f>
        <v>1154</v>
      </c>
      <c r="AU54" s="74" t="n">
        <f aca="false">(1+AR54/2)^(-2*AS54/365.25)</f>
        <v>0.841129703991769</v>
      </c>
      <c r="AV54" s="74" t="n">
        <f aca="false">(1+AR55/2)^(-2*AT54/365.25)</f>
        <v>0.833776228969362</v>
      </c>
      <c r="AX54" s="59" t="e">
        <f aca="false">AQ54*AU54</f>
        <v>#NAME?</v>
      </c>
      <c r="AY54" s="59" t="e">
        <f aca="false">AQ54*AV54</f>
        <v>#NAME?</v>
      </c>
      <c r="BA54" s="72" t="n">
        <f aca="false">G54</f>
        <v>4.132</v>
      </c>
      <c r="BB54" s="75" t="n">
        <f aca="false">'Point 1 - Transco'!H52</f>
        <v>0.833803608275523</v>
      </c>
      <c r="BC54" s="59" t="n">
        <f aca="false">M54</f>
        <v>59200</v>
      </c>
      <c r="BD54" s="59" t="n">
        <f aca="false">BC54*BB54*C54</f>
        <v>1530196.38190724</v>
      </c>
      <c r="BE54" s="59" t="n">
        <f aca="false">BD54*(BA54+K54)</f>
        <v>6368677.34149793</v>
      </c>
      <c r="BF54" s="68" t="n">
        <f aca="false">$BF$45</f>
        <v>3.8964</v>
      </c>
    </row>
    <row r="55" customFormat="false" ht="12.75" hidden="false" customHeight="false" outlineLevel="0" collapsed="false">
      <c r="B55" s="69" t="n">
        <f aca="false">'Enron Proposal'!B47</f>
        <v>38018</v>
      </c>
      <c r="C55" s="41" t="n">
        <f aca="false">'Enron Proposal'!C47</f>
        <v>29</v>
      </c>
      <c r="D55" s="66" t="n">
        <f aca="false">'Enron Proposal'!D47</f>
        <v>38071</v>
      </c>
      <c r="E55" s="41" t="n">
        <f aca="false">D55-$D$16</f>
        <v>1183</v>
      </c>
      <c r="G55" s="72" t="n">
        <f aca="false">Curves!B39</f>
        <v>4.017</v>
      </c>
      <c r="H55" s="73" t="e">
        <f aca="false">Spline('Financing Assumptions'!$G$20:$G$29,'Financing Assumptions'!$F$20:$F$29,B55,1)+Curves!C39</f>
        <v>#NAME?</v>
      </c>
      <c r="I55" s="74" t="e">
        <f aca="false">(1+H55/2)^(-2*E55/365.25)</f>
        <v>#NAME?</v>
      </c>
      <c r="K55" s="0" t="n">
        <f aca="false">Curves!D39+Curves!E39</f>
        <v>0.03</v>
      </c>
      <c r="L55" s="72" t="n">
        <f aca="false">'Enron Proposal'!S47</f>
        <v>3.89928327922083</v>
      </c>
      <c r="M55" s="59" t="n">
        <f aca="false">'Enron Proposal'!G47</f>
        <v>59200</v>
      </c>
      <c r="N55" s="59" t="e">
        <f aca="false">M55*C55*I55</f>
        <v>#NAME?</v>
      </c>
      <c r="O55" s="59" t="e">
        <f aca="false">(G55+K55)*N55</f>
        <v>#NAME?</v>
      </c>
      <c r="P55" s="59" t="e">
        <f aca="false">N55*L55</f>
        <v>#NAME?</v>
      </c>
      <c r="Q55" s="59" t="e">
        <f aca="false">O55-P55</f>
        <v>#NAME?</v>
      </c>
      <c r="S55" s="68" t="n">
        <f aca="false">Curves!F39+Curves!G39</f>
        <v>0.003</v>
      </c>
      <c r="T55" s="68" t="n">
        <f aca="false">'Enron Proposal'!T47</f>
        <v>0</v>
      </c>
      <c r="U55" s="59" t="n">
        <f aca="false">'Enron Proposal'!J47</f>
        <v>0</v>
      </c>
      <c r="V55" s="59" t="e">
        <f aca="false">U55*C55*I55</f>
        <v>#NAME?</v>
      </c>
      <c r="W55" s="59" t="e">
        <f aca="false">(G55+S55)*V55</f>
        <v>#NAME?</v>
      </c>
      <c r="X55" s="59" t="e">
        <f aca="false">V55*T55</f>
        <v>#NAME?</v>
      </c>
      <c r="Y55" s="59" t="e">
        <f aca="false">W55-X55</f>
        <v>#NAME?</v>
      </c>
      <c r="AA55" s="68" t="n">
        <f aca="false">Curves!H39+Curves!I39</f>
        <v>-0.0175</v>
      </c>
      <c r="AB55" s="68" t="n">
        <f aca="false">'Enron Proposal'!U47</f>
        <v>0</v>
      </c>
      <c r="AC55" s="59" t="n">
        <f aca="false">'Enron Proposal'!M47</f>
        <v>0</v>
      </c>
      <c r="AD55" s="59" t="e">
        <f aca="false">AC55*C55*I55</f>
        <v>#NAME?</v>
      </c>
      <c r="AE55" s="59" t="e">
        <f aca="false">(G55+AA55)*AD55</f>
        <v>#NAME?</v>
      </c>
      <c r="AF55" s="59" t="e">
        <f aca="false">AD55*AB55</f>
        <v>#NAME?</v>
      </c>
      <c r="AG55" s="59" t="e">
        <f aca="false">AE55-AF55</f>
        <v>#NAME?</v>
      </c>
      <c r="AI55" s="68" t="n">
        <f aca="false">Curves!J39+Curves!K39</f>
        <v>-0.053</v>
      </c>
      <c r="AJ55" s="68" t="n">
        <f aca="false">'Enron Proposal'!V47</f>
        <v>0</v>
      </c>
      <c r="AK55" s="59" t="n">
        <f aca="false">'Enron Proposal'!P47</f>
        <v>0</v>
      </c>
      <c r="AL55" s="59" t="e">
        <f aca="false">AK55*C55*I55</f>
        <v>#NAME?</v>
      </c>
      <c r="AM55" s="59" t="e">
        <f aca="false">(G55+AI55)*AL55</f>
        <v>#NAME?</v>
      </c>
      <c r="AN55" s="59" t="e">
        <f aca="false">AL55*AJ55</f>
        <v>#NAME?</v>
      </c>
      <c r="AO55" s="59" t="e">
        <f aca="false">AM55-AN55</f>
        <v>#NAME?</v>
      </c>
      <c r="AQ55" s="59" t="e">
        <f aca="false">(P55+X55+AF55+AN55)/I55</f>
        <v>#NAME?</v>
      </c>
      <c r="AR55" s="11" t="n">
        <f aca="false">Curves!C39</f>
        <v>0.058373673819866</v>
      </c>
      <c r="AS55" s="0" t="n">
        <f aca="false">B55-$D$16</f>
        <v>1130</v>
      </c>
      <c r="AT55" s="0" t="n">
        <f aca="false">D55-$D$16</f>
        <v>1183</v>
      </c>
      <c r="AU55" s="74" t="n">
        <f aca="false">(1+AR55/2)^(-2*AS55/365.25)</f>
        <v>0.836934480383579</v>
      </c>
      <c r="AV55" s="74" t="n">
        <f aca="false">(1+AR56/2)^(-2*AT55/365.25)</f>
        <v>0.829878428614468</v>
      </c>
      <c r="AX55" s="59" t="e">
        <f aca="false">AQ55*AU55</f>
        <v>#NAME?</v>
      </c>
      <c r="AY55" s="59" t="e">
        <f aca="false">AQ55*AV55</f>
        <v>#NAME?</v>
      </c>
      <c r="BA55" s="72" t="n">
        <f aca="false">G55</f>
        <v>4.017</v>
      </c>
      <c r="BB55" s="75" t="n">
        <f aca="false">'Point 1 - Transco'!H53</f>
        <v>0.829899608462734</v>
      </c>
      <c r="BC55" s="59" t="n">
        <f aca="false">M55</f>
        <v>59200</v>
      </c>
      <c r="BD55" s="59" t="n">
        <f aca="false">BC55*BB55*C55</f>
        <v>1424771.64780882</v>
      </c>
      <c r="BE55" s="59" t="n">
        <f aca="false">BD55*(BA55+K55)</f>
        <v>5766050.8586823</v>
      </c>
      <c r="BF55" s="68" t="n">
        <f aca="false">$BF$45</f>
        <v>3.8964</v>
      </c>
    </row>
    <row r="56" customFormat="false" ht="12.75" hidden="false" customHeight="false" outlineLevel="0" collapsed="false">
      <c r="B56" s="69" t="n">
        <f aca="false">'Enron Proposal'!B48</f>
        <v>38047</v>
      </c>
      <c r="C56" s="41" t="n">
        <f aca="false">'Enron Proposal'!C48</f>
        <v>31</v>
      </c>
      <c r="D56" s="66" t="n">
        <f aca="false">'Enron Proposal'!D48</f>
        <v>38103</v>
      </c>
      <c r="E56" s="41" t="n">
        <f aca="false">D56-$D$16</f>
        <v>1215</v>
      </c>
      <c r="G56" s="72" t="n">
        <f aca="false">Curves!B40</f>
        <v>3.877</v>
      </c>
      <c r="H56" s="73" t="e">
        <f aca="false">Spline('Financing Assumptions'!$G$20:$G$29,'Financing Assumptions'!$F$20:$F$29,B56,1)+Curves!C40</f>
        <v>#NAME?</v>
      </c>
      <c r="I56" s="74" t="e">
        <f aca="false">(1+H56/2)^(-2*E56/365.25)</f>
        <v>#NAME?</v>
      </c>
      <c r="K56" s="0" t="n">
        <f aca="false">Curves!D40+Curves!E40</f>
        <v>0.03</v>
      </c>
      <c r="L56" s="72" t="n">
        <f aca="false">'Enron Proposal'!S48</f>
        <v>3.89928327922083</v>
      </c>
      <c r="M56" s="59" t="n">
        <f aca="false">'Enron Proposal'!G48</f>
        <v>59200</v>
      </c>
      <c r="N56" s="59" t="e">
        <f aca="false">M56*C56*I56</f>
        <v>#NAME?</v>
      </c>
      <c r="O56" s="59" t="e">
        <f aca="false">(G56+K56)*N56</f>
        <v>#NAME?</v>
      </c>
      <c r="P56" s="59" t="e">
        <f aca="false">N56*L56</f>
        <v>#NAME?</v>
      </c>
      <c r="Q56" s="59" t="e">
        <f aca="false">O56-P56</f>
        <v>#NAME?</v>
      </c>
      <c r="S56" s="68" t="n">
        <f aca="false">Curves!F40+Curves!G40</f>
        <v>0.003</v>
      </c>
      <c r="T56" s="68" t="n">
        <f aca="false">'Enron Proposal'!T48</f>
        <v>0</v>
      </c>
      <c r="U56" s="59" t="n">
        <f aca="false">'Enron Proposal'!J48</f>
        <v>0</v>
      </c>
      <c r="V56" s="59" t="e">
        <f aca="false">U56*C56*I56</f>
        <v>#NAME?</v>
      </c>
      <c r="W56" s="59" t="e">
        <f aca="false">(G56+S56)*V56</f>
        <v>#NAME?</v>
      </c>
      <c r="X56" s="59" t="e">
        <f aca="false">V56*T56</f>
        <v>#NAME?</v>
      </c>
      <c r="Y56" s="59" t="e">
        <f aca="false">W56-X56</f>
        <v>#NAME?</v>
      </c>
      <c r="AA56" s="68" t="n">
        <f aca="false">Curves!H40+Curves!I40</f>
        <v>-0.0175</v>
      </c>
      <c r="AB56" s="68" t="n">
        <f aca="false">'Enron Proposal'!U48</f>
        <v>0</v>
      </c>
      <c r="AC56" s="59" t="n">
        <f aca="false">'Enron Proposal'!M48</f>
        <v>0</v>
      </c>
      <c r="AD56" s="59" t="e">
        <f aca="false">AC56*C56*I56</f>
        <v>#NAME?</v>
      </c>
      <c r="AE56" s="59" t="e">
        <f aca="false">(G56+AA56)*AD56</f>
        <v>#NAME?</v>
      </c>
      <c r="AF56" s="59" t="e">
        <f aca="false">AD56*AB56</f>
        <v>#NAME?</v>
      </c>
      <c r="AG56" s="59" t="e">
        <f aca="false">AE56-AF56</f>
        <v>#NAME?</v>
      </c>
      <c r="AI56" s="68" t="n">
        <f aca="false">Curves!J40+Curves!K40</f>
        <v>-0.053</v>
      </c>
      <c r="AJ56" s="68" t="n">
        <f aca="false">'Enron Proposal'!V48</f>
        <v>0</v>
      </c>
      <c r="AK56" s="59" t="n">
        <f aca="false">'Enron Proposal'!P48</f>
        <v>0</v>
      </c>
      <c r="AL56" s="59" t="e">
        <f aca="false">AK56*C56*I56</f>
        <v>#NAME?</v>
      </c>
      <c r="AM56" s="59" t="e">
        <f aca="false">(G56+AI56)*AL56</f>
        <v>#NAME?</v>
      </c>
      <c r="AN56" s="59" t="e">
        <f aca="false">AL56*AJ56</f>
        <v>#NAME?</v>
      </c>
      <c r="AO56" s="59" t="e">
        <f aca="false">AM56-AN56</f>
        <v>#NAME?</v>
      </c>
      <c r="AQ56" s="59" t="e">
        <f aca="false">(P56+X56+AF56+AN56)/I56</f>
        <v>#NAME?</v>
      </c>
      <c r="AR56" s="11" t="n">
        <f aca="false">Curves!C40</f>
        <v>0.058410995777223</v>
      </c>
      <c r="AS56" s="0" t="n">
        <f aca="false">B56-$D$16</f>
        <v>1159</v>
      </c>
      <c r="AT56" s="0" t="n">
        <f aca="false">D56-$D$16</f>
        <v>1215</v>
      </c>
      <c r="AU56" s="74" t="n">
        <f aca="false">(1+AR56/2)^(-2*AS56/365.25)</f>
        <v>0.833023900520941</v>
      </c>
      <c r="AV56" s="74" t="n">
        <f aca="false">(1+AR57/2)^(-2*AT56/365.25)</f>
        <v>0.825618595188406</v>
      </c>
      <c r="AX56" s="59" t="e">
        <f aca="false">AQ56*AU56</f>
        <v>#NAME?</v>
      </c>
      <c r="AY56" s="59" t="e">
        <f aca="false">AQ56*AV56</f>
        <v>#NAME?</v>
      </c>
      <c r="BA56" s="72" t="n">
        <f aca="false">G56</f>
        <v>3.877</v>
      </c>
      <c r="BB56" s="75" t="n">
        <f aca="false">'Point 1 - Transco'!H54</f>
        <v>0.825624946254818</v>
      </c>
      <c r="BC56" s="59" t="n">
        <f aca="false">M56</f>
        <v>59200</v>
      </c>
      <c r="BD56" s="59" t="n">
        <f aca="false">BC56*BB56*C56</f>
        <v>1515186.90136684</v>
      </c>
      <c r="BE56" s="59" t="n">
        <f aca="false">BD56*(BA56+K56)</f>
        <v>5919835.22364025</v>
      </c>
      <c r="BF56" s="68" t="n">
        <f aca="false">$BF$45</f>
        <v>3.8964</v>
      </c>
    </row>
    <row r="57" customFormat="false" ht="12.75" hidden="false" customHeight="false" outlineLevel="0" collapsed="false">
      <c r="B57" s="69" t="n">
        <f aca="false">'Enron Proposal'!B49</f>
        <v>38078</v>
      </c>
      <c r="C57" s="41" t="n">
        <f aca="false">'Enron Proposal'!C49</f>
        <v>30</v>
      </c>
      <c r="D57" s="66" t="n">
        <f aca="false">'Enron Proposal'!D49</f>
        <v>38132</v>
      </c>
      <c r="E57" s="41" t="n">
        <f aca="false">D57-$D$16</f>
        <v>1244</v>
      </c>
      <c r="G57" s="72" t="n">
        <f aca="false">Curves!B41</f>
        <v>3.682</v>
      </c>
      <c r="H57" s="73" t="e">
        <f aca="false">Spline('Financing Assumptions'!$G$20:$G$29,'Financing Assumptions'!$F$20:$F$29,B57,1)+Curves!C41</f>
        <v>#NAME?</v>
      </c>
      <c r="I57" s="74" t="e">
        <f aca="false">(1+H57/2)^(-2*E57/365.25)</f>
        <v>#NAME?</v>
      </c>
      <c r="K57" s="0" t="n">
        <f aca="false">Curves!D41+Curves!E41</f>
        <v>0.036</v>
      </c>
      <c r="L57" s="72" t="n">
        <f aca="false">'Enron Proposal'!S49</f>
        <v>3.79043629113092</v>
      </c>
      <c r="M57" s="59" t="n">
        <f aca="false">'Enron Proposal'!G49</f>
        <v>60900</v>
      </c>
      <c r="N57" s="59" t="e">
        <f aca="false">M57*C57*I57</f>
        <v>#NAME?</v>
      </c>
      <c r="O57" s="59" t="e">
        <f aca="false">(G57+K57)*N57</f>
        <v>#NAME?</v>
      </c>
      <c r="P57" s="59" t="e">
        <f aca="false">N57*L57</f>
        <v>#NAME?</v>
      </c>
      <c r="Q57" s="59" t="e">
        <f aca="false">O57-P57</f>
        <v>#NAME?</v>
      </c>
      <c r="S57" s="68" t="n">
        <f aca="false">Curves!F41+Curves!G41</f>
        <v>-0.0145</v>
      </c>
      <c r="T57" s="68" t="n">
        <f aca="false">'Enron Proposal'!T49</f>
        <v>0</v>
      </c>
      <c r="U57" s="59" t="n">
        <f aca="false">'Enron Proposal'!J49</f>
        <v>0</v>
      </c>
      <c r="V57" s="59" t="e">
        <f aca="false">U57*C57*I57</f>
        <v>#NAME?</v>
      </c>
      <c r="W57" s="59" t="e">
        <f aca="false">(G57+S57)*V57</f>
        <v>#NAME?</v>
      </c>
      <c r="X57" s="59" t="e">
        <f aca="false">V57*T57</f>
        <v>#NAME?</v>
      </c>
      <c r="Y57" s="59" t="e">
        <f aca="false">W57-X57</f>
        <v>#NAME?</v>
      </c>
      <c r="AA57" s="68" t="n">
        <f aca="false">Curves!H41+Curves!I41</f>
        <v>-0.0175</v>
      </c>
      <c r="AB57" s="68" t="n">
        <f aca="false">'Enron Proposal'!U49</f>
        <v>0</v>
      </c>
      <c r="AC57" s="59" t="n">
        <f aca="false">'Enron Proposal'!M49</f>
        <v>0</v>
      </c>
      <c r="AD57" s="59" t="e">
        <f aca="false">AC57*C57*I57</f>
        <v>#NAME?</v>
      </c>
      <c r="AE57" s="59" t="e">
        <f aca="false">(G57+AA57)*AD57</f>
        <v>#NAME?</v>
      </c>
      <c r="AF57" s="59" t="e">
        <f aca="false">AD57*AB57</f>
        <v>#NAME?</v>
      </c>
      <c r="AG57" s="59" t="e">
        <f aca="false">AE57-AF57</f>
        <v>#NAME?</v>
      </c>
      <c r="AI57" s="68" t="n">
        <f aca="false">Curves!J41+Curves!K41</f>
        <v>-0.0555</v>
      </c>
      <c r="AJ57" s="68" t="n">
        <f aca="false">'Enron Proposal'!V49</f>
        <v>0</v>
      </c>
      <c r="AK57" s="59" t="n">
        <f aca="false">'Enron Proposal'!P49</f>
        <v>0</v>
      </c>
      <c r="AL57" s="59" t="e">
        <f aca="false">AK57*C57*I57</f>
        <v>#NAME?</v>
      </c>
      <c r="AM57" s="59" t="e">
        <f aca="false">(G57+AI57)*AL57</f>
        <v>#NAME?</v>
      </c>
      <c r="AN57" s="59" t="e">
        <f aca="false">AL57*AJ57</f>
        <v>#NAME?</v>
      </c>
      <c r="AO57" s="59" t="e">
        <f aca="false">AM57-AN57</f>
        <v>#NAME?</v>
      </c>
      <c r="AQ57" s="59" t="e">
        <f aca="false">(P57+X57+AF57+AN57)/I57</f>
        <v>#NAME?</v>
      </c>
      <c r="AR57" s="11" t="n">
        <f aca="false">Curves!C41</f>
        <v>0.05844259999348</v>
      </c>
      <c r="AS57" s="0" t="n">
        <f aca="false">B57-$D$16</f>
        <v>1190</v>
      </c>
      <c r="AT57" s="0" t="n">
        <f aca="false">D57-$D$16</f>
        <v>1244</v>
      </c>
      <c r="AU57" s="74" t="n">
        <f aca="false">(1+AR57/2)^(-2*AS57/365.25)</f>
        <v>0.828880308933226</v>
      </c>
      <c r="AV57" s="74" t="n">
        <f aca="false">(1+AR58/2)^(-2*AT57/365.25)</f>
        <v>0.82179118412241</v>
      </c>
      <c r="AX57" s="59" t="e">
        <f aca="false">AQ57*AU57</f>
        <v>#NAME?</v>
      </c>
      <c r="AY57" s="59" t="e">
        <f aca="false">AQ57*AV57</f>
        <v>#NAME?</v>
      </c>
      <c r="BA57" s="72" t="n">
        <f aca="false">G57</f>
        <v>3.682</v>
      </c>
      <c r="BB57" s="75" t="n">
        <f aca="false">'Point 1 - Transco'!H55</f>
        <v>0.821771580772632</v>
      </c>
      <c r="BC57" s="59" t="n">
        <f aca="false">M57</f>
        <v>60900</v>
      </c>
      <c r="BD57" s="59" t="n">
        <f aca="false">BC57*BB57*C57</f>
        <v>1501376.6780716</v>
      </c>
      <c r="BE57" s="59" t="n">
        <f aca="false">BD57*(BA57+K57)</f>
        <v>5582118.4890702</v>
      </c>
      <c r="BF57" s="68" t="n">
        <f aca="false">ROUND(SUM(BE57:BE76)/SUM(BD57:BD76),4)</f>
        <v>3.789</v>
      </c>
    </row>
    <row r="58" customFormat="false" ht="12.75" hidden="false" customHeight="false" outlineLevel="0" collapsed="false">
      <c r="B58" s="69" t="n">
        <f aca="false">'Enron Proposal'!B50</f>
        <v>38108</v>
      </c>
      <c r="C58" s="41" t="n">
        <f aca="false">'Enron Proposal'!C50</f>
        <v>31</v>
      </c>
      <c r="D58" s="66" t="n">
        <f aca="false">'Enron Proposal'!D50</f>
        <v>38163</v>
      </c>
      <c r="E58" s="41" t="n">
        <f aca="false">D58-$D$16</f>
        <v>1275</v>
      </c>
      <c r="G58" s="72" t="n">
        <f aca="false">Curves!B42</f>
        <v>3.637</v>
      </c>
      <c r="H58" s="73" t="e">
        <f aca="false">Spline('Financing Assumptions'!$G$20:$G$29,'Financing Assumptions'!$F$20:$F$29,B58,1)+Curves!C42</f>
        <v>#NAME?</v>
      </c>
      <c r="I58" s="74" t="e">
        <f aca="false">(1+H58/2)^(-2*E58/365.25)</f>
        <v>#NAME?</v>
      </c>
      <c r="K58" s="0" t="n">
        <f aca="false">Curves!D42+Curves!E42</f>
        <v>0.036</v>
      </c>
      <c r="L58" s="72" t="n">
        <f aca="false">'Enron Proposal'!S50</f>
        <v>3.79043629113092</v>
      </c>
      <c r="M58" s="59" t="n">
        <f aca="false">'Enron Proposal'!G50</f>
        <v>60900</v>
      </c>
      <c r="N58" s="59" t="e">
        <f aca="false">M58*C58*I58</f>
        <v>#NAME?</v>
      </c>
      <c r="O58" s="59" t="e">
        <f aca="false">(G58+K58)*N58</f>
        <v>#NAME?</v>
      </c>
      <c r="P58" s="59" t="e">
        <f aca="false">N58*L58</f>
        <v>#NAME?</v>
      </c>
      <c r="Q58" s="59" t="e">
        <f aca="false">O58-P58</f>
        <v>#NAME?</v>
      </c>
      <c r="S58" s="68" t="n">
        <f aca="false">Curves!F42+Curves!G42</f>
        <v>-0.0145</v>
      </c>
      <c r="T58" s="68" t="n">
        <f aca="false">'Enron Proposal'!T50</f>
        <v>0</v>
      </c>
      <c r="U58" s="59" t="n">
        <f aca="false">'Enron Proposal'!J50</f>
        <v>0</v>
      </c>
      <c r="V58" s="59" t="e">
        <f aca="false">U58*C58*I58</f>
        <v>#NAME?</v>
      </c>
      <c r="W58" s="59" t="e">
        <f aca="false">(G58+S58)*V58</f>
        <v>#NAME?</v>
      </c>
      <c r="X58" s="59" t="e">
        <f aca="false">V58*T58</f>
        <v>#NAME?</v>
      </c>
      <c r="Y58" s="59" t="e">
        <f aca="false">W58-X58</f>
        <v>#NAME?</v>
      </c>
      <c r="AA58" s="68" t="n">
        <f aca="false">Curves!H42+Curves!I42</f>
        <v>-0.0175</v>
      </c>
      <c r="AB58" s="68" t="n">
        <f aca="false">'Enron Proposal'!U50</f>
        <v>0</v>
      </c>
      <c r="AC58" s="59" t="n">
        <f aca="false">'Enron Proposal'!M50</f>
        <v>0</v>
      </c>
      <c r="AD58" s="59" t="e">
        <f aca="false">AC58*C58*I58</f>
        <v>#NAME?</v>
      </c>
      <c r="AE58" s="59" t="e">
        <f aca="false">(G58+AA58)*AD58</f>
        <v>#NAME?</v>
      </c>
      <c r="AF58" s="59" t="e">
        <f aca="false">AD58*AB58</f>
        <v>#NAME?</v>
      </c>
      <c r="AG58" s="59" t="e">
        <f aca="false">AE58-AF58</f>
        <v>#NAME?</v>
      </c>
      <c r="AI58" s="68" t="n">
        <f aca="false">Curves!J42+Curves!K42</f>
        <v>-0.0555</v>
      </c>
      <c r="AJ58" s="68" t="n">
        <f aca="false">'Enron Proposal'!V50</f>
        <v>0</v>
      </c>
      <c r="AK58" s="59" t="n">
        <f aca="false">'Enron Proposal'!P50</f>
        <v>0</v>
      </c>
      <c r="AL58" s="59" t="e">
        <f aca="false">AK58*C58*I58</f>
        <v>#NAME?</v>
      </c>
      <c r="AM58" s="59" t="e">
        <f aca="false">(G58+AI58)*AL58</f>
        <v>#NAME?</v>
      </c>
      <c r="AN58" s="59" t="e">
        <f aca="false">AL58*AJ58</f>
        <v>#NAME?</v>
      </c>
      <c r="AO58" s="59" t="e">
        <f aca="false">AM58-AN58</f>
        <v>#NAME?</v>
      </c>
      <c r="AQ58" s="59" t="e">
        <f aca="false">(P58+X58+AF58+AN58)/I58</f>
        <v>#NAME?</v>
      </c>
      <c r="AR58" s="11" t="n">
        <f aca="false">Curves!C42</f>
        <v>0.058464625576222</v>
      </c>
      <c r="AS58" s="0" t="n">
        <f aca="false">B58-$D$16</f>
        <v>1220</v>
      </c>
      <c r="AT58" s="0" t="n">
        <f aca="false">D58-$D$16</f>
        <v>1275</v>
      </c>
      <c r="AU58" s="74" t="n">
        <f aca="false">(1+AR58/2)^(-2*AS58/365.25)</f>
        <v>0.824908827494775</v>
      </c>
      <c r="AV58" s="74" t="n">
        <f aca="false">(1+AR59/2)^(-2*AT58/365.25)</f>
        <v>0.817718536854636</v>
      </c>
      <c r="AX58" s="59" t="e">
        <f aca="false">AQ58*AU58</f>
        <v>#NAME?</v>
      </c>
      <c r="AY58" s="59" t="e">
        <f aca="false">AQ58*AV58</f>
        <v>#NAME?</v>
      </c>
      <c r="BA58" s="72" t="n">
        <f aca="false">G58</f>
        <v>3.637</v>
      </c>
      <c r="BB58" s="75" t="n">
        <f aca="false">'Point 1 - Transco'!H56</f>
        <v>0.817700561304303</v>
      </c>
      <c r="BC58" s="59" t="n">
        <f aca="false">M58</f>
        <v>60900</v>
      </c>
      <c r="BD58" s="59" t="n">
        <f aca="false">BC58*BB58*C58</f>
        <v>1543736.88968639</v>
      </c>
      <c r="BE58" s="59" t="n">
        <f aca="false">BD58*(BA58+K58)</f>
        <v>5670145.59581812</v>
      </c>
      <c r="BF58" s="68" t="n">
        <f aca="false">$BF$57</f>
        <v>3.789</v>
      </c>
    </row>
    <row r="59" customFormat="false" ht="12.75" hidden="false" customHeight="false" outlineLevel="0" collapsed="false">
      <c r="B59" s="69" t="n">
        <f aca="false">'Enron Proposal'!B51</f>
        <v>38139</v>
      </c>
      <c r="C59" s="41" t="n">
        <f aca="false">'Enron Proposal'!C51</f>
        <v>30</v>
      </c>
      <c r="D59" s="66" t="n">
        <f aca="false">'Enron Proposal'!D51</f>
        <v>38194</v>
      </c>
      <c r="E59" s="41" t="n">
        <f aca="false">D59-$D$16</f>
        <v>1306</v>
      </c>
      <c r="G59" s="72" t="n">
        <f aca="false">Curves!B43</f>
        <v>3.657</v>
      </c>
      <c r="H59" s="73" t="e">
        <f aca="false">Spline('Financing Assumptions'!$G$20:$G$29,'Financing Assumptions'!$F$20:$F$29,B59,1)+Curves!C43</f>
        <v>#NAME?</v>
      </c>
      <c r="I59" s="74" t="e">
        <f aca="false">(1+H59/2)^(-2*E59/365.25)</f>
        <v>#NAME?</v>
      </c>
      <c r="K59" s="0" t="n">
        <f aca="false">Curves!D43+Curves!E43</f>
        <v>0.036</v>
      </c>
      <c r="L59" s="72" t="n">
        <f aca="false">'Enron Proposal'!S51</f>
        <v>3.79043629113092</v>
      </c>
      <c r="M59" s="59" t="n">
        <f aca="false">'Enron Proposal'!G51</f>
        <v>60900</v>
      </c>
      <c r="N59" s="59" t="e">
        <f aca="false">M59*C59*I59</f>
        <v>#NAME?</v>
      </c>
      <c r="O59" s="59" t="e">
        <f aca="false">(G59+K59)*N59</f>
        <v>#NAME?</v>
      </c>
      <c r="P59" s="59" t="e">
        <f aca="false">N59*L59</f>
        <v>#NAME?</v>
      </c>
      <c r="Q59" s="59" t="e">
        <f aca="false">O59-P59</f>
        <v>#NAME?</v>
      </c>
      <c r="S59" s="68" t="n">
        <f aca="false">Curves!F43+Curves!G43</f>
        <v>-0.0145</v>
      </c>
      <c r="T59" s="68" t="n">
        <f aca="false">'Enron Proposal'!T51</f>
        <v>0</v>
      </c>
      <c r="U59" s="59" t="n">
        <f aca="false">'Enron Proposal'!J51</f>
        <v>0</v>
      </c>
      <c r="V59" s="59" t="e">
        <f aca="false">U59*C59*I59</f>
        <v>#NAME?</v>
      </c>
      <c r="W59" s="59" t="e">
        <f aca="false">(G59+S59)*V59</f>
        <v>#NAME?</v>
      </c>
      <c r="X59" s="59" t="e">
        <f aca="false">V59*T59</f>
        <v>#NAME?</v>
      </c>
      <c r="Y59" s="59" t="e">
        <f aca="false">W59-X59</f>
        <v>#NAME?</v>
      </c>
      <c r="AA59" s="68" t="n">
        <f aca="false">Curves!H43+Curves!I43</f>
        <v>-0.0175</v>
      </c>
      <c r="AB59" s="68" t="n">
        <f aca="false">'Enron Proposal'!U51</f>
        <v>0</v>
      </c>
      <c r="AC59" s="59" t="n">
        <f aca="false">'Enron Proposal'!M51</f>
        <v>0</v>
      </c>
      <c r="AD59" s="59" t="e">
        <f aca="false">AC59*C59*I59</f>
        <v>#NAME?</v>
      </c>
      <c r="AE59" s="59" t="e">
        <f aca="false">(G59+AA59)*AD59</f>
        <v>#NAME?</v>
      </c>
      <c r="AF59" s="59" t="e">
        <f aca="false">AD59*AB59</f>
        <v>#NAME?</v>
      </c>
      <c r="AG59" s="59" t="e">
        <f aca="false">AE59-AF59</f>
        <v>#NAME?</v>
      </c>
      <c r="AI59" s="68" t="n">
        <f aca="false">Curves!J43+Curves!K43</f>
        <v>-0.0555</v>
      </c>
      <c r="AJ59" s="68" t="n">
        <f aca="false">'Enron Proposal'!V51</f>
        <v>0</v>
      </c>
      <c r="AK59" s="59" t="n">
        <f aca="false">'Enron Proposal'!P51</f>
        <v>0</v>
      </c>
      <c r="AL59" s="59" t="e">
        <f aca="false">AK59*C59*I59</f>
        <v>#NAME?</v>
      </c>
      <c r="AM59" s="59" t="e">
        <f aca="false">(G59+AI59)*AL59</f>
        <v>#NAME?</v>
      </c>
      <c r="AN59" s="59" t="e">
        <f aca="false">AL59*AJ59</f>
        <v>#NAME?</v>
      </c>
      <c r="AO59" s="59" t="e">
        <f aca="false">AM59-AN59</f>
        <v>#NAME?</v>
      </c>
      <c r="AQ59" s="59" t="e">
        <f aca="false">(P59+X59+AF59+AN59)/I59</f>
        <v>#NAME?</v>
      </c>
      <c r="AR59" s="11" t="n">
        <f aca="false">Curves!C43</f>
        <v>0.058487385345225</v>
      </c>
      <c r="AS59" s="0" t="n">
        <f aca="false">B59-$D$16</f>
        <v>1251</v>
      </c>
      <c r="AT59" s="0" t="n">
        <f aca="false">D59-$D$16</f>
        <v>1306</v>
      </c>
      <c r="AU59" s="74" t="n">
        <f aca="false">(1+AR59/2)^(-2*AS59/365.25)</f>
        <v>0.820821922428718</v>
      </c>
      <c r="AV59" s="74" t="n">
        <f aca="false">(1+AR60/2)^(-2*AT59/365.25)</f>
        <v>0.81366009835323</v>
      </c>
      <c r="AX59" s="59" t="e">
        <f aca="false">AQ59*AU59</f>
        <v>#NAME?</v>
      </c>
      <c r="AY59" s="59" t="e">
        <f aca="false">AQ59*AV59</f>
        <v>#NAME?</v>
      </c>
      <c r="BA59" s="72" t="n">
        <f aca="false">G59</f>
        <v>3.657</v>
      </c>
      <c r="BB59" s="75" t="n">
        <f aca="false">'Point 1 - Transco'!H57</f>
        <v>0.813644677677439</v>
      </c>
      <c r="BC59" s="59" t="n">
        <f aca="false">M59</f>
        <v>60900</v>
      </c>
      <c r="BD59" s="59" t="n">
        <f aca="false">BC59*BB59*C59</f>
        <v>1486528.82611668</v>
      </c>
      <c r="BE59" s="59" t="n">
        <f aca="false">BD59*(BA59+K59)</f>
        <v>5489750.9548489</v>
      </c>
      <c r="BF59" s="68" t="n">
        <f aca="false">$BF$57</f>
        <v>3.789</v>
      </c>
    </row>
    <row r="60" customFormat="false" ht="12.75" hidden="false" customHeight="false" outlineLevel="0" collapsed="false">
      <c r="B60" s="69" t="n">
        <f aca="false">'Enron Proposal'!B52</f>
        <v>38169</v>
      </c>
      <c r="C60" s="41" t="n">
        <f aca="false">'Enron Proposal'!C52</f>
        <v>31</v>
      </c>
      <c r="D60" s="66" t="n">
        <f aca="false">'Enron Proposal'!D52</f>
        <v>38224</v>
      </c>
      <c r="E60" s="41" t="n">
        <f aca="false">D60-$D$16</f>
        <v>1336</v>
      </c>
      <c r="G60" s="72" t="n">
        <f aca="false">Curves!B44</f>
        <v>3.672</v>
      </c>
      <c r="H60" s="73" t="e">
        <f aca="false">Spline('Financing Assumptions'!$G$20:$G$29,'Financing Assumptions'!$F$20:$F$29,B60,1)+Curves!C44</f>
        <v>#NAME?</v>
      </c>
      <c r="I60" s="74" t="e">
        <f aca="false">(1+H60/2)^(-2*E60/365.25)</f>
        <v>#NAME?</v>
      </c>
      <c r="K60" s="0" t="n">
        <f aca="false">Curves!D44+Curves!E44</f>
        <v>0.036</v>
      </c>
      <c r="L60" s="72" t="n">
        <f aca="false">'Enron Proposal'!S52</f>
        <v>3.79043629113092</v>
      </c>
      <c r="M60" s="59" t="n">
        <f aca="false">'Enron Proposal'!G52</f>
        <v>60900</v>
      </c>
      <c r="N60" s="59" t="e">
        <f aca="false">M60*C60*I60</f>
        <v>#NAME?</v>
      </c>
      <c r="O60" s="59" t="e">
        <f aca="false">(G60+K60)*N60</f>
        <v>#NAME?</v>
      </c>
      <c r="P60" s="59" t="e">
        <f aca="false">N60*L60</f>
        <v>#NAME?</v>
      </c>
      <c r="Q60" s="59" t="e">
        <f aca="false">O60-P60</f>
        <v>#NAME?</v>
      </c>
      <c r="S60" s="68" t="n">
        <f aca="false">Curves!F44+Curves!G44</f>
        <v>-0.0145</v>
      </c>
      <c r="T60" s="68" t="n">
        <f aca="false">'Enron Proposal'!T52</f>
        <v>0</v>
      </c>
      <c r="U60" s="59" t="n">
        <f aca="false">'Enron Proposal'!J52</f>
        <v>0</v>
      </c>
      <c r="V60" s="59" t="e">
        <f aca="false">U60*C60*I60</f>
        <v>#NAME?</v>
      </c>
      <c r="W60" s="59" t="e">
        <f aca="false">(G60+S60)*V60</f>
        <v>#NAME?</v>
      </c>
      <c r="X60" s="59" t="e">
        <f aca="false">V60*T60</f>
        <v>#NAME?</v>
      </c>
      <c r="Y60" s="59" t="e">
        <f aca="false">W60-X60</f>
        <v>#NAME?</v>
      </c>
      <c r="AA60" s="68" t="n">
        <f aca="false">Curves!H44+Curves!I44</f>
        <v>-0.0175</v>
      </c>
      <c r="AB60" s="68" t="n">
        <f aca="false">'Enron Proposal'!U52</f>
        <v>0</v>
      </c>
      <c r="AC60" s="59" t="n">
        <f aca="false">'Enron Proposal'!M52</f>
        <v>0</v>
      </c>
      <c r="AD60" s="59" t="e">
        <f aca="false">AC60*C60*I60</f>
        <v>#NAME?</v>
      </c>
      <c r="AE60" s="59" t="e">
        <f aca="false">(G60+AA60)*AD60</f>
        <v>#NAME?</v>
      </c>
      <c r="AF60" s="59" t="e">
        <f aca="false">AD60*AB60</f>
        <v>#NAME?</v>
      </c>
      <c r="AG60" s="59" t="e">
        <f aca="false">AE60-AF60</f>
        <v>#NAME?</v>
      </c>
      <c r="AI60" s="68" t="n">
        <f aca="false">Curves!J44+Curves!K44</f>
        <v>-0.0555</v>
      </c>
      <c r="AJ60" s="68" t="n">
        <f aca="false">'Enron Proposal'!V52</f>
        <v>0</v>
      </c>
      <c r="AK60" s="59" t="n">
        <f aca="false">'Enron Proposal'!P52</f>
        <v>0</v>
      </c>
      <c r="AL60" s="59" t="e">
        <f aca="false">AK60*C60*I60</f>
        <v>#NAME?</v>
      </c>
      <c r="AM60" s="59" t="e">
        <f aca="false">(G60+AI60)*AL60</f>
        <v>#NAME?</v>
      </c>
      <c r="AN60" s="59" t="e">
        <f aca="false">AL60*AJ60</f>
        <v>#NAME?</v>
      </c>
      <c r="AO60" s="59" t="e">
        <f aca="false">AM60-AN60</f>
        <v>#NAME?</v>
      </c>
      <c r="AQ60" s="59" t="e">
        <f aca="false">(P60+X60+AF60+AN60)/I60</f>
        <v>#NAME?</v>
      </c>
      <c r="AR60" s="11" t="n">
        <f aca="false">Curves!C44</f>
        <v>0.058511178500586</v>
      </c>
      <c r="AS60" s="0" t="n">
        <f aca="false">B60-$D$16</f>
        <v>1281</v>
      </c>
      <c r="AT60" s="0" t="n">
        <f aca="false">D60-$D$16</f>
        <v>1336</v>
      </c>
      <c r="AU60" s="74" t="n">
        <f aca="false">(1+AR60/2)^(-2*AS60/365.25)</f>
        <v>0.816878293944642</v>
      </c>
      <c r="AV60" s="74" t="n">
        <f aca="false">(1+AR61/2)^(-2*AT60/365.25)</f>
        <v>0.809738650904168</v>
      </c>
      <c r="AX60" s="59" t="e">
        <f aca="false">AQ60*AU60</f>
        <v>#NAME?</v>
      </c>
      <c r="AY60" s="59" t="e">
        <f aca="false">AQ60*AV60</f>
        <v>#NAME?</v>
      </c>
      <c r="BA60" s="72" t="n">
        <f aca="false">G60</f>
        <v>3.672</v>
      </c>
      <c r="BB60" s="75" t="n">
        <f aca="false">'Point 1 - Transco'!H58</f>
        <v>0.809730802538379</v>
      </c>
      <c r="BC60" s="59" t="n">
        <f aca="false">M60</f>
        <v>60900</v>
      </c>
      <c r="BD60" s="59" t="n">
        <f aca="false">BC60*BB60*C60</f>
        <v>1528690.78211221</v>
      </c>
      <c r="BE60" s="59" t="n">
        <f aca="false">BD60*(BA60+K60)</f>
        <v>5668385.42007206</v>
      </c>
      <c r="BF60" s="68" t="n">
        <f aca="false">$BF$57</f>
        <v>3.789</v>
      </c>
    </row>
    <row r="61" customFormat="false" ht="12.75" hidden="false" customHeight="false" outlineLevel="0" collapsed="false">
      <c r="B61" s="69" t="n">
        <f aca="false">'Enron Proposal'!B53</f>
        <v>38200</v>
      </c>
      <c r="C61" s="41" t="n">
        <f aca="false">'Enron Proposal'!C53</f>
        <v>31</v>
      </c>
      <c r="D61" s="66" t="n">
        <f aca="false">'Enron Proposal'!D53</f>
        <v>38257</v>
      </c>
      <c r="E61" s="41" t="n">
        <f aca="false">D61-$D$16</f>
        <v>1369</v>
      </c>
      <c r="G61" s="72" t="n">
        <f aca="false">Curves!B45</f>
        <v>3.682</v>
      </c>
      <c r="H61" s="73" t="e">
        <f aca="false">Spline('Financing Assumptions'!$G$20:$G$29,'Financing Assumptions'!$F$20:$F$29,B61,1)+Curves!C45</f>
        <v>#NAME?</v>
      </c>
      <c r="I61" s="74" t="e">
        <f aca="false">(1+H61/2)^(-2*E61/365.25)</f>
        <v>#NAME?</v>
      </c>
      <c r="K61" s="0" t="n">
        <f aca="false">Curves!D45+Curves!E45</f>
        <v>0.036</v>
      </c>
      <c r="L61" s="72" t="n">
        <f aca="false">'Enron Proposal'!S53</f>
        <v>3.79043629113092</v>
      </c>
      <c r="M61" s="59" t="n">
        <f aca="false">'Enron Proposal'!G53</f>
        <v>60900</v>
      </c>
      <c r="N61" s="59" t="e">
        <f aca="false">M61*C61*I61</f>
        <v>#NAME?</v>
      </c>
      <c r="O61" s="59" t="e">
        <f aca="false">(G61+K61)*N61</f>
        <v>#NAME?</v>
      </c>
      <c r="P61" s="59" t="e">
        <f aca="false">N61*L61</f>
        <v>#NAME?</v>
      </c>
      <c r="Q61" s="59" t="e">
        <f aca="false">O61-P61</f>
        <v>#NAME?</v>
      </c>
      <c r="S61" s="68" t="n">
        <f aca="false">Curves!F45+Curves!G45</f>
        <v>-0.0145</v>
      </c>
      <c r="T61" s="68" t="n">
        <f aca="false">'Enron Proposal'!T53</f>
        <v>0</v>
      </c>
      <c r="U61" s="59" t="n">
        <f aca="false">'Enron Proposal'!J53</f>
        <v>0</v>
      </c>
      <c r="V61" s="59" t="e">
        <f aca="false">U61*C61*I61</f>
        <v>#NAME?</v>
      </c>
      <c r="W61" s="59" t="e">
        <f aca="false">(G61+S61)*V61</f>
        <v>#NAME?</v>
      </c>
      <c r="X61" s="59" t="e">
        <f aca="false">V61*T61</f>
        <v>#NAME?</v>
      </c>
      <c r="Y61" s="59" t="e">
        <f aca="false">W61-X61</f>
        <v>#NAME?</v>
      </c>
      <c r="AA61" s="68" t="n">
        <f aca="false">Curves!H45+Curves!I45</f>
        <v>-0.0175</v>
      </c>
      <c r="AB61" s="68" t="n">
        <f aca="false">'Enron Proposal'!U53</f>
        <v>0</v>
      </c>
      <c r="AC61" s="59" t="n">
        <f aca="false">'Enron Proposal'!M53</f>
        <v>0</v>
      </c>
      <c r="AD61" s="59" t="e">
        <f aca="false">AC61*C61*I61</f>
        <v>#NAME?</v>
      </c>
      <c r="AE61" s="59" t="e">
        <f aca="false">(G61+AA61)*AD61</f>
        <v>#NAME?</v>
      </c>
      <c r="AF61" s="59" t="e">
        <f aca="false">AD61*AB61</f>
        <v>#NAME?</v>
      </c>
      <c r="AG61" s="59" t="e">
        <f aca="false">AE61-AF61</f>
        <v>#NAME?</v>
      </c>
      <c r="AI61" s="68" t="n">
        <f aca="false">Curves!J45+Curves!K45</f>
        <v>-0.0555</v>
      </c>
      <c r="AJ61" s="68" t="n">
        <f aca="false">'Enron Proposal'!V53</f>
        <v>0</v>
      </c>
      <c r="AK61" s="59" t="n">
        <f aca="false">'Enron Proposal'!P53</f>
        <v>0</v>
      </c>
      <c r="AL61" s="59" t="e">
        <f aca="false">AK61*C61*I61</f>
        <v>#NAME?</v>
      </c>
      <c r="AM61" s="59" t="e">
        <f aca="false">(G61+AI61)*AL61</f>
        <v>#NAME?</v>
      </c>
      <c r="AN61" s="59" t="e">
        <f aca="false">AL61*AJ61</f>
        <v>#NAME?</v>
      </c>
      <c r="AO61" s="59" t="e">
        <f aca="false">AM61-AN61</f>
        <v>#NAME?</v>
      </c>
      <c r="AQ61" s="59" t="e">
        <f aca="false">(P61+X61+AF61+AN61)/I61</f>
        <v>#NAME?</v>
      </c>
      <c r="AR61" s="11" t="n">
        <f aca="false">Curves!C45</f>
        <v>0.058537707389653</v>
      </c>
      <c r="AS61" s="0" t="n">
        <f aca="false">B61-$D$16</f>
        <v>1312</v>
      </c>
      <c r="AT61" s="0" t="n">
        <f aca="false">D61-$D$16</f>
        <v>1369</v>
      </c>
      <c r="AU61" s="74" t="n">
        <f aca="false">(1+AR61/2)^(-2*AS61/365.25)</f>
        <v>0.812814362646392</v>
      </c>
      <c r="AV61" s="74" t="n">
        <f aca="false">(1+AR62/2)^(-2*AT61/365.25)</f>
        <v>0.805450727363422</v>
      </c>
      <c r="AX61" s="59" t="e">
        <f aca="false">AQ61*AU61</f>
        <v>#NAME?</v>
      </c>
      <c r="AY61" s="59" t="e">
        <f aca="false">AQ61*AV61</f>
        <v>#NAME?</v>
      </c>
      <c r="BA61" s="72" t="n">
        <f aca="false">G61</f>
        <v>3.682</v>
      </c>
      <c r="BB61" s="75" t="n">
        <f aca="false">'Point 1 - Transco'!H59</f>
        <v>0.805442702899947</v>
      </c>
      <c r="BC61" s="59" t="n">
        <f aca="false">M61</f>
        <v>60900</v>
      </c>
      <c r="BD61" s="59" t="n">
        <f aca="false">BC61*BB61*C61</f>
        <v>1520595.27880481</v>
      </c>
      <c r="BE61" s="59" t="n">
        <f aca="false">BD61*(BA61+K61)</f>
        <v>5653573.24659628</v>
      </c>
      <c r="BF61" s="68" t="n">
        <f aca="false">$BF$57</f>
        <v>3.789</v>
      </c>
    </row>
    <row r="62" customFormat="false" ht="12.75" hidden="false" customHeight="false" outlineLevel="0" collapsed="false">
      <c r="B62" s="69" t="n">
        <f aca="false">'Enron Proposal'!B54</f>
        <v>38231</v>
      </c>
      <c r="C62" s="41" t="n">
        <f aca="false">'Enron Proposal'!C54</f>
        <v>30</v>
      </c>
      <c r="D62" s="66" t="n">
        <f aca="false">'Enron Proposal'!D54</f>
        <v>38285</v>
      </c>
      <c r="E62" s="41" t="n">
        <f aca="false">D62-$D$16</f>
        <v>1397</v>
      </c>
      <c r="G62" s="72" t="n">
        <f aca="false">Curves!B46</f>
        <v>3.699</v>
      </c>
      <c r="H62" s="73" t="e">
        <f aca="false">Spline('Financing Assumptions'!$G$20:$G$29,'Financing Assumptions'!$F$20:$F$29,B62,1)+Curves!C46</f>
        <v>#NAME?</v>
      </c>
      <c r="I62" s="74" t="e">
        <f aca="false">(1+H62/2)^(-2*E62/365.25)</f>
        <v>#NAME?</v>
      </c>
      <c r="K62" s="0" t="n">
        <f aca="false">Curves!D46+Curves!E46</f>
        <v>0.036</v>
      </c>
      <c r="L62" s="72" t="n">
        <f aca="false">'Enron Proposal'!S54</f>
        <v>3.79043629113092</v>
      </c>
      <c r="M62" s="59" t="n">
        <f aca="false">'Enron Proposal'!G54</f>
        <v>60900</v>
      </c>
      <c r="N62" s="59" t="e">
        <f aca="false">M62*C62*I62</f>
        <v>#NAME?</v>
      </c>
      <c r="O62" s="59" t="e">
        <f aca="false">(G62+K62)*N62</f>
        <v>#NAME?</v>
      </c>
      <c r="P62" s="59" t="e">
        <f aca="false">N62*L62</f>
        <v>#NAME?</v>
      </c>
      <c r="Q62" s="59" t="e">
        <f aca="false">O62-P62</f>
        <v>#NAME?</v>
      </c>
      <c r="S62" s="68" t="n">
        <f aca="false">Curves!F46+Curves!G46</f>
        <v>-0.0145</v>
      </c>
      <c r="T62" s="68" t="n">
        <f aca="false">'Enron Proposal'!T54</f>
        <v>0</v>
      </c>
      <c r="U62" s="59" t="n">
        <f aca="false">'Enron Proposal'!J54</f>
        <v>0</v>
      </c>
      <c r="V62" s="59" t="e">
        <f aca="false">U62*C62*I62</f>
        <v>#NAME?</v>
      </c>
      <c r="W62" s="59" t="e">
        <f aca="false">(G62+S62)*V62</f>
        <v>#NAME?</v>
      </c>
      <c r="X62" s="59" t="e">
        <f aca="false">V62*T62</f>
        <v>#NAME?</v>
      </c>
      <c r="Y62" s="59" t="e">
        <f aca="false">W62-X62</f>
        <v>#NAME?</v>
      </c>
      <c r="AA62" s="68" t="n">
        <f aca="false">Curves!H46+Curves!I46</f>
        <v>-0.0175</v>
      </c>
      <c r="AB62" s="68" t="n">
        <f aca="false">'Enron Proposal'!U54</f>
        <v>0</v>
      </c>
      <c r="AC62" s="59" t="n">
        <f aca="false">'Enron Proposal'!M54</f>
        <v>0</v>
      </c>
      <c r="AD62" s="59" t="e">
        <f aca="false">AC62*C62*I62</f>
        <v>#NAME?</v>
      </c>
      <c r="AE62" s="59" t="e">
        <f aca="false">(G62+AA62)*AD62</f>
        <v>#NAME?</v>
      </c>
      <c r="AF62" s="59" t="e">
        <f aca="false">AD62*AB62</f>
        <v>#NAME?</v>
      </c>
      <c r="AG62" s="59" t="e">
        <f aca="false">AE62-AF62</f>
        <v>#NAME?</v>
      </c>
      <c r="AI62" s="68" t="n">
        <f aca="false">Curves!J46+Curves!K46</f>
        <v>-0.0555</v>
      </c>
      <c r="AJ62" s="68" t="n">
        <f aca="false">'Enron Proposal'!V54</f>
        <v>0</v>
      </c>
      <c r="AK62" s="59" t="n">
        <f aca="false">'Enron Proposal'!P54</f>
        <v>0</v>
      </c>
      <c r="AL62" s="59" t="e">
        <f aca="false">AK62*C62*I62</f>
        <v>#NAME?</v>
      </c>
      <c r="AM62" s="59" t="e">
        <f aca="false">(G62+AI62)*AL62</f>
        <v>#NAME?</v>
      </c>
      <c r="AN62" s="59" t="e">
        <f aca="false">AL62*AJ62</f>
        <v>#NAME?</v>
      </c>
      <c r="AO62" s="59" t="e">
        <f aca="false">AM62-AN62</f>
        <v>#NAME?</v>
      </c>
      <c r="AQ62" s="59" t="e">
        <f aca="false">(P62+X62+AF62+AN62)/I62</f>
        <v>#NAME?</v>
      </c>
      <c r="AR62" s="11" t="n">
        <f aca="false">Curves!C46</f>
        <v>0.058564236278954</v>
      </c>
      <c r="AS62" s="0" t="n">
        <f aca="false">B62-$D$16</f>
        <v>1343</v>
      </c>
      <c r="AT62" s="0" t="n">
        <f aca="false">D62-$D$16</f>
        <v>1397</v>
      </c>
      <c r="AU62" s="74" t="n">
        <f aca="false">(1+AR62/2)^(-2*AS62/365.25)</f>
        <v>0.808767111705554</v>
      </c>
      <c r="AV62" s="74" t="n">
        <f aca="false">(1+AR63/2)^(-2*AT62/365.25)</f>
        <v>0.801814522784125</v>
      </c>
      <c r="AX62" s="59" t="e">
        <f aca="false">AQ62*AU62</f>
        <v>#NAME?</v>
      </c>
      <c r="AY62" s="59" t="e">
        <f aca="false">AQ62*AV62</f>
        <v>#NAME?</v>
      </c>
      <c r="BA62" s="72" t="n">
        <f aca="false">G62</f>
        <v>3.699</v>
      </c>
      <c r="BB62" s="75" t="n">
        <f aca="false">'Point 1 - Transco'!H60</f>
        <v>0.801807219706937</v>
      </c>
      <c r="BC62" s="59" t="n">
        <f aca="false">M62</f>
        <v>60900</v>
      </c>
      <c r="BD62" s="59" t="n">
        <f aca="false">BC62*BB62*C62</f>
        <v>1464901.79040457</v>
      </c>
      <c r="BE62" s="59" t="n">
        <f aca="false">BD62*(BA62+K62)</f>
        <v>5471408.18716108</v>
      </c>
      <c r="BF62" s="68" t="n">
        <f aca="false">$BF$57</f>
        <v>3.789</v>
      </c>
    </row>
    <row r="63" customFormat="false" ht="12.75" hidden="false" customHeight="false" outlineLevel="0" collapsed="false">
      <c r="B63" s="69" t="n">
        <f aca="false">'Enron Proposal'!B55</f>
        <v>38261</v>
      </c>
      <c r="C63" s="41" t="n">
        <f aca="false">'Enron Proposal'!C55</f>
        <v>31</v>
      </c>
      <c r="D63" s="66" t="n">
        <f aca="false">'Enron Proposal'!D55</f>
        <v>38316</v>
      </c>
      <c r="E63" s="41" t="n">
        <f aca="false">D63-$D$16</f>
        <v>1428</v>
      </c>
      <c r="G63" s="72" t="n">
        <f aca="false">Curves!B47</f>
        <v>3.717</v>
      </c>
      <c r="H63" s="73" t="e">
        <f aca="false">Spline('Financing Assumptions'!$G$20:$G$29,'Financing Assumptions'!$F$20:$F$29,B63,1)+Curves!C47</f>
        <v>#NAME?</v>
      </c>
      <c r="I63" s="74" t="e">
        <f aca="false">(1+H63/2)^(-2*E63/365.25)</f>
        <v>#NAME?</v>
      </c>
      <c r="K63" s="0" t="n">
        <f aca="false">Curves!D47+Curves!E47</f>
        <v>0.036</v>
      </c>
      <c r="L63" s="72" t="n">
        <f aca="false">'Enron Proposal'!S55</f>
        <v>3.79043629113092</v>
      </c>
      <c r="M63" s="59" t="n">
        <f aca="false">'Enron Proposal'!G55</f>
        <v>60900</v>
      </c>
      <c r="N63" s="59" t="e">
        <f aca="false">M63*C63*I63</f>
        <v>#NAME?</v>
      </c>
      <c r="O63" s="59" t="e">
        <f aca="false">(G63+K63)*N63</f>
        <v>#NAME?</v>
      </c>
      <c r="P63" s="59" t="e">
        <f aca="false">N63*L63</f>
        <v>#NAME?</v>
      </c>
      <c r="Q63" s="59" t="e">
        <f aca="false">O63-P63</f>
        <v>#NAME?</v>
      </c>
      <c r="S63" s="68" t="n">
        <f aca="false">Curves!F47+Curves!G47</f>
        <v>-0.0145</v>
      </c>
      <c r="T63" s="68" t="n">
        <f aca="false">'Enron Proposal'!T55</f>
        <v>0</v>
      </c>
      <c r="U63" s="59" t="n">
        <f aca="false">'Enron Proposal'!J55</f>
        <v>0</v>
      </c>
      <c r="V63" s="59" t="e">
        <f aca="false">U63*C63*I63</f>
        <v>#NAME?</v>
      </c>
      <c r="W63" s="59" t="e">
        <f aca="false">(G63+S63)*V63</f>
        <v>#NAME?</v>
      </c>
      <c r="X63" s="59" t="e">
        <f aca="false">V63*T63</f>
        <v>#NAME?</v>
      </c>
      <c r="Y63" s="59" t="e">
        <f aca="false">W63-X63</f>
        <v>#NAME?</v>
      </c>
      <c r="AA63" s="68" t="n">
        <f aca="false">Curves!H47+Curves!I47</f>
        <v>-0.0175</v>
      </c>
      <c r="AB63" s="68" t="n">
        <f aca="false">'Enron Proposal'!U55</f>
        <v>0</v>
      </c>
      <c r="AC63" s="59" t="n">
        <f aca="false">'Enron Proposal'!M55</f>
        <v>0</v>
      </c>
      <c r="AD63" s="59" t="e">
        <f aca="false">AC63*C63*I63</f>
        <v>#NAME?</v>
      </c>
      <c r="AE63" s="59" t="e">
        <f aca="false">(G63+AA63)*AD63</f>
        <v>#NAME?</v>
      </c>
      <c r="AF63" s="59" t="e">
        <f aca="false">AD63*AB63</f>
        <v>#NAME?</v>
      </c>
      <c r="AG63" s="59" t="e">
        <f aca="false">AE63-AF63</f>
        <v>#NAME?</v>
      </c>
      <c r="AI63" s="68" t="n">
        <f aca="false">Curves!J47+Curves!K47</f>
        <v>-0.0555</v>
      </c>
      <c r="AJ63" s="68" t="n">
        <f aca="false">'Enron Proposal'!V55</f>
        <v>0</v>
      </c>
      <c r="AK63" s="59" t="n">
        <f aca="false">'Enron Proposal'!P55</f>
        <v>0</v>
      </c>
      <c r="AL63" s="59" t="e">
        <f aca="false">AK63*C63*I63</f>
        <v>#NAME?</v>
      </c>
      <c r="AM63" s="59" t="e">
        <f aca="false">(G63+AI63)*AL63</f>
        <v>#NAME?</v>
      </c>
      <c r="AN63" s="59" t="e">
        <f aca="false">AL63*AJ63</f>
        <v>#NAME?</v>
      </c>
      <c r="AO63" s="59" t="e">
        <f aca="false">AM63-AN63</f>
        <v>#NAME?</v>
      </c>
      <c r="AQ63" s="59" t="e">
        <f aca="false">(P63+X63+AF63+AN63)/I63</f>
        <v>#NAME?</v>
      </c>
      <c r="AR63" s="11" t="n">
        <f aca="false">Curves!C47</f>
        <v>0.058591058426884</v>
      </c>
      <c r="AS63" s="0" t="n">
        <f aca="false">B63-$D$16</f>
        <v>1373</v>
      </c>
      <c r="AT63" s="0" t="n">
        <f aca="false">D63-$D$16</f>
        <v>1428</v>
      </c>
      <c r="AU63" s="74" t="n">
        <f aca="false">(1+AR63/2)^(-2*AS63/365.25)</f>
        <v>0.804862876775921</v>
      </c>
      <c r="AV63" s="74" t="n">
        <f aca="false">(1+AR64/2)^(-2*AT63/365.25)</f>
        <v>0.797806801207727</v>
      </c>
      <c r="AX63" s="59" t="e">
        <f aca="false">AQ63*AU63</f>
        <v>#NAME?</v>
      </c>
      <c r="AY63" s="59" t="e">
        <f aca="false">AQ63*AV63</f>
        <v>#NAME?</v>
      </c>
      <c r="BA63" s="72" t="n">
        <f aca="false">G63</f>
        <v>3.717</v>
      </c>
      <c r="BB63" s="75" t="n">
        <f aca="false">'Point 1 - Transco'!H61</f>
        <v>0.797805407784611</v>
      </c>
      <c r="BC63" s="59" t="n">
        <f aca="false">M63</f>
        <v>60900</v>
      </c>
      <c r="BD63" s="59" t="n">
        <f aca="false">BC63*BB63*C63</f>
        <v>1506176.82935657</v>
      </c>
      <c r="BE63" s="59" t="n">
        <f aca="false">BD63*(BA63+K63)</f>
        <v>5652681.6405752</v>
      </c>
      <c r="BF63" s="68" t="n">
        <f aca="false">$BF$57</f>
        <v>3.789</v>
      </c>
    </row>
    <row r="64" customFormat="false" ht="12.75" hidden="false" customHeight="false" outlineLevel="0" collapsed="false">
      <c r="B64" s="69" t="n">
        <f aca="false">'Enron Proposal'!B56</f>
        <v>38292</v>
      </c>
      <c r="C64" s="41" t="n">
        <f aca="false">'Enron Proposal'!C56</f>
        <v>30</v>
      </c>
      <c r="D64" s="66" t="n">
        <f aca="false">'Enron Proposal'!D56</f>
        <v>38348</v>
      </c>
      <c r="E64" s="41" t="n">
        <f aca="false">D64-$D$16</f>
        <v>1460</v>
      </c>
      <c r="G64" s="72" t="n">
        <f aca="false">Curves!B48</f>
        <v>3.862</v>
      </c>
      <c r="H64" s="73" t="e">
        <f aca="false">Spline('Financing Assumptions'!$G$20:$G$29,'Financing Assumptions'!$F$20:$F$29,B64,1)+Curves!C48</f>
        <v>#NAME?</v>
      </c>
      <c r="I64" s="74" t="e">
        <f aca="false">(1+H64/2)^(-2*E64/365.25)</f>
        <v>#NAME?</v>
      </c>
      <c r="K64" s="0" t="n">
        <f aca="false">Curves!D48+Curves!E48</f>
        <v>0.025</v>
      </c>
      <c r="L64" s="72" t="n">
        <f aca="false">'Enron Proposal'!S56</f>
        <v>3.79043629113092</v>
      </c>
      <c r="M64" s="59" t="n">
        <f aca="false">'Enron Proposal'!G56</f>
        <v>60900</v>
      </c>
      <c r="N64" s="59" t="e">
        <f aca="false">M64*C64*I64</f>
        <v>#NAME?</v>
      </c>
      <c r="O64" s="59" t="e">
        <f aca="false">(G64+K64)*N64</f>
        <v>#NAME?</v>
      </c>
      <c r="P64" s="59" t="e">
        <f aca="false">N64*L64</f>
        <v>#NAME?</v>
      </c>
      <c r="Q64" s="59" t="e">
        <f aca="false">O64-P64</f>
        <v>#NAME?</v>
      </c>
      <c r="S64" s="68" t="n">
        <f aca="false">Curves!F48+Curves!G48</f>
        <v>-0.017</v>
      </c>
      <c r="T64" s="68" t="n">
        <f aca="false">'Enron Proposal'!T56</f>
        <v>0</v>
      </c>
      <c r="U64" s="59" t="n">
        <f aca="false">'Enron Proposal'!J56</f>
        <v>0</v>
      </c>
      <c r="V64" s="59" t="e">
        <f aca="false">U64*C64*I64</f>
        <v>#NAME?</v>
      </c>
      <c r="W64" s="59" t="e">
        <f aca="false">(G64+S64)*V64</f>
        <v>#NAME?</v>
      </c>
      <c r="X64" s="59" t="e">
        <f aca="false">V64*T64</f>
        <v>#NAME?</v>
      </c>
      <c r="Y64" s="59" t="e">
        <f aca="false">W64-X64</f>
        <v>#NAME?</v>
      </c>
      <c r="AA64" s="68" t="n">
        <f aca="false">Curves!H48+Curves!I48</f>
        <v>-0.0218</v>
      </c>
      <c r="AB64" s="68" t="n">
        <f aca="false">'Enron Proposal'!U56</f>
        <v>0</v>
      </c>
      <c r="AC64" s="59" t="n">
        <f aca="false">'Enron Proposal'!M56</f>
        <v>0</v>
      </c>
      <c r="AD64" s="59" t="e">
        <f aca="false">AC64*C64*I64</f>
        <v>#NAME?</v>
      </c>
      <c r="AE64" s="59" t="e">
        <f aca="false">(G64+AA64)*AD64</f>
        <v>#NAME?</v>
      </c>
      <c r="AF64" s="59" t="e">
        <f aca="false">AD64*AB64</f>
        <v>#NAME?</v>
      </c>
      <c r="AG64" s="59" t="e">
        <f aca="false">AE64-AF64</f>
        <v>#NAME?</v>
      </c>
      <c r="AI64" s="68" t="n">
        <f aca="false">Curves!J48+Curves!K48</f>
        <v>-0.058</v>
      </c>
      <c r="AJ64" s="68" t="n">
        <f aca="false">'Enron Proposal'!V56</f>
        <v>0</v>
      </c>
      <c r="AK64" s="59" t="n">
        <f aca="false">'Enron Proposal'!P56</f>
        <v>0</v>
      </c>
      <c r="AL64" s="59" t="e">
        <f aca="false">AK64*C64*I64</f>
        <v>#NAME?</v>
      </c>
      <c r="AM64" s="59" t="e">
        <f aca="false">(G64+AI64)*AL64</f>
        <v>#NAME?</v>
      </c>
      <c r="AN64" s="59" t="e">
        <f aca="false">AL64*AJ64</f>
        <v>#NAME?</v>
      </c>
      <c r="AO64" s="59" t="e">
        <f aca="false">AM64-AN64</f>
        <v>#NAME?</v>
      </c>
      <c r="AQ64" s="59" t="e">
        <f aca="false">(P64+X64+AF64+AN64)/I64</f>
        <v>#NAME?</v>
      </c>
      <c r="AR64" s="11" t="n">
        <f aca="false">Curves!C48</f>
        <v>0.058619880473754</v>
      </c>
      <c r="AS64" s="0" t="n">
        <f aca="false">B64-$D$16</f>
        <v>1404</v>
      </c>
      <c r="AT64" s="0" t="n">
        <f aca="false">D64-$D$16</f>
        <v>1460</v>
      </c>
      <c r="AU64" s="74" t="n">
        <f aca="false">(1+AR64/2)^(-2*AS64/365.25)</f>
        <v>0.800841392061495</v>
      </c>
      <c r="AV64" s="74" t="n">
        <f aca="false">(1+AR65/2)^(-2*AT64/365.25)</f>
        <v>0.793692584297545</v>
      </c>
      <c r="AX64" s="59" t="e">
        <f aca="false">AQ64*AU64</f>
        <v>#NAME?</v>
      </c>
      <c r="AY64" s="59" t="e">
        <f aca="false">AQ64*AV64</f>
        <v>#NAME?</v>
      </c>
      <c r="BA64" s="72" t="n">
        <f aca="false">G64</f>
        <v>3.862</v>
      </c>
      <c r="BB64" s="75" t="n">
        <f aca="false">'Point 1 - Transco'!H62</f>
        <v>0.793688272938632</v>
      </c>
      <c r="BC64" s="59" t="n">
        <f aca="false">M64</f>
        <v>60900</v>
      </c>
      <c r="BD64" s="59" t="n">
        <f aca="false">BC64*BB64*C64</f>
        <v>1450068.47465888</v>
      </c>
      <c r="BE64" s="59" t="n">
        <f aca="false">BD64*(BA64+K64)</f>
        <v>5636416.16099907</v>
      </c>
      <c r="BF64" s="68" t="n">
        <f aca="false">$BF$57</f>
        <v>3.789</v>
      </c>
    </row>
    <row r="65" customFormat="false" ht="12.75" hidden="false" customHeight="false" outlineLevel="0" collapsed="false">
      <c r="B65" s="69" t="n">
        <f aca="false">'Enron Proposal'!B57</f>
        <v>38322</v>
      </c>
      <c r="C65" s="41" t="n">
        <f aca="false">'Enron Proposal'!C57</f>
        <v>31</v>
      </c>
      <c r="D65" s="66" t="n">
        <f aca="false">'Enron Proposal'!D57</f>
        <v>38377</v>
      </c>
      <c r="E65" s="41" t="n">
        <f aca="false">D65-$D$16</f>
        <v>1489</v>
      </c>
      <c r="G65" s="72" t="n">
        <f aca="false">Curves!B49</f>
        <v>3.997</v>
      </c>
      <c r="H65" s="73" t="e">
        <f aca="false">Spline('Financing Assumptions'!$G$20:$G$29,'Financing Assumptions'!$F$20:$F$29,B65,1)+Curves!C49</f>
        <v>#NAME?</v>
      </c>
      <c r="I65" s="74" t="e">
        <f aca="false">(1+H65/2)^(-2*E65/365.25)</f>
        <v>#NAME?</v>
      </c>
      <c r="K65" s="0" t="n">
        <f aca="false">Curves!D49+Curves!E49</f>
        <v>0.025</v>
      </c>
      <c r="L65" s="72" t="n">
        <f aca="false">'Enron Proposal'!S57</f>
        <v>3.79043629113092</v>
      </c>
      <c r="M65" s="59" t="n">
        <f aca="false">'Enron Proposal'!G57</f>
        <v>60900</v>
      </c>
      <c r="N65" s="59" t="e">
        <f aca="false">M65*C65*I65</f>
        <v>#NAME?</v>
      </c>
      <c r="O65" s="59" t="e">
        <f aca="false">(G65+K65)*N65</f>
        <v>#NAME?</v>
      </c>
      <c r="P65" s="59" t="e">
        <f aca="false">N65*L65</f>
        <v>#NAME?</v>
      </c>
      <c r="Q65" s="59" t="e">
        <f aca="false">O65-P65</f>
        <v>#NAME?</v>
      </c>
      <c r="S65" s="68" t="n">
        <f aca="false">Curves!F49+Curves!G49</f>
        <v>-0.017</v>
      </c>
      <c r="T65" s="68" t="n">
        <f aca="false">'Enron Proposal'!T57</f>
        <v>0</v>
      </c>
      <c r="U65" s="59" t="n">
        <f aca="false">'Enron Proposal'!J57</f>
        <v>0</v>
      </c>
      <c r="V65" s="59" t="e">
        <f aca="false">U65*C65*I65</f>
        <v>#NAME?</v>
      </c>
      <c r="W65" s="59" t="e">
        <f aca="false">(G65+S65)*V65</f>
        <v>#NAME?</v>
      </c>
      <c r="X65" s="59" t="e">
        <f aca="false">V65*T65</f>
        <v>#NAME?</v>
      </c>
      <c r="Y65" s="59" t="e">
        <f aca="false">W65-X65</f>
        <v>#NAME?</v>
      </c>
      <c r="AA65" s="68" t="n">
        <f aca="false">Curves!H49+Curves!I49</f>
        <v>-0.0218</v>
      </c>
      <c r="AB65" s="68" t="n">
        <f aca="false">'Enron Proposal'!U57</f>
        <v>0</v>
      </c>
      <c r="AC65" s="59" t="n">
        <f aca="false">'Enron Proposal'!M57</f>
        <v>0</v>
      </c>
      <c r="AD65" s="59" t="e">
        <f aca="false">AC65*C65*I65</f>
        <v>#NAME?</v>
      </c>
      <c r="AE65" s="59" t="e">
        <f aca="false">(G65+AA65)*AD65</f>
        <v>#NAME?</v>
      </c>
      <c r="AF65" s="59" t="e">
        <f aca="false">AD65*AB65</f>
        <v>#NAME?</v>
      </c>
      <c r="AG65" s="59" t="e">
        <f aca="false">AE65-AF65</f>
        <v>#NAME?</v>
      </c>
      <c r="AI65" s="68" t="n">
        <f aca="false">Curves!J49+Curves!K49</f>
        <v>-0.058</v>
      </c>
      <c r="AJ65" s="68" t="n">
        <f aca="false">'Enron Proposal'!V57</f>
        <v>0</v>
      </c>
      <c r="AK65" s="59" t="n">
        <f aca="false">'Enron Proposal'!P57</f>
        <v>0</v>
      </c>
      <c r="AL65" s="59" t="e">
        <f aca="false">AK65*C65*I65</f>
        <v>#NAME?</v>
      </c>
      <c r="AM65" s="59" t="e">
        <f aca="false">(G65+AI65)*AL65</f>
        <v>#NAME?</v>
      </c>
      <c r="AN65" s="59" t="e">
        <f aca="false">AL65*AJ65</f>
        <v>#NAME?</v>
      </c>
      <c r="AO65" s="59" t="e">
        <f aca="false">AM65-AN65</f>
        <v>#NAME?</v>
      </c>
      <c r="AQ65" s="59" t="e">
        <f aca="false">(P65+X65+AF65+AN65)/I65</f>
        <v>#NAME?</v>
      </c>
      <c r="AR65" s="11" t="n">
        <f aca="false">Curves!C49</f>
        <v>0.05864777277744</v>
      </c>
      <c r="AS65" s="0" t="n">
        <f aca="false">B65-$D$16</f>
        <v>1434</v>
      </c>
      <c r="AT65" s="0" t="n">
        <f aca="false">D65-$D$16</f>
        <v>1489</v>
      </c>
      <c r="AU65" s="74" t="n">
        <f aca="false">(1+AR65/2)^(-2*AS65/365.25)</f>
        <v>0.796965159547859</v>
      </c>
      <c r="AV65" s="74" t="n">
        <f aca="false">(1+AR66/2)^(-2*AT65/365.25)</f>
        <v>0.789942538412671</v>
      </c>
      <c r="AX65" s="59" t="e">
        <f aca="false">AQ65*AU65</f>
        <v>#NAME?</v>
      </c>
      <c r="AY65" s="59" t="e">
        <f aca="false">AQ65*AV65</f>
        <v>#NAME?</v>
      </c>
      <c r="BA65" s="72" t="n">
        <f aca="false">G65</f>
        <v>3.997</v>
      </c>
      <c r="BB65" s="75" t="n">
        <f aca="false">'Point 1 - Transco'!H63</f>
        <v>0.789966580131595</v>
      </c>
      <c r="BC65" s="59" t="n">
        <f aca="false">M65</f>
        <v>60900</v>
      </c>
      <c r="BD65" s="59" t="n">
        <f aca="false">BC65*BB65*C65</f>
        <v>1491377.90663044</v>
      </c>
      <c r="BE65" s="59" t="n">
        <f aca="false">BD65*(BA65+K65)</f>
        <v>5998321.94046762</v>
      </c>
      <c r="BF65" s="68" t="n">
        <f aca="false">$BF$57</f>
        <v>3.789</v>
      </c>
    </row>
    <row r="66" customFormat="false" ht="12.75" hidden="false" customHeight="false" outlineLevel="0" collapsed="false">
      <c r="B66" s="69" t="n">
        <f aca="false">'Enron Proposal'!B58</f>
        <v>38353</v>
      </c>
      <c r="C66" s="41" t="n">
        <f aca="false">'Enron Proposal'!C58</f>
        <v>31</v>
      </c>
      <c r="D66" s="66" t="n">
        <f aca="false">'Enron Proposal'!D58</f>
        <v>38408</v>
      </c>
      <c r="E66" s="41" t="n">
        <f aca="false">D66-$D$16</f>
        <v>1520</v>
      </c>
      <c r="G66" s="72" t="n">
        <f aca="false">Curves!B50</f>
        <v>4.122</v>
      </c>
      <c r="H66" s="73" t="e">
        <f aca="false">Spline('Financing Assumptions'!$G$20:$G$29,'Financing Assumptions'!$F$20:$F$29,B66,1)+Curves!C50</f>
        <v>#NAME?</v>
      </c>
      <c r="I66" s="74" t="e">
        <f aca="false">(1+H66/2)^(-2*E66/365.25)</f>
        <v>#NAME?</v>
      </c>
      <c r="K66" s="0" t="n">
        <f aca="false">Curves!D50+Curves!E50</f>
        <v>0.03</v>
      </c>
      <c r="L66" s="72" t="n">
        <f aca="false">'Enron Proposal'!S58</f>
        <v>3.79043629113092</v>
      </c>
      <c r="M66" s="59" t="n">
        <f aca="false">'Enron Proposal'!G58</f>
        <v>60900</v>
      </c>
      <c r="N66" s="59" t="e">
        <f aca="false">M66*C66*I66</f>
        <v>#NAME?</v>
      </c>
      <c r="O66" s="59" t="e">
        <f aca="false">(G66+K66)*N66</f>
        <v>#NAME?</v>
      </c>
      <c r="P66" s="59" t="e">
        <f aca="false">N66*L66</f>
        <v>#NAME?</v>
      </c>
      <c r="Q66" s="59" t="e">
        <f aca="false">O66-P66</f>
        <v>#NAME?</v>
      </c>
      <c r="S66" s="68" t="n">
        <f aca="false">Curves!F50+Curves!G50</f>
        <v>0.014</v>
      </c>
      <c r="T66" s="68" t="n">
        <f aca="false">'Enron Proposal'!T58</f>
        <v>0</v>
      </c>
      <c r="U66" s="59" t="n">
        <f aca="false">'Enron Proposal'!J58</f>
        <v>0</v>
      </c>
      <c r="V66" s="59" t="e">
        <f aca="false">U66*C66*I66</f>
        <v>#NAME?</v>
      </c>
      <c r="W66" s="59" t="e">
        <f aca="false">(G66+S66)*V66</f>
        <v>#NAME?</v>
      </c>
      <c r="X66" s="59" t="e">
        <f aca="false">V66*T66</f>
        <v>#NAME?</v>
      </c>
      <c r="Y66" s="59" t="e">
        <f aca="false">W66-X66</f>
        <v>#NAME?</v>
      </c>
      <c r="AA66" s="68" t="n">
        <f aca="false">Curves!H50+Curves!I50</f>
        <v>-0.0163</v>
      </c>
      <c r="AB66" s="68" t="n">
        <f aca="false">'Enron Proposal'!U58</f>
        <v>0</v>
      </c>
      <c r="AC66" s="59" t="n">
        <f aca="false">'Enron Proposal'!M58</f>
        <v>0</v>
      </c>
      <c r="AD66" s="59" t="e">
        <f aca="false">AC66*C66*I66</f>
        <v>#NAME?</v>
      </c>
      <c r="AE66" s="59" t="e">
        <f aca="false">(G66+AA66)*AD66</f>
        <v>#NAME?</v>
      </c>
      <c r="AF66" s="59" t="e">
        <f aca="false">AD66*AB66</f>
        <v>#NAME?</v>
      </c>
      <c r="AG66" s="59" t="e">
        <f aca="false">AE66-AF66</f>
        <v>#NAME?</v>
      </c>
      <c r="AI66" s="68" t="n">
        <f aca="false">Curves!J50+Curves!K50</f>
        <v>-0.051</v>
      </c>
      <c r="AJ66" s="68" t="n">
        <f aca="false">'Enron Proposal'!V58</f>
        <v>0</v>
      </c>
      <c r="AK66" s="59" t="n">
        <f aca="false">'Enron Proposal'!P58</f>
        <v>0</v>
      </c>
      <c r="AL66" s="59" t="e">
        <f aca="false">AK66*C66*I66</f>
        <v>#NAME?</v>
      </c>
      <c r="AM66" s="59" t="e">
        <f aca="false">(G66+AI66)*AL66</f>
        <v>#NAME?</v>
      </c>
      <c r="AN66" s="59" t="e">
        <f aca="false">AL66*AJ66</f>
        <v>#NAME?</v>
      </c>
      <c r="AO66" s="59" t="e">
        <f aca="false">AM66-AN66</f>
        <v>#NAME?</v>
      </c>
      <c r="AQ66" s="59" t="e">
        <f aca="false">(P66+X66+AF66+AN66)/I66</f>
        <v>#NAME?</v>
      </c>
      <c r="AR66" s="11" t="n">
        <f aca="false">Curves!C50</f>
        <v>0.058684757331705</v>
      </c>
      <c r="AS66" s="0" t="n">
        <f aca="false">B66-$D$16</f>
        <v>1465</v>
      </c>
      <c r="AT66" s="0" t="n">
        <f aca="false">D66-$D$16</f>
        <v>1520</v>
      </c>
      <c r="AU66" s="74" t="n">
        <f aca="false">(1+AR66/2)^(-2*AS66/365.25)</f>
        <v>0.792950500233801</v>
      </c>
      <c r="AV66" s="74" t="n">
        <f aca="false">(1+AR67/2)^(-2*AT66/365.25)</f>
        <v>0.785935248969975</v>
      </c>
      <c r="AX66" s="59" t="e">
        <f aca="false">AQ66*AU66</f>
        <v>#NAME?</v>
      </c>
      <c r="AY66" s="59" t="e">
        <f aca="false">AQ66*AV66</f>
        <v>#NAME?</v>
      </c>
      <c r="BA66" s="72" t="n">
        <f aca="false">G66</f>
        <v>4.122</v>
      </c>
      <c r="BB66" s="75" t="n">
        <f aca="false">'Point 1 - Transco'!H64</f>
        <v>0.785980988372765</v>
      </c>
      <c r="BC66" s="59" t="n">
        <f aca="false">M66</f>
        <v>60900</v>
      </c>
      <c r="BD66" s="59" t="n">
        <f aca="false">BC66*BB66*C66</f>
        <v>1483853.50794894</v>
      </c>
      <c r="BE66" s="59" t="n">
        <f aca="false">BD66*(BA66+K66)</f>
        <v>6160959.76500401</v>
      </c>
      <c r="BF66" s="68" t="n">
        <f aca="false">$BF$57</f>
        <v>3.789</v>
      </c>
    </row>
    <row r="67" customFormat="false" ht="12.75" hidden="false" customHeight="false" outlineLevel="0" collapsed="false">
      <c r="B67" s="69" t="n">
        <f aca="false">'Enron Proposal'!B59</f>
        <v>38384</v>
      </c>
      <c r="C67" s="41" t="n">
        <f aca="false">'Enron Proposal'!C59</f>
        <v>28</v>
      </c>
      <c r="D67" s="66" t="n">
        <f aca="false">'Enron Proposal'!D59</f>
        <v>38436</v>
      </c>
      <c r="E67" s="41" t="n">
        <f aca="false">D67-$D$16</f>
        <v>1548</v>
      </c>
      <c r="G67" s="72" t="n">
        <f aca="false">Curves!B51</f>
        <v>4.007</v>
      </c>
      <c r="H67" s="73" t="e">
        <f aca="false">Spline('Financing Assumptions'!$G$20:$G$29,'Financing Assumptions'!$F$20:$F$29,B67,1)+Curves!C51</f>
        <v>#NAME?</v>
      </c>
      <c r="I67" s="74" t="e">
        <f aca="false">(1+H67/2)^(-2*E67/365.25)</f>
        <v>#NAME?</v>
      </c>
      <c r="K67" s="0" t="n">
        <f aca="false">Curves!D51+Curves!E51</f>
        <v>0.03</v>
      </c>
      <c r="L67" s="72" t="n">
        <f aca="false">'Enron Proposal'!S59</f>
        <v>3.79043629113092</v>
      </c>
      <c r="M67" s="59" t="n">
        <f aca="false">'Enron Proposal'!G59</f>
        <v>60900</v>
      </c>
      <c r="N67" s="59" t="e">
        <f aca="false">M67*C67*I67</f>
        <v>#NAME?</v>
      </c>
      <c r="O67" s="59" t="e">
        <f aca="false">(G67+K67)*N67</f>
        <v>#NAME?</v>
      </c>
      <c r="P67" s="59" t="e">
        <f aca="false">N67*L67</f>
        <v>#NAME?</v>
      </c>
      <c r="Q67" s="59" t="e">
        <f aca="false">O67-P67</f>
        <v>#NAME?</v>
      </c>
      <c r="S67" s="68" t="n">
        <f aca="false">Curves!F51+Curves!G51</f>
        <v>0.004</v>
      </c>
      <c r="T67" s="68" t="n">
        <f aca="false">'Enron Proposal'!T59</f>
        <v>0</v>
      </c>
      <c r="U67" s="59" t="n">
        <f aca="false">'Enron Proposal'!J59</f>
        <v>0</v>
      </c>
      <c r="V67" s="59" t="e">
        <f aca="false">U67*C67*I67</f>
        <v>#NAME?</v>
      </c>
      <c r="W67" s="59" t="e">
        <f aca="false">(G67+S67)*V67</f>
        <v>#NAME?</v>
      </c>
      <c r="X67" s="59" t="e">
        <f aca="false">V67*T67</f>
        <v>#NAME?</v>
      </c>
      <c r="Y67" s="59" t="e">
        <f aca="false">W67-X67</f>
        <v>#NAME?</v>
      </c>
      <c r="AA67" s="68" t="n">
        <f aca="false">Curves!H51+Curves!I51</f>
        <v>-0.0163</v>
      </c>
      <c r="AB67" s="68" t="n">
        <f aca="false">'Enron Proposal'!U59</f>
        <v>0</v>
      </c>
      <c r="AC67" s="59" t="n">
        <f aca="false">'Enron Proposal'!M59</f>
        <v>0</v>
      </c>
      <c r="AD67" s="59" t="e">
        <f aca="false">AC67*C67*I67</f>
        <v>#NAME?</v>
      </c>
      <c r="AE67" s="59" t="e">
        <f aca="false">(G67+AA67)*AD67</f>
        <v>#NAME?</v>
      </c>
      <c r="AF67" s="59" t="e">
        <f aca="false">AD67*AB67</f>
        <v>#NAME?</v>
      </c>
      <c r="AG67" s="59" t="e">
        <f aca="false">AE67-AF67</f>
        <v>#NAME?</v>
      </c>
      <c r="AI67" s="68" t="n">
        <f aca="false">Curves!J51+Curves!K51</f>
        <v>-0.051</v>
      </c>
      <c r="AJ67" s="68" t="n">
        <f aca="false">'Enron Proposal'!V59</f>
        <v>0</v>
      </c>
      <c r="AK67" s="59" t="n">
        <f aca="false">'Enron Proposal'!P59</f>
        <v>0</v>
      </c>
      <c r="AL67" s="59" t="e">
        <f aca="false">AK67*C67*I67</f>
        <v>#NAME?</v>
      </c>
      <c r="AM67" s="59" t="e">
        <f aca="false">(G67+AI67)*AL67</f>
        <v>#NAME?</v>
      </c>
      <c r="AN67" s="59" t="e">
        <f aca="false">AL67*AJ67</f>
        <v>#NAME?</v>
      </c>
      <c r="AO67" s="59" t="e">
        <f aca="false">AM67-AN67</f>
        <v>#NAME?</v>
      </c>
      <c r="AQ67" s="59" t="e">
        <f aca="false">(P67+X67+AF67+AN67)/I67</f>
        <v>#NAME?</v>
      </c>
      <c r="AR67" s="11" t="n">
        <f aca="false">Curves!C51</f>
        <v>0.058728463950989</v>
      </c>
      <c r="AS67" s="0" t="n">
        <f aca="false">B67-$D$16</f>
        <v>1496</v>
      </c>
      <c r="AT67" s="0" t="n">
        <f aca="false">D67-$D$16</f>
        <v>1548</v>
      </c>
      <c r="AU67" s="74" t="n">
        <f aca="false">(1+AR67/2)^(-2*AS67/365.25)</f>
        <v>0.788930152849744</v>
      </c>
      <c r="AV67" s="74" t="n">
        <f aca="false">(1+AR68/2)^(-2*AT67/365.25)</f>
        <v>0.782328393430408</v>
      </c>
      <c r="AX67" s="59" t="e">
        <f aca="false">AQ67*AU67</f>
        <v>#NAME?</v>
      </c>
      <c r="AY67" s="59" t="e">
        <f aca="false">AQ67*AV67</f>
        <v>#NAME?</v>
      </c>
      <c r="BA67" s="72" t="n">
        <f aca="false">G67</f>
        <v>4.007</v>
      </c>
      <c r="BB67" s="75" t="n">
        <f aca="false">'Point 1 - Transco'!H65</f>
        <v>0.782361091207357</v>
      </c>
      <c r="BC67" s="59" t="n">
        <f aca="false">M67</f>
        <v>60900</v>
      </c>
      <c r="BD67" s="59" t="n">
        <f aca="false">BC67*BB67*C67</f>
        <v>1334082.13272679</v>
      </c>
      <c r="BE67" s="59" t="n">
        <f aca="false">BD67*(BA67+K67)</f>
        <v>5385689.56981803</v>
      </c>
      <c r="BF67" s="68" t="n">
        <f aca="false">$BF$57</f>
        <v>3.789</v>
      </c>
    </row>
    <row r="68" customFormat="false" ht="12.75" hidden="false" customHeight="false" outlineLevel="0" collapsed="false">
      <c r="B68" s="69" t="n">
        <f aca="false">'Enron Proposal'!B60</f>
        <v>38412</v>
      </c>
      <c r="C68" s="41" t="n">
        <f aca="false">'Enron Proposal'!C60</f>
        <v>31</v>
      </c>
      <c r="D68" s="66" t="n">
        <f aca="false">'Enron Proposal'!D60</f>
        <v>38467</v>
      </c>
      <c r="E68" s="41" t="n">
        <f aca="false">D68-$D$16</f>
        <v>1579</v>
      </c>
      <c r="G68" s="72" t="n">
        <f aca="false">Curves!B52</f>
        <v>3.867</v>
      </c>
      <c r="H68" s="73" t="e">
        <f aca="false">Spline('Financing Assumptions'!$G$20:$G$29,'Financing Assumptions'!$F$20:$F$29,B68,1)+Curves!C52</f>
        <v>#NAME?</v>
      </c>
      <c r="I68" s="74" t="e">
        <f aca="false">(1+H68/2)^(-2*E68/365.25)</f>
        <v>#NAME?</v>
      </c>
      <c r="K68" s="0" t="n">
        <f aca="false">Curves!D52+Curves!E52</f>
        <v>0.03</v>
      </c>
      <c r="L68" s="72" t="n">
        <f aca="false">'Enron Proposal'!S60</f>
        <v>3.79043629113092</v>
      </c>
      <c r="M68" s="59" t="n">
        <f aca="false">'Enron Proposal'!G60</f>
        <v>60900</v>
      </c>
      <c r="N68" s="59" t="e">
        <f aca="false">M68*C68*I68</f>
        <v>#NAME?</v>
      </c>
      <c r="O68" s="59" t="e">
        <f aca="false">(G68+K68)*N68</f>
        <v>#NAME?</v>
      </c>
      <c r="P68" s="59" t="e">
        <f aca="false">N68*L68</f>
        <v>#NAME?</v>
      </c>
      <c r="Q68" s="59" t="e">
        <f aca="false">O68-P68</f>
        <v>#NAME?</v>
      </c>
      <c r="S68" s="68" t="n">
        <f aca="false">Curves!F52+Curves!G52</f>
        <v>0.004</v>
      </c>
      <c r="T68" s="68" t="n">
        <f aca="false">'Enron Proposal'!T60</f>
        <v>0</v>
      </c>
      <c r="U68" s="59" t="n">
        <f aca="false">'Enron Proposal'!J60</f>
        <v>0</v>
      </c>
      <c r="V68" s="59" t="e">
        <f aca="false">U68*C68*I68</f>
        <v>#NAME?</v>
      </c>
      <c r="W68" s="59" t="e">
        <f aca="false">(G68+S68)*V68</f>
        <v>#NAME?</v>
      </c>
      <c r="X68" s="59" t="e">
        <f aca="false">V68*T68</f>
        <v>#NAME?</v>
      </c>
      <c r="Y68" s="59" t="e">
        <f aca="false">W68-X68</f>
        <v>#NAME?</v>
      </c>
      <c r="AA68" s="68" t="n">
        <f aca="false">Curves!H52+Curves!I52</f>
        <v>-0.0163</v>
      </c>
      <c r="AB68" s="68" t="n">
        <f aca="false">'Enron Proposal'!U60</f>
        <v>0</v>
      </c>
      <c r="AC68" s="59" t="n">
        <f aca="false">'Enron Proposal'!M60</f>
        <v>0</v>
      </c>
      <c r="AD68" s="59" t="e">
        <f aca="false">AC68*C68*I68</f>
        <v>#NAME?</v>
      </c>
      <c r="AE68" s="59" t="e">
        <f aca="false">(G68+AA68)*AD68</f>
        <v>#NAME?</v>
      </c>
      <c r="AF68" s="59" t="e">
        <f aca="false">AD68*AB68</f>
        <v>#NAME?</v>
      </c>
      <c r="AG68" s="59" t="e">
        <f aca="false">AE68-AF68</f>
        <v>#NAME?</v>
      </c>
      <c r="AI68" s="68" t="n">
        <f aca="false">Curves!J52+Curves!K52</f>
        <v>-0.051</v>
      </c>
      <c r="AJ68" s="68" t="n">
        <f aca="false">'Enron Proposal'!V60</f>
        <v>0</v>
      </c>
      <c r="AK68" s="59" t="n">
        <f aca="false">'Enron Proposal'!P60</f>
        <v>0</v>
      </c>
      <c r="AL68" s="59" t="e">
        <f aca="false">AK68*C68*I68</f>
        <v>#NAME?</v>
      </c>
      <c r="AM68" s="59" t="e">
        <f aca="false">(G68+AI68)*AL68</f>
        <v>#NAME?</v>
      </c>
      <c r="AN68" s="59" t="e">
        <f aca="false">AL68*AJ68</f>
        <v>#NAME?</v>
      </c>
      <c r="AO68" s="59" t="e">
        <f aca="false">AM68-AN68</f>
        <v>#NAME?</v>
      </c>
      <c r="AQ68" s="59" t="e">
        <f aca="false">(P68+X68+AF68+AN68)/I68</f>
        <v>#NAME?</v>
      </c>
      <c r="AR68" s="11" t="n">
        <f aca="false">Curves!C52</f>
        <v>0.058767940897985</v>
      </c>
      <c r="AS68" s="0" t="n">
        <f aca="false">B68-$D$16</f>
        <v>1524</v>
      </c>
      <c r="AT68" s="0" t="n">
        <f aca="false">D68-$D$16</f>
        <v>1579</v>
      </c>
      <c r="AU68" s="74" t="n">
        <f aca="false">(1+AR68/2)^(-2*AS68/365.25)</f>
        <v>0.785311531879804</v>
      </c>
      <c r="AV68" s="74" t="n">
        <f aca="false">(1+AR69/2)^(-2*AT68/365.25)</f>
        <v>0.778389256178404</v>
      </c>
      <c r="AX68" s="59" t="e">
        <f aca="false">AQ68*AU68</f>
        <v>#NAME?</v>
      </c>
      <c r="AY68" s="59" t="e">
        <f aca="false">AQ68*AV68</f>
        <v>#NAME?</v>
      </c>
      <c r="BA68" s="72" t="n">
        <f aca="false">G68</f>
        <v>3.867</v>
      </c>
      <c r="BB68" s="75" t="n">
        <f aca="false">'Point 1 - Transco'!H66</f>
        <v>0.778396025979389</v>
      </c>
      <c r="BC68" s="59" t="n">
        <f aca="false">M68</f>
        <v>60900</v>
      </c>
      <c r="BD68" s="59" t="n">
        <f aca="false">BC68*BB68*C68</f>
        <v>1469533.85744649</v>
      </c>
      <c r="BE68" s="59" t="n">
        <f aca="false">BD68*(BA68+K68)</f>
        <v>5726773.44246896</v>
      </c>
      <c r="BF68" s="68" t="n">
        <f aca="false">$BF$57</f>
        <v>3.789</v>
      </c>
    </row>
    <row r="69" customFormat="false" ht="12.75" hidden="false" customHeight="false" outlineLevel="0" collapsed="false">
      <c r="B69" s="69" t="n">
        <f aca="false">'Enron Proposal'!B61</f>
        <v>38443</v>
      </c>
      <c r="C69" s="41" t="n">
        <f aca="false">'Enron Proposal'!C61</f>
        <v>30</v>
      </c>
      <c r="D69" s="66" t="n">
        <f aca="false">'Enron Proposal'!D61</f>
        <v>38497</v>
      </c>
      <c r="E69" s="41" t="n">
        <f aca="false">D69-$D$16</f>
        <v>1609</v>
      </c>
      <c r="G69" s="72" t="n">
        <f aca="false">Curves!B53</f>
        <v>3.672</v>
      </c>
      <c r="H69" s="73" t="e">
        <f aca="false">Spline('Financing Assumptions'!$G$20:$G$29,'Financing Assumptions'!$F$20:$F$29,B69,1)+Curves!C53</f>
        <v>#NAME?</v>
      </c>
      <c r="I69" s="74" t="e">
        <f aca="false">(1+H69/2)^(-2*E69/365.25)</f>
        <v>#NAME?</v>
      </c>
      <c r="K69" s="0" t="n">
        <f aca="false">Curves!D53+Curves!E53</f>
        <v>0.036</v>
      </c>
      <c r="L69" s="72" t="n">
        <f aca="false">'Enron Proposal'!S61</f>
        <v>3.79043629113092</v>
      </c>
      <c r="M69" s="59" t="n">
        <f aca="false">'Enron Proposal'!G61</f>
        <v>60900</v>
      </c>
      <c r="N69" s="59" t="e">
        <f aca="false">M69*C69*I69</f>
        <v>#NAME?</v>
      </c>
      <c r="O69" s="59" t="e">
        <f aca="false">(G69+K69)*N69</f>
        <v>#NAME?</v>
      </c>
      <c r="P69" s="59" t="e">
        <f aca="false">N69*L69</f>
        <v>#NAME?</v>
      </c>
      <c r="Q69" s="59" t="e">
        <f aca="false">O69-P69</f>
        <v>#NAME?</v>
      </c>
      <c r="S69" s="68" t="n">
        <f aca="false">Curves!F53+Curves!G53</f>
        <v>-0.0135</v>
      </c>
      <c r="T69" s="68" t="n">
        <f aca="false">'Enron Proposal'!T61</f>
        <v>0</v>
      </c>
      <c r="U69" s="59" t="n">
        <f aca="false">'Enron Proposal'!J61</f>
        <v>0</v>
      </c>
      <c r="V69" s="59" t="e">
        <f aca="false">U69*C69*I69</f>
        <v>#NAME?</v>
      </c>
      <c r="W69" s="59" t="e">
        <f aca="false">(G69+S69)*V69</f>
        <v>#NAME?</v>
      </c>
      <c r="X69" s="59" t="e">
        <f aca="false">V69*T69</f>
        <v>#NAME?</v>
      </c>
      <c r="Y69" s="59" t="e">
        <f aca="false">W69-X69</f>
        <v>#NAME?</v>
      </c>
      <c r="AA69" s="68" t="n">
        <f aca="false">Curves!H53+Curves!I53</f>
        <v>-0.0165</v>
      </c>
      <c r="AB69" s="68" t="n">
        <f aca="false">'Enron Proposal'!U61</f>
        <v>0</v>
      </c>
      <c r="AC69" s="59" t="n">
        <f aca="false">'Enron Proposal'!M61</f>
        <v>0</v>
      </c>
      <c r="AD69" s="59" t="e">
        <f aca="false">AC69*C69*I69</f>
        <v>#NAME?</v>
      </c>
      <c r="AE69" s="59" t="e">
        <f aca="false">(G69+AA69)*AD69</f>
        <v>#NAME?</v>
      </c>
      <c r="AF69" s="59" t="e">
        <f aca="false">AD69*AB69</f>
        <v>#NAME?</v>
      </c>
      <c r="AG69" s="59" t="e">
        <f aca="false">AE69-AF69</f>
        <v>#NAME?</v>
      </c>
      <c r="AI69" s="68" t="n">
        <f aca="false">Curves!J53+Curves!K53</f>
        <v>-0.0535</v>
      </c>
      <c r="AJ69" s="68" t="n">
        <f aca="false">'Enron Proposal'!V61</f>
        <v>0</v>
      </c>
      <c r="AK69" s="59" t="n">
        <f aca="false">'Enron Proposal'!P61</f>
        <v>0</v>
      </c>
      <c r="AL69" s="59" t="e">
        <f aca="false">AK69*C69*I69</f>
        <v>#NAME?</v>
      </c>
      <c r="AM69" s="59" t="e">
        <f aca="false">(G69+AI69)*AL69</f>
        <v>#NAME?</v>
      </c>
      <c r="AN69" s="59" t="e">
        <f aca="false">AL69*AJ69</f>
        <v>#NAME?</v>
      </c>
      <c r="AO69" s="59" t="e">
        <f aca="false">AM69-AN69</f>
        <v>#NAME?</v>
      </c>
      <c r="AQ69" s="59" t="e">
        <f aca="false">(P69+X69+AF69+AN69)/I69</f>
        <v>#NAME?</v>
      </c>
      <c r="AR69" s="11" t="n">
        <f aca="false">Curves!C53</f>
        <v>0.058799350228651</v>
      </c>
      <c r="AS69" s="0" t="n">
        <f aca="false">B69-$D$16</f>
        <v>1555</v>
      </c>
      <c r="AT69" s="0" t="n">
        <f aca="false">D69-$D$16</f>
        <v>1609</v>
      </c>
      <c r="AU69" s="74" t="n">
        <f aca="false">(1+AR69/2)^(-2*AS69/365.25)</f>
        <v>0.781358940659387</v>
      </c>
      <c r="AV69" s="74" t="n">
        <f aca="false">(1+AR70/2)^(-2*AT69/365.25)</f>
        <v>0.774624742030143</v>
      </c>
      <c r="AX69" s="59" t="e">
        <f aca="false">AQ69*AU69</f>
        <v>#NAME?</v>
      </c>
      <c r="AY69" s="59" t="e">
        <f aca="false">AQ69*AV69</f>
        <v>#NAME?</v>
      </c>
      <c r="BA69" s="72" t="n">
        <f aca="false">G69</f>
        <v>3.672</v>
      </c>
      <c r="BB69" s="75" t="n">
        <f aca="false">'Point 1 - Transco'!H67</f>
        <v>0.774595728192005</v>
      </c>
      <c r="BC69" s="59" t="n">
        <f aca="false">M69</f>
        <v>60900</v>
      </c>
      <c r="BD69" s="59" t="n">
        <f aca="false">BC69*BB69*C69</f>
        <v>1415186.39540679</v>
      </c>
      <c r="BE69" s="59" t="n">
        <f aca="false">BD69*(BA69+K69)</f>
        <v>5247511.15416839</v>
      </c>
      <c r="BF69" s="68" t="n">
        <f aca="false">$BF$57</f>
        <v>3.789</v>
      </c>
    </row>
    <row r="70" customFormat="false" ht="12.75" hidden="false" customHeight="false" outlineLevel="0" collapsed="false">
      <c r="B70" s="69" t="n">
        <f aca="false">'Enron Proposal'!B62</f>
        <v>38473</v>
      </c>
      <c r="C70" s="41" t="n">
        <f aca="false">'Enron Proposal'!C62</f>
        <v>31</v>
      </c>
      <c r="D70" s="66" t="n">
        <f aca="false">'Enron Proposal'!D62</f>
        <v>38530</v>
      </c>
      <c r="E70" s="41" t="n">
        <f aca="false">D70-$D$16</f>
        <v>1642</v>
      </c>
      <c r="G70" s="72" t="n">
        <f aca="false">Curves!B54</f>
        <v>3.627</v>
      </c>
      <c r="H70" s="73" t="e">
        <f aca="false">Spline('Financing Assumptions'!$G$20:$G$29,'Financing Assumptions'!$F$20:$F$29,B70,1)+Curves!C54</f>
        <v>#NAME?</v>
      </c>
      <c r="I70" s="74" t="e">
        <f aca="false">(1+H70/2)^(-2*E70/365.25)</f>
        <v>#NAME?</v>
      </c>
      <c r="K70" s="0" t="n">
        <f aca="false">Curves!D54+Curves!E54</f>
        <v>0.036</v>
      </c>
      <c r="L70" s="72" t="n">
        <f aca="false">'Enron Proposal'!S62</f>
        <v>3.79043629113092</v>
      </c>
      <c r="M70" s="59" t="n">
        <f aca="false">'Enron Proposal'!G62</f>
        <v>60900</v>
      </c>
      <c r="N70" s="59" t="e">
        <f aca="false">M70*C70*I70</f>
        <v>#NAME?</v>
      </c>
      <c r="O70" s="59" t="e">
        <f aca="false">(G70+K70)*N70</f>
        <v>#NAME?</v>
      </c>
      <c r="P70" s="59" t="e">
        <f aca="false">N70*L70</f>
        <v>#NAME?</v>
      </c>
      <c r="Q70" s="59" t="e">
        <f aca="false">O70-P70</f>
        <v>#NAME?</v>
      </c>
      <c r="S70" s="68" t="n">
        <f aca="false">Curves!F54+Curves!G54</f>
        <v>-0.0135</v>
      </c>
      <c r="T70" s="68" t="n">
        <f aca="false">'Enron Proposal'!T62</f>
        <v>0</v>
      </c>
      <c r="U70" s="59" t="n">
        <f aca="false">'Enron Proposal'!J62</f>
        <v>0</v>
      </c>
      <c r="V70" s="59" t="e">
        <f aca="false">U70*C70*I70</f>
        <v>#NAME?</v>
      </c>
      <c r="W70" s="59" t="e">
        <f aca="false">(G70+S70)*V70</f>
        <v>#NAME?</v>
      </c>
      <c r="X70" s="59" t="e">
        <f aca="false">V70*T70</f>
        <v>#NAME?</v>
      </c>
      <c r="Y70" s="59" t="e">
        <f aca="false">W70-X70</f>
        <v>#NAME?</v>
      </c>
      <c r="AA70" s="68" t="n">
        <f aca="false">Curves!H54+Curves!I54</f>
        <v>-0.0165</v>
      </c>
      <c r="AB70" s="68" t="n">
        <f aca="false">'Enron Proposal'!U62</f>
        <v>0</v>
      </c>
      <c r="AC70" s="59" t="n">
        <f aca="false">'Enron Proposal'!M62</f>
        <v>0</v>
      </c>
      <c r="AD70" s="59" t="e">
        <f aca="false">AC70*C70*I70</f>
        <v>#NAME?</v>
      </c>
      <c r="AE70" s="59" t="e">
        <f aca="false">(G70+AA70)*AD70</f>
        <v>#NAME?</v>
      </c>
      <c r="AF70" s="59" t="e">
        <f aca="false">AD70*AB70</f>
        <v>#NAME?</v>
      </c>
      <c r="AG70" s="59" t="e">
        <f aca="false">AE70-AF70</f>
        <v>#NAME?</v>
      </c>
      <c r="AI70" s="68" t="n">
        <f aca="false">Curves!J54+Curves!K54</f>
        <v>-0.0535</v>
      </c>
      <c r="AJ70" s="68" t="n">
        <f aca="false">'Enron Proposal'!V62</f>
        <v>0</v>
      </c>
      <c r="AK70" s="59" t="n">
        <f aca="false">'Enron Proposal'!P62</f>
        <v>0</v>
      </c>
      <c r="AL70" s="59" t="e">
        <f aca="false">AK70*C70*I70</f>
        <v>#NAME?</v>
      </c>
      <c r="AM70" s="59" t="e">
        <f aca="false">(G70+AI70)*AL70</f>
        <v>#NAME?</v>
      </c>
      <c r="AN70" s="59" t="e">
        <f aca="false">AL70*AJ70</f>
        <v>#NAME?</v>
      </c>
      <c r="AO70" s="59" t="e">
        <f aca="false">AM70-AN70</f>
        <v>#NAME?</v>
      </c>
      <c r="AQ70" s="59" t="e">
        <f aca="false">(P70+X70+AF70+AN70)/I70</f>
        <v>#NAME?</v>
      </c>
      <c r="AR70" s="11" t="n">
        <f aca="false">Curves!C54</f>
        <v>0.058819945858717</v>
      </c>
      <c r="AS70" s="0" t="n">
        <f aca="false">B70-$D$16</f>
        <v>1585</v>
      </c>
      <c r="AT70" s="0" t="n">
        <f aca="false">D70-$D$16</f>
        <v>1642</v>
      </c>
      <c r="AU70" s="74" t="n">
        <f aca="false">(1+AR70/2)^(-2*AS70/365.25)</f>
        <v>0.777581086509229</v>
      </c>
      <c r="AV70" s="74" t="n">
        <f aca="false">(1+AR71/2)^(-2*AT70/365.25)</f>
        <v>0.770506497321235</v>
      </c>
      <c r="AX70" s="59" t="e">
        <f aca="false">AQ70*AU70</f>
        <v>#NAME?</v>
      </c>
      <c r="AY70" s="59" t="e">
        <f aca="false">AQ70*AV70</f>
        <v>#NAME?</v>
      </c>
      <c r="BA70" s="72" t="n">
        <f aca="false">G70</f>
        <v>3.627</v>
      </c>
      <c r="BB70" s="75" t="n">
        <f aca="false">'Point 1 - Transco'!H68</f>
        <v>0.770479334013903</v>
      </c>
      <c r="BC70" s="59" t="n">
        <f aca="false">M70</f>
        <v>60900</v>
      </c>
      <c r="BD70" s="59" t="n">
        <f aca="false">BC70*BB70*C70</f>
        <v>1454587.93468485</v>
      </c>
      <c r="BE70" s="59" t="n">
        <f aca="false">BD70*(BA70+K70)</f>
        <v>5328155.6047506</v>
      </c>
      <c r="BF70" s="68" t="n">
        <f aca="false">$BF$57</f>
        <v>3.789</v>
      </c>
    </row>
    <row r="71" customFormat="false" ht="12.75" hidden="false" customHeight="false" outlineLevel="0" collapsed="false">
      <c r="B71" s="69" t="n">
        <f aca="false">'Enron Proposal'!B63</f>
        <v>38504</v>
      </c>
      <c r="C71" s="41" t="n">
        <f aca="false">'Enron Proposal'!C63</f>
        <v>30</v>
      </c>
      <c r="D71" s="66" t="n">
        <f aca="false">'Enron Proposal'!D63</f>
        <v>38558</v>
      </c>
      <c r="E71" s="41" t="n">
        <f aca="false">D71-$D$16</f>
        <v>1670</v>
      </c>
      <c r="G71" s="72" t="n">
        <f aca="false">Curves!B55</f>
        <v>3.647</v>
      </c>
      <c r="H71" s="73" t="e">
        <f aca="false">Spline('Financing Assumptions'!$G$20:$G$29,'Financing Assumptions'!$F$20:$F$29,B71,1)+Curves!C55</f>
        <v>#NAME?</v>
      </c>
      <c r="I71" s="74" t="e">
        <f aca="false">(1+H71/2)^(-2*E71/365.25)</f>
        <v>#NAME?</v>
      </c>
      <c r="K71" s="0" t="n">
        <f aca="false">Curves!D55+Curves!E55</f>
        <v>0.036</v>
      </c>
      <c r="L71" s="72" t="n">
        <f aca="false">'Enron Proposal'!S63</f>
        <v>3.79043629113092</v>
      </c>
      <c r="M71" s="59" t="n">
        <f aca="false">'Enron Proposal'!G63</f>
        <v>60900</v>
      </c>
      <c r="N71" s="59" t="e">
        <f aca="false">M71*C71*I71</f>
        <v>#NAME?</v>
      </c>
      <c r="O71" s="59" t="e">
        <f aca="false">(G71+K71)*N71</f>
        <v>#NAME?</v>
      </c>
      <c r="P71" s="59" t="e">
        <f aca="false">N71*L71</f>
        <v>#NAME?</v>
      </c>
      <c r="Q71" s="59" t="e">
        <f aca="false">O71-P71</f>
        <v>#NAME?</v>
      </c>
      <c r="S71" s="68" t="n">
        <f aca="false">Curves!F55+Curves!G55</f>
        <v>-0.0135</v>
      </c>
      <c r="T71" s="68" t="n">
        <f aca="false">'Enron Proposal'!T63</f>
        <v>0</v>
      </c>
      <c r="U71" s="59" t="n">
        <f aca="false">'Enron Proposal'!J63</f>
        <v>0</v>
      </c>
      <c r="V71" s="59" t="e">
        <f aca="false">U71*C71*I71</f>
        <v>#NAME?</v>
      </c>
      <c r="W71" s="59" t="e">
        <f aca="false">(G71+S71)*V71</f>
        <v>#NAME?</v>
      </c>
      <c r="X71" s="59" t="e">
        <f aca="false">V71*T71</f>
        <v>#NAME?</v>
      </c>
      <c r="Y71" s="59" t="e">
        <f aca="false">W71-X71</f>
        <v>#NAME?</v>
      </c>
      <c r="AA71" s="68" t="n">
        <f aca="false">Curves!H55+Curves!I55</f>
        <v>-0.0165</v>
      </c>
      <c r="AB71" s="68" t="n">
        <f aca="false">'Enron Proposal'!U63</f>
        <v>0</v>
      </c>
      <c r="AC71" s="59" t="n">
        <f aca="false">'Enron Proposal'!M63</f>
        <v>0</v>
      </c>
      <c r="AD71" s="59" t="e">
        <f aca="false">AC71*C71*I71</f>
        <v>#NAME?</v>
      </c>
      <c r="AE71" s="59" t="e">
        <f aca="false">(G71+AA71)*AD71</f>
        <v>#NAME?</v>
      </c>
      <c r="AF71" s="59" t="e">
        <f aca="false">AD71*AB71</f>
        <v>#NAME?</v>
      </c>
      <c r="AG71" s="59" t="e">
        <f aca="false">AE71-AF71</f>
        <v>#NAME?</v>
      </c>
      <c r="AI71" s="68" t="n">
        <f aca="false">Curves!J55+Curves!K55</f>
        <v>-0.0535</v>
      </c>
      <c r="AJ71" s="68" t="n">
        <f aca="false">'Enron Proposal'!V63</f>
        <v>0</v>
      </c>
      <c r="AK71" s="59" t="n">
        <f aca="false">'Enron Proposal'!P63</f>
        <v>0</v>
      </c>
      <c r="AL71" s="59" t="e">
        <f aca="false">AK71*C71*I71</f>
        <v>#NAME?</v>
      </c>
      <c r="AM71" s="59" t="e">
        <f aca="false">(G71+AI71)*AL71</f>
        <v>#NAME?</v>
      </c>
      <c r="AN71" s="59" t="e">
        <f aca="false">AL71*AJ71</f>
        <v>#NAME?</v>
      </c>
      <c r="AO71" s="59" t="e">
        <f aca="false">AM71-AN71</f>
        <v>#NAME?</v>
      </c>
      <c r="AQ71" s="59" t="e">
        <f aca="false">(P71+X71+AF71+AN71)/I71</f>
        <v>#NAME?</v>
      </c>
      <c r="AR71" s="11" t="n">
        <f aca="false">Curves!C55</f>
        <v>0.058841228009932</v>
      </c>
      <c r="AS71" s="0" t="n">
        <f aca="false">B71-$D$16</f>
        <v>1616</v>
      </c>
      <c r="AT71" s="0" t="n">
        <f aca="false">D71-$D$16</f>
        <v>1670</v>
      </c>
      <c r="AU71" s="74" t="n">
        <f aca="false">(1+AR71/2)^(-2*AS71/365.25)</f>
        <v>0.773693821461105</v>
      </c>
      <c r="AV71" s="74" t="n">
        <f aca="false">(1+AR72/2)^(-2*AT71/365.25)</f>
        <v>0.767018510469143</v>
      </c>
      <c r="AX71" s="59" t="e">
        <f aca="false">AQ71*AU71</f>
        <v>#NAME?</v>
      </c>
      <c r="AY71" s="59" t="e">
        <f aca="false">AQ71*AV71</f>
        <v>#NAME?</v>
      </c>
      <c r="BA71" s="72" t="n">
        <f aca="false">G71</f>
        <v>3.647</v>
      </c>
      <c r="BB71" s="75" t="n">
        <f aca="false">'Point 1 - Transco'!H69</f>
        <v>0.766988647532492</v>
      </c>
      <c r="BC71" s="59" t="n">
        <f aca="false">M71</f>
        <v>60900</v>
      </c>
      <c r="BD71" s="59" t="n">
        <f aca="false">BC71*BB71*C71</f>
        <v>1401288.25904186</v>
      </c>
      <c r="BE71" s="59" t="n">
        <f aca="false">BD71*(BA71+K71)</f>
        <v>5160944.65805118</v>
      </c>
      <c r="BF71" s="68" t="n">
        <f aca="false">$BF$57</f>
        <v>3.789</v>
      </c>
    </row>
    <row r="72" customFormat="false" ht="12.75" hidden="false" customHeight="false" outlineLevel="0" collapsed="false">
      <c r="B72" s="69" t="n">
        <f aca="false">'Enron Proposal'!B64</f>
        <v>38534</v>
      </c>
      <c r="C72" s="41" t="n">
        <f aca="false">'Enron Proposal'!C64</f>
        <v>31</v>
      </c>
      <c r="D72" s="66" t="n">
        <f aca="false">'Enron Proposal'!D64</f>
        <v>38589</v>
      </c>
      <c r="E72" s="41" t="n">
        <f aca="false">D72-$D$16</f>
        <v>1701</v>
      </c>
      <c r="G72" s="72" t="n">
        <f aca="false">Curves!B56</f>
        <v>3.662</v>
      </c>
      <c r="H72" s="73" t="e">
        <f aca="false">Spline('Financing Assumptions'!$G$20:$G$29,'Financing Assumptions'!$F$20:$F$29,B72,1)+Curves!C56</f>
        <v>#NAME?</v>
      </c>
      <c r="I72" s="74" t="e">
        <f aca="false">(1+H72/2)^(-2*E72/365.25)</f>
        <v>#NAME?</v>
      </c>
      <c r="K72" s="0" t="n">
        <f aca="false">Curves!D56+Curves!E56</f>
        <v>0.036</v>
      </c>
      <c r="L72" s="72" t="n">
        <f aca="false">'Enron Proposal'!S64</f>
        <v>3.79043629113092</v>
      </c>
      <c r="M72" s="59" t="n">
        <f aca="false">'Enron Proposal'!G64</f>
        <v>60900</v>
      </c>
      <c r="N72" s="59" t="e">
        <f aca="false">M72*C72*I72</f>
        <v>#NAME?</v>
      </c>
      <c r="O72" s="59" t="e">
        <f aca="false">(G72+K72)*N72</f>
        <v>#NAME?</v>
      </c>
      <c r="P72" s="59" t="e">
        <f aca="false">N72*L72</f>
        <v>#NAME?</v>
      </c>
      <c r="Q72" s="59" t="e">
        <f aca="false">O72-P72</f>
        <v>#NAME?</v>
      </c>
      <c r="S72" s="68" t="n">
        <f aca="false">Curves!F56+Curves!G56</f>
        <v>-0.0135</v>
      </c>
      <c r="T72" s="68" t="n">
        <f aca="false">'Enron Proposal'!T64</f>
        <v>0</v>
      </c>
      <c r="U72" s="59" t="n">
        <f aca="false">'Enron Proposal'!J64</f>
        <v>0</v>
      </c>
      <c r="V72" s="59" t="e">
        <f aca="false">U72*C72*I72</f>
        <v>#NAME?</v>
      </c>
      <c r="W72" s="59" t="e">
        <f aca="false">(G72+S72)*V72</f>
        <v>#NAME?</v>
      </c>
      <c r="X72" s="59" t="e">
        <f aca="false">V72*T72</f>
        <v>#NAME?</v>
      </c>
      <c r="Y72" s="59" t="e">
        <f aca="false">W72-X72</f>
        <v>#NAME?</v>
      </c>
      <c r="AA72" s="68" t="n">
        <f aca="false">Curves!H56+Curves!I56</f>
        <v>-0.0165</v>
      </c>
      <c r="AB72" s="68" t="n">
        <f aca="false">'Enron Proposal'!U64</f>
        <v>0</v>
      </c>
      <c r="AC72" s="59" t="n">
        <f aca="false">'Enron Proposal'!M64</f>
        <v>0</v>
      </c>
      <c r="AD72" s="59" t="e">
        <f aca="false">AC72*C72*I72</f>
        <v>#NAME?</v>
      </c>
      <c r="AE72" s="59" t="e">
        <f aca="false">(G72+AA72)*AD72</f>
        <v>#NAME?</v>
      </c>
      <c r="AF72" s="59" t="e">
        <f aca="false">AD72*AB72</f>
        <v>#NAME?</v>
      </c>
      <c r="AG72" s="59" t="e">
        <f aca="false">AE72-AF72</f>
        <v>#NAME?</v>
      </c>
      <c r="AI72" s="68" t="n">
        <f aca="false">Curves!J56+Curves!K56</f>
        <v>-0.0535</v>
      </c>
      <c r="AJ72" s="68" t="n">
        <f aca="false">'Enron Proposal'!V64</f>
        <v>0</v>
      </c>
      <c r="AK72" s="59" t="n">
        <f aca="false">'Enron Proposal'!P64</f>
        <v>0</v>
      </c>
      <c r="AL72" s="59" t="e">
        <f aca="false">AK72*C72*I72</f>
        <v>#NAME?</v>
      </c>
      <c r="AM72" s="59" t="e">
        <f aca="false">(G72+AI72)*AL72</f>
        <v>#NAME?</v>
      </c>
      <c r="AN72" s="59" t="e">
        <f aca="false">AL72*AJ72</f>
        <v>#NAME?</v>
      </c>
      <c r="AO72" s="59" t="e">
        <f aca="false">AM72-AN72</f>
        <v>#NAME?</v>
      </c>
      <c r="AQ72" s="59" t="e">
        <f aca="false">(P72+X72+AF72+AN72)/I72</f>
        <v>#NAME?</v>
      </c>
      <c r="AR72" s="11" t="n">
        <f aca="false">Curves!C56</f>
        <v>0.058861823640284</v>
      </c>
      <c r="AS72" s="0" t="n">
        <f aca="false">B72-$D$16</f>
        <v>1646</v>
      </c>
      <c r="AT72" s="0" t="n">
        <f aca="false">D72-$D$16</f>
        <v>1701</v>
      </c>
      <c r="AU72" s="74" t="n">
        <f aca="false">(1+AR72/2)^(-2*AS72/365.25)</f>
        <v>0.769947884001257</v>
      </c>
      <c r="AV72" s="74" t="n">
        <f aca="false">(1+AR73/2)^(-2*AT72/365.25)</f>
        <v>0.763177744222314</v>
      </c>
      <c r="AX72" s="59" t="e">
        <f aca="false">AQ72*AU72</f>
        <v>#NAME?</v>
      </c>
      <c r="AY72" s="59" t="e">
        <f aca="false">AQ72*AV72</f>
        <v>#NAME?</v>
      </c>
      <c r="BA72" s="72" t="n">
        <f aca="false">G72</f>
        <v>3.662</v>
      </c>
      <c r="BB72" s="75" t="n">
        <f aca="false">'Point 1 - Transco'!H70</f>
        <v>0.763149827073883</v>
      </c>
      <c r="BC72" s="59" t="n">
        <f aca="false">M72</f>
        <v>60900</v>
      </c>
      <c r="BD72" s="59" t="n">
        <f aca="false">BC72*BB72*C72</f>
        <v>1440750.55853278</v>
      </c>
      <c r="BE72" s="59" t="n">
        <f aca="false">BD72*(BA72+K72)</f>
        <v>5327895.56545424</v>
      </c>
      <c r="BF72" s="68" t="n">
        <f aca="false">$BF$57</f>
        <v>3.789</v>
      </c>
    </row>
    <row r="73" customFormat="false" ht="12.75" hidden="false" customHeight="false" outlineLevel="0" collapsed="false">
      <c r="B73" s="69" t="n">
        <f aca="false">'Enron Proposal'!B65</f>
        <v>38565</v>
      </c>
      <c r="C73" s="41" t="n">
        <f aca="false">'Enron Proposal'!C65</f>
        <v>31</v>
      </c>
      <c r="D73" s="66" t="n">
        <f aca="false">'Enron Proposal'!D65</f>
        <v>38621</v>
      </c>
      <c r="E73" s="41" t="n">
        <f aca="false">D73-$D$16</f>
        <v>1733</v>
      </c>
      <c r="G73" s="72" t="n">
        <f aca="false">Curves!B57</f>
        <v>3.672</v>
      </c>
      <c r="H73" s="73" t="e">
        <f aca="false">Spline('Financing Assumptions'!$G$20:$G$29,'Financing Assumptions'!$F$20:$F$29,B73,1)+Curves!C57</f>
        <v>#NAME?</v>
      </c>
      <c r="I73" s="74" t="e">
        <f aca="false">(1+H73/2)^(-2*E73/365.25)</f>
        <v>#NAME?</v>
      </c>
      <c r="K73" s="0" t="n">
        <f aca="false">Curves!D57+Curves!E57</f>
        <v>0.036</v>
      </c>
      <c r="L73" s="72" t="n">
        <f aca="false">'Enron Proposal'!S65</f>
        <v>3.79043629113092</v>
      </c>
      <c r="M73" s="59" t="n">
        <f aca="false">'Enron Proposal'!G65</f>
        <v>60900</v>
      </c>
      <c r="N73" s="59" t="e">
        <f aca="false">M73*C73*I73</f>
        <v>#NAME?</v>
      </c>
      <c r="O73" s="59" t="e">
        <f aca="false">(G73+K73)*N73</f>
        <v>#NAME?</v>
      </c>
      <c r="P73" s="59" t="e">
        <f aca="false">N73*L73</f>
        <v>#NAME?</v>
      </c>
      <c r="Q73" s="59" t="e">
        <f aca="false">O73-P73</f>
        <v>#NAME?</v>
      </c>
      <c r="S73" s="68" t="n">
        <f aca="false">Curves!F57+Curves!G57</f>
        <v>-0.0135</v>
      </c>
      <c r="T73" s="68" t="n">
        <f aca="false">'Enron Proposal'!T65</f>
        <v>0</v>
      </c>
      <c r="U73" s="59" t="n">
        <f aca="false">'Enron Proposal'!J65</f>
        <v>0</v>
      </c>
      <c r="V73" s="59" t="e">
        <f aca="false">U73*C73*I73</f>
        <v>#NAME?</v>
      </c>
      <c r="W73" s="59" t="e">
        <f aca="false">(G73+S73)*V73</f>
        <v>#NAME?</v>
      </c>
      <c r="X73" s="59" t="e">
        <f aca="false">V73*T73</f>
        <v>#NAME?</v>
      </c>
      <c r="Y73" s="59" t="e">
        <f aca="false">W73-X73</f>
        <v>#NAME?</v>
      </c>
      <c r="AA73" s="68" t="n">
        <f aca="false">Curves!H57+Curves!I57</f>
        <v>-0.0165</v>
      </c>
      <c r="AB73" s="68" t="n">
        <f aca="false">'Enron Proposal'!U65</f>
        <v>0</v>
      </c>
      <c r="AC73" s="59" t="n">
        <f aca="false">'Enron Proposal'!M65</f>
        <v>0</v>
      </c>
      <c r="AD73" s="59" t="e">
        <f aca="false">AC73*C73*I73</f>
        <v>#NAME?</v>
      </c>
      <c r="AE73" s="59" t="e">
        <f aca="false">(G73+AA73)*AD73</f>
        <v>#NAME?</v>
      </c>
      <c r="AF73" s="59" t="e">
        <f aca="false">AD73*AB73</f>
        <v>#NAME?</v>
      </c>
      <c r="AG73" s="59" t="e">
        <f aca="false">AE73-AF73</f>
        <v>#NAME?</v>
      </c>
      <c r="AI73" s="68" t="n">
        <f aca="false">Curves!J57+Curves!K57</f>
        <v>-0.0535</v>
      </c>
      <c r="AJ73" s="68" t="n">
        <f aca="false">'Enron Proposal'!V65</f>
        <v>0</v>
      </c>
      <c r="AK73" s="59" t="n">
        <f aca="false">'Enron Proposal'!P65</f>
        <v>0</v>
      </c>
      <c r="AL73" s="59" t="e">
        <f aca="false">AK73*C73*I73</f>
        <v>#NAME?</v>
      </c>
      <c r="AM73" s="59" t="e">
        <f aca="false">(G73+AI73)*AL73</f>
        <v>#NAME?</v>
      </c>
      <c r="AN73" s="59" t="e">
        <f aca="false">AL73*AJ73</f>
        <v>#NAME?</v>
      </c>
      <c r="AO73" s="59" t="e">
        <f aca="false">AM73-AN73</f>
        <v>#NAME?</v>
      </c>
      <c r="AQ73" s="59" t="e">
        <f aca="false">(P73+X73+AF73+AN73)/I73</f>
        <v>#NAME?</v>
      </c>
      <c r="AR73" s="11" t="n">
        <f aca="false">Curves!C57</f>
        <v>0.058883105791796</v>
      </c>
      <c r="AS73" s="0" t="n">
        <f aca="false">B73-$D$16</f>
        <v>1677</v>
      </c>
      <c r="AT73" s="0" t="n">
        <f aca="false">D73-$D$16</f>
        <v>1733</v>
      </c>
      <c r="AU73" s="74" t="n">
        <f aca="false">(1+AR73/2)^(-2*AS73/365.25)</f>
        <v>0.766093489901243</v>
      </c>
      <c r="AV73" s="74" t="n">
        <f aca="false">(1+AR74/2)^(-2*AT73/365.25)</f>
        <v>0.759232862505597</v>
      </c>
      <c r="AX73" s="59" t="e">
        <f aca="false">AQ73*AU73</f>
        <v>#NAME?</v>
      </c>
      <c r="AY73" s="59" t="e">
        <f aca="false">AQ73*AV73</f>
        <v>#NAME?</v>
      </c>
      <c r="BA73" s="72" t="n">
        <f aca="false">G73</f>
        <v>3.672</v>
      </c>
      <c r="BB73" s="75" t="n">
        <f aca="false">'Point 1 - Transco'!H71</f>
        <v>0.759204543783095</v>
      </c>
      <c r="BC73" s="59" t="n">
        <f aca="false">M73</f>
        <v>60900</v>
      </c>
      <c r="BD73" s="59" t="n">
        <f aca="false">BC73*BB73*C73</f>
        <v>1433302.25820811</v>
      </c>
      <c r="BE73" s="59" t="n">
        <f aca="false">BD73*(BA73+K73)</f>
        <v>5314684.77343566</v>
      </c>
      <c r="BF73" s="68" t="n">
        <f aca="false">$BF$57</f>
        <v>3.789</v>
      </c>
    </row>
    <row r="74" customFormat="false" ht="12.75" hidden="false" customHeight="false" outlineLevel="0" collapsed="false">
      <c r="B74" s="69" t="n">
        <f aca="false">'Enron Proposal'!B66</f>
        <v>38596</v>
      </c>
      <c r="C74" s="41" t="n">
        <f aca="false">'Enron Proposal'!C66</f>
        <v>30</v>
      </c>
      <c r="D74" s="66" t="n">
        <f aca="false">'Enron Proposal'!D66</f>
        <v>38650</v>
      </c>
      <c r="E74" s="41" t="n">
        <f aca="false">D74-$D$16</f>
        <v>1762</v>
      </c>
      <c r="G74" s="72" t="n">
        <f aca="false">Curves!B58</f>
        <v>3.689</v>
      </c>
      <c r="H74" s="73" t="e">
        <f aca="false">Spline('Financing Assumptions'!$G$20:$G$29,'Financing Assumptions'!$F$20:$F$29,B74,1)+Curves!C58</f>
        <v>#NAME?</v>
      </c>
      <c r="I74" s="74" t="e">
        <f aca="false">(1+H74/2)^(-2*E74/365.25)</f>
        <v>#NAME?</v>
      </c>
      <c r="K74" s="0" t="n">
        <f aca="false">Curves!D58+Curves!E58</f>
        <v>0.036</v>
      </c>
      <c r="L74" s="72" t="n">
        <f aca="false">'Enron Proposal'!S66</f>
        <v>3.79043629113092</v>
      </c>
      <c r="M74" s="59" t="n">
        <f aca="false">'Enron Proposal'!G66</f>
        <v>60900</v>
      </c>
      <c r="N74" s="59" t="e">
        <f aca="false">M74*C74*I74</f>
        <v>#NAME?</v>
      </c>
      <c r="O74" s="59" t="e">
        <f aca="false">(G74+K74)*N74</f>
        <v>#NAME?</v>
      </c>
      <c r="P74" s="59" t="e">
        <f aca="false">N74*L74</f>
        <v>#NAME?</v>
      </c>
      <c r="Q74" s="59" t="e">
        <f aca="false">O74-P74</f>
        <v>#NAME?</v>
      </c>
      <c r="S74" s="68" t="n">
        <f aca="false">Curves!F58+Curves!G58</f>
        <v>-0.0135</v>
      </c>
      <c r="T74" s="68" t="n">
        <f aca="false">'Enron Proposal'!T66</f>
        <v>0</v>
      </c>
      <c r="U74" s="59" t="n">
        <f aca="false">'Enron Proposal'!J66</f>
        <v>0</v>
      </c>
      <c r="V74" s="59" t="e">
        <f aca="false">U74*C74*I74</f>
        <v>#NAME?</v>
      </c>
      <c r="W74" s="59" t="e">
        <f aca="false">(G74+S74)*V74</f>
        <v>#NAME?</v>
      </c>
      <c r="X74" s="59" t="e">
        <f aca="false">V74*T74</f>
        <v>#NAME?</v>
      </c>
      <c r="Y74" s="59" t="e">
        <f aca="false">W74-X74</f>
        <v>#NAME?</v>
      </c>
      <c r="AA74" s="68" t="n">
        <f aca="false">Curves!H58+Curves!I58</f>
        <v>-0.0165</v>
      </c>
      <c r="AB74" s="68" t="n">
        <f aca="false">'Enron Proposal'!U66</f>
        <v>0</v>
      </c>
      <c r="AC74" s="59" t="n">
        <f aca="false">'Enron Proposal'!M66</f>
        <v>0</v>
      </c>
      <c r="AD74" s="59" t="e">
        <f aca="false">AC74*C74*I74</f>
        <v>#NAME?</v>
      </c>
      <c r="AE74" s="59" t="e">
        <f aca="false">(G74+AA74)*AD74</f>
        <v>#NAME?</v>
      </c>
      <c r="AF74" s="59" t="e">
        <f aca="false">AD74*AB74</f>
        <v>#NAME?</v>
      </c>
      <c r="AG74" s="59" t="e">
        <f aca="false">AE74-AF74</f>
        <v>#NAME?</v>
      </c>
      <c r="AI74" s="68" t="n">
        <f aca="false">Curves!J58+Curves!K58</f>
        <v>-0.0535</v>
      </c>
      <c r="AJ74" s="68" t="n">
        <f aca="false">'Enron Proposal'!V66</f>
        <v>0</v>
      </c>
      <c r="AK74" s="59" t="n">
        <f aca="false">'Enron Proposal'!P66</f>
        <v>0</v>
      </c>
      <c r="AL74" s="59" t="e">
        <f aca="false">AK74*C74*I74</f>
        <v>#NAME?</v>
      </c>
      <c r="AM74" s="59" t="e">
        <f aca="false">(G74+AI74)*AL74</f>
        <v>#NAME?</v>
      </c>
      <c r="AN74" s="59" t="e">
        <f aca="false">AL74*AJ74</f>
        <v>#NAME?</v>
      </c>
      <c r="AO74" s="59" t="e">
        <f aca="false">AM74-AN74</f>
        <v>#NAME?</v>
      </c>
      <c r="AQ74" s="59" t="e">
        <f aca="false">(P74+X74+AF74+AN74)/I74</f>
        <v>#NAME?</v>
      </c>
      <c r="AR74" s="11" t="n">
        <f aca="false">Curves!C58</f>
        <v>0.058904387943459</v>
      </c>
      <c r="AS74" s="0" t="n">
        <f aca="false">B74-$D$16</f>
        <v>1708</v>
      </c>
      <c r="AT74" s="0" t="n">
        <f aca="false">D74-$D$16</f>
        <v>1762</v>
      </c>
      <c r="AU74" s="74" t="n">
        <f aca="false">(1+AR74/2)^(-2*AS74/365.25)</f>
        <v>0.762255716863962</v>
      </c>
      <c r="AV74" s="74" t="n">
        <f aca="false">(1+AR75/2)^(-2*AT74/365.25)</f>
        <v>0.755668431611598</v>
      </c>
      <c r="AX74" s="59" t="e">
        <f aca="false">AQ74*AU74</f>
        <v>#NAME?</v>
      </c>
      <c r="AY74" s="59" t="e">
        <f aca="false">AQ74*AV74</f>
        <v>#NAME?</v>
      </c>
      <c r="BA74" s="72" t="n">
        <f aca="false">G74</f>
        <v>3.689</v>
      </c>
      <c r="BB74" s="75" t="n">
        <f aca="false">'Point 1 - Transco'!H72</f>
        <v>0.75563731957216</v>
      </c>
      <c r="BC74" s="59" t="n">
        <f aca="false">M74</f>
        <v>60900</v>
      </c>
      <c r="BD74" s="59" t="n">
        <f aca="false">BC74*BB74*C74</f>
        <v>1380549.38285834</v>
      </c>
      <c r="BE74" s="59" t="n">
        <f aca="false">BD74*(BA74+K74)</f>
        <v>5142546.4511473</v>
      </c>
      <c r="BF74" s="68" t="n">
        <f aca="false">$BF$57</f>
        <v>3.789</v>
      </c>
    </row>
    <row r="75" customFormat="false" ht="12.75" hidden="false" customHeight="false" outlineLevel="0" collapsed="false">
      <c r="B75" s="69" t="n">
        <f aca="false">'Enron Proposal'!B67</f>
        <v>38626</v>
      </c>
      <c r="C75" s="41" t="n">
        <f aca="false">'Enron Proposal'!C67</f>
        <v>31</v>
      </c>
      <c r="D75" s="66" t="n">
        <f aca="false">'Enron Proposal'!D67</f>
        <v>38681</v>
      </c>
      <c r="E75" s="41" t="n">
        <f aca="false">D75-$D$16</f>
        <v>1793</v>
      </c>
      <c r="G75" s="72" t="n">
        <f aca="false">Curves!B59</f>
        <v>3.707</v>
      </c>
      <c r="H75" s="73" t="e">
        <f aca="false">Spline('Financing Assumptions'!$G$20:$G$29,'Financing Assumptions'!$F$20:$F$29,B75,1)+Curves!C59</f>
        <v>#NAME?</v>
      </c>
      <c r="I75" s="74" t="e">
        <f aca="false">(1+H75/2)^(-2*E75/365.25)</f>
        <v>#NAME?</v>
      </c>
      <c r="K75" s="0" t="n">
        <f aca="false">Curves!D59+Curves!E59</f>
        <v>0.036</v>
      </c>
      <c r="L75" s="72" t="n">
        <f aca="false">'Enron Proposal'!S67</f>
        <v>3.79043629113092</v>
      </c>
      <c r="M75" s="59" t="n">
        <f aca="false">'Enron Proposal'!G67</f>
        <v>60900</v>
      </c>
      <c r="N75" s="59" t="e">
        <f aca="false">M75*C75*I75</f>
        <v>#NAME?</v>
      </c>
      <c r="O75" s="59" t="e">
        <f aca="false">(G75+K75)*N75</f>
        <v>#NAME?</v>
      </c>
      <c r="P75" s="59" t="e">
        <f aca="false">N75*L75</f>
        <v>#NAME?</v>
      </c>
      <c r="Q75" s="59" t="e">
        <f aca="false">O75-P75</f>
        <v>#NAME?</v>
      </c>
      <c r="S75" s="68" t="n">
        <f aca="false">Curves!F59+Curves!G59</f>
        <v>-0.0135</v>
      </c>
      <c r="T75" s="68" t="n">
        <f aca="false">'Enron Proposal'!T67</f>
        <v>0</v>
      </c>
      <c r="U75" s="59" t="n">
        <f aca="false">'Enron Proposal'!J67</f>
        <v>0</v>
      </c>
      <c r="V75" s="59" t="e">
        <f aca="false">U75*C75*I75</f>
        <v>#NAME?</v>
      </c>
      <c r="W75" s="59" t="e">
        <f aca="false">(G75+S75)*V75</f>
        <v>#NAME?</v>
      </c>
      <c r="X75" s="59" t="e">
        <f aca="false">V75*T75</f>
        <v>#NAME?</v>
      </c>
      <c r="Y75" s="59" t="e">
        <f aca="false">W75-X75</f>
        <v>#NAME?</v>
      </c>
      <c r="AA75" s="68" t="n">
        <f aca="false">Curves!H59+Curves!I59</f>
        <v>-0.0165</v>
      </c>
      <c r="AB75" s="68" t="n">
        <f aca="false">'Enron Proposal'!U67</f>
        <v>0</v>
      </c>
      <c r="AC75" s="59" t="n">
        <f aca="false">'Enron Proposal'!M67</f>
        <v>0</v>
      </c>
      <c r="AD75" s="59" t="e">
        <f aca="false">AC75*C75*I75</f>
        <v>#NAME?</v>
      </c>
      <c r="AE75" s="59" t="e">
        <f aca="false">(G75+AA75)*AD75</f>
        <v>#NAME?</v>
      </c>
      <c r="AF75" s="59" t="e">
        <f aca="false">AD75*AB75</f>
        <v>#NAME?</v>
      </c>
      <c r="AG75" s="59" t="e">
        <f aca="false">AE75-AF75</f>
        <v>#NAME?</v>
      </c>
      <c r="AI75" s="68" t="n">
        <f aca="false">Curves!J59+Curves!K59</f>
        <v>-0.0535</v>
      </c>
      <c r="AJ75" s="68" t="n">
        <f aca="false">'Enron Proposal'!V67</f>
        <v>0</v>
      </c>
      <c r="AK75" s="59" t="n">
        <f aca="false">'Enron Proposal'!P67</f>
        <v>0</v>
      </c>
      <c r="AL75" s="59" t="e">
        <f aca="false">AK75*C75*I75</f>
        <v>#NAME?</v>
      </c>
      <c r="AM75" s="59" t="e">
        <f aca="false">(G75+AI75)*AL75</f>
        <v>#NAME?</v>
      </c>
      <c r="AN75" s="59" t="e">
        <f aca="false">AL75*AJ75</f>
        <v>#NAME?</v>
      </c>
      <c r="AO75" s="59" t="e">
        <f aca="false">AM75-AN75</f>
        <v>#NAME?</v>
      </c>
      <c r="AQ75" s="59" t="e">
        <f aca="false">(P75+X75+AF75+AN75)/I75</f>
        <v>#NAME?</v>
      </c>
      <c r="AR75" s="11" t="n">
        <f aca="false">Curves!C59</f>
        <v>0.058924983574244</v>
      </c>
      <c r="AS75" s="0" t="n">
        <f aca="false">B75-$D$16</f>
        <v>1738</v>
      </c>
      <c r="AT75" s="0" t="n">
        <f aca="false">D75-$D$16</f>
        <v>1793</v>
      </c>
      <c r="AU75" s="74" t="n">
        <f aca="false">(1+AR75/2)^(-2*AS75/365.25)</f>
        <v>0.758557515334427</v>
      </c>
      <c r="AV75" s="74" t="n">
        <f aca="false">(1+AR76/2)^(-2*AT75/365.25)</f>
        <v>0.751876671540284</v>
      </c>
      <c r="AX75" s="59" t="e">
        <f aca="false">AQ75*AU75</f>
        <v>#NAME?</v>
      </c>
      <c r="AY75" s="59" t="e">
        <f aca="false">AQ75*AV75</f>
        <v>#NAME?</v>
      </c>
      <c r="BA75" s="72" t="n">
        <f aca="false">G75</f>
        <v>3.707</v>
      </c>
      <c r="BB75" s="75" t="n">
        <f aca="false">'Point 1 - Transco'!H73</f>
        <v>0.751847609090296</v>
      </c>
      <c r="BC75" s="59" t="n">
        <f aca="false">M75</f>
        <v>60900</v>
      </c>
      <c r="BD75" s="59" t="n">
        <f aca="false">BC75*BB75*C75</f>
        <v>1419413.10120157</v>
      </c>
      <c r="BE75" s="59" t="n">
        <f aca="false">BD75*(BA75+K75)</f>
        <v>5312863.23779747</v>
      </c>
      <c r="BF75" s="68" t="n">
        <f aca="false">$BF$57</f>
        <v>3.789</v>
      </c>
    </row>
    <row r="76" customFormat="false" ht="12.75" hidden="false" customHeight="false" outlineLevel="0" collapsed="false">
      <c r="B76" s="69" t="n">
        <f aca="false">'Enron Proposal'!B68</f>
        <v>38657</v>
      </c>
      <c r="C76" s="41" t="n">
        <f aca="false">'Enron Proposal'!C68</f>
        <v>30</v>
      </c>
      <c r="D76" s="66" t="n">
        <f aca="false">'Enron Proposal'!D68</f>
        <v>38712</v>
      </c>
      <c r="E76" s="41" t="n">
        <f aca="false">D76-$D$16</f>
        <v>1824</v>
      </c>
      <c r="G76" s="72" t="n">
        <f aca="false">Curves!B60</f>
        <v>3.852</v>
      </c>
      <c r="H76" s="73" t="e">
        <f aca="false">Spline('Financing Assumptions'!$G$20:$G$29,'Financing Assumptions'!$F$20:$F$29,B76,1)+Curves!C60</f>
        <v>#NAME?</v>
      </c>
      <c r="I76" s="74" t="e">
        <f aca="false">(1+H76/2)^(-2*E76/365.25)</f>
        <v>#NAME?</v>
      </c>
      <c r="K76" s="0" t="n">
        <f aca="false">Curves!D60+Curves!E60</f>
        <v>0.026</v>
      </c>
      <c r="L76" s="72" t="n">
        <f aca="false">'Enron Proposal'!S68</f>
        <v>3.79043629113092</v>
      </c>
      <c r="M76" s="59" t="n">
        <f aca="false">'Enron Proposal'!G68</f>
        <v>60900</v>
      </c>
      <c r="N76" s="59" t="e">
        <f aca="false">M76*C76*I76</f>
        <v>#NAME?</v>
      </c>
      <c r="O76" s="59" t="e">
        <f aca="false">(G76+K76)*N76</f>
        <v>#NAME?</v>
      </c>
      <c r="P76" s="59" t="e">
        <f aca="false">N76*L76</f>
        <v>#NAME?</v>
      </c>
      <c r="Q76" s="59" t="e">
        <f aca="false">O76-P76</f>
        <v>#NAME?</v>
      </c>
      <c r="S76" s="68" t="n">
        <f aca="false">Curves!F60+Curves!G60</f>
        <v>-0.016</v>
      </c>
      <c r="T76" s="68" t="n">
        <f aca="false">'Enron Proposal'!T68</f>
        <v>0</v>
      </c>
      <c r="U76" s="59" t="n">
        <f aca="false">'Enron Proposal'!J68</f>
        <v>0</v>
      </c>
      <c r="V76" s="59" t="e">
        <f aca="false">U76*C76*I76</f>
        <v>#NAME?</v>
      </c>
      <c r="W76" s="59" t="e">
        <f aca="false">(G76+S76)*V76</f>
        <v>#NAME?</v>
      </c>
      <c r="X76" s="59" t="e">
        <f aca="false">V76*T76</f>
        <v>#NAME?</v>
      </c>
      <c r="Y76" s="59" t="e">
        <f aca="false">W76-X76</f>
        <v>#NAME?</v>
      </c>
      <c r="AA76" s="68" t="n">
        <f aca="false">Curves!H60+Curves!I60</f>
        <v>-0.0218</v>
      </c>
      <c r="AB76" s="68" t="n">
        <f aca="false">'Enron Proposal'!U68</f>
        <v>0</v>
      </c>
      <c r="AC76" s="59" t="n">
        <f aca="false">'Enron Proposal'!M68</f>
        <v>0</v>
      </c>
      <c r="AD76" s="59" t="e">
        <f aca="false">AC76*C76*I76</f>
        <v>#NAME?</v>
      </c>
      <c r="AE76" s="59" t="e">
        <f aca="false">(G76+AA76)*AD76</f>
        <v>#NAME?</v>
      </c>
      <c r="AF76" s="59" t="e">
        <f aca="false">AD76*AB76</f>
        <v>#NAME?</v>
      </c>
      <c r="AG76" s="59" t="e">
        <f aca="false">AE76-AF76</f>
        <v>#NAME?</v>
      </c>
      <c r="AI76" s="68" t="n">
        <f aca="false">Curves!J60+Curves!K60</f>
        <v>-0.056</v>
      </c>
      <c r="AJ76" s="68" t="n">
        <f aca="false">'Enron Proposal'!V68</f>
        <v>0</v>
      </c>
      <c r="AK76" s="59" t="n">
        <f aca="false">'Enron Proposal'!P68</f>
        <v>0</v>
      </c>
      <c r="AL76" s="59" t="e">
        <f aca="false">AK76*C76*I76</f>
        <v>#NAME?</v>
      </c>
      <c r="AM76" s="59" t="e">
        <f aca="false">(G76+AI76)*AL76</f>
        <v>#NAME?</v>
      </c>
      <c r="AN76" s="59" t="e">
        <f aca="false">AL76*AJ76</f>
        <v>#NAME?</v>
      </c>
      <c r="AO76" s="59" t="e">
        <f aca="false">AM76-AN76</f>
        <v>#NAME?</v>
      </c>
      <c r="AQ76" s="59" t="e">
        <f aca="false">(P76+X76+AF76+AN76)/I76</f>
        <v>#NAME?</v>
      </c>
      <c r="AR76" s="11" t="n">
        <f aca="false">Curves!C60</f>
        <v>0.058946265726202</v>
      </c>
      <c r="AS76" s="0" t="n">
        <f aca="false">B76-$D$16</f>
        <v>1769</v>
      </c>
      <c r="AT76" s="0" t="n">
        <f aca="false">D76-$D$16</f>
        <v>1824</v>
      </c>
      <c r="AU76" s="74" t="n">
        <f aca="false">(1+AR76/2)^(-2*AS76/365.25)</f>
        <v>0.754752283790542</v>
      </c>
      <c r="AV76" s="74" t="n">
        <f aca="false">(1+AR77/2)^(-2*AT76/365.25)</f>
        <v>0.748178548456722</v>
      </c>
      <c r="AX76" s="59" t="e">
        <f aca="false">AQ76*AU76</f>
        <v>#NAME?</v>
      </c>
      <c r="AY76" s="59" t="e">
        <f aca="false">AQ76*AV76</f>
        <v>#NAME?</v>
      </c>
      <c r="BA76" s="72" t="n">
        <f aca="false">G76</f>
        <v>3.852</v>
      </c>
      <c r="BB76" s="75" t="n">
        <f aca="false">'Point 1 - Transco'!H74</f>
        <v>0.748071872465204</v>
      </c>
      <c r="BC76" s="59" t="n">
        <f aca="false">M76</f>
        <v>60900</v>
      </c>
      <c r="BD76" s="59" t="n">
        <f aca="false">BC76*BB76*C76</f>
        <v>1366727.31099393</v>
      </c>
      <c r="BE76" s="59" t="n">
        <f aca="false">BD76*(BA76+K76)</f>
        <v>5300168.51203445</v>
      </c>
      <c r="BF76" s="68" t="n">
        <f aca="false">$BF$57</f>
        <v>3.789</v>
      </c>
    </row>
    <row r="77" customFormat="false" ht="12.75" hidden="false" customHeight="false" outlineLevel="0" collapsed="false">
      <c r="B77" s="69"/>
      <c r="C77" s="41"/>
      <c r="D77" s="66"/>
      <c r="E77" s="41"/>
      <c r="AR77" s="73" t="n">
        <f aca="false">AR76</f>
        <v>0.058946265726202</v>
      </c>
      <c r="AS77" s="73"/>
    </row>
    <row r="78" customFormat="false" ht="12.75" hidden="false" customHeight="false" outlineLevel="0" collapsed="false">
      <c r="B78" s="69"/>
      <c r="C78" s="41"/>
      <c r="D78" s="66"/>
      <c r="E78" s="41"/>
    </row>
    <row r="79" customFormat="false" ht="12.75" hidden="false" customHeight="false" outlineLevel="0" collapsed="false">
      <c r="B79" s="69"/>
      <c r="C79" s="41"/>
      <c r="D79" s="66"/>
      <c r="E79" s="41"/>
    </row>
    <row r="80" customFormat="false" ht="12.75" hidden="false" customHeight="false" outlineLevel="0" collapsed="false">
      <c r="B80" s="69"/>
      <c r="C80" s="41"/>
      <c r="D80" s="66"/>
      <c r="E80" s="41"/>
    </row>
    <row r="81" customFormat="false" ht="12.75" hidden="false" customHeight="false" outlineLevel="0" collapsed="false">
      <c r="B81" s="69"/>
      <c r="C81" s="41"/>
      <c r="D81" s="66"/>
      <c r="E81" s="41"/>
    </row>
    <row r="82" customFormat="false" ht="12.75" hidden="false" customHeight="false" outlineLevel="0" collapsed="false">
      <c r="B82" s="69"/>
      <c r="C82" s="41"/>
      <c r="D82" s="66"/>
      <c r="E82" s="41"/>
    </row>
    <row r="83" customFormat="false" ht="12.75" hidden="false" customHeight="false" outlineLevel="0" collapsed="false">
      <c r="B83" s="69"/>
      <c r="C83" s="41"/>
      <c r="D83" s="66"/>
      <c r="E83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6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26" man="true" max="65535" min="0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3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O8" activeCellId="0" sqref="AO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6" width="14.14"/>
    <col collapsed="false" customWidth="true" hidden="false" outlineLevel="0" max="2" min="2" style="76" width="14.56"/>
    <col collapsed="false" customWidth="true" hidden="false" outlineLevel="0" max="4" min="3" style="76" width="16.42"/>
    <col collapsed="false" customWidth="true" hidden="false" outlineLevel="0" max="5" min="5" style="76" width="14.85"/>
    <col collapsed="false" customWidth="true" hidden="false" outlineLevel="0" max="6" min="6" style="76" width="13.85"/>
    <col collapsed="false" customWidth="true" hidden="false" outlineLevel="0" max="7" min="7" style="76" width="10.71"/>
    <col collapsed="false" customWidth="true" hidden="false" outlineLevel="0" max="9" min="8" style="76" width="18.14"/>
    <col collapsed="false" customWidth="true" hidden="false" outlineLevel="0" max="10" min="10" style="76" width="22.56"/>
    <col collapsed="false" customWidth="true" hidden="false" outlineLevel="0" max="12" min="11" style="76" width="15.99"/>
    <col collapsed="false" customWidth="true" hidden="false" outlineLevel="0" max="13" min="13" style="76" width="24.99"/>
    <col collapsed="false" customWidth="true" hidden="false" outlineLevel="0" max="14" min="14" style="76" width="14.56"/>
    <col collapsed="false" customWidth="true" hidden="false" outlineLevel="0" max="15" min="15" style="76" width="15.41"/>
    <col collapsed="false" customWidth="true" hidden="false" outlineLevel="0" max="16" min="16" style="76" width="3.14"/>
    <col collapsed="false" customWidth="true" hidden="false" outlineLevel="0" max="18" min="17" style="76" width="15.41"/>
    <col collapsed="false" customWidth="true" hidden="false" outlineLevel="0" max="19" min="19" style="76" width="3.14"/>
    <col collapsed="false" customWidth="true" hidden="false" outlineLevel="0" max="26" min="20" style="71" width="10.71"/>
    <col collapsed="false" customWidth="true" hidden="false" outlineLevel="0" max="27" min="27" style="76" width="4.28"/>
    <col collapsed="false" customWidth="true" hidden="false" outlineLevel="0" max="28" min="28" style="76" width="12.28"/>
    <col collapsed="false" customWidth="true" hidden="false" outlineLevel="0" max="29" min="29" style="76" width="18.85"/>
    <col collapsed="false" customWidth="true" hidden="false" outlineLevel="0" max="30" min="30" style="76" width="15.85"/>
    <col collapsed="false" customWidth="true" hidden="false" outlineLevel="0" max="31" min="31" style="76" width="17.14"/>
    <col collapsed="false" customWidth="true" hidden="false" outlineLevel="0" max="32" min="32" style="76" width="20.56"/>
    <col collapsed="false" customWidth="true" hidden="false" outlineLevel="0" max="33" min="33" style="76" width="20.7"/>
    <col collapsed="false" customWidth="true" hidden="false" outlineLevel="0" max="34" min="34" style="76" width="14.28"/>
    <col collapsed="false" customWidth="true" hidden="false" outlineLevel="0" max="35" min="35" style="76" width="16.42"/>
    <col collapsed="false" customWidth="true" hidden="false" outlineLevel="0" max="36" min="36" style="76" width="15.13"/>
    <col collapsed="false" customWidth="true" hidden="false" outlineLevel="0" max="37" min="37" style="77" width="6.56"/>
    <col collapsed="false" customWidth="true" hidden="false" outlineLevel="0" max="39" min="38" style="76" width="15.13"/>
    <col collapsed="false" customWidth="true" hidden="false" outlineLevel="0" max="40" min="40" style="76" width="16.84"/>
    <col collapsed="false" customWidth="true" hidden="false" outlineLevel="0" max="41" min="41" style="76" width="15.99"/>
    <col collapsed="false" customWidth="true" hidden="false" outlineLevel="0" max="42" min="42" style="0" width="5.85"/>
    <col collapsed="false" customWidth="true" hidden="false" outlineLevel="0" max="44" min="43" style="76" width="15.13"/>
    <col collapsed="false" customWidth="true" hidden="false" outlineLevel="0" max="45" min="45" style="76" width="16.84"/>
    <col collapsed="false" customWidth="true" hidden="false" outlineLevel="0" max="46" min="46" style="76" width="15.99"/>
    <col collapsed="false" customWidth="true" hidden="false" outlineLevel="0" max="47" min="47" style="76" width="6.28"/>
    <col collapsed="false" customWidth="true" hidden="false" outlineLevel="0" max="48" min="48" style="76" width="18.41"/>
    <col collapsed="false" customWidth="true" hidden="false" outlineLevel="0" max="49" min="49" style="76" width="3.85"/>
    <col collapsed="false" customWidth="true" hidden="false" outlineLevel="0" max="50" min="50" style="76" width="18.41"/>
    <col collapsed="false" customWidth="false" hidden="false" outlineLevel="0" max="51" min="51" style="76" width="9.14"/>
    <col collapsed="false" customWidth="true" hidden="false" outlineLevel="0" max="52" min="52" style="76" width="15.28"/>
    <col collapsed="false" customWidth="false" hidden="false" outlineLevel="0" max="257" min="53" style="76" width="9.14"/>
  </cols>
  <sheetData>
    <row r="1" customFormat="false" ht="13.5" hidden="false" customHeight="false" outlineLevel="0" collapsed="false">
      <c r="A1" s="78"/>
      <c r="B1" s="79" t="s">
        <v>136</v>
      </c>
      <c r="C1" s="80"/>
      <c r="D1" s="80"/>
      <c r="E1" s="0"/>
      <c r="H1" s="81" t="s">
        <v>137</v>
      </c>
      <c r="I1" s="81" t="s">
        <v>138</v>
      </c>
      <c r="J1" s="82" t="s">
        <v>139</v>
      </c>
      <c r="K1" s="82" t="s">
        <v>140</v>
      </c>
      <c r="L1" s="83" t="s">
        <v>141</v>
      </c>
      <c r="M1" s="84"/>
      <c r="AB1" s="85"/>
      <c r="AC1" s="86"/>
      <c r="AD1" s="85"/>
      <c r="AE1" s="85"/>
      <c r="AF1" s="86"/>
      <c r="AG1" s="85"/>
      <c r="AH1" s="87"/>
    </row>
    <row r="2" customFormat="false" ht="12.75" hidden="false" customHeight="false" outlineLevel="0" collapsed="false">
      <c r="A2" s="81" t="s">
        <v>34</v>
      </c>
      <c r="B2" s="88" t="s">
        <v>142</v>
      </c>
      <c r="C2" s="88" t="s">
        <v>143</v>
      </c>
      <c r="D2" s="89" t="s">
        <v>20</v>
      </c>
      <c r="E2" s="88" t="s">
        <v>144</v>
      </c>
      <c r="F2" s="88" t="s">
        <v>145</v>
      </c>
      <c r="G2" s="88" t="s">
        <v>146</v>
      </c>
      <c r="H2" s="90" t="s">
        <v>147</v>
      </c>
      <c r="I2" s="91" t="s">
        <v>148</v>
      </c>
      <c r="J2" s="92" t="s">
        <v>148</v>
      </c>
      <c r="K2" s="92" t="s">
        <v>149</v>
      </c>
      <c r="L2" s="93"/>
      <c r="AB2" s="85"/>
      <c r="AC2" s="85"/>
      <c r="AD2" s="85"/>
      <c r="AE2" s="85"/>
      <c r="AF2" s="85"/>
      <c r="AG2" s="85"/>
      <c r="AH2" s="85"/>
      <c r="AO2" s="94" t="s">
        <v>150</v>
      </c>
      <c r="AT2" s="94" t="s">
        <v>151</v>
      </c>
    </row>
    <row r="3" customFormat="false" ht="13.5" hidden="false" customHeight="false" outlineLevel="0" collapsed="false">
      <c r="A3" s="95" t="n">
        <f aca="false">Summary!C5</f>
        <v>36982</v>
      </c>
      <c r="B3" s="96" t="n">
        <f aca="false">Summary!D5</f>
        <v>38657</v>
      </c>
      <c r="C3" s="97" t="n">
        <f aca="false">Summary!B5</f>
        <v>36888</v>
      </c>
      <c r="D3" s="97" t="n">
        <f aca="true">IF(WEEKDAY(TODAY())=2,TODAY()-3,TODAY()-1)</f>
        <v>45925</v>
      </c>
      <c r="E3" s="98" t="str">
        <f aca="false">CONCATENATE(INT(Y8/12)," Y - ",Y8-INT(Y8/12)*12," M")</f>
        <v>4 Y - 8 M</v>
      </c>
      <c r="F3" s="99" t="n">
        <v>1</v>
      </c>
      <c r="G3" s="99" t="n">
        <v>2</v>
      </c>
      <c r="H3" s="100" t="n">
        <v>1</v>
      </c>
      <c r="I3" s="101" t="s">
        <v>152</v>
      </c>
      <c r="J3" s="101" t="s">
        <v>152</v>
      </c>
      <c r="K3" s="101" t="n">
        <v>0</v>
      </c>
      <c r="L3" s="102"/>
      <c r="AB3" s="85"/>
      <c r="AE3" s="85"/>
    </row>
    <row r="4" customFormat="false" ht="12.75" hidden="false" customHeight="false" outlineLevel="0" collapsed="false">
      <c r="A4" s="103"/>
      <c r="B4" s="103"/>
      <c r="C4" s="103"/>
      <c r="D4" s="103" t="s">
        <v>153</v>
      </c>
      <c r="E4" s="103" t="s">
        <v>154</v>
      </c>
      <c r="F4" s="103" t="s">
        <v>117</v>
      </c>
      <c r="G4" s="104" t="s">
        <v>155</v>
      </c>
      <c r="H4" s="105"/>
      <c r="I4" s="105"/>
      <c r="J4" s="104" t="str">
        <f aca="false">CONCATENATE(I3,"-","D")</f>
        <v>IF-TRANSCO/Z3-D</v>
      </c>
      <c r="K4" s="105" t="str">
        <f aca="false">I3</f>
        <v>IF-TRANSCO/Z3</v>
      </c>
      <c r="L4" s="105" t="str">
        <f aca="false">I3</f>
        <v>IF-TRANSCO/Z3</v>
      </c>
      <c r="M4" s="104" t="str">
        <f aca="false">CONCATENATE(J3,"-","I")</f>
        <v>IF-TRANSCO/Z3-I</v>
      </c>
      <c r="N4" s="105" t="str">
        <f aca="false">J3</f>
        <v>IF-TRANSCO/Z3</v>
      </c>
      <c r="O4" s="105" t="str">
        <f aca="false">J3</f>
        <v>IF-TRANSCO/Z3</v>
      </c>
      <c r="Q4" s="105" t="str">
        <f aca="false">J4</f>
        <v>IF-TRANSCO/Z3-D</v>
      </c>
      <c r="R4" s="105" t="str">
        <f aca="false">K4</f>
        <v>IF-TRANSCO/Z3</v>
      </c>
      <c r="T4" s="106"/>
      <c r="U4" s="106"/>
      <c r="V4" s="106" t="s">
        <v>156</v>
      </c>
      <c r="W4" s="104" t="s">
        <v>157</v>
      </c>
      <c r="X4" s="106"/>
      <c r="Y4" s="106"/>
      <c r="Z4" s="106"/>
      <c r="AB4" s="107"/>
      <c r="AC4" s="107"/>
      <c r="AD4" s="107"/>
      <c r="AE4" s="107" t="str">
        <f aca="false">K4</f>
        <v>IF-TRANSCO/Z3</v>
      </c>
      <c r="AF4" s="107" t="str">
        <f aca="false">AE4</f>
        <v>IF-TRANSCO/Z3</v>
      </c>
      <c r="AG4" s="107" t="str">
        <f aca="false">AF4</f>
        <v>IF-TRANSCO/Z3</v>
      </c>
      <c r="AH4" s="107" t="str">
        <f aca="false">AG4</f>
        <v>IF-TRANSCO/Z3</v>
      </c>
      <c r="AI4" s="107" t="str">
        <f aca="false">AH4</f>
        <v>IF-TRANSCO/Z3</v>
      </c>
      <c r="AJ4" s="107" t="str">
        <f aca="false">AI4</f>
        <v>IF-TRANSCO/Z3</v>
      </c>
      <c r="AK4" s="108"/>
      <c r="AL4" s="109" t="s">
        <v>158</v>
      </c>
      <c r="AM4" s="109" t="s">
        <v>159</v>
      </c>
      <c r="AN4" s="109" t="s">
        <v>160</v>
      </c>
      <c r="AO4" s="109" t="s">
        <v>153</v>
      </c>
      <c r="AQ4" s="109" t="s">
        <v>158</v>
      </c>
      <c r="AR4" s="109" t="s">
        <v>138</v>
      </c>
      <c r="AS4" s="109" t="s">
        <v>160</v>
      </c>
      <c r="AT4" s="109" t="s">
        <v>153</v>
      </c>
      <c r="AU4" s="110"/>
      <c r="AV4" s="111"/>
      <c r="AX4" s="111"/>
    </row>
    <row r="5" customFormat="false" ht="12.75" hidden="false" customHeight="false" outlineLevel="0" collapsed="false">
      <c r="A5" s="103" t="s">
        <v>69</v>
      </c>
      <c r="B5" s="103" t="s">
        <v>70</v>
      </c>
      <c r="C5" s="103"/>
      <c r="D5" s="103" t="s">
        <v>70</v>
      </c>
      <c r="E5" s="103" t="s">
        <v>70</v>
      </c>
      <c r="F5" s="103" t="s">
        <v>70</v>
      </c>
      <c r="G5" s="103" t="s">
        <v>113</v>
      </c>
      <c r="H5" s="103" t="s">
        <v>113</v>
      </c>
      <c r="I5" s="103" t="s">
        <v>113</v>
      </c>
      <c r="J5" s="103" t="s">
        <v>138</v>
      </c>
      <c r="K5" s="103" t="s">
        <v>138</v>
      </c>
      <c r="L5" s="103" t="s">
        <v>138</v>
      </c>
      <c r="M5" s="103" t="s">
        <v>139</v>
      </c>
      <c r="N5" s="103" t="s">
        <v>139</v>
      </c>
      <c r="O5" s="103" t="s">
        <v>139</v>
      </c>
      <c r="Q5" s="103" t="s">
        <v>67</v>
      </c>
      <c r="R5" s="103" t="s">
        <v>67</v>
      </c>
      <c r="T5" s="112" t="s">
        <v>161</v>
      </c>
      <c r="U5" s="112" t="s">
        <v>90</v>
      </c>
      <c r="V5" s="112" t="s">
        <v>90</v>
      </c>
      <c r="W5" s="113" t="s">
        <v>162</v>
      </c>
      <c r="X5" s="112" t="s">
        <v>90</v>
      </c>
      <c r="Y5" s="112" t="s">
        <v>163</v>
      </c>
      <c r="Z5" s="112" t="s">
        <v>163</v>
      </c>
      <c r="AB5" s="114" t="str">
        <f aca="false">G5</f>
        <v>Nymex</v>
      </c>
      <c r="AC5" s="114" t="str">
        <f aca="false">H5</f>
        <v>Nymex</v>
      </c>
      <c r="AD5" s="114" t="str">
        <f aca="false">I5</f>
        <v>Nymex</v>
      </c>
      <c r="AE5" s="114" t="str">
        <f aca="false">J5</f>
        <v>Basis</v>
      </c>
      <c r="AF5" s="114" t="str">
        <f aca="false">K5</f>
        <v>Basis</v>
      </c>
      <c r="AG5" s="114" t="str">
        <f aca="false">L5</f>
        <v>Basis</v>
      </c>
      <c r="AH5" s="114" t="str">
        <f aca="false">M5</f>
        <v>Index</v>
      </c>
      <c r="AI5" s="114" t="str">
        <f aca="false">N5</f>
        <v>Index</v>
      </c>
      <c r="AJ5" s="114" t="str">
        <f aca="false">O5</f>
        <v>Index</v>
      </c>
      <c r="AK5" s="108"/>
      <c r="AL5" s="115" t="str">
        <f aca="false">CHOOSE(G3,"Bid-Contract","Contract-Offer")</f>
        <v>Contract-Offer</v>
      </c>
      <c r="AM5" s="115" t="str">
        <f aca="false">AL5</f>
        <v>Contract-Offer</v>
      </c>
      <c r="AN5" s="115" t="str">
        <f aca="false">AL5</f>
        <v>Contract-Offer</v>
      </c>
      <c r="AO5" s="115" t="str">
        <f aca="false">AL5</f>
        <v>Contract-Offer</v>
      </c>
      <c r="AQ5" s="115" t="str">
        <f aca="false">CHOOSE(G3,"Mid-Bid","Offer-Mid")</f>
        <v>Offer-Mid</v>
      </c>
      <c r="AR5" s="115" t="str">
        <f aca="false">AQ5</f>
        <v>Offer-Mid</v>
      </c>
      <c r="AS5" s="115" t="str">
        <f aca="false">AQ5</f>
        <v>Offer-Mid</v>
      </c>
      <c r="AT5" s="115" t="str">
        <f aca="false">AQ5</f>
        <v>Offer-Mid</v>
      </c>
      <c r="AU5" s="110"/>
      <c r="AV5" s="116" t="s">
        <v>153</v>
      </c>
      <c r="AX5" s="116" t="s">
        <v>153</v>
      </c>
    </row>
    <row r="6" customFormat="false" ht="12.75" hidden="false" customHeight="false" outlineLevel="0" collapsed="false">
      <c r="A6" s="117" t="s">
        <v>164</v>
      </c>
      <c r="B6" s="117" t="s">
        <v>165</v>
      </c>
      <c r="C6" s="117"/>
      <c r="D6" s="117" t="s">
        <v>165</v>
      </c>
      <c r="E6" s="117" t="s">
        <v>166</v>
      </c>
      <c r="F6" s="117" t="s">
        <v>166</v>
      </c>
      <c r="G6" s="117" t="s">
        <v>167</v>
      </c>
      <c r="H6" s="117" t="str">
        <f aca="false">CHOOSE(G3,"Bid","Offer")</f>
        <v>Offer</v>
      </c>
      <c r="I6" s="117" t="s">
        <v>116</v>
      </c>
      <c r="J6" s="117" t="s">
        <v>167</v>
      </c>
      <c r="K6" s="117" t="str">
        <f aca="false">H6</f>
        <v>Offer</v>
      </c>
      <c r="L6" s="117" t="s">
        <v>116</v>
      </c>
      <c r="M6" s="117" t="s">
        <v>167</v>
      </c>
      <c r="N6" s="117" t="str">
        <f aca="false">K6</f>
        <v>Offer</v>
      </c>
      <c r="O6" s="117" t="s">
        <v>116</v>
      </c>
      <c r="Q6" s="117" t="s">
        <v>167</v>
      </c>
      <c r="R6" s="117" t="s">
        <v>116</v>
      </c>
      <c r="T6" s="118" t="s">
        <v>76</v>
      </c>
      <c r="U6" s="118" t="s">
        <v>75</v>
      </c>
      <c r="V6" s="118" t="s">
        <v>76</v>
      </c>
      <c r="W6" s="119" t="s">
        <v>168</v>
      </c>
      <c r="X6" s="118" t="s">
        <v>122</v>
      </c>
      <c r="Y6" s="118" t="s">
        <v>169</v>
      </c>
      <c r="Z6" s="118" t="s">
        <v>76</v>
      </c>
      <c r="AB6" s="120" t="str">
        <f aca="false">G6</f>
        <v>Mid</v>
      </c>
      <c r="AC6" s="120" t="str">
        <f aca="false">H6</f>
        <v>Offer</v>
      </c>
      <c r="AD6" s="120" t="str">
        <f aca="false">I6</f>
        <v>Contract</v>
      </c>
      <c r="AE6" s="120" t="str">
        <f aca="false">J6</f>
        <v>Mid</v>
      </c>
      <c r="AF6" s="120" t="str">
        <f aca="false">K6</f>
        <v>Offer</v>
      </c>
      <c r="AG6" s="120" t="str">
        <f aca="false">L6</f>
        <v>Contract</v>
      </c>
      <c r="AH6" s="120" t="str">
        <f aca="false">M6</f>
        <v>Mid</v>
      </c>
      <c r="AI6" s="120" t="str">
        <f aca="false">N6</f>
        <v>Offer</v>
      </c>
      <c r="AJ6" s="120" t="str">
        <f aca="false">O6</f>
        <v>Contract</v>
      </c>
      <c r="AK6" s="108"/>
      <c r="AL6" s="121" t="s">
        <v>3</v>
      </c>
      <c r="AM6" s="121" t="s">
        <v>3</v>
      </c>
      <c r="AN6" s="121" t="s">
        <v>3</v>
      </c>
      <c r="AO6" s="121" t="s">
        <v>3</v>
      </c>
      <c r="AQ6" s="121" t="s">
        <v>3</v>
      </c>
      <c r="AR6" s="121" t="s">
        <v>3</v>
      </c>
      <c r="AS6" s="121" t="s">
        <v>3</v>
      </c>
      <c r="AT6" s="121" t="s">
        <v>3</v>
      </c>
      <c r="AU6" s="110"/>
      <c r="AV6" s="116" t="s">
        <v>170</v>
      </c>
      <c r="AX6" s="116" t="s">
        <v>116</v>
      </c>
    </row>
    <row r="7" customFormat="false" ht="13.5" hidden="false" customHeight="false" outlineLevel="0" collapsed="false">
      <c r="A7" s="122"/>
      <c r="B7" s="122"/>
      <c r="C7" s="122"/>
      <c r="D7" s="122"/>
      <c r="V7" s="123"/>
      <c r="AV7" s="124"/>
      <c r="AX7" s="124"/>
    </row>
    <row r="8" customFormat="false" ht="13.5" hidden="false" customHeight="false" outlineLevel="0" collapsed="false">
      <c r="A8" s="125" t="s">
        <v>171</v>
      </c>
      <c r="B8" s="126"/>
      <c r="C8" s="126"/>
      <c r="D8" s="126" t="n">
        <f aca="false">SUM(D10:D370)</f>
        <v>21610800</v>
      </c>
      <c r="E8" s="126" t="n">
        <f aca="false">SUM(E10:E370)</f>
        <v>94306300</v>
      </c>
      <c r="F8" s="126" t="n">
        <f aca="false">SUM(F10:F370)</f>
        <v>80230545.1120771</v>
      </c>
      <c r="G8" s="127" t="n">
        <f aca="false">AB8/$F$8</f>
        <v>4.17441978634147</v>
      </c>
      <c r="H8" s="127" t="n">
        <f aca="false">AC8/$F$8</f>
        <v>4.17441978634147</v>
      </c>
      <c r="I8" s="127" t="n">
        <f aca="false">AD8/$F$8</f>
        <v>4.20911092492986</v>
      </c>
      <c r="J8" s="127" t="n">
        <f aca="false">AE8/$F$8</f>
        <v>0.0168714932370968</v>
      </c>
      <c r="K8" s="127" t="n">
        <f aca="false">AF8/$F$8</f>
        <v>0.0168714932370968</v>
      </c>
      <c r="L8" s="127" t="n">
        <f aca="false">AG8/$F$8</f>
        <v>0</v>
      </c>
      <c r="M8" s="128" t="n">
        <f aca="false">AH8/$F$8</f>
        <v>0.0161930753230332</v>
      </c>
      <c r="N8" s="127" t="n">
        <f aca="false">AI8/$F$8</f>
        <v>0.0161930753230332</v>
      </c>
      <c r="O8" s="127" t="n">
        <f aca="false">AJ8/$F$8</f>
        <v>0</v>
      </c>
      <c r="Q8" s="129" t="n">
        <f aca="false">M8+J8+G8</f>
        <v>4.2074843549016</v>
      </c>
      <c r="R8" s="127" t="n">
        <f aca="false">AX8/$F$8</f>
        <v>4.20911092492986</v>
      </c>
      <c r="W8" s="130"/>
      <c r="Y8" s="131" t="n">
        <f aca="false">SUM(Y10:Y370)</f>
        <v>56</v>
      </c>
      <c r="Z8" s="131" t="n">
        <f aca="false">SUM(Z10:Z370)</f>
        <v>1705</v>
      </c>
      <c r="AB8" s="132" t="n">
        <f aca="false">SUM(AB10:AB370)</f>
        <v>334915974.984817</v>
      </c>
      <c r="AC8" s="132" t="n">
        <f aca="false">SUM(AC10:AC370)</f>
        <v>334915974.984817</v>
      </c>
      <c r="AD8" s="132" t="n">
        <f aca="false">SUM(AD10:AD370)</f>
        <v>337699263.944321</v>
      </c>
      <c r="AE8" s="132" t="n">
        <f aca="false">SUM(AE10:AE370)</f>
        <v>1353609.099267</v>
      </c>
      <c r="AF8" s="132" t="n">
        <f aca="false">SUM(AF10:AF370)</f>
        <v>1353609.099267</v>
      </c>
      <c r="AG8" s="132" t="n">
        <f aca="false">SUM(AG10:AG370)</f>
        <v>0</v>
      </c>
      <c r="AH8" s="132" t="n">
        <f aca="false">SUM(AH10:AH370)</f>
        <v>1299179.26020788</v>
      </c>
      <c r="AI8" s="132" t="n">
        <f aca="false">SUM(AI10:AI370)</f>
        <v>1299179.26020788</v>
      </c>
      <c r="AJ8" s="132" t="n">
        <f aca="false">SUM(AJ10:AJ370)</f>
        <v>0</v>
      </c>
      <c r="AK8" s="132"/>
      <c r="AL8" s="132" t="n">
        <f aca="false">SUM(AL10:AL370)</f>
        <v>2783288.959505</v>
      </c>
      <c r="AM8" s="132" t="n">
        <f aca="false">SUM(AM10:AM370)</f>
        <v>-1353609.099267</v>
      </c>
      <c r="AN8" s="132" t="n">
        <f aca="false">SUM(AN10:AN370)</f>
        <v>-1299179.26020788</v>
      </c>
      <c r="AO8" s="132" t="n">
        <f aca="false">SUM(AO10:AO370)</f>
        <v>130500.600030132</v>
      </c>
      <c r="AQ8" s="132" t="n">
        <f aca="false">SUM(AQ10:AQ370)</f>
        <v>0</v>
      </c>
      <c r="AR8" s="132" t="n">
        <f aca="false">SUM(AR10:AR370)</f>
        <v>0</v>
      </c>
      <c r="AS8" s="132" t="n">
        <f aca="false">SUM(AS10:AS370)</f>
        <v>0</v>
      </c>
      <c r="AT8" s="132" t="n">
        <f aca="false">SUM(AT10:AT370)</f>
        <v>0</v>
      </c>
      <c r="AU8" s="132"/>
      <c r="AV8" s="133" t="n">
        <f aca="false">SUM(AV10:AV370)</f>
        <v>130500.600030132</v>
      </c>
      <c r="AX8" s="133" t="n">
        <f aca="false">SUM(AX10:AX370)</f>
        <v>337699263.944321</v>
      </c>
      <c r="AZ8" s="134" t="n">
        <f aca="false">SUM(AZ10:AZ369)</f>
        <v>393577752.2</v>
      </c>
    </row>
    <row r="9" customFormat="false" ht="12.75" hidden="false" customHeight="false" outlineLevel="0" collapsed="false">
      <c r="B9" s="135"/>
      <c r="C9" s="135"/>
      <c r="D9" s="135"/>
      <c r="E9" s="135"/>
      <c r="F9" s="135"/>
      <c r="G9" s="136"/>
      <c r="H9" s="136"/>
      <c r="I9" s="136"/>
      <c r="J9" s="136"/>
      <c r="K9" s="136"/>
      <c r="L9" s="136"/>
      <c r="M9" s="136"/>
      <c r="N9" s="136"/>
      <c r="O9" s="136"/>
      <c r="Q9" s="136"/>
      <c r="R9" s="136"/>
      <c r="AB9" s="132"/>
      <c r="AC9" s="132"/>
      <c r="AD9" s="132"/>
      <c r="AE9" s="132"/>
      <c r="AF9" s="132"/>
      <c r="AG9" s="132"/>
      <c r="AH9" s="132"/>
      <c r="AI9" s="132"/>
      <c r="AJ9" s="132"/>
      <c r="AK9" s="137"/>
      <c r="AV9" s="124"/>
      <c r="AX9" s="124"/>
    </row>
    <row r="10" customFormat="false" ht="12.75" hidden="false" customHeight="false" outlineLevel="0" collapsed="false">
      <c r="A10" s="138" t="n">
        <f aca="false">A3</f>
        <v>36982</v>
      </c>
      <c r="B10" s="139" t="n">
        <f aca="false">VLOOKUP($A10,Table2,MATCH(I$3,Curves2,0))</f>
        <v>43200</v>
      </c>
      <c r="C10" s="140"/>
      <c r="D10" s="141" t="n">
        <f aca="false">B10+C10</f>
        <v>43200</v>
      </c>
      <c r="E10" s="126" t="n">
        <f aca="false">IF(Y10=0,0,IF(AND(Y10=1,$H$3=1),D10*T10,IF($H$3=2,D10,"N/A")))</f>
        <v>1296000</v>
      </c>
      <c r="F10" s="126" t="n">
        <f aca="false">E10*X10</f>
        <v>1262849.99681305</v>
      </c>
      <c r="G10" s="142" t="n">
        <f aca="false">VLOOKUP($A10,Table,MATCH(G$4,Curves,0))</f>
        <v>6.01</v>
      </c>
      <c r="H10" s="143" t="n">
        <f aca="false">G10</f>
        <v>6.01</v>
      </c>
      <c r="I10" s="142" t="n">
        <f aca="false">VLOOKUP($A10,Table1,MATCH(I$3,Curves1,0))</f>
        <v>5.3435</v>
      </c>
      <c r="J10" s="142" t="n">
        <f aca="false">VLOOKUP($A10,Table,MATCH(J$4,Curves,0))</f>
        <v>0.02</v>
      </c>
      <c r="K10" s="143" t="n">
        <f aca="false">J10</f>
        <v>0.02</v>
      </c>
      <c r="L10" s="144" t="n">
        <v>0</v>
      </c>
      <c r="M10" s="142" t="n">
        <f aca="false">VLOOKUP($A10,Table,MATCH(M$4,Curves,0))</f>
        <v>0.015</v>
      </c>
      <c r="N10" s="143" t="n">
        <f aca="false">M10</f>
        <v>0.015</v>
      </c>
      <c r="O10" s="144" t="n">
        <v>0</v>
      </c>
      <c r="P10" s="145"/>
      <c r="Q10" s="144" t="n">
        <f aca="false">M10+J10+G10</f>
        <v>6.045</v>
      </c>
      <c r="R10" s="144" t="n">
        <f aca="false">O10+L10+I10</f>
        <v>5.3435</v>
      </c>
      <c r="S10" s="145"/>
      <c r="T10" s="71" t="n">
        <f aca="false">A11-A10</f>
        <v>30</v>
      </c>
      <c r="U10" s="146" t="n">
        <f aca="false">CHOOSE(F$3,A11+24,A10)</f>
        <v>37036</v>
      </c>
      <c r="V10" s="71" t="n">
        <f aca="false">U10-C$3</f>
        <v>148</v>
      </c>
      <c r="W10" s="142" t="n">
        <f aca="false">VLOOKUP($A10,Table,MATCH(W$4,Curves,0))</f>
        <v>0.066009899863733</v>
      </c>
      <c r="X10" s="147" t="n">
        <f aca="false">1/(1+CHOOSE(F$3,(W11+($K$3/10000))/2,(W10+($K$3/10000))/2))^(2*V10/365.25)</f>
        <v>0.974421293837232</v>
      </c>
      <c r="Y10" s="71" t="n">
        <f aca="false">IF(AND(mthbeg&lt;=A10,mthend&gt;=A10),1,0)</f>
        <v>1</v>
      </c>
      <c r="Z10" s="71" t="n">
        <f aca="false">T10*Y10</f>
        <v>30</v>
      </c>
      <c r="AB10" s="132" t="n">
        <f aca="false">F10*G10</f>
        <v>7589728.48084644</v>
      </c>
      <c r="AC10" s="132" t="n">
        <f aca="false">$F10*H10</f>
        <v>7589728.48084644</v>
      </c>
      <c r="AD10" s="132" t="n">
        <f aca="false">$F10*I10</f>
        <v>6748038.95797054</v>
      </c>
      <c r="AE10" s="132" t="n">
        <f aca="false">$F10*J10</f>
        <v>25256.999936261</v>
      </c>
      <c r="AF10" s="132" t="n">
        <f aca="false">$F10*K10</f>
        <v>25256.999936261</v>
      </c>
      <c r="AG10" s="132" t="n">
        <f aca="false">$F10*L10</f>
        <v>0</v>
      </c>
      <c r="AH10" s="132" t="n">
        <f aca="false">$F10*M10</f>
        <v>18942.7499521958</v>
      </c>
      <c r="AI10" s="132" t="n">
        <f aca="false">$F10*N10</f>
        <v>18942.7499521958</v>
      </c>
      <c r="AJ10" s="132" t="n">
        <f aca="false">F10*O10</f>
        <v>0</v>
      </c>
      <c r="AK10" s="137"/>
      <c r="AL10" s="132" t="n">
        <f aca="false">CHOOSE($G$3,AC10-AD10,AD10-AC10)</f>
        <v>-841689.522875899</v>
      </c>
      <c r="AM10" s="132" t="n">
        <f aca="false">CHOOSE($G$3,AF10-AG10,AG10-AF10)</f>
        <v>-25256.999936261</v>
      </c>
      <c r="AN10" s="132" t="n">
        <f aca="false">CHOOSE($G$3,AI10-AJ10,AJ10-AI10)</f>
        <v>-18942.7499521958</v>
      </c>
      <c r="AO10" s="148" t="n">
        <f aca="false">SUM(AL10:AN10)</f>
        <v>-885889.272764356</v>
      </c>
      <c r="AQ10" s="132" t="n">
        <f aca="false">CHOOSE($G$3,AB10-AC10,AC10-AB10)</f>
        <v>0</v>
      </c>
      <c r="AR10" s="132" t="n">
        <f aca="false">CHOOSE($G$3,AE10-AF10,AF10-AE10)</f>
        <v>0</v>
      </c>
      <c r="AS10" s="132" t="n">
        <f aca="false">CHOOSE($G$3,AH10-AI10,AI10-AH10)</f>
        <v>0</v>
      </c>
      <c r="AT10" s="148" t="n">
        <f aca="false">AQ10+AR10+AS10</f>
        <v>0</v>
      </c>
      <c r="AU10" s="148"/>
      <c r="AV10" s="133" t="n">
        <f aca="false">AT10+AO10</f>
        <v>-885889.272764356</v>
      </c>
      <c r="AX10" s="133" t="n">
        <f aca="false">AJ10+AG10+AD10</f>
        <v>6748038.95797054</v>
      </c>
      <c r="AY10" s="149"/>
      <c r="AZ10" s="76" t="n">
        <f aca="false">R10*E10</f>
        <v>6925176</v>
      </c>
      <c r="BB10" s="150"/>
    </row>
    <row r="11" customFormat="false" ht="12.75" hidden="false" customHeight="false" outlineLevel="0" collapsed="false">
      <c r="A11" s="138" t="n">
        <f aca="false">EDATE(A10,1)</f>
        <v>37012</v>
      </c>
      <c r="B11" s="139" t="n">
        <f aca="false">VLOOKUP($A11,Table2,MATCH(I$3,Curves2,0))</f>
        <v>43200</v>
      </c>
      <c r="C11" s="140"/>
      <c r="D11" s="141" t="n">
        <f aca="false">B11+C11</f>
        <v>43200</v>
      </c>
      <c r="E11" s="126" t="n">
        <f aca="false">IF(Y11=0,0,IF(AND(Y11=1,$H$3=1),D11*T11,IF($H$3=2,D11,"N/A")))</f>
        <v>1339200</v>
      </c>
      <c r="F11" s="126" t="n">
        <f aca="false">E11*X11</f>
        <v>1298537.33447372</v>
      </c>
      <c r="G11" s="142" t="n">
        <f aca="false">VLOOKUP($A11,Table,MATCH(G$4,Curves,0))</f>
        <v>5.36</v>
      </c>
      <c r="H11" s="143" t="n">
        <f aca="false">G11</f>
        <v>5.36</v>
      </c>
      <c r="I11" s="142" t="n">
        <f aca="false">VLOOKUP($A11,Table1,MATCH(I$3,Curves1,0))</f>
        <v>5.3435</v>
      </c>
      <c r="J11" s="142" t="n">
        <f aca="false">VLOOKUP($A11,Table,MATCH(J$4,Curves,0))</f>
        <v>0.02</v>
      </c>
      <c r="K11" s="143" t="n">
        <f aca="false">J11</f>
        <v>0.02</v>
      </c>
      <c r="L11" s="144" t="n">
        <v>0</v>
      </c>
      <c r="M11" s="142" t="n">
        <f aca="false">VLOOKUP($A11,Table,MATCH(M$4,Curves,0))</f>
        <v>0.015</v>
      </c>
      <c r="N11" s="143" t="n">
        <f aca="false">M11</f>
        <v>0.015</v>
      </c>
      <c r="O11" s="144" t="n">
        <v>0</v>
      </c>
      <c r="P11" s="145"/>
      <c r="Q11" s="144" t="n">
        <f aca="false">M11+J11+G11</f>
        <v>5.395</v>
      </c>
      <c r="R11" s="144" t="n">
        <f aca="false">O11+L11+I11</f>
        <v>5.3435</v>
      </c>
      <c r="S11" s="145"/>
      <c r="T11" s="71" t="n">
        <f aca="false">A12-A11</f>
        <v>31</v>
      </c>
      <c r="U11" s="146" t="n">
        <f aca="false">CHOOSE(F$3,A12+24,A11)</f>
        <v>37067</v>
      </c>
      <c r="V11" s="71" t="n">
        <f aca="false">U11-C$3</f>
        <v>179</v>
      </c>
      <c r="W11" s="142" t="n">
        <f aca="false">VLOOKUP($A11,Table,MATCH(W$4,Curves,0))</f>
        <v>0.06498049692698</v>
      </c>
      <c r="X11" s="147" t="n">
        <f aca="false">1/(1+CHOOSE(F$3,(W12+($K$3/10000))/2,(W11+($K$3/10000))/2))^(2*V11/365.25)</f>
        <v>0.969636599816097</v>
      </c>
      <c r="Y11" s="71" t="n">
        <f aca="false">IF(AND(mthbeg&lt;=A11,mthend&gt;=A11),1,0)</f>
        <v>1</v>
      </c>
      <c r="Z11" s="71" t="n">
        <f aca="false">T11*Y11</f>
        <v>31</v>
      </c>
      <c r="AB11" s="132" t="n">
        <f aca="false">F11*G11</f>
        <v>6960160.11277912</v>
      </c>
      <c r="AC11" s="132" t="n">
        <f aca="false">$F11*H11</f>
        <v>6960160.11277912</v>
      </c>
      <c r="AD11" s="132" t="n">
        <f aca="false">$F11*I11</f>
        <v>6938734.2467603</v>
      </c>
      <c r="AE11" s="132" t="n">
        <f aca="false">$F11*J11</f>
        <v>25970.7466894743</v>
      </c>
      <c r="AF11" s="132" t="n">
        <f aca="false">$F11*K11</f>
        <v>25970.7466894743</v>
      </c>
      <c r="AG11" s="132" t="n">
        <f aca="false">$F11*L11</f>
        <v>0</v>
      </c>
      <c r="AH11" s="132" t="n">
        <f aca="false">$F11*M11</f>
        <v>19478.0600171058</v>
      </c>
      <c r="AI11" s="132" t="n">
        <f aca="false">$F11*N11</f>
        <v>19478.0600171058</v>
      </c>
      <c r="AJ11" s="132" t="n">
        <f aca="false">F11*O11</f>
        <v>0</v>
      </c>
      <c r="AK11" s="137"/>
      <c r="AL11" s="132" t="n">
        <f aca="false">CHOOSE($G$3,AC11-AD11,AD11-AC11)</f>
        <v>-21425.8660188168</v>
      </c>
      <c r="AM11" s="132" t="n">
        <f aca="false">CHOOSE($G$3,AF11-AG11,AG11-AF11)</f>
        <v>-25970.7466894743</v>
      </c>
      <c r="AN11" s="132" t="n">
        <f aca="false">CHOOSE($G$3,AI11-AJ11,AJ11-AI11)</f>
        <v>-19478.0600171058</v>
      </c>
      <c r="AO11" s="148" t="n">
        <f aca="false">SUM(AL11:AN11)</f>
        <v>-66874.6727253969</v>
      </c>
      <c r="AQ11" s="132" t="n">
        <f aca="false">CHOOSE($G$3,AB11-AC11,AC11-AB11)</f>
        <v>0</v>
      </c>
      <c r="AR11" s="132" t="n">
        <f aca="false">CHOOSE($G$3,AE11-AF11,AF11-AE11)</f>
        <v>0</v>
      </c>
      <c r="AS11" s="132" t="n">
        <f aca="false">CHOOSE($G$3,AH11-AI11,AI11-AH11)</f>
        <v>0</v>
      </c>
      <c r="AT11" s="148" t="n">
        <f aca="false">AQ11+AR11+AS11</f>
        <v>0</v>
      </c>
      <c r="AU11" s="148"/>
      <c r="AV11" s="133" t="n">
        <f aca="false">AT11+AO11</f>
        <v>-66874.6727253969</v>
      </c>
      <c r="AX11" s="133" t="n">
        <f aca="false">AJ11+AG11+AD11</f>
        <v>6938734.2467603</v>
      </c>
      <c r="AY11" s="149"/>
      <c r="AZ11" s="76" t="n">
        <f aca="false">R11*E11</f>
        <v>7156015.2</v>
      </c>
    </row>
    <row r="12" customFormat="false" ht="12.75" hidden="false" customHeight="false" outlineLevel="0" collapsed="false">
      <c r="A12" s="138" t="n">
        <f aca="false">EDATE(A11,1)</f>
        <v>37043</v>
      </c>
      <c r="B12" s="139" t="n">
        <f aca="false">VLOOKUP($A12,Table2,MATCH(I$3,Curves2,0))</f>
        <v>43200</v>
      </c>
      <c r="C12" s="140"/>
      <c r="D12" s="141" t="n">
        <f aca="false">B12+C12</f>
        <v>43200</v>
      </c>
      <c r="E12" s="126" t="n">
        <f aca="false">IF(Y12=0,0,IF(AND(Y12=1,$H$3=1),D12*T12,IF($H$3=2,D12,"N/A")))</f>
        <v>1296000</v>
      </c>
      <c r="F12" s="126" t="n">
        <f aca="false">E12*X12</f>
        <v>1250803.28973679</v>
      </c>
      <c r="G12" s="142" t="n">
        <f aca="false">VLOOKUP($A12,Table,MATCH(G$4,Curves,0))</f>
        <v>5.31</v>
      </c>
      <c r="H12" s="143" t="n">
        <f aca="false">G12</f>
        <v>5.31</v>
      </c>
      <c r="I12" s="142" t="n">
        <f aca="false">VLOOKUP($A12,Table1,MATCH(I$3,Curves1,0))</f>
        <v>5.3435</v>
      </c>
      <c r="J12" s="142" t="n">
        <f aca="false">VLOOKUP($A12,Table,MATCH(J$4,Curves,0))</f>
        <v>0.02</v>
      </c>
      <c r="K12" s="143" t="n">
        <f aca="false">J12</f>
        <v>0.02</v>
      </c>
      <c r="L12" s="144" t="n">
        <v>0</v>
      </c>
      <c r="M12" s="142" t="n">
        <f aca="false">VLOOKUP($A12,Table,MATCH(M$4,Curves,0))</f>
        <v>0.015</v>
      </c>
      <c r="N12" s="143" t="n">
        <f aca="false">M12</f>
        <v>0.015</v>
      </c>
      <c r="O12" s="144" t="n">
        <v>0</v>
      </c>
      <c r="P12" s="145"/>
      <c r="Q12" s="144" t="n">
        <f aca="false">M12+J12+G12</f>
        <v>5.345</v>
      </c>
      <c r="R12" s="144" t="n">
        <f aca="false">O12+L12+I12</f>
        <v>5.3435</v>
      </c>
      <c r="S12" s="145"/>
      <c r="T12" s="71" t="n">
        <f aca="false">A13-A12</f>
        <v>30</v>
      </c>
      <c r="U12" s="146" t="n">
        <f aca="false">CHOOSE(F$3,A13+24,A12)</f>
        <v>37097</v>
      </c>
      <c r="V12" s="71" t="n">
        <f aca="false">U12-C$3</f>
        <v>209</v>
      </c>
      <c r="W12" s="142" t="n">
        <f aca="false">VLOOKUP($A12,Table,MATCH(W$4,Curves,0))</f>
        <v>0.063916780928</v>
      </c>
      <c r="X12" s="147" t="n">
        <f aca="false">1/(1+CHOOSE(F$3,(W13+($K$3/10000))/2,(W12+($K$3/10000))/2))^(2*V12/365.25)</f>
        <v>0.965125995167278</v>
      </c>
      <c r="Y12" s="71" t="n">
        <f aca="false">IF(AND(mthbeg&lt;=A12,mthend&gt;=A12),1,0)</f>
        <v>1</v>
      </c>
      <c r="Z12" s="71" t="n">
        <f aca="false">T12*Y12</f>
        <v>30</v>
      </c>
      <c r="AB12" s="132" t="n">
        <f aca="false">F12*G12</f>
        <v>6641765.46850237</v>
      </c>
      <c r="AC12" s="132" t="n">
        <f aca="false">$F12*H12</f>
        <v>6641765.46850237</v>
      </c>
      <c r="AD12" s="132" t="n">
        <f aca="false">$F12*I12</f>
        <v>6683667.37870855</v>
      </c>
      <c r="AE12" s="132" t="n">
        <f aca="false">$F12*J12</f>
        <v>25016.0657947358</v>
      </c>
      <c r="AF12" s="132" t="n">
        <f aca="false">$F12*K12</f>
        <v>25016.0657947358</v>
      </c>
      <c r="AG12" s="132" t="n">
        <f aca="false">$F12*L12</f>
        <v>0</v>
      </c>
      <c r="AH12" s="132" t="n">
        <f aca="false">$F12*M12</f>
        <v>18762.0493460519</v>
      </c>
      <c r="AI12" s="132" t="n">
        <f aca="false">$F12*N12</f>
        <v>18762.0493460519</v>
      </c>
      <c r="AJ12" s="132" t="n">
        <f aca="false">F12*O12</f>
        <v>0</v>
      </c>
      <c r="AK12" s="137"/>
      <c r="AL12" s="132" t="n">
        <f aca="false">CHOOSE($G$3,AC12-AD12,AD12-AC12)</f>
        <v>41901.9102061829</v>
      </c>
      <c r="AM12" s="132" t="n">
        <f aca="false">CHOOSE($G$3,AF12-AG12,AG12-AF12)</f>
        <v>-25016.0657947358</v>
      </c>
      <c r="AN12" s="132" t="n">
        <f aca="false">CHOOSE($G$3,AI12-AJ12,AJ12-AI12)</f>
        <v>-18762.0493460519</v>
      </c>
      <c r="AO12" s="148" t="n">
        <f aca="false">SUM(AL12:AN12)</f>
        <v>-1876.20493460486</v>
      </c>
      <c r="AQ12" s="132" t="n">
        <f aca="false">CHOOSE($G$3,AB12-AC12,AC12-AB12)</f>
        <v>0</v>
      </c>
      <c r="AR12" s="132" t="n">
        <f aca="false">CHOOSE($G$3,AE12-AF12,AF12-AE12)</f>
        <v>0</v>
      </c>
      <c r="AS12" s="132" t="n">
        <f aca="false">CHOOSE($G$3,AH12-AI12,AI12-AH12)</f>
        <v>0</v>
      </c>
      <c r="AT12" s="148" t="n">
        <f aca="false">AQ12+AR12+AS12</f>
        <v>0</v>
      </c>
      <c r="AU12" s="148"/>
      <c r="AV12" s="133" t="n">
        <f aca="false">AT12+AO12</f>
        <v>-1876.20493460486</v>
      </c>
      <c r="AX12" s="133" t="n">
        <f aca="false">AJ12+AG12+AD12</f>
        <v>6683667.37870855</v>
      </c>
      <c r="AY12" s="149"/>
      <c r="AZ12" s="76" t="n">
        <f aca="false">R12*E12</f>
        <v>6925176</v>
      </c>
    </row>
    <row r="13" customFormat="false" ht="12.75" hidden="false" customHeight="false" outlineLevel="0" collapsed="false">
      <c r="A13" s="138" t="n">
        <f aca="false">EDATE(A12,1)</f>
        <v>37073</v>
      </c>
      <c r="B13" s="139" t="n">
        <f aca="false">VLOOKUP($A13,Table2,MATCH(I$3,Curves2,0))</f>
        <v>43200</v>
      </c>
      <c r="C13" s="140"/>
      <c r="D13" s="141" t="n">
        <f aca="false">B13+C13</f>
        <v>43200</v>
      </c>
      <c r="E13" s="126" t="n">
        <f aca="false">IF(Y13=0,0,IF(AND(Y13=1,$H$3=1),D13*T13,IF($H$3=2,D13,"N/A")))</f>
        <v>1339200</v>
      </c>
      <c r="F13" s="126" t="n">
        <f aca="false">E13*X13</f>
        <v>1286299.03298672</v>
      </c>
      <c r="G13" s="142" t="n">
        <f aca="false">VLOOKUP($A13,Table,MATCH(G$4,Curves,0))</f>
        <v>5.295</v>
      </c>
      <c r="H13" s="143" t="n">
        <f aca="false">G13</f>
        <v>5.295</v>
      </c>
      <c r="I13" s="142" t="n">
        <f aca="false">VLOOKUP($A13,Table1,MATCH(I$3,Curves1,0))</f>
        <v>5.3435</v>
      </c>
      <c r="J13" s="142" t="n">
        <f aca="false">VLOOKUP($A13,Table,MATCH(J$4,Curves,0))</f>
        <v>0.02</v>
      </c>
      <c r="K13" s="143" t="n">
        <f aca="false">J13</f>
        <v>0.02</v>
      </c>
      <c r="L13" s="144" t="n">
        <v>0</v>
      </c>
      <c r="M13" s="142" t="n">
        <f aca="false">VLOOKUP($A13,Table,MATCH(M$4,Curves,0))</f>
        <v>0.015</v>
      </c>
      <c r="N13" s="143" t="n">
        <f aca="false">M13</f>
        <v>0.015</v>
      </c>
      <c r="O13" s="144" t="n">
        <v>0</v>
      </c>
      <c r="P13" s="145"/>
      <c r="Q13" s="144" t="n">
        <f aca="false">M13+J13+G13</f>
        <v>5.33</v>
      </c>
      <c r="R13" s="144" t="n">
        <f aca="false">O13+L13+I13</f>
        <v>5.3435</v>
      </c>
      <c r="S13" s="145"/>
      <c r="T13" s="71" t="n">
        <f aca="false">A14-A13</f>
        <v>31</v>
      </c>
      <c r="U13" s="146" t="n">
        <f aca="false">CHOOSE(F$3,A14+24,A13)</f>
        <v>37128</v>
      </c>
      <c r="V13" s="71" t="n">
        <f aca="false">U13-C$3</f>
        <v>240</v>
      </c>
      <c r="W13" s="142" t="n">
        <f aca="false">VLOOKUP($A13,Table,MATCH(W$4,Curves,0))</f>
        <v>0.063006250837977</v>
      </c>
      <c r="X13" s="147" t="n">
        <f aca="false">1/(1+CHOOSE(F$3,(W14+($K$3/10000))/2,(W13+($K$3/10000))/2))^(2*V13/365.25)</f>
        <v>0.960498083174075</v>
      </c>
      <c r="Y13" s="71" t="n">
        <f aca="false">IF(AND(mthbeg&lt;=A13,mthend&gt;=A13),1,0)</f>
        <v>1</v>
      </c>
      <c r="Z13" s="71" t="n">
        <f aca="false">T13*Y13</f>
        <v>31</v>
      </c>
      <c r="AB13" s="132" t="n">
        <f aca="false">F13*G13</f>
        <v>6810953.37966469</v>
      </c>
      <c r="AC13" s="132" t="n">
        <f aca="false">$F13*H13</f>
        <v>6810953.37966469</v>
      </c>
      <c r="AD13" s="132" t="n">
        <f aca="false">$F13*I13</f>
        <v>6873338.88276454</v>
      </c>
      <c r="AE13" s="132" t="n">
        <f aca="false">$F13*J13</f>
        <v>25725.9806597344</v>
      </c>
      <c r="AF13" s="132" t="n">
        <f aca="false">$F13*K13</f>
        <v>25725.9806597344</v>
      </c>
      <c r="AG13" s="132" t="n">
        <f aca="false">$F13*L13</f>
        <v>0</v>
      </c>
      <c r="AH13" s="132" t="n">
        <f aca="false">$F13*M13</f>
        <v>19294.4854948008</v>
      </c>
      <c r="AI13" s="132" t="n">
        <f aca="false">$F13*N13</f>
        <v>19294.4854948008</v>
      </c>
      <c r="AJ13" s="132" t="n">
        <f aca="false">F13*O13</f>
        <v>0</v>
      </c>
      <c r="AK13" s="137"/>
      <c r="AL13" s="132" t="n">
        <f aca="false">CHOOSE($G$3,AC13-AD13,AD13-AC13)</f>
        <v>62385.503099855</v>
      </c>
      <c r="AM13" s="132" t="n">
        <f aca="false">CHOOSE($G$3,AF13-AG13,AG13-AF13)</f>
        <v>-25725.9806597344</v>
      </c>
      <c r="AN13" s="132" t="n">
        <f aca="false">CHOOSE($G$3,AI13-AJ13,AJ13-AI13)</f>
        <v>-19294.4854948008</v>
      </c>
      <c r="AO13" s="148" t="n">
        <f aca="false">SUM(AL13:AN13)</f>
        <v>17365.0369453198</v>
      </c>
      <c r="AQ13" s="132" t="n">
        <f aca="false">CHOOSE($G$3,AB13-AC13,AC13-AB13)</f>
        <v>0</v>
      </c>
      <c r="AR13" s="132" t="n">
        <f aca="false">CHOOSE($G$3,AE13-AF13,AF13-AE13)</f>
        <v>0</v>
      </c>
      <c r="AS13" s="132" t="n">
        <f aca="false">CHOOSE($G$3,AH13-AI13,AI13-AH13)</f>
        <v>0</v>
      </c>
      <c r="AT13" s="148" t="n">
        <f aca="false">AQ13+AR13+AS13</f>
        <v>0</v>
      </c>
      <c r="AU13" s="148"/>
      <c r="AV13" s="133" t="n">
        <f aca="false">AT13+AO13</f>
        <v>17365.0369453198</v>
      </c>
      <c r="AX13" s="133" t="n">
        <f aca="false">AJ13+AG13+AD13</f>
        <v>6873338.88276454</v>
      </c>
      <c r="AY13" s="149"/>
      <c r="AZ13" s="76" t="n">
        <f aca="false">R13*E13</f>
        <v>7156015.2</v>
      </c>
    </row>
    <row r="14" customFormat="false" ht="12.75" hidden="false" customHeight="false" outlineLevel="0" collapsed="false">
      <c r="A14" s="138" t="n">
        <f aca="false">EDATE(A13,1)</f>
        <v>37104</v>
      </c>
      <c r="B14" s="139" t="n">
        <f aca="false">VLOOKUP($A14,Table2,MATCH(I$3,Curves2,0))</f>
        <v>43200</v>
      </c>
      <c r="C14" s="140"/>
      <c r="D14" s="141" t="n">
        <f aca="false">B14+C14</f>
        <v>43200</v>
      </c>
      <c r="E14" s="126" t="n">
        <f aca="false">IF(Y14=0,0,IF(AND(Y14=1,$H$3=1),D14*T14,IF($H$3=2,D14,"N/A")))</f>
        <v>1339200</v>
      </c>
      <c r="F14" s="126" t="n">
        <f aca="false">E14*X14</f>
        <v>1280282.87790174</v>
      </c>
      <c r="G14" s="142" t="n">
        <f aca="false">VLOOKUP($A14,Table,MATCH(G$4,Curves,0))</f>
        <v>5.275</v>
      </c>
      <c r="H14" s="143" t="n">
        <f aca="false">G14</f>
        <v>5.275</v>
      </c>
      <c r="I14" s="142" t="n">
        <f aca="false">VLOOKUP($A14,Table1,MATCH(I$3,Curves1,0))</f>
        <v>5.3435</v>
      </c>
      <c r="J14" s="142" t="n">
        <f aca="false">VLOOKUP($A14,Table,MATCH(J$4,Curves,0))</f>
        <v>0.02</v>
      </c>
      <c r="K14" s="143" t="n">
        <f aca="false">J14</f>
        <v>0.02</v>
      </c>
      <c r="L14" s="144" t="n">
        <v>0</v>
      </c>
      <c r="M14" s="142" t="n">
        <f aca="false">VLOOKUP($A14,Table,MATCH(M$4,Curves,0))</f>
        <v>0.015</v>
      </c>
      <c r="N14" s="143" t="n">
        <f aca="false">M14</f>
        <v>0.015</v>
      </c>
      <c r="O14" s="144" t="n">
        <v>0</v>
      </c>
      <c r="P14" s="145"/>
      <c r="Q14" s="144" t="n">
        <f aca="false">M14+J14+G14</f>
        <v>5.31</v>
      </c>
      <c r="R14" s="144" t="n">
        <f aca="false">O14+L14+I14</f>
        <v>5.3435</v>
      </c>
      <c r="S14" s="145"/>
      <c r="T14" s="71" t="n">
        <f aca="false">A15-A14</f>
        <v>31</v>
      </c>
      <c r="U14" s="146" t="n">
        <f aca="false">CHOOSE(F$3,A15+24,A14)</f>
        <v>37159</v>
      </c>
      <c r="V14" s="71" t="n">
        <f aca="false">U14-C$3</f>
        <v>271</v>
      </c>
      <c r="W14" s="142" t="n">
        <f aca="false">VLOOKUP($A14,Table,MATCH(W$4,Curves,0))</f>
        <v>0.062286806097195</v>
      </c>
      <c r="X14" s="147" t="n">
        <f aca="false">1/(1+CHOOSE(F$3,(W15+($K$3/10000))/2,(W14+($K$3/10000))/2))^(2*V14/365.25)</f>
        <v>0.956005733200222</v>
      </c>
      <c r="Y14" s="71" t="n">
        <f aca="false">IF(AND(mthbeg&lt;=A14,mthend&gt;=A14),1,0)</f>
        <v>1</v>
      </c>
      <c r="Z14" s="71" t="n">
        <f aca="false">T14*Y14</f>
        <v>31</v>
      </c>
      <c r="AB14" s="132" t="n">
        <f aca="false">F14*G14</f>
        <v>6753492.18093166</v>
      </c>
      <c r="AC14" s="132" t="n">
        <f aca="false">$F14*H14</f>
        <v>6753492.18093166</v>
      </c>
      <c r="AD14" s="132" t="n">
        <f aca="false">$F14*I14</f>
        <v>6841191.55806793</v>
      </c>
      <c r="AE14" s="132" t="n">
        <f aca="false">$F14*J14</f>
        <v>25605.6575580347</v>
      </c>
      <c r="AF14" s="132" t="n">
        <f aca="false">$F14*K14</f>
        <v>25605.6575580347</v>
      </c>
      <c r="AG14" s="132" t="n">
        <f aca="false">$F14*L14</f>
        <v>0</v>
      </c>
      <c r="AH14" s="132" t="n">
        <f aca="false">$F14*M14</f>
        <v>19204.2431685261</v>
      </c>
      <c r="AI14" s="132" t="n">
        <f aca="false">$F14*N14</f>
        <v>19204.2431685261</v>
      </c>
      <c r="AJ14" s="132" t="n">
        <f aca="false">F14*O14</f>
        <v>0</v>
      </c>
      <c r="AK14" s="137"/>
      <c r="AL14" s="132" t="n">
        <f aca="false">CHOOSE($G$3,AC14-AD14,AD14-AC14)</f>
        <v>87699.3771362687</v>
      </c>
      <c r="AM14" s="132" t="n">
        <f aca="false">CHOOSE($G$3,AF14-AG14,AG14-AF14)</f>
        <v>-25605.6575580347</v>
      </c>
      <c r="AN14" s="132" t="n">
        <f aca="false">CHOOSE($G$3,AI14-AJ14,AJ14-AI14)</f>
        <v>-19204.2431685261</v>
      </c>
      <c r="AO14" s="148" t="n">
        <f aca="false">SUM(AL14:AN14)</f>
        <v>42889.4764097079</v>
      </c>
      <c r="AQ14" s="132" t="n">
        <f aca="false">CHOOSE($G$3,AB14-AC14,AC14-AB14)</f>
        <v>0</v>
      </c>
      <c r="AR14" s="132" t="n">
        <f aca="false">CHOOSE($G$3,AE14-AF14,AF14-AE14)</f>
        <v>0</v>
      </c>
      <c r="AS14" s="132" t="n">
        <f aca="false">CHOOSE($G$3,AH14-AI14,AI14-AH14)</f>
        <v>0</v>
      </c>
      <c r="AT14" s="148" t="n">
        <f aca="false">AQ14+AR14+AS14</f>
        <v>0</v>
      </c>
      <c r="AU14" s="148"/>
      <c r="AV14" s="133" t="n">
        <f aca="false">AT14+AO14</f>
        <v>42889.4764097079</v>
      </c>
      <c r="AX14" s="133" t="n">
        <f aca="false">AJ14+AG14+AD14</f>
        <v>6841191.55806793</v>
      </c>
      <c r="AY14" s="149"/>
      <c r="AZ14" s="76" t="n">
        <f aca="false">R14*E14</f>
        <v>7156015.2</v>
      </c>
    </row>
    <row r="15" customFormat="false" ht="12.75" hidden="false" customHeight="false" outlineLevel="0" collapsed="false">
      <c r="A15" s="138" t="n">
        <f aca="false">EDATE(A14,1)</f>
        <v>37135</v>
      </c>
      <c r="B15" s="139" t="n">
        <f aca="false">VLOOKUP($A15,Table2,MATCH(I$3,Curves2,0))</f>
        <v>43200</v>
      </c>
      <c r="C15" s="140"/>
      <c r="D15" s="141" t="n">
        <f aca="false">B15+C15</f>
        <v>43200</v>
      </c>
      <c r="E15" s="126" t="n">
        <f aca="false">IF(Y15=0,0,IF(AND(Y15=1,$H$3=1),D15*T15,IF($H$3=2,D15,"N/A")))</f>
        <v>1296000</v>
      </c>
      <c r="F15" s="126" t="n">
        <f aca="false">E15*X15</f>
        <v>1233435.39763393</v>
      </c>
      <c r="G15" s="142" t="n">
        <f aca="false">VLOOKUP($A15,Table,MATCH(G$4,Curves,0))</f>
        <v>5.245</v>
      </c>
      <c r="H15" s="143" t="n">
        <f aca="false">G15</f>
        <v>5.245</v>
      </c>
      <c r="I15" s="142" t="n">
        <f aca="false">VLOOKUP($A15,Table1,MATCH(I$3,Curves1,0))</f>
        <v>5.3435</v>
      </c>
      <c r="J15" s="142" t="n">
        <f aca="false">VLOOKUP($A15,Table,MATCH(J$4,Curves,0))</f>
        <v>0.02</v>
      </c>
      <c r="K15" s="143" t="n">
        <f aca="false">J15</f>
        <v>0.02</v>
      </c>
      <c r="L15" s="144" t="n">
        <v>0</v>
      </c>
      <c r="M15" s="142" t="n">
        <f aca="false">VLOOKUP($A15,Table,MATCH(M$4,Curves,0))</f>
        <v>0.015</v>
      </c>
      <c r="N15" s="143" t="n">
        <f aca="false">M15</f>
        <v>0.015</v>
      </c>
      <c r="O15" s="144" t="n">
        <v>0</v>
      </c>
      <c r="P15" s="145"/>
      <c r="Q15" s="144" t="n">
        <f aca="false">M15+J15+G15</f>
        <v>5.28</v>
      </c>
      <c r="R15" s="144" t="n">
        <f aca="false">O15+L15+I15</f>
        <v>5.3435</v>
      </c>
      <c r="S15" s="145"/>
      <c r="T15" s="71" t="n">
        <f aca="false">A16-A15</f>
        <v>30</v>
      </c>
      <c r="U15" s="146" t="n">
        <f aca="false">CHOOSE(F$3,A16+24,A15)</f>
        <v>37189</v>
      </c>
      <c r="V15" s="71" t="n">
        <f aca="false">U15-C$3</f>
        <v>301</v>
      </c>
      <c r="W15" s="142" t="n">
        <f aca="false">VLOOKUP($A15,Table,MATCH(W$4,Curves,0))</f>
        <v>0.061567361528203</v>
      </c>
      <c r="X15" s="147" t="n">
        <f aca="false">1/(1+CHOOSE(F$3,(W16+($K$3/10000))/2,(W15+($K$3/10000))/2))^(2*V15/365.25)</f>
        <v>0.951724843853342</v>
      </c>
      <c r="Y15" s="71" t="n">
        <f aca="false">IF(AND(mthbeg&lt;=A15,mthend&gt;=A15),1,0)</f>
        <v>1</v>
      </c>
      <c r="Z15" s="71" t="n">
        <f aca="false">T15*Y15</f>
        <v>30</v>
      </c>
      <c r="AB15" s="132" t="n">
        <f aca="false">F15*G15</f>
        <v>6469368.66058997</v>
      </c>
      <c r="AC15" s="132" t="n">
        <f aca="false">$F15*H15</f>
        <v>6469368.66058997</v>
      </c>
      <c r="AD15" s="132" t="n">
        <f aca="false">$F15*I15</f>
        <v>6590862.04725691</v>
      </c>
      <c r="AE15" s="132" t="n">
        <f aca="false">$F15*J15</f>
        <v>24668.7079526786</v>
      </c>
      <c r="AF15" s="132" t="n">
        <f aca="false">$F15*K15</f>
        <v>24668.7079526786</v>
      </c>
      <c r="AG15" s="132" t="n">
        <f aca="false">$F15*L15</f>
        <v>0</v>
      </c>
      <c r="AH15" s="132" t="n">
        <f aca="false">$F15*M15</f>
        <v>18501.530964509</v>
      </c>
      <c r="AI15" s="132" t="n">
        <f aca="false">$F15*N15</f>
        <v>18501.530964509</v>
      </c>
      <c r="AJ15" s="132" t="n">
        <f aca="false">F15*O15</f>
        <v>0</v>
      </c>
      <c r="AK15" s="137"/>
      <c r="AL15" s="132" t="n">
        <f aca="false">CHOOSE($G$3,AC15-AD15,AD15-AC15)</f>
        <v>121493.386666941</v>
      </c>
      <c r="AM15" s="132" t="n">
        <f aca="false">CHOOSE($G$3,AF15-AG15,AG15-AF15)</f>
        <v>-24668.7079526786</v>
      </c>
      <c r="AN15" s="132" t="n">
        <f aca="false">CHOOSE($G$3,AI15-AJ15,AJ15-AI15)</f>
        <v>-18501.530964509</v>
      </c>
      <c r="AO15" s="148" t="n">
        <f aca="false">SUM(AL15:AN15)</f>
        <v>78323.1477497538</v>
      </c>
      <c r="AQ15" s="132" t="n">
        <f aca="false">CHOOSE($G$3,AB15-AC15,AC15-AB15)</f>
        <v>0</v>
      </c>
      <c r="AR15" s="132" t="n">
        <f aca="false">CHOOSE($G$3,AE15-AF15,AF15-AE15)</f>
        <v>0</v>
      </c>
      <c r="AS15" s="132" t="n">
        <f aca="false">CHOOSE($G$3,AH15-AI15,AI15-AH15)</f>
        <v>0</v>
      </c>
      <c r="AT15" s="148" t="n">
        <f aca="false">AQ15+AR15+AS15</f>
        <v>0</v>
      </c>
      <c r="AU15" s="148"/>
      <c r="AV15" s="133" t="n">
        <f aca="false">AT15+AO15</f>
        <v>78323.1477497538</v>
      </c>
      <c r="AX15" s="133" t="n">
        <f aca="false">AJ15+AG15+AD15</f>
        <v>6590862.04725691</v>
      </c>
      <c r="AY15" s="149"/>
      <c r="AZ15" s="76" t="n">
        <f aca="false">R15*E15</f>
        <v>6925176</v>
      </c>
    </row>
    <row r="16" customFormat="false" ht="12.75" hidden="false" customHeight="false" outlineLevel="0" collapsed="false">
      <c r="A16" s="138" t="n">
        <f aca="false">EDATE(A15,1)</f>
        <v>37165</v>
      </c>
      <c r="B16" s="139" t="n">
        <f aca="false">VLOOKUP($A16,Table2,MATCH(I$3,Curves2,0))</f>
        <v>43200</v>
      </c>
      <c r="C16" s="140"/>
      <c r="D16" s="141" t="n">
        <f aca="false">B16+C16</f>
        <v>43200</v>
      </c>
      <c r="E16" s="126" t="n">
        <f aca="false">IF(Y16=0,0,IF(AND(Y16=1,$H$3=1),D16*T16,IF($H$3=2,D16,"N/A")))</f>
        <v>1339200</v>
      </c>
      <c r="F16" s="126" t="n">
        <f aca="false">E16*X16</f>
        <v>1268638.27044678</v>
      </c>
      <c r="G16" s="142" t="n">
        <f aca="false">VLOOKUP($A16,Table,MATCH(G$4,Curves,0))</f>
        <v>5.225</v>
      </c>
      <c r="H16" s="143" t="n">
        <f aca="false">G16</f>
        <v>5.225</v>
      </c>
      <c r="I16" s="142" t="n">
        <f aca="false">VLOOKUP($A16,Table1,MATCH(I$3,Curves1,0))</f>
        <v>5.3435</v>
      </c>
      <c r="J16" s="142" t="n">
        <f aca="false">VLOOKUP($A16,Table,MATCH(J$4,Curves,0))</f>
        <v>0.02</v>
      </c>
      <c r="K16" s="143" t="n">
        <f aca="false">J16</f>
        <v>0.02</v>
      </c>
      <c r="L16" s="144" t="n">
        <v>0</v>
      </c>
      <c r="M16" s="142" t="n">
        <f aca="false">VLOOKUP($A16,Table,MATCH(M$4,Curves,0))</f>
        <v>0.015</v>
      </c>
      <c r="N16" s="143" t="n">
        <f aca="false">M16</f>
        <v>0.015</v>
      </c>
      <c r="O16" s="144" t="n">
        <v>0</v>
      </c>
      <c r="P16" s="145"/>
      <c r="Q16" s="144" t="n">
        <f aca="false">M16+J16+G16</f>
        <v>5.26</v>
      </c>
      <c r="R16" s="144" t="n">
        <f aca="false">O16+L16+I16</f>
        <v>5.3435</v>
      </c>
      <c r="S16" s="145"/>
      <c r="T16" s="71" t="n">
        <f aca="false">A17-A16</f>
        <v>31</v>
      </c>
      <c r="U16" s="146" t="n">
        <f aca="false">CHOOSE(F$3,A17+24,A16)</f>
        <v>37220</v>
      </c>
      <c r="V16" s="71" t="n">
        <f aca="false">U16-C$3</f>
        <v>332</v>
      </c>
      <c r="W16" s="142" t="n">
        <f aca="false">VLOOKUP($A16,Table,MATCH(W$4,Curves,0))</f>
        <v>0.060951245077802</v>
      </c>
      <c r="X16" s="147" t="n">
        <f aca="false">1/(1+CHOOSE(F$3,(W17+($K$3/10000))/2,(W16+($K$3/10000))/2))^(2*V16/365.25)</f>
        <v>0.947310536474598</v>
      </c>
      <c r="Y16" s="71" t="n">
        <f aca="false">IF(AND(mthbeg&lt;=A16,mthend&gt;=A16),1,0)</f>
        <v>1</v>
      </c>
      <c r="Z16" s="71" t="n">
        <f aca="false">T16*Y16</f>
        <v>31</v>
      </c>
      <c r="AB16" s="132" t="n">
        <f aca="false">F16*G16</f>
        <v>6628634.96308443</v>
      </c>
      <c r="AC16" s="132" t="n">
        <f aca="false">$F16*H16</f>
        <v>6628634.96308443</v>
      </c>
      <c r="AD16" s="132" t="n">
        <f aca="false">$F16*I16</f>
        <v>6778968.59813238</v>
      </c>
      <c r="AE16" s="132" t="n">
        <f aca="false">$F16*J16</f>
        <v>25372.7654089356</v>
      </c>
      <c r="AF16" s="132" t="n">
        <f aca="false">$F16*K16</f>
        <v>25372.7654089356</v>
      </c>
      <c r="AG16" s="132" t="n">
        <f aca="false">$F16*L16</f>
        <v>0</v>
      </c>
      <c r="AH16" s="132" t="n">
        <f aca="false">$F16*M16</f>
        <v>19029.5740567017</v>
      </c>
      <c r="AI16" s="132" t="n">
        <f aca="false">$F16*N16</f>
        <v>19029.5740567017</v>
      </c>
      <c r="AJ16" s="132" t="n">
        <f aca="false">F16*O16</f>
        <v>0</v>
      </c>
      <c r="AK16" s="137"/>
      <c r="AL16" s="132" t="n">
        <f aca="false">CHOOSE($G$3,AC16-AD16,AD16-AC16)</f>
        <v>150333.635047943</v>
      </c>
      <c r="AM16" s="132" t="n">
        <f aca="false">CHOOSE($G$3,AF16-AG16,AG16-AF16)</f>
        <v>-25372.7654089356</v>
      </c>
      <c r="AN16" s="132" t="n">
        <f aca="false">CHOOSE($G$3,AI16-AJ16,AJ16-AI16)</f>
        <v>-19029.5740567017</v>
      </c>
      <c r="AO16" s="148" t="n">
        <f aca="false">SUM(AL16:AN16)</f>
        <v>105931.295582306</v>
      </c>
      <c r="AQ16" s="132" t="n">
        <f aca="false">CHOOSE($G$3,AB16-AC16,AC16-AB16)</f>
        <v>0</v>
      </c>
      <c r="AR16" s="132" t="n">
        <f aca="false">CHOOSE($G$3,AE16-AF16,AF16-AE16)</f>
        <v>0</v>
      </c>
      <c r="AS16" s="132" t="n">
        <f aca="false">CHOOSE($G$3,AH16-AI16,AI16-AH16)</f>
        <v>0</v>
      </c>
      <c r="AT16" s="148" t="n">
        <f aca="false">AQ16+AR16+AS16</f>
        <v>0</v>
      </c>
      <c r="AU16" s="148"/>
      <c r="AV16" s="133" t="n">
        <f aca="false">AT16+AO16</f>
        <v>105931.295582306</v>
      </c>
      <c r="AX16" s="133" t="n">
        <f aca="false">AJ16+AG16+AD16</f>
        <v>6778968.59813238</v>
      </c>
      <c r="AY16" s="149"/>
      <c r="AZ16" s="76" t="n">
        <f aca="false">R16*E16</f>
        <v>7156015.2</v>
      </c>
    </row>
    <row r="17" customFormat="false" ht="12.75" hidden="false" customHeight="false" outlineLevel="0" collapsed="false">
      <c r="A17" s="138" t="n">
        <f aca="false">EDATE(A16,1)</f>
        <v>37196</v>
      </c>
      <c r="B17" s="139" t="n">
        <f aca="false">VLOOKUP($A17,Table2,MATCH(I$3,Curves2,0))</f>
        <v>43200</v>
      </c>
      <c r="C17" s="140"/>
      <c r="D17" s="141" t="n">
        <f aca="false">B17+C17</f>
        <v>43200</v>
      </c>
      <c r="E17" s="126" t="n">
        <f aca="false">IF(Y17=0,0,IF(AND(Y17=1,$H$3=1),D17*T17,IF($H$3=2,D17,"N/A")))</f>
        <v>1296000</v>
      </c>
      <c r="F17" s="126" t="n">
        <f aca="false">E17*X17</f>
        <v>1222300.58104728</v>
      </c>
      <c r="G17" s="142" t="n">
        <f aca="false">VLOOKUP($A17,Table,MATCH(G$4,Curves,0))</f>
        <v>5.3</v>
      </c>
      <c r="H17" s="143" t="n">
        <f aca="false">G17</f>
        <v>5.3</v>
      </c>
      <c r="I17" s="142" t="n">
        <f aca="false">VLOOKUP($A17,Table1,MATCH(I$3,Curves1,0))</f>
        <v>5.3435</v>
      </c>
      <c r="J17" s="142" t="n">
        <f aca="false">VLOOKUP($A17,Table,MATCH(J$4,Curves,0))</f>
        <v>0.01</v>
      </c>
      <c r="K17" s="143" t="n">
        <f aca="false">J17</f>
        <v>0.01</v>
      </c>
      <c r="L17" s="144" t="n">
        <v>0</v>
      </c>
      <c r="M17" s="142" t="n">
        <f aca="false">VLOOKUP($A17,Table,MATCH(M$4,Curves,0))</f>
        <v>0.02</v>
      </c>
      <c r="N17" s="143" t="n">
        <f aca="false">M17</f>
        <v>0.02</v>
      </c>
      <c r="O17" s="144" t="n">
        <v>0</v>
      </c>
      <c r="P17" s="145"/>
      <c r="Q17" s="144" t="n">
        <f aca="false">M17+J17+G17</f>
        <v>5.33</v>
      </c>
      <c r="R17" s="144" t="n">
        <f aca="false">O17+L17+I17</f>
        <v>5.3435</v>
      </c>
      <c r="S17" s="145"/>
      <c r="T17" s="71" t="n">
        <f aca="false">A18-A17</f>
        <v>30</v>
      </c>
      <c r="U17" s="146" t="n">
        <f aca="false">CHOOSE(F$3,A18+24,A17)</f>
        <v>37250</v>
      </c>
      <c r="V17" s="71" t="n">
        <f aca="false">U17-C$3</f>
        <v>362</v>
      </c>
      <c r="W17" s="142" t="n">
        <f aca="false">VLOOKUP($A17,Table,MATCH(W$4,Curves,0))</f>
        <v>0.060444702340902</v>
      </c>
      <c r="X17" s="147" t="n">
        <f aca="false">1/(1+CHOOSE(F$3,(W18+($K$3/10000))/2,(W17+($K$3/10000))/2))^(2*V17/365.25)</f>
        <v>0.943133164388334</v>
      </c>
      <c r="Y17" s="71" t="n">
        <f aca="false">IF(AND(mthbeg&lt;=A17,mthend&gt;=A17),1,0)</f>
        <v>1</v>
      </c>
      <c r="Z17" s="71" t="n">
        <f aca="false">T17*Y17</f>
        <v>30</v>
      </c>
      <c r="AB17" s="132" t="n">
        <f aca="false">F17*G17</f>
        <v>6478193.07955059</v>
      </c>
      <c r="AC17" s="132" t="n">
        <f aca="false">$F17*H17</f>
        <v>6478193.07955059</v>
      </c>
      <c r="AD17" s="132" t="n">
        <f aca="false">$F17*I17</f>
        <v>6531363.15482614</v>
      </c>
      <c r="AE17" s="132" t="n">
        <f aca="false">$F17*J17</f>
        <v>12223.0058104728</v>
      </c>
      <c r="AF17" s="132" t="n">
        <f aca="false">$F17*K17</f>
        <v>12223.0058104728</v>
      </c>
      <c r="AG17" s="132" t="n">
        <f aca="false">$F17*L17</f>
        <v>0</v>
      </c>
      <c r="AH17" s="132" t="n">
        <f aca="false">$F17*M17</f>
        <v>24446.0116209456</v>
      </c>
      <c r="AI17" s="132" t="n">
        <f aca="false">$F17*N17</f>
        <v>24446.0116209456</v>
      </c>
      <c r="AJ17" s="132" t="n">
        <f aca="false">F17*O17</f>
        <v>0</v>
      </c>
      <c r="AK17" s="137"/>
      <c r="AL17" s="132" t="n">
        <f aca="false">CHOOSE($G$3,AC17-AD17,AD17-AC17)</f>
        <v>53170.0752755562</v>
      </c>
      <c r="AM17" s="132" t="n">
        <f aca="false">CHOOSE($G$3,AF17-AG17,AG17-AF17)</f>
        <v>-12223.0058104728</v>
      </c>
      <c r="AN17" s="132" t="n">
        <f aca="false">CHOOSE($G$3,AI17-AJ17,AJ17-AI17)</f>
        <v>-24446.0116209456</v>
      </c>
      <c r="AO17" s="148" t="n">
        <f aca="false">SUM(AL17:AN17)</f>
        <v>16501.0578441378</v>
      </c>
      <c r="AQ17" s="132" t="n">
        <f aca="false">CHOOSE($G$3,AB17-AC17,AC17-AB17)</f>
        <v>0</v>
      </c>
      <c r="AR17" s="132" t="n">
        <f aca="false">CHOOSE($G$3,AE17-AF17,AF17-AE17)</f>
        <v>0</v>
      </c>
      <c r="AS17" s="132" t="n">
        <f aca="false">CHOOSE($G$3,AH17-AI17,AI17-AH17)</f>
        <v>0</v>
      </c>
      <c r="AT17" s="148" t="n">
        <f aca="false">AQ17+AR17+AS17</f>
        <v>0</v>
      </c>
      <c r="AU17" s="148"/>
      <c r="AV17" s="133" t="n">
        <f aca="false">AT17+AO17</f>
        <v>16501.0578441378</v>
      </c>
      <c r="AX17" s="133" t="n">
        <f aca="false">AJ17+AG17+AD17</f>
        <v>6531363.15482614</v>
      </c>
      <c r="AY17" s="149"/>
      <c r="AZ17" s="76" t="n">
        <f aca="false">R17*E17</f>
        <v>6925176</v>
      </c>
    </row>
    <row r="18" customFormat="false" ht="12.75" hidden="false" customHeight="false" outlineLevel="0" collapsed="false">
      <c r="A18" s="138" t="n">
        <f aca="false">EDATE(A17,1)</f>
        <v>37226</v>
      </c>
      <c r="B18" s="139" t="n">
        <f aca="false">VLOOKUP($A18,Table2,MATCH(I$3,Curves2,0))</f>
        <v>43200</v>
      </c>
      <c r="C18" s="140"/>
      <c r="D18" s="141" t="n">
        <f aca="false">B18+C18</f>
        <v>43200</v>
      </c>
      <c r="E18" s="126" t="n">
        <f aca="false">IF(Y18=0,0,IF(AND(Y18=1,$H$3=1),D18*T18,IF($H$3=2,D18,"N/A")))</f>
        <v>1339200</v>
      </c>
      <c r="F18" s="126" t="n">
        <f aca="false">E18*X18</f>
        <v>1257245.21481128</v>
      </c>
      <c r="G18" s="142" t="n">
        <f aca="false">VLOOKUP($A18,Table,MATCH(G$4,Curves,0))</f>
        <v>5.375</v>
      </c>
      <c r="H18" s="143" t="n">
        <f aca="false">G18</f>
        <v>5.375</v>
      </c>
      <c r="I18" s="142" t="n">
        <f aca="false">VLOOKUP($A18,Table1,MATCH(I$3,Curves1,0))</f>
        <v>5.3435</v>
      </c>
      <c r="J18" s="142" t="n">
        <f aca="false">VLOOKUP($A18,Table,MATCH(J$4,Curves,0))</f>
        <v>0.01</v>
      </c>
      <c r="K18" s="143" t="n">
        <f aca="false">J18</f>
        <v>0.01</v>
      </c>
      <c r="L18" s="144" t="n">
        <v>0</v>
      </c>
      <c r="M18" s="142" t="n">
        <f aca="false">VLOOKUP($A18,Table,MATCH(M$4,Curves,0))</f>
        <v>0.02</v>
      </c>
      <c r="N18" s="143" t="n">
        <f aca="false">M18</f>
        <v>0.02</v>
      </c>
      <c r="O18" s="144" t="n">
        <v>0</v>
      </c>
      <c r="P18" s="145"/>
      <c r="Q18" s="144" t="n">
        <f aca="false">M18+J18+G18</f>
        <v>5.405</v>
      </c>
      <c r="R18" s="144" t="n">
        <f aca="false">O18+L18+I18</f>
        <v>5.3435</v>
      </c>
      <c r="S18" s="145"/>
      <c r="T18" s="71" t="n">
        <f aca="false">A19-A18</f>
        <v>31</v>
      </c>
      <c r="U18" s="146" t="n">
        <f aca="false">CHOOSE(F$3,A19+24,A18)</f>
        <v>37281</v>
      </c>
      <c r="V18" s="71" t="n">
        <f aca="false">U18-C$3</f>
        <v>393</v>
      </c>
      <c r="W18" s="142" t="n">
        <f aca="false">VLOOKUP($A18,Table,MATCH(W$4,Curves,0))</f>
        <v>0.059954499773445</v>
      </c>
      <c r="X18" s="147" t="n">
        <f aca="false">1/(1+CHOOSE(F$3,(W19+($K$3/10000))/2,(W18+($K$3/10000))/2))^(2*V18/365.25)</f>
        <v>0.938803177129092</v>
      </c>
      <c r="Y18" s="71" t="n">
        <f aca="false">IF(AND(mthbeg&lt;=A18,mthend&gt;=A18),1,0)</f>
        <v>1</v>
      </c>
      <c r="Z18" s="71" t="n">
        <f aca="false">T18*Y18</f>
        <v>31</v>
      </c>
      <c r="AB18" s="132" t="n">
        <f aca="false">F18*G18</f>
        <v>6757693.02961063</v>
      </c>
      <c r="AC18" s="132" t="n">
        <f aca="false">$F18*H18</f>
        <v>6757693.02961063</v>
      </c>
      <c r="AD18" s="132" t="n">
        <f aca="false">$F18*I18</f>
        <v>6718089.80534407</v>
      </c>
      <c r="AE18" s="132" t="n">
        <f aca="false">$F18*J18</f>
        <v>12572.4521481128</v>
      </c>
      <c r="AF18" s="132" t="n">
        <f aca="false">$F18*K18</f>
        <v>12572.4521481128</v>
      </c>
      <c r="AG18" s="132" t="n">
        <f aca="false">$F18*L18</f>
        <v>0</v>
      </c>
      <c r="AH18" s="132" t="n">
        <f aca="false">$F18*M18</f>
        <v>25144.9042962256</v>
      </c>
      <c r="AI18" s="132" t="n">
        <f aca="false">$F18*N18</f>
        <v>25144.9042962256</v>
      </c>
      <c r="AJ18" s="132" t="n">
        <f aca="false">F18*O18</f>
        <v>0</v>
      </c>
      <c r="AK18" s="137"/>
      <c r="AL18" s="132" t="n">
        <f aca="false">CHOOSE($G$3,AC18-AD18,AD18-AC18)</f>
        <v>-39603.2242665561</v>
      </c>
      <c r="AM18" s="132" t="n">
        <f aca="false">CHOOSE($G$3,AF18-AG18,AG18-AF18)</f>
        <v>-12572.4521481128</v>
      </c>
      <c r="AN18" s="132" t="n">
        <f aca="false">CHOOSE($G$3,AI18-AJ18,AJ18-AI18)</f>
        <v>-25144.9042962256</v>
      </c>
      <c r="AO18" s="148" t="n">
        <f aca="false">SUM(AL18:AN18)</f>
        <v>-77320.5807108945</v>
      </c>
      <c r="AQ18" s="132" t="n">
        <f aca="false">CHOOSE($G$3,AB18-AC18,AC18-AB18)</f>
        <v>0</v>
      </c>
      <c r="AR18" s="132" t="n">
        <f aca="false">CHOOSE($G$3,AE18-AF18,AF18-AE18)</f>
        <v>0</v>
      </c>
      <c r="AS18" s="132" t="n">
        <f aca="false">CHOOSE($G$3,AH18-AI18,AI18-AH18)</f>
        <v>0</v>
      </c>
      <c r="AT18" s="148" t="n">
        <f aca="false">AQ18+AR18+AS18</f>
        <v>0</v>
      </c>
      <c r="AU18" s="148"/>
      <c r="AV18" s="133" t="n">
        <f aca="false">AT18+AO18</f>
        <v>-77320.5807108945</v>
      </c>
      <c r="AX18" s="133" t="n">
        <f aca="false">AJ18+AG18+AD18</f>
        <v>6718089.80534407</v>
      </c>
      <c r="AY18" s="149"/>
      <c r="AZ18" s="76" t="n">
        <f aca="false">R18*E18</f>
        <v>7156015.2</v>
      </c>
    </row>
    <row r="19" customFormat="false" ht="12.75" hidden="false" customHeight="false" outlineLevel="0" collapsed="false">
      <c r="A19" s="138" t="n">
        <f aca="false">EDATE(A18,1)</f>
        <v>37257</v>
      </c>
      <c r="B19" s="139" t="n">
        <f aca="false">VLOOKUP($A19,Table2,MATCH(I$3,Curves2,0))</f>
        <v>43200</v>
      </c>
      <c r="C19" s="140"/>
      <c r="D19" s="141" t="n">
        <f aca="false">B19+C19</f>
        <v>43200</v>
      </c>
      <c r="E19" s="126" t="n">
        <f aca="false">IF(Y19=0,0,IF(AND(Y19=1,$H$3=1),D19*T19,IF($H$3=2,D19,"N/A")))</f>
        <v>1339200</v>
      </c>
      <c r="F19" s="126" t="n">
        <f aca="false">E19*X19</f>
        <v>1251335.64204582</v>
      </c>
      <c r="G19" s="142" t="n">
        <f aca="false">VLOOKUP($A19,Table,MATCH(G$4,Curves,0))</f>
        <v>5.365</v>
      </c>
      <c r="H19" s="143" t="n">
        <f aca="false">G19</f>
        <v>5.365</v>
      </c>
      <c r="I19" s="142" t="n">
        <f aca="false">VLOOKUP($A19,Table1,MATCH(I$3,Curves1,0))</f>
        <v>5.3435</v>
      </c>
      <c r="J19" s="142" t="n">
        <f aca="false">VLOOKUP($A19,Table,MATCH(J$4,Curves,0))</f>
        <v>0.01</v>
      </c>
      <c r="K19" s="143" t="n">
        <f aca="false">J19</f>
        <v>0.01</v>
      </c>
      <c r="L19" s="144" t="n">
        <v>0</v>
      </c>
      <c r="M19" s="142" t="n">
        <f aca="false">VLOOKUP($A19,Table,MATCH(M$4,Curves,0))</f>
        <v>0.02</v>
      </c>
      <c r="N19" s="143" t="n">
        <f aca="false">M19</f>
        <v>0.02</v>
      </c>
      <c r="O19" s="144" t="n">
        <v>0</v>
      </c>
      <c r="P19" s="145"/>
      <c r="Q19" s="144" t="n">
        <f aca="false">M19+J19+G19</f>
        <v>5.395</v>
      </c>
      <c r="R19" s="144" t="n">
        <f aca="false">O19+L19+I19</f>
        <v>5.3435</v>
      </c>
      <c r="S19" s="145"/>
      <c r="T19" s="71" t="n">
        <f aca="false">A20-A19</f>
        <v>31</v>
      </c>
      <c r="U19" s="146" t="n">
        <f aca="false">CHOOSE(F$3,A20+24,A19)</f>
        <v>37312</v>
      </c>
      <c r="V19" s="71" t="n">
        <f aca="false">U19-C$3</f>
        <v>424</v>
      </c>
      <c r="W19" s="142" t="n">
        <f aca="false">VLOOKUP($A19,Table,MATCH(W$4,Curves,0))</f>
        <v>0.059560032629286</v>
      </c>
      <c r="X19" s="147" t="n">
        <f aca="false">1/(1+CHOOSE(F$3,(W20+($K$3/10000))/2,(W19+($K$3/10000))/2))^(2*V19/365.25)</f>
        <v>0.934390413714025</v>
      </c>
      <c r="Y19" s="71" t="n">
        <f aca="false">IF(AND(mthbeg&lt;=A19,mthend&gt;=A19),1,0)</f>
        <v>1</v>
      </c>
      <c r="Z19" s="71" t="n">
        <f aca="false">T19*Y19</f>
        <v>31</v>
      </c>
      <c r="AB19" s="132" t="n">
        <f aca="false">F19*G19</f>
        <v>6713415.71957584</v>
      </c>
      <c r="AC19" s="132" t="n">
        <f aca="false">$F19*H19</f>
        <v>6713415.71957584</v>
      </c>
      <c r="AD19" s="132" t="n">
        <f aca="false">$F19*I19</f>
        <v>6686512.00327185</v>
      </c>
      <c r="AE19" s="132" t="n">
        <f aca="false">$F19*J19</f>
        <v>12513.3564204582</v>
      </c>
      <c r="AF19" s="132" t="n">
        <f aca="false">$F19*K19</f>
        <v>12513.3564204582</v>
      </c>
      <c r="AG19" s="132" t="n">
        <f aca="false">$F19*L19</f>
        <v>0</v>
      </c>
      <c r="AH19" s="132" t="n">
        <f aca="false">$F19*M19</f>
        <v>25026.7128409164</v>
      </c>
      <c r="AI19" s="132" t="n">
        <f aca="false">$F19*N19</f>
        <v>25026.7128409164</v>
      </c>
      <c r="AJ19" s="132" t="n">
        <f aca="false">F19*O19</f>
        <v>0</v>
      </c>
      <c r="AK19" s="137"/>
      <c r="AL19" s="132" t="n">
        <f aca="false">CHOOSE($G$3,AC19-AD19,AD19-AC19)</f>
        <v>-26903.7163039856</v>
      </c>
      <c r="AM19" s="132" t="n">
        <f aca="false">CHOOSE($G$3,AF19-AG19,AG19-AF19)</f>
        <v>-12513.3564204582</v>
      </c>
      <c r="AN19" s="132" t="n">
        <f aca="false">CHOOSE($G$3,AI19-AJ19,AJ19-AI19)</f>
        <v>-25026.7128409164</v>
      </c>
      <c r="AO19" s="148" t="n">
        <f aca="false">SUM(AL19:AN19)</f>
        <v>-64443.7855653602</v>
      </c>
      <c r="AQ19" s="132" t="n">
        <f aca="false">CHOOSE($G$3,AB19-AC19,AC19-AB19)</f>
        <v>0</v>
      </c>
      <c r="AR19" s="132" t="n">
        <f aca="false">CHOOSE($G$3,AE19-AF19,AF19-AE19)</f>
        <v>0</v>
      </c>
      <c r="AS19" s="132" t="n">
        <f aca="false">CHOOSE($G$3,AH19-AI19,AI19-AH19)</f>
        <v>0</v>
      </c>
      <c r="AT19" s="148" t="n">
        <f aca="false">AQ19+AR19+AS19</f>
        <v>0</v>
      </c>
      <c r="AU19" s="148"/>
      <c r="AV19" s="133" t="n">
        <f aca="false">AT19+AO19</f>
        <v>-64443.7855653602</v>
      </c>
      <c r="AX19" s="133" t="n">
        <f aca="false">AJ19+AG19+AD19</f>
        <v>6686512.00327185</v>
      </c>
      <c r="AY19" s="149"/>
      <c r="AZ19" s="76" t="n">
        <f aca="false">R19*E19</f>
        <v>7156015.2</v>
      </c>
    </row>
    <row r="20" customFormat="false" ht="12.75" hidden="false" customHeight="false" outlineLevel="0" collapsed="false">
      <c r="A20" s="138" t="n">
        <f aca="false">EDATE(A19,1)</f>
        <v>37288</v>
      </c>
      <c r="B20" s="139" t="n">
        <f aca="false">VLOOKUP($A20,Table2,MATCH(I$3,Curves2,0))</f>
        <v>43200</v>
      </c>
      <c r="C20" s="140"/>
      <c r="D20" s="141" t="n">
        <f aca="false">B20+C20</f>
        <v>43200</v>
      </c>
      <c r="E20" s="126" t="n">
        <f aca="false">IF(Y20=0,0,IF(AND(Y20=1,$H$3=1),D20*T20,IF($H$3=2,D20,"N/A")))</f>
        <v>1209600</v>
      </c>
      <c r="F20" s="126" t="n">
        <f aca="false">E20*X20</f>
        <v>1125477.27366554</v>
      </c>
      <c r="G20" s="142" t="n">
        <f aca="false">VLOOKUP($A20,Table,MATCH(G$4,Curves,0))</f>
        <v>5.11</v>
      </c>
      <c r="H20" s="143" t="n">
        <f aca="false">G20</f>
        <v>5.11</v>
      </c>
      <c r="I20" s="142" t="n">
        <f aca="false">VLOOKUP($A20,Table1,MATCH(I$3,Curves1,0))</f>
        <v>5.3435</v>
      </c>
      <c r="J20" s="142" t="n">
        <f aca="false">VLOOKUP($A20,Table,MATCH(J$4,Curves,0))</f>
        <v>0.01</v>
      </c>
      <c r="K20" s="143" t="n">
        <f aca="false">J20</f>
        <v>0.01</v>
      </c>
      <c r="L20" s="144" t="n">
        <v>0</v>
      </c>
      <c r="M20" s="142" t="n">
        <f aca="false">VLOOKUP($A20,Table,MATCH(M$4,Curves,0))</f>
        <v>0.02</v>
      </c>
      <c r="N20" s="143" t="n">
        <f aca="false">M20</f>
        <v>0.02</v>
      </c>
      <c r="O20" s="144" t="n">
        <v>0</v>
      </c>
      <c r="P20" s="145"/>
      <c r="Q20" s="144" t="n">
        <f aca="false">M20+J20+G20</f>
        <v>5.14</v>
      </c>
      <c r="R20" s="144" t="n">
        <f aca="false">O20+L20+I20</f>
        <v>5.3435</v>
      </c>
      <c r="S20" s="145"/>
      <c r="T20" s="71" t="n">
        <f aca="false">A21-A20</f>
        <v>28</v>
      </c>
      <c r="U20" s="146" t="n">
        <f aca="false">CHOOSE(F$3,A21+24,A20)</f>
        <v>37340</v>
      </c>
      <c r="V20" s="71" t="n">
        <f aca="false">U20-C$3</f>
        <v>452</v>
      </c>
      <c r="W20" s="142" t="n">
        <f aca="false">VLOOKUP($A20,Table,MATCH(W$4,Curves,0))</f>
        <v>0.059320746881078</v>
      </c>
      <c r="X20" s="147" t="n">
        <f aca="false">1/(1+CHOOSE(F$3,(W21+($K$3/10000))/2,(W20+($K$3/10000))/2))^(2*V20/365.25)</f>
        <v>0.930454095292277</v>
      </c>
      <c r="Y20" s="71" t="n">
        <f aca="false">IF(AND(mthbeg&lt;=A20,mthend&gt;=A20),1,0)</f>
        <v>1</v>
      </c>
      <c r="Z20" s="71" t="n">
        <f aca="false">T20*Y20</f>
        <v>28</v>
      </c>
      <c r="AB20" s="132" t="n">
        <f aca="false">F20*G20</f>
        <v>5751188.8684309</v>
      </c>
      <c r="AC20" s="132" t="n">
        <f aca="false">$F20*H20</f>
        <v>5751188.8684309</v>
      </c>
      <c r="AD20" s="132" t="n">
        <f aca="false">$F20*I20</f>
        <v>6013987.81183181</v>
      </c>
      <c r="AE20" s="132" t="n">
        <f aca="false">$F20*J20</f>
        <v>11254.7727366554</v>
      </c>
      <c r="AF20" s="132" t="n">
        <f aca="false">$F20*K20</f>
        <v>11254.7727366554</v>
      </c>
      <c r="AG20" s="132" t="n">
        <f aca="false">$F20*L20</f>
        <v>0</v>
      </c>
      <c r="AH20" s="132" t="n">
        <f aca="false">$F20*M20</f>
        <v>22509.5454733108</v>
      </c>
      <c r="AI20" s="132" t="n">
        <f aca="false">$F20*N20</f>
        <v>22509.5454733108</v>
      </c>
      <c r="AJ20" s="132" t="n">
        <f aca="false">F20*O20</f>
        <v>0</v>
      </c>
      <c r="AK20" s="137"/>
      <c r="AL20" s="132" t="n">
        <f aca="false">CHOOSE($G$3,AC20-AD20,AD20-AC20)</f>
        <v>262798.943400903</v>
      </c>
      <c r="AM20" s="132" t="n">
        <f aca="false">CHOOSE($G$3,AF20-AG20,AG20-AF20)</f>
        <v>-11254.7727366554</v>
      </c>
      <c r="AN20" s="132" t="n">
        <f aca="false">CHOOSE($G$3,AI20-AJ20,AJ20-AI20)</f>
        <v>-22509.5454733108</v>
      </c>
      <c r="AO20" s="148" t="n">
        <f aca="false">SUM(AL20:AN20)</f>
        <v>229034.625190937</v>
      </c>
      <c r="AQ20" s="132" t="n">
        <f aca="false">CHOOSE($G$3,AB20-AC20,AC20-AB20)</f>
        <v>0</v>
      </c>
      <c r="AR20" s="132" t="n">
        <f aca="false">CHOOSE($G$3,AE20-AF20,AF20-AE20)</f>
        <v>0</v>
      </c>
      <c r="AS20" s="132" t="n">
        <f aca="false">CHOOSE($G$3,AH20-AI20,AI20-AH20)</f>
        <v>0</v>
      </c>
      <c r="AT20" s="148" t="n">
        <f aca="false">AQ20+AR20+AS20</f>
        <v>0</v>
      </c>
      <c r="AU20" s="148"/>
      <c r="AV20" s="133" t="n">
        <f aca="false">AT20+AO20</f>
        <v>229034.625190937</v>
      </c>
      <c r="AX20" s="133" t="n">
        <f aca="false">AJ20+AG20+AD20</f>
        <v>6013987.81183181</v>
      </c>
      <c r="AY20" s="149"/>
      <c r="AZ20" s="76" t="n">
        <f aca="false">R20*E20</f>
        <v>6463497.6</v>
      </c>
    </row>
    <row r="21" customFormat="false" ht="12.75" hidden="false" customHeight="false" outlineLevel="0" collapsed="false">
      <c r="A21" s="138" t="n">
        <f aca="false">EDATE(A20,1)</f>
        <v>37316</v>
      </c>
      <c r="B21" s="139" t="n">
        <f aca="false">VLOOKUP($A21,Table2,MATCH(I$3,Curves2,0))</f>
        <v>43200</v>
      </c>
      <c r="C21" s="140"/>
      <c r="D21" s="141" t="n">
        <f aca="false">B21+C21</f>
        <v>43200</v>
      </c>
      <c r="E21" s="126" t="n">
        <f aca="false">IF(Y21=0,0,IF(AND(Y21=1,$H$3=1),D21*T21,IF($H$3=2,D21,"N/A")))</f>
        <v>1339200</v>
      </c>
      <c r="F21" s="126" t="n">
        <f aca="false">E21*X21</f>
        <v>1240255.04329331</v>
      </c>
      <c r="G21" s="142" t="n">
        <f aca="false">VLOOKUP($A21,Table,MATCH(G$4,Curves,0))</f>
        <v>4.777</v>
      </c>
      <c r="H21" s="143" t="n">
        <f aca="false">G21</f>
        <v>4.777</v>
      </c>
      <c r="I21" s="142" t="n">
        <f aca="false">VLOOKUP($A21,Table1,MATCH(I$3,Curves1,0))</f>
        <v>5.3435</v>
      </c>
      <c r="J21" s="142" t="n">
        <f aca="false">VLOOKUP($A21,Table,MATCH(J$4,Curves,0))</f>
        <v>0.01</v>
      </c>
      <c r="K21" s="143" t="n">
        <f aca="false">J21</f>
        <v>0.01</v>
      </c>
      <c r="L21" s="144" t="n">
        <v>0</v>
      </c>
      <c r="M21" s="142" t="n">
        <f aca="false">VLOOKUP($A21,Table,MATCH(M$4,Curves,0))</f>
        <v>0.02</v>
      </c>
      <c r="N21" s="143" t="n">
        <f aca="false">M21</f>
        <v>0.02</v>
      </c>
      <c r="O21" s="144" t="n">
        <v>0</v>
      </c>
      <c r="P21" s="145"/>
      <c r="Q21" s="144" t="n">
        <f aca="false">M21+J21+G21</f>
        <v>4.807</v>
      </c>
      <c r="R21" s="144" t="n">
        <f aca="false">O21+L21+I21</f>
        <v>5.3435</v>
      </c>
      <c r="S21" s="145"/>
      <c r="T21" s="71" t="n">
        <f aca="false">A22-A21</f>
        <v>31</v>
      </c>
      <c r="U21" s="146" t="n">
        <f aca="false">CHOOSE(F$3,A22+24,A21)</f>
        <v>37371</v>
      </c>
      <c r="V21" s="71" t="n">
        <f aca="false">U21-C$3</f>
        <v>483</v>
      </c>
      <c r="W21" s="142" t="n">
        <f aca="false">VLOOKUP($A21,Table,MATCH(W$4,Curves,0))</f>
        <v>0.059104617834538</v>
      </c>
      <c r="X21" s="147" t="n">
        <f aca="false">1/(1+CHOOSE(F$3,(W22+($K$3/10000))/2,(W21+($K$3/10000))/2))^(2*V21/365.25)</f>
        <v>0.926116370440044</v>
      </c>
      <c r="Y21" s="71" t="n">
        <f aca="false">IF(AND(mthbeg&lt;=A21,mthend&gt;=A21),1,0)</f>
        <v>1</v>
      </c>
      <c r="Z21" s="71" t="n">
        <f aca="false">T21*Y21</f>
        <v>31</v>
      </c>
      <c r="AB21" s="132" t="n">
        <f aca="false">F21*G21</f>
        <v>5924698.34181213</v>
      </c>
      <c r="AC21" s="132" t="n">
        <f aca="false">$F21*H21</f>
        <v>5924698.34181213</v>
      </c>
      <c r="AD21" s="132" t="n">
        <f aca="false">$F21*I21</f>
        <v>6627302.82383779</v>
      </c>
      <c r="AE21" s="132" t="n">
        <f aca="false">$F21*J21</f>
        <v>12402.5504329331</v>
      </c>
      <c r="AF21" s="132" t="n">
        <f aca="false">$F21*K21</f>
        <v>12402.5504329331</v>
      </c>
      <c r="AG21" s="132" t="n">
        <f aca="false">$F21*L21</f>
        <v>0</v>
      </c>
      <c r="AH21" s="132" t="n">
        <f aca="false">$F21*M21</f>
        <v>24805.1008658661</v>
      </c>
      <c r="AI21" s="132" t="n">
        <f aca="false">$F21*N21</f>
        <v>24805.1008658661</v>
      </c>
      <c r="AJ21" s="132" t="n">
        <f aca="false">F21*O21</f>
        <v>0</v>
      </c>
      <c r="AK21" s="137"/>
      <c r="AL21" s="132" t="n">
        <f aca="false">CHOOSE($G$3,AC21-AD21,AD21-AC21)</f>
        <v>702604.482025658</v>
      </c>
      <c r="AM21" s="132" t="n">
        <f aca="false">CHOOSE($G$3,AF21-AG21,AG21-AF21)</f>
        <v>-12402.5504329331</v>
      </c>
      <c r="AN21" s="132" t="n">
        <f aca="false">CHOOSE($G$3,AI21-AJ21,AJ21-AI21)</f>
        <v>-24805.1008658661</v>
      </c>
      <c r="AO21" s="148" t="n">
        <f aca="false">SUM(AL21:AN21)</f>
        <v>665396.830726859</v>
      </c>
      <c r="AQ21" s="132" t="n">
        <f aca="false">CHOOSE($G$3,AB21-AC21,AC21-AB21)</f>
        <v>0</v>
      </c>
      <c r="AR21" s="132" t="n">
        <f aca="false">CHOOSE($G$3,AE21-AF21,AF21-AE21)</f>
        <v>0</v>
      </c>
      <c r="AS21" s="132" t="n">
        <f aca="false">CHOOSE($G$3,AH21-AI21,AI21-AH21)</f>
        <v>0</v>
      </c>
      <c r="AT21" s="148" t="n">
        <f aca="false">AQ21+AR21+AS21</f>
        <v>0</v>
      </c>
      <c r="AU21" s="148"/>
      <c r="AV21" s="133" t="n">
        <f aca="false">AT21+AO21</f>
        <v>665396.830726859</v>
      </c>
      <c r="AX21" s="133" t="n">
        <f aca="false">AJ21+AG21+AD21</f>
        <v>6627302.82383779</v>
      </c>
      <c r="AY21" s="149"/>
      <c r="AZ21" s="76" t="n">
        <f aca="false">R21*E21</f>
        <v>7156015.2</v>
      </c>
    </row>
    <row r="22" customFormat="false" ht="12.75" hidden="false" customHeight="false" outlineLevel="0" collapsed="false">
      <c r="A22" s="138" t="n">
        <f aca="false">EDATE(A21,1)</f>
        <v>37347</v>
      </c>
      <c r="B22" s="139" t="n">
        <f aca="false">VLOOKUP($A22,Table2,MATCH(I$3,Curves2,0))</f>
        <v>54200</v>
      </c>
      <c r="C22" s="140"/>
      <c r="D22" s="141" t="n">
        <f aca="false">B22+C22</f>
        <v>54200</v>
      </c>
      <c r="E22" s="126" t="n">
        <f aca="false">IF(Y22=0,0,IF(AND(Y22=1,$H$3=1),D22*T22,IF($H$3=2,D22,"N/A")))</f>
        <v>1626000</v>
      </c>
      <c r="F22" s="126" t="n">
        <f aca="false">E22*X22</f>
        <v>1499041.46936439</v>
      </c>
      <c r="G22" s="142" t="n">
        <f aca="false">VLOOKUP($A22,Table,MATCH(G$4,Curves,0))</f>
        <v>4.317</v>
      </c>
      <c r="H22" s="143" t="n">
        <f aca="false">G22</f>
        <v>4.317</v>
      </c>
      <c r="I22" s="142" t="n">
        <f aca="false">VLOOKUP($A22,Table1,MATCH(I$3,Curves1,0))</f>
        <v>4.259</v>
      </c>
      <c r="J22" s="142" t="n">
        <f aca="false">VLOOKUP($A22,Table,MATCH(J$4,Curves,0))</f>
        <v>0.021</v>
      </c>
      <c r="K22" s="143" t="n">
        <f aca="false">J22</f>
        <v>0.021</v>
      </c>
      <c r="L22" s="144" t="n">
        <v>0</v>
      </c>
      <c r="M22" s="142" t="n">
        <f aca="false">VLOOKUP($A22,Table,MATCH(M$4,Curves,0))</f>
        <v>0.015</v>
      </c>
      <c r="N22" s="143" t="n">
        <f aca="false">M22</f>
        <v>0.015</v>
      </c>
      <c r="O22" s="144" t="n">
        <v>0</v>
      </c>
      <c r="P22" s="145"/>
      <c r="Q22" s="144" t="n">
        <f aca="false">M22+J22+G22</f>
        <v>4.353</v>
      </c>
      <c r="R22" s="144" t="n">
        <f aca="false">O22+L22+I22</f>
        <v>4.259</v>
      </c>
      <c r="S22" s="145"/>
      <c r="T22" s="71" t="n">
        <f aca="false">A23-A22</f>
        <v>30</v>
      </c>
      <c r="U22" s="146" t="n">
        <f aca="false">CHOOSE(F$3,A23+24,A22)</f>
        <v>37401</v>
      </c>
      <c r="V22" s="71" t="n">
        <f aca="false">U22-C$3</f>
        <v>513</v>
      </c>
      <c r="W22" s="142" t="n">
        <f aca="false">VLOOKUP($A22,Table,MATCH(W$4,Curves,0))</f>
        <v>0.058893741036666</v>
      </c>
      <c r="X22" s="147" t="n">
        <f aca="false">1/(1+CHOOSE(F$3,(W23+($K$3/10000))/2,(W22+($K$3/10000))/2))^(2*V22/365.25)</f>
        <v>0.921919722856329</v>
      </c>
      <c r="Y22" s="71" t="n">
        <f aca="false">IF(AND(mthbeg&lt;=A22,mthend&gt;=A22),1,0)</f>
        <v>1</v>
      </c>
      <c r="Z22" s="71" t="n">
        <f aca="false">T22*Y22</f>
        <v>30</v>
      </c>
      <c r="AB22" s="132" t="n">
        <f aca="false">F22*G22</f>
        <v>6471362.02324607</v>
      </c>
      <c r="AC22" s="132" t="n">
        <f aca="false">$F22*H22</f>
        <v>6471362.02324607</v>
      </c>
      <c r="AD22" s="132" t="n">
        <f aca="false">$F22*I22</f>
        <v>6384417.61802294</v>
      </c>
      <c r="AE22" s="132" t="n">
        <f aca="false">$F22*J22</f>
        <v>31479.8708566522</v>
      </c>
      <c r="AF22" s="132" t="n">
        <f aca="false">$F22*K22</f>
        <v>31479.8708566522</v>
      </c>
      <c r="AG22" s="132" t="n">
        <f aca="false">$F22*L22</f>
        <v>0</v>
      </c>
      <c r="AH22" s="132" t="n">
        <f aca="false">$F22*M22</f>
        <v>22485.6220404659</v>
      </c>
      <c r="AI22" s="132" t="n">
        <f aca="false">$F22*N22</f>
        <v>22485.6220404659</v>
      </c>
      <c r="AJ22" s="132" t="n">
        <f aca="false">F22*O22</f>
        <v>0</v>
      </c>
      <c r="AK22" s="137"/>
      <c r="AL22" s="132" t="n">
        <f aca="false">CHOOSE($G$3,AC22-AD22,AD22-AC22)</f>
        <v>-86944.4052231349</v>
      </c>
      <c r="AM22" s="132" t="n">
        <f aca="false">CHOOSE($G$3,AF22-AG22,AG22-AF22)</f>
        <v>-31479.8708566522</v>
      </c>
      <c r="AN22" s="132" t="n">
        <f aca="false">CHOOSE($G$3,AI22-AJ22,AJ22-AI22)</f>
        <v>-22485.6220404659</v>
      </c>
      <c r="AO22" s="148" t="n">
        <f aca="false">SUM(AL22:AN22)</f>
        <v>-140909.898120253</v>
      </c>
      <c r="AQ22" s="132" t="n">
        <f aca="false">CHOOSE($G$3,AB22-AC22,AC22-AB22)</f>
        <v>0</v>
      </c>
      <c r="AR22" s="132" t="n">
        <f aca="false">CHOOSE($G$3,AE22-AF22,AF22-AE22)</f>
        <v>0</v>
      </c>
      <c r="AS22" s="132" t="n">
        <f aca="false">CHOOSE($G$3,AH22-AI22,AI22-AH22)</f>
        <v>0</v>
      </c>
      <c r="AT22" s="148" t="n">
        <f aca="false">AQ22+AR22+AS22</f>
        <v>0</v>
      </c>
      <c r="AU22" s="148"/>
      <c r="AV22" s="133" t="n">
        <f aca="false">AT22+AO22</f>
        <v>-140909.898120253</v>
      </c>
      <c r="AX22" s="133" t="n">
        <f aca="false">AJ22+AG22+AD22</f>
        <v>6384417.61802294</v>
      </c>
      <c r="AY22" s="149"/>
      <c r="AZ22" s="76" t="n">
        <f aca="false">R22*E22</f>
        <v>6925134</v>
      </c>
    </row>
    <row r="23" customFormat="false" ht="12.75" hidden="false" customHeight="false" outlineLevel="0" collapsed="false">
      <c r="A23" s="138" t="n">
        <f aca="false">EDATE(A22,1)</f>
        <v>37377</v>
      </c>
      <c r="B23" s="139" t="n">
        <f aca="false">VLOOKUP($A23,Table2,MATCH(I$3,Curves2,0))</f>
        <v>54200</v>
      </c>
      <c r="C23" s="140"/>
      <c r="D23" s="141" t="n">
        <f aca="false">B23+C23</f>
        <v>54200</v>
      </c>
      <c r="E23" s="126" t="n">
        <f aca="false">IF(Y23=0,0,IF(AND(Y23=1,$H$3=1),D23*T23,IF($H$3=2,D23,"N/A")))</f>
        <v>1680200</v>
      </c>
      <c r="F23" s="126" t="n">
        <f aca="false">E23*X23</f>
        <v>1541799.61894235</v>
      </c>
      <c r="G23" s="142" t="n">
        <f aca="false">VLOOKUP($A23,Table,MATCH(G$4,Curves,0))</f>
        <v>4.212</v>
      </c>
      <c r="H23" s="143" t="n">
        <f aca="false">G23</f>
        <v>4.212</v>
      </c>
      <c r="I23" s="142" t="n">
        <f aca="false">VLOOKUP($A23,Table1,MATCH(I$3,Curves1,0))</f>
        <v>4.259</v>
      </c>
      <c r="J23" s="142" t="n">
        <f aca="false">VLOOKUP($A23,Table,MATCH(J$4,Curves,0))</f>
        <v>0.021</v>
      </c>
      <c r="K23" s="143" t="n">
        <f aca="false">J23</f>
        <v>0.021</v>
      </c>
      <c r="L23" s="144" t="n">
        <v>0</v>
      </c>
      <c r="M23" s="142" t="n">
        <f aca="false">VLOOKUP($A23,Table,MATCH(M$4,Curves,0))</f>
        <v>0.015</v>
      </c>
      <c r="N23" s="143" t="n">
        <f aca="false">M23</f>
        <v>0.015</v>
      </c>
      <c r="O23" s="144" t="n">
        <v>0</v>
      </c>
      <c r="P23" s="145"/>
      <c r="Q23" s="144" t="n">
        <f aca="false">M23+J23+G23</f>
        <v>4.248</v>
      </c>
      <c r="R23" s="144" t="n">
        <f aca="false">O23+L23+I23</f>
        <v>4.259</v>
      </c>
      <c r="S23" s="145"/>
      <c r="T23" s="71" t="n">
        <f aca="false">A24-A23</f>
        <v>31</v>
      </c>
      <c r="U23" s="146" t="n">
        <f aca="false">CHOOSE(F$3,A24+24,A23)</f>
        <v>37432</v>
      </c>
      <c r="V23" s="71" t="n">
        <f aca="false">U23-C$3</f>
        <v>544</v>
      </c>
      <c r="W23" s="142" t="n">
        <f aca="false">VLOOKUP($A23,Table,MATCH(W$4,Curves,0))</f>
        <v>0.058728342249746</v>
      </c>
      <c r="X23" s="147" t="n">
        <f aca="false">1/(1+CHOOSE(F$3,(W24+($K$3/10000))/2,(W23+($K$3/10000))/2))^(2*V23/365.25)</f>
        <v>0.917628626914862</v>
      </c>
      <c r="Y23" s="71" t="n">
        <f aca="false">IF(AND(mthbeg&lt;=A23,mthend&gt;=A23),1,0)</f>
        <v>1</v>
      </c>
      <c r="Z23" s="71" t="n">
        <f aca="false">T23*Y23</f>
        <v>31</v>
      </c>
      <c r="AB23" s="132" t="n">
        <f aca="false">F23*G23</f>
        <v>6494059.99498518</v>
      </c>
      <c r="AC23" s="132" t="n">
        <f aca="false">$F23*H23</f>
        <v>6494059.99498518</v>
      </c>
      <c r="AD23" s="132" t="n">
        <f aca="false">$F23*I23</f>
        <v>6566524.57707547</v>
      </c>
      <c r="AE23" s="132" t="n">
        <f aca="false">$F23*J23</f>
        <v>32377.7919977894</v>
      </c>
      <c r="AF23" s="132" t="n">
        <f aca="false">$F23*K23</f>
        <v>32377.7919977894</v>
      </c>
      <c r="AG23" s="132" t="n">
        <f aca="false">$F23*L23</f>
        <v>0</v>
      </c>
      <c r="AH23" s="132" t="n">
        <f aca="false">$F23*M23</f>
        <v>23126.9942841353</v>
      </c>
      <c r="AI23" s="132" t="n">
        <f aca="false">$F23*N23</f>
        <v>23126.9942841353</v>
      </c>
      <c r="AJ23" s="132" t="n">
        <f aca="false">F23*O23</f>
        <v>0</v>
      </c>
      <c r="AK23" s="137"/>
      <c r="AL23" s="132" t="n">
        <f aca="false">CHOOSE($G$3,AC23-AD23,AD23-AC23)</f>
        <v>72464.5820902921</v>
      </c>
      <c r="AM23" s="132" t="n">
        <f aca="false">CHOOSE($G$3,AF23-AG23,AG23-AF23)</f>
        <v>-32377.7919977894</v>
      </c>
      <c r="AN23" s="132" t="n">
        <f aca="false">CHOOSE($G$3,AI23-AJ23,AJ23-AI23)</f>
        <v>-23126.9942841353</v>
      </c>
      <c r="AO23" s="148" t="n">
        <f aca="false">SUM(AL23:AN23)</f>
        <v>16959.7958083675</v>
      </c>
      <c r="AQ23" s="132" t="n">
        <f aca="false">CHOOSE($G$3,AB23-AC23,AC23-AB23)</f>
        <v>0</v>
      </c>
      <c r="AR23" s="132" t="n">
        <f aca="false">CHOOSE($G$3,AE23-AF23,AF23-AE23)</f>
        <v>0</v>
      </c>
      <c r="AS23" s="132" t="n">
        <f aca="false">CHOOSE($G$3,AH23-AI23,AI23-AH23)</f>
        <v>0</v>
      </c>
      <c r="AT23" s="148" t="n">
        <f aca="false">AQ23+AR23+AS23</f>
        <v>0</v>
      </c>
      <c r="AU23" s="148"/>
      <c r="AV23" s="133" t="n">
        <f aca="false">AT23+AO23</f>
        <v>16959.7958083675</v>
      </c>
      <c r="AX23" s="133" t="n">
        <f aca="false">AJ23+AG23+AD23</f>
        <v>6566524.57707547</v>
      </c>
      <c r="AY23" s="149"/>
      <c r="AZ23" s="76" t="n">
        <f aca="false">R23*E23</f>
        <v>7155971.8</v>
      </c>
    </row>
    <row r="24" customFormat="false" ht="12.75" hidden="false" customHeight="false" outlineLevel="0" collapsed="false">
      <c r="A24" s="138" t="n">
        <f aca="false">EDATE(A23,1)</f>
        <v>37408</v>
      </c>
      <c r="B24" s="139" t="n">
        <f aca="false">VLOOKUP($A24,Table2,MATCH(I$3,Curves2,0))</f>
        <v>54200</v>
      </c>
      <c r="C24" s="140"/>
      <c r="D24" s="141" t="n">
        <f aca="false">B24+C24</f>
        <v>54200</v>
      </c>
      <c r="E24" s="126" t="n">
        <f aca="false">IF(Y24=0,0,IF(AND(Y24=1,$H$3=1),D24*T24,IF($H$3=2,D24,"N/A")))</f>
        <v>1626000</v>
      </c>
      <c r="F24" s="126" t="n">
        <f aca="false">E24*X24</f>
        <v>1485302.51449742</v>
      </c>
      <c r="G24" s="142" t="n">
        <f aca="false">VLOOKUP($A24,Table,MATCH(G$4,Curves,0))</f>
        <v>4.192</v>
      </c>
      <c r="H24" s="143" t="n">
        <f aca="false">G24</f>
        <v>4.192</v>
      </c>
      <c r="I24" s="142" t="n">
        <f aca="false">VLOOKUP($A24,Table1,MATCH(I$3,Curves1,0))</f>
        <v>4.259</v>
      </c>
      <c r="J24" s="142" t="n">
        <f aca="false">VLOOKUP($A24,Table,MATCH(J$4,Curves,0))</f>
        <v>0.021</v>
      </c>
      <c r="K24" s="143" t="n">
        <f aca="false">J24</f>
        <v>0.021</v>
      </c>
      <c r="L24" s="144" t="n">
        <v>0</v>
      </c>
      <c r="M24" s="142" t="n">
        <f aca="false">VLOOKUP($A24,Table,MATCH(M$4,Curves,0))</f>
        <v>0.015</v>
      </c>
      <c r="N24" s="143" t="n">
        <f aca="false">M24</f>
        <v>0.015</v>
      </c>
      <c r="O24" s="144" t="n">
        <v>0</v>
      </c>
      <c r="P24" s="145"/>
      <c r="Q24" s="144" t="n">
        <f aca="false">M24+J24+G24</f>
        <v>4.228</v>
      </c>
      <c r="R24" s="144" t="n">
        <f aca="false">O24+L24+I24</f>
        <v>4.259</v>
      </c>
      <c r="S24" s="145"/>
      <c r="T24" s="71" t="n">
        <f aca="false">A25-A24</f>
        <v>30</v>
      </c>
      <c r="U24" s="146" t="n">
        <f aca="false">CHOOSE(F$3,A25+24,A24)</f>
        <v>37462</v>
      </c>
      <c r="V24" s="71" t="n">
        <f aca="false">U24-C$3</f>
        <v>574</v>
      </c>
      <c r="W24" s="142" t="n">
        <f aca="false">VLOOKUP($A24,Table,MATCH(W$4,Curves,0))</f>
        <v>0.058557430179484</v>
      </c>
      <c r="X24" s="147" t="n">
        <f aca="false">1/(1+CHOOSE(F$3,(W25+($K$3/10000))/2,(W24+($K$3/10000))/2))^(2*V24/365.25)</f>
        <v>0.913470181117722</v>
      </c>
      <c r="Y24" s="71" t="n">
        <f aca="false">IF(AND(mthbeg&lt;=A24,mthend&gt;=A24),1,0)</f>
        <v>1</v>
      </c>
      <c r="Z24" s="71" t="n">
        <f aca="false">T24*Y24</f>
        <v>30</v>
      </c>
      <c r="AB24" s="132" t="n">
        <f aca="false">F24*G24</f>
        <v>6226388.14077317</v>
      </c>
      <c r="AC24" s="132" t="n">
        <f aca="false">$F24*H24</f>
        <v>6226388.14077317</v>
      </c>
      <c r="AD24" s="132" t="n">
        <f aca="false">$F24*I24</f>
        <v>6325903.4092445</v>
      </c>
      <c r="AE24" s="132" t="n">
        <f aca="false">$F24*J24</f>
        <v>31191.3528044457</v>
      </c>
      <c r="AF24" s="132" t="n">
        <f aca="false">$F24*K24</f>
        <v>31191.3528044457</v>
      </c>
      <c r="AG24" s="132" t="n">
        <f aca="false">$F24*L24</f>
        <v>0</v>
      </c>
      <c r="AH24" s="132" t="n">
        <f aca="false">$F24*M24</f>
        <v>22279.5377174612</v>
      </c>
      <c r="AI24" s="132" t="n">
        <f aca="false">$F24*N24</f>
        <v>22279.5377174612</v>
      </c>
      <c r="AJ24" s="132" t="n">
        <f aca="false">F24*O24</f>
        <v>0</v>
      </c>
      <c r="AK24" s="137"/>
      <c r="AL24" s="132" t="n">
        <f aca="false">CHOOSE($G$3,AC24-AD24,AD24-AC24)</f>
        <v>99515.2684713267</v>
      </c>
      <c r="AM24" s="132" t="n">
        <f aca="false">CHOOSE($G$3,AF24-AG24,AG24-AF24)</f>
        <v>-31191.3528044457</v>
      </c>
      <c r="AN24" s="132" t="n">
        <f aca="false">CHOOSE($G$3,AI24-AJ24,AJ24-AI24)</f>
        <v>-22279.5377174612</v>
      </c>
      <c r="AO24" s="148" t="n">
        <f aca="false">SUM(AL24:AN24)</f>
        <v>46044.3779494197</v>
      </c>
      <c r="AQ24" s="132" t="n">
        <f aca="false">CHOOSE($G$3,AB24-AC24,AC24-AB24)</f>
        <v>0</v>
      </c>
      <c r="AR24" s="132" t="n">
        <f aca="false">CHOOSE($G$3,AE24-AF24,AF24-AE24)</f>
        <v>0</v>
      </c>
      <c r="AS24" s="132" t="n">
        <f aca="false">CHOOSE($G$3,AH24-AI24,AI24-AH24)</f>
        <v>0</v>
      </c>
      <c r="AT24" s="148" t="n">
        <f aca="false">AQ24+AR24+AS24</f>
        <v>0</v>
      </c>
      <c r="AU24" s="148"/>
      <c r="AV24" s="133" t="n">
        <f aca="false">AT24+AO24</f>
        <v>46044.3779494197</v>
      </c>
      <c r="AX24" s="133" t="n">
        <f aca="false">AJ24+AG24+AD24</f>
        <v>6325903.4092445</v>
      </c>
      <c r="AY24" s="149"/>
      <c r="AZ24" s="76" t="n">
        <f aca="false">R24*E24</f>
        <v>6925134</v>
      </c>
    </row>
    <row r="25" customFormat="false" ht="12.75" hidden="false" customHeight="false" outlineLevel="0" collapsed="false">
      <c r="A25" s="138" t="n">
        <f aca="false">EDATE(A24,1)</f>
        <v>37438</v>
      </c>
      <c r="B25" s="139" t="n">
        <f aca="false">VLOOKUP($A25,Table2,MATCH(I$3,Curves2,0))</f>
        <v>54200</v>
      </c>
      <c r="C25" s="140"/>
      <c r="D25" s="141" t="n">
        <f aca="false">B25+C25</f>
        <v>54200</v>
      </c>
      <c r="E25" s="126" t="n">
        <f aca="false">IF(Y25=0,0,IF(AND(Y25=1,$H$3=1),D25*T25,IF($H$3=2,D25,"N/A")))</f>
        <v>1680200</v>
      </c>
      <c r="F25" s="126" t="n">
        <f aca="false">E25*X25</f>
        <v>1527516.47872807</v>
      </c>
      <c r="G25" s="142" t="n">
        <f aca="false">VLOOKUP($A25,Table,MATCH(G$4,Curves,0))</f>
        <v>4.192</v>
      </c>
      <c r="H25" s="143" t="n">
        <f aca="false">G25</f>
        <v>4.192</v>
      </c>
      <c r="I25" s="142" t="n">
        <f aca="false">VLOOKUP($A25,Table1,MATCH(I$3,Curves1,0))</f>
        <v>4.259</v>
      </c>
      <c r="J25" s="142" t="n">
        <f aca="false">VLOOKUP($A25,Table,MATCH(J$4,Curves,0))</f>
        <v>0.021</v>
      </c>
      <c r="K25" s="143" t="n">
        <f aca="false">J25</f>
        <v>0.021</v>
      </c>
      <c r="L25" s="144" t="n">
        <v>0</v>
      </c>
      <c r="M25" s="142" t="n">
        <f aca="false">VLOOKUP($A25,Table,MATCH(M$4,Curves,0))</f>
        <v>0.015</v>
      </c>
      <c r="N25" s="143" t="n">
        <f aca="false">M25</f>
        <v>0.015</v>
      </c>
      <c r="O25" s="144" t="n">
        <v>0</v>
      </c>
      <c r="P25" s="145"/>
      <c r="Q25" s="144" t="n">
        <f aca="false">M25+J25+G25</f>
        <v>4.228</v>
      </c>
      <c r="R25" s="144" t="n">
        <f aca="false">O25+L25+I25</f>
        <v>4.259</v>
      </c>
      <c r="S25" s="145"/>
      <c r="T25" s="71" t="n">
        <f aca="false">A26-A25</f>
        <v>31</v>
      </c>
      <c r="U25" s="146" t="n">
        <f aca="false">CHOOSE(F$3,A26+24,A25)</f>
        <v>37493</v>
      </c>
      <c r="V25" s="71" t="n">
        <f aca="false">U25-C$3</f>
        <v>605</v>
      </c>
      <c r="W25" s="142" t="n">
        <f aca="false">VLOOKUP($A25,Table,MATCH(W$4,Curves,0))</f>
        <v>0.058427393120956</v>
      </c>
      <c r="X25" s="147" t="n">
        <f aca="false">1/(1+CHOOSE(F$3,(W26+($K$3/10000))/2,(W25+($K$3/10000))/2))^(2*V25/365.25)</f>
        <v>0.9091277697465</v>
      </c>
      <c r="Y25" s="71" t="n">
        <f aca="false">IF(AND(mthbeg&lt;=A25,mthend&gt;=A25),1,0)</f>
        <v>1</v>
      </c>
      <c r="Z25" s="71" t="n">
        <f aca="false">T25*Y25</f>
        <v>31</v>
      </c>
      <c r="AB25" s="132" t="n">
        <f aca="false">F25*G25</f>
        <v>6403349.07882807</v>
      </c>
      <c r="AC25" s="132" t="n">
        <f aca="false">$F25*H25</f>
        <v>6403349.07882807</v>
      </c>
      <c r="AD25" s="132" t="n">
        <f aca="false">$F25*I25</f>
        <v>6505692.68290285</v>
      </c>
      <c r="AE25" s="132" t="n">
        <f aca="false">$F25*J25</f>
        <v>32077.8460532895</v>
      </c>
      <c r="AF25" s="132" t="n">
        <f aca="false">$F25*K25</f>
        <v>32077.8460532895</v>
      </c>
      <c r="AG25" s="132" t="n">
        <f aca="false">$F25*L25</f>
        <v>0</v>
      </c>
      <c r="AH25" s="132" t="n">
        <f aca="false">$F25*M25</f>
        <v>22912.747180921</v>
      </c>
      <c r="AI25" s="132" t="n">
        <f aca="false">$F25*N25</f>
        <v>22912.747180921</v>
      </c>
      <c r="AJ25" s="132" t="n">
        <f aca="false">F25*O25</f>
        <v>0</v>
      </c>
      <c r="AK25" s="137"/>
      <c r="AL25" s="132" t="n">
        <f aca="false">CHOOSE($G$3,AC25-AD25,AD25-AC25)</f>
        <v>102343.604074781</v>
      </c>
      <c r="AM25" s="132" t="n">
        <f aca="false">CHOOSE($G$3,AF25-AG25,AG25-AF25)</f>
        <v>-32077.8460532895</v>
      </c>
      <c r="AN25" s="132" t="n">
        <f aca="false">CHOOSE($G$3,AI25-AJ25,AJ25-AI25)</f>
        <v>-22912.747180921</v>
      </c>
      <c r="AO25" s="148" t="n">
        <f aca="false">SUM(AL25:AN25)</f>
        <v>47353.0108405703</v>
      </c>
      <c r="AQ25" s="132" t="n">
        <f aca="false">CHOOSE($G$3,AB25-AC25,AC25-AB25)</f>
        <v>0</v>
      </c>
      <c r="AR25" s="132" t="n">
        <f aca="false">CHOOSE($G$3,AE25-AF25,AF25-AE25)</f>
        <v>0</v>
      </c>
      <c r="AS25" s="132" t="n">
        <f aca="false">CHOOSE($G$3,AH25-AI25,AI25-AH25)</f>
        <v>0</v>
      </c>
      <c r="AT25" s="148" t="n">
        <f aca="false">AQ25+AR25+AS25</f>
        <v>0</v>
      </c>
      <c r="AU25" s="148"/>
      <c r="AV25" s="133" t="n">
        <f aca="false">AT25+AO25</f>
        <v>47353.0108405703</v>
      </c>
      <c r="AX25" s="133" t="n">
        <f aca="false">AJ25+AG25+AD25</f>
        <v>6505692.68290285</v>
      </c>
      <c r="AY25" s="149"/>
      <c r="AZ25" s="76" t="n">
        <f aca="false">R25*E25</f>
        <v>7155971.8</v>
      </c>
    </row>
    <row r="26" customFormat="false" ht="12.75" hidden="false" customHeight="false" outlineLevel="0" collapsed="false">
      <c r="A26" s="138" t="n">
        <f aca="false">EDATE(A25,1)</f>
        <v>37469</v>
      </c>
      <c r="B26" s="139" t="n">
        <f aca="false">VLOOKUP($A26,Table2,MATCH(I$3,Curves2,0))</f>
        <v>54200</v>
      </c>
      <c r="C26" s="140"/>
      <c r="D26" s="141" t="n">
        <f aca="false">B26+C26</f>
        <v>54200</v>
      </c>
      <c r="E26" s="126" t="n">
        <f aca="false">IF(Y26=0,0,IF(AND(Y26=1,$H$3=1),D26*T26,IF($H$3=2,D26,"N/A")))</f>
        <v>1680200</v>
      </c>
      <c r="F26" s="126" t="n">
        <f aca="false">E26*X26</f>
        <v>1520274.18027056</v>
      </c>
      <c r="G26" s="142" t="n">
        <f aca="false">VLOOKUP($A26,Table,MATCH(G$4,Curves,0))</f>
        <v>4.192</v>
      </c>
      <c r="H26" s="143" t="n">
        <f aca="false">G26</f>
        <v>4.192</v>
      </c>
      <c r="I26" s="142" t="n">
        <f aca="false">VLOOKUP($A26,Table1,MATCH(I$3,Curves1,0))</f>
        <v>4.259</v>
      </c>
      <c r="J26" s="142" t="n">
        <f aca="false">VLOOKUP($A26,Table,MATCH(J$4,Curves,0))</f>
        <v>0.021</v>
      </c>
      <c r="K26" s="143" t="n">
        <f aca="false">J26</f>
        <v>0.021</v>
      </c>
      <c r="L26" s="144" t="n">
        <v>0</v>
      </c>
      <c r="M26" s="142" t="n">
        <f aca="false">VLOOKUP($A26,Table,MATCH(M$4,Curves,0))</f>
        <v>0.015</v>
      </c>
      <c r="N26" s="143" t="n">
        <f aca="false">M26</f>
        <v>0.015</v>
      </c>
      <c r="O26" s="144" t="n">
        <v>0</v>
      </c>
      <c r="P26" s="145"/>
      <c r="Q26" s="144" t="n">
        <f aca="false">M26+J26+G26</f>
        <v>4.228</v>
      </c>
      <c r="R26" s="144" t="n">
        <f aca="false">O26+L26+I26</f>
        <v>4.259</v>
      </c>
      <c r="S26" s="145"/>
      <c r="T26" s="71" t="n">
        <f aca="false">A27-A26</f>
        <v>31</v>
      </c>
      <c r="U26" s="146" t="n">
        <f aca="false">CHOOSE(F$3,A27+24,A26)</f>
        <v>37524</v>
      </c>
      <c r="V26" s="71" t="n">
        <f aca="false">U26-C$3</f>
        <v>636</v>
      </c>
      <c r="W26" s="142" t="n">
        <f aca="false">VLOOKUP($A26,Table,MATCH(W$4,Curves,0))</f>
        <v>0.058351099221517</v>
      </c>
      <c r="X26" s="147" t="n">
        <f aca="false">1/(1+CHOOSE(F$3,(W27+($K$3/10000))/2,(W26+($K$3/10000))/2))^(2*V26/365.25)</f>
        <v>0.904817390947842</v>
      </c>
      <c r="Y26" s="71" t="n">
        <f aca="false">IF(AND(mthbeg&lt;=A26,mthend&gt;=A26),1,0)</f>
        <v>1</v>
      </c>
      <c r="Z26" s="71" t="n">
        <f aca="false">T26*Y26</f>
        <v>31</v>
      </c>
      <c r="AB26" s="132" t="n">
        <f aca="false">F26*G26</f>
        <v>6372989.3636942</v>
      </c>
      <c r="AC26" s="132" t="n">
        <f aca="false">$F26*H26</f>
        <v>6372989.3636942</v>
      </c>
      <c r="AD26" s="132" t="n">
        <f aca="false">$F26*I26</f>
        <v>6474847.73377233</v>
      </c>
      <c r="AE26" s="132" t="n">
        <f aca="false">$F26*J26</f>
        <v>31925.7577856818</v>
      </c>
      <c r="AF26" s="132" t="n">
        <f aca="false">$F26*K26</f>
        <v>31925.7577856818</v>
      </c>
      <c r="AG26" s="132" t="n">
        <f aca="false">$F26*L26</f>
        <v>0</v>
      </c>
      <c r="AH26" s="132" t="n">
        <f aca="false">$F26*M26</f>
        <v>22804.1127040585</v>
      </c>
      <c r="AI26" s="132" t="n">
        <f aca="false">$F26*N26</f>
        <v>22804.1127040585</v>
      </c>
      <c r="AJ26" s="132" t="n">
        <f aca="false">F26*O26</f>
        <v>0</v>
      </c>
      <c r="AK26" s="137"/>
      <c r="AL26" s="132" t="n">
        <f aca="false">CHOOSE($G$3,AC26-AD26,AD26-AC26)</f>
        <v>101858.370078128</v>
      </c>
      <c r="AM26" s="132" t="n">
        <f aca="false">CHOOSE($G$3,AF26-AG26,AG26-AF26)</f>
        <v>-31925.7577856818</v>
      </c>
      <c r="AN26" s="132" t="n">
        <f aca="false">CHOOSE($G$3,AI26-AJ26,AJ26-AI26)</f>
        <v>-22804.1127040585</v>
      </c>
      <c r="AO26" s="148" t="n">
        <f aca="false">SUM(AL26:AN26)</f>
        <v>47128.4995883875</v>
      </c>
      <c r="AQ26" s="132" t="n">
        <f aca="false">CHOOSE($G$3,AB26-AC26,AC26-AB26)</f>
        <v>0</v>
      </c>
      <c r="AR26" s="132" t="n">
        <f aca="false">CHOOSE($G$3,AE26-AF26,AF26-AE26)</f>
        <v>0</v>
      </c>
      <c r="AS26" s="132" t="n">
        <f aca="false">CHOOSE($G$3,AH26-AI26,AI26-AH26)</f>
        <v>0</v>
      </c>
      <c r="AT26" s="148" t="n">
        <f aca="false">AQ26+AR26+AS26</f>
        <v>0</v>
      </c>
      <c r="AU26" s="148"/>
      <c r="AV26" s="133" t="n">
        <f aca="false">AT26+AO26</f>
        <v>47128.4995883875</v>
      </c>
      <c r="AX26" s="133" t="n">
        <f aca="false">AJ26+AG26+AD26</f>
        <v>6474847.73377233</v>
      </c>
      <c r="AY26" s="149"/>
      <c r="AZ26" s="76" t="n">
        <f aca="false">R26*E26</f>
        <v>7155971.8</v>
      </c>
    </row>
    <row r="27" customFormat="false" ht="12.75" hidden="false" customHeight="false" outlineLevel="0" collapsed="false">
      <c r="A27" s="138" t="n">
        <f aca="false">EDATE(A26,1)</f>
        <v>37500</v>
      </c>
      <c r="B27" s="139" t="n">
        <f aca="false">VLOOKUP($A27,Table2,MATCH(I$3,Curves2,0))</f>
        <v>54200</v>
      </c>
      <c r="C27" s="140"/>
      <c r="D27" s="141" t="n">
        <f aca="false">B27+C27</f>
        <v>54200</v>
      </c>
      <c r="E27" s="126" t="n">
        <f aca="false">IF(Y27=0,0,IF(AND(Y27=1,$H$3=1),D27*T27,IF($H$3=2,D27,"N/A")))</f>
        <v>1626000</v>
      </c>
      <c r="F27" s="126" t="n">
        <f aca="false">E27*X27</f>
        <v>1464453.02429358</v>
      </c>
      <c r="G27" s="142" t="n">
        <f aca="false">VLOOKUP($A27,Table,MATCH(G$4,Curves,0))</f>
        <v>4.187</v>
      </c>
      <c r="H27" s="143" t="n">
        <f aca="false">G27</f>
        <v>4.187</v>
      </c>
      <c r="I27" s="142" t="n">
        <f aca="false">VLOOKUP($A27,Table1,MATCH(I$3,Curves1,0))</f>
        <v>4.259</v>
      </c>
      <c r="J27" s="142" t="n">
        <f aca="false">VLOOKUP($A27,Table,MATCH(J$4,Curves,0))</f>
        <v>0.021</v>
      </c>
      <c r="K27" s="143" t="n">
        <f aca="false">J27</f>
        <v>0.021</v>
      </c>
      <c r="L27" s="144" t="n">
        <v>0</v>
      </c>
      <c r="M27" s="142" t="n">
        <f aca="false">VLOOKUP($A27,Table,MATCH(M$4,Curves,0))</f>
        <v>0.015</v>
      </c>
      <c r="N27" s="143" t="n">
        <f aca="false">M27</f>
        <v>0.015</v>
      </c>
      <c r="O27" s="144" t="n">
        <v>0</v>
      </c>
      <c r="P27" s="145"/>
      <c r="Q27" s="144" t="n">
        <f aca="false">M27+J27+G27</f>
        <v>4.223</v>
      </c>
      <c r="R27" s="144" t="n">
        <f aca="false">O27+L27+I27</f>
        <v>4.259</v>
      </c>
      <c r="S27" s="145"/>
      <c r="T27" s="71" t="n">
        <f aca="false">A28-A27</f>
        <v>30</v>
      </c>
      <c r="U27" s="146" t="n">
        <f aca="false">CHOOSE(F$3,A28+24,A27)</f>
        <v>37554</v>
      </c>
      <c r="V27" s="71" t="n">
        <f aca="false">U27-C$3</f>
        <v>666</v>
      </c>
      <c r="W27" s="142" t="n">
        <f aca="false">VLOOKUP($A27,Table,MATCH(W$4,Curves,0))</f>
        <v>0.058274805324013</v>
      </c>
      <c r="X27" s="147" t="n">
        <f aca="false">1/(1+CHOOSE(F$3,(W28+($K$3/10000))/2,(W27+($K$3/10000))/2))^(2*V27/365.25)</f>
        <v>0.900647616416714</v>
      </c>
      <c r="Y27" s="71" t="n">
        <f aca="false">IF(AND(mthbeg&lt;=A27,mthend&gt;=A27),1,0)</f>
        <v>1</v>
      </c>
      <c r="Z27" s="71" t="n">
        <f aca="false">T27*Y27</f>
        <v>30</v>
      </c>
      <c r="AB27" s="132" t="n">
        <f aca="false">F27*G27</f>
        <v>6131664.81271721</v>
      </c>
      <c r="AC27" s="132" t="n">
        <f aca="false">$F27*H27</f>
        <v>6131664.81271721</v>
      </c>
      <c r="AD27" s="132" t="n">
        <f aca="false">$F27*I27</f>
        <v>6237105.43046635</v>
      </c>
      <c r="AE27" s="132" t="n">
        <f aca="false">$F27*J27</f>
        <v>30753.5135101651</v>
      </c>
      <c r="AF27" s="132" t="n">
        <f aca="false">$F27*K27</f>
        <v>30753.5135101651</v>
      </c>
      <c r="AG27" s="132" t="n">
        <f aca="false">$F27*L27</f>
        <v>0</v>
      </c>
      <c r="AH27" s="132" t="n">
        <f aca="false">$F27*M27</f>
        <v>21966.7953644037</v>
      </c>
      <c r="AI27" s="132" t="n">
        <f aca="false">$F27*N27</f>
        <v>21966.7953644037</v>
      </c>
      <c r="AJ27" s="132" t="n">
        <f aca="false">F27*O27</f>
        <v>0</v>
      </c>
      <c r="AK27" s="137"/>
      <c r="AL27" s="132" t="n">
        <f aca="false">CHOOSE($G$3,AC27-AD27,AD27-AC27)</f>
        <v>105440.617749138</v>
      </c>
      <c r="AM27" s="132" t="n">
        <f aca="false">CHOOSE($G$3,AF27-AG27,AG27-AF27)</f>
        <v>-30753.5135101651</v>
      </c>
      <c r="AN27" s="132" t="n">
        <f aca="false">CHOOSE($G$3,AI27-AJ27,AJ27-AI27)</f>
        <v>-21966.7953644037</v>
      </c>
      <c r="AO27" s="148" t="n">
        <f aca="false">SUM(AL27:AN27)</f>
        <v>52720.308874569</v>
      </c>
      <c r="AQ27" s="132" t="n">
        <f aca="false">CHOOSE($G$3,AB27-AC27,AC27-AB27)</f>
        <v>0</v>
      </c>
      <c r="AR27" s="132" t="n">
        <f aca="false">CHOOSE($G$3,AE27-AF27,AF27-AE27)</f>
        <v>0</v>
      </c>
      <c r="AS27" s="132" t="n">
        <f aca="false">CHOOSE($G$3,AH27-AI27,AI27-AH27)</f>
        <v>0</v>
      </c>
      <c r="AT27" s="148" t="n">
        <f aca="false">AQ27+AR27+AS27</f>
        <v>0</v>
      </c>
      <c r="AU27" s="148"/>
      <c r="AV27" s="133" t="n">
        <f aca="false">AT27+AO27</f>
        <v>52720.308874569</v>
      </c>
      <c r="AX27" s="133" t="n">
        <f aca="false">AJ27+AG27+AD27</f>
        <v>6237105.43046635</v>
      </c>
      <c r="AY27" s="149"/>
      <c r="AZ27" s="76" t="n">
        <f aca="false">R27*E27</f>
        <v>6925134</v>
      </c>
    </row>
    <row r="28" customFormat="false" ht="12.75" hidden="false" customHeight="false" outlineLevel="0" collapsed="false">
      <c r="A28" s="138" t="n">
        <f aca="false">EDATE(A27,1)</f>
        <v>37530</v>
      </c>
      <c r="B28" s="139" t="n">
        <f aca="false">VLOOKUP($A28,Table2,MATCH(I$3,Curves2,0))</f>
        <v>54200</v>
      </c>
      <c r="C28" s="140"/>
      <c r="D28" s="141" t="n">
        <f aca="false">B28+C28</f>
        <v>54200</v>
      </c>
      <c r="E28" s="126" t="n">
        <f aca="false">IF(Y28=0,0,IF(AND(Y28=1,$H$3=1),D28*T28,IF($H$3=2,D28,"N/A")))</f>
        <v>1680200</v>
      </c>
      <c r="F28" s="126" t="n">
        <f aca="false">E28*X28</f>
        <v>1506004.62001274</v>
      </c>
      <c r="G28" s="142" t="n">
        <f aca="false">VLOOKUP($A28,Table,MATCH(G$4,Curves,0))</f>
        <v>4.177</v>
      </c>
      <c r="H28" s="143" t="n">
        <f aca="false">G28</f>
        <v>4.177</v>
      </c>
      <c r="I28" s="142" t="n">
        <f aca="false">VLOOKUP($A28,Table1,MATCH(I$3,Curves1,0))</f>
        <v>4.259</v>
      </c>
      <c r="J28" s="142" t="n">
        <f aca="false">VLOOKUP($A28,Table,MATCH(J$4,Curves,0))</f>
        <v>0.021</v>
      </c>
      <c r="K28" s="143" t="n">
        <f aca="false">J28</f>
        <v>0.021</v>
      </c>
      <c r="L28" s="144" t="n">
        <v>0</v>
      </c>
      <c r="M28" s="142" t="n">
        <f aca="false">VLOOKUP($A28,Table,MATCH(M$4,Curves,0))</f>
        <v>0.015</v>
      </c>
      <c r="N28" s="143" t="n">
        <f aca="false">M28</f>
        <v>0.015</v>
      </c>
      <c r="O28" s="144" t="n">
        <v>0</v>
      </c>
      <c r="P28" s="145"/>
      <c r="Q28" s="144" t="n">
        <f aca="false">M28+J28+G28</f>
        <v>4.213</v>
      </c>
      <c r="R28" s="144" t="n">
        <f aca="false">O28+L28+I28</f>
        <v>4.259</v>
      </c>
      <c r="S28" s="145"/>
      <c r="T28" s="71" t="n">
        <f aca="false">A29-A28</f>
        <v>31</v>
      </c>
      <c r="U28" s="146" t="n">
        <f aca="false">CHOOSE(F$3,A29+24,A28)</f>
        <v>37585</v>
      </c>
      <c r="V28" s="71" t="n">
        <f aca="false">U28-C$3</f>
        <v>697</v>
      </c>
      <c r="W28" s="142" t="n">
        <f aca="false">VLOOKUP($A28,Table,MATCH(W$4,Curves,0))</f>
        <v>0.058218953805259</v>
      </c>
      <c r="X28" s="147" t="n">
        <f aca="false">1/(1+CHOOSE(F$3,(W29+($K$3/10000))/2,(W28+($K$3/10000))/2))^(2*V28/365.25)</f>
        <v>0.896324616124709</v>
      </c>
      <c r="Y28" s="71" t="n">
        <f aca="false">IF(AND(mthbeg&lt;=A28,mthend&gt;=A28),1,0)</f>
        <v>1</v>
      </c>
      <c r="Z28" s="71" t="n">
        <f aca="false">T28*Y28</f>
        <v>31</v>
      </c>
      <c r="AB28" s="132" t="n">
        <f aca="false">F28*G28</f>
        <v>6290581.2977932</v>
      </c>
      <c r="AC28" s="132" t="n">
        <f aca="false">$F28*H28</f>
        <v>6290581.2977932</v>
      </c>
      <c r="AD28" s="132" t="n">
        <f aca="false">$F28*I28</f>
        <v>6414073.67663425</v>
      </c>
      <c r="AE28" s="132" t="n">
        <f aca="false">$F28*J28</f>
        <v>31626.0970202675</v>
      </c>
      <c r="AF28" s="132" t="n">
        <f aca="false">$F28*K28</f>
        <v>31626.0970202675</v>
      </c>
      <c r="AG28" s="132" t="n">
        <f aca="false">$F28*L28</f>
        <v>0</v>
      </c>
      <c r="AH28" s="132" t="n">
        <f aca="false">$F28*M28</f>
        <v>22590.069300191</v>
      </c>
      <c r="AI28" s="132" t="n">
        <f aca="false">$F28*N28</f>
        <v>22590.069300191</v>
      </c>
      <c r="AJ28" s="132" t="n">
        <f aca="false">F28*O28</f>
        <v>0</v>
      </c>
      <c r="AK28" s="137"/>
      <c r="AL28" s="132" t="n">
        <f aca="false">CHOOSE($G$3,AC28-AD28,AD28-AC28)</f>
        <v>123492.378841045</v>
      </c>
      <c r="AM28" s="132" t="n">
        <f aca="false">CHOOSE($G$3,AF28-AG28,AG28-AF28)</f>
        <v>-31626.0970202675</v>
      </c>
      <c r="AN28" s="132" t="n">
        <f aca="false">CHOOSE($G$3,AI28-AJ28,AJ28-AI28)</f>
        <v>-22590.069300191</v>
      </c>
      <c r="AO28" s="148" t="n">
        <f aca="false">SUM(AL28:AN28)</f>
        <v>69276.2125205868</v>
      </c>
      <c r="AQ28" s="132" t="n">
        <f aca="false">CHOOSE($G$3,AB28-AC28,AC28-AB28)</f>
        <v>0</v>
      </c>
      <c r="AR28" s="132" t="n">
        <f aca="false">CHOOSE($G$3,AE28-AF28,AF28-AE28)</f>
        <v>0</v>
      </c>
      <c r="AS28" s="132" t="n">
        <f aca="false">CHOOSE($G$3,AH28-AI28,AI28-AH28)</f>
        <v>0</v>
      </c>
      <c r="AT28" s="148" t="n">
        <f aca="false">AQ28+AR28+AS28</f>
        <v>0</v>
      </c>
      <c r="AU28" s="148"/>
      <c r="AV28" s="133" t="n">
        <f aca="false">AT28+AO28</f>
        <v>69276.2125205868</v>
      </c>
      <c r="AX28" s="133" t="n">
        <f aca="false">AJ28+AG28+AD28</f>
        <v>6414073.67663425</v>
      </c>
      <c r="AY28" s="149"/>
      <c r="AZ28" s="76" t="n">
        <f aca="false">R28*E28</f>
        <v>7155971.8</v>
      </c>
    </row>
    <row r="29" customFormat="false" ht="12.75" hidden="false" customHeight="false" outlineLevel="0" collapsed="false">
      <c r="A29" s="138" t="n">
        <f aca="false">EDATE(A28,1)</f>
        <v>37561</v>
      </c>
      <c r="B29" s="139" t="n">
        <f aca="false">VLOOKUP($A29,Table2,MATCH(I$3,Curves2,0))</f>
        <v>54200</v>
      </c>
      <c r="C29" s="140"/>
      <c r="D29" s="141" t="n">
        <f aca="false">B29+C29</f>
        <v>54200</v>
      </c>
      <c r="E29" s="126" t="n">
        <f aca="false">IF(Y29=0,0,IF(AND(Y29=1,$H$3=1),D29*T29,IF($H$3=2,D29,"N/A")))</f>
        <v>1626000</v>
      </c>
      <c r="F29" s="126" t="n">
        <f aca="false">E29*X29</f>
        <v>1450660.7826564</v>
      </c>
      <c r="G29" s="142" t="n">
        <f aca="false">VLOOKUP($A29,Table,MATCH(G$4,Curves,0))</f>
        <v>4.267</v>
      </c>
      <c r="H29" s="143" t="n">
        <f aca="false">G29</f>
        <v>4.267</v>
      </c>
      <c r="I29" s="142" t="n">
        <f aca="false">VLOOKUP($A29,Table1,MATCH(I$3,Curves1,0))</f>
        <v>4.259</v>
      </c>
      <c r="J29" s="142" t="n">
        <f aca="false">VLOOKUP($A29,Table,MATCH(J$4,Curves,0))</f>
        <v>0.01</v>
      </c>
      <c r="K29" s="143" t="n">
        <f aca="false">J29</f>
        <v>0.01</v>
      </c>
      <c r="L29" s="144" t="n">
        <v>0</v>
      </c>
      <c r="M29" s="142" t="n">
        <f aca="false">VLOOKUP($A29,Table,MATCH(M$4,Curves,0))</f>
        <v>0.015</v>
      </c>
      <c r="N29" s="143" t="n">
        <f aca="false">M29</f>
        <v>0.015</v>
      </c>
      <c r="O29" s="144" t="n">
        <v>0</v>
      </c>
      <c r="P29" s="145"/>
      <c r="Q29" s="144" t="n">
        <f aca="false">M29+J29+G29</f>
        <v>4.292</v>
      </c>
      <c r="R29" s="144" t="n">
        <f aca="false">O29+L29+I29</f>
        <v>4.259</v>
      </c>
      <c r="S29" s="145"/>
      <c r="T29" s="71" t="n">
        <f aca="false">A30-A29</f>
        <v>30</v>
      </c>
      <c r="U29" s="146" t="n">
        <f aca="false">CHOOSE(F$3,A30+24,A29)</f>
        <v>37615</v>
      </c>
      <c r="V29" s="71" t="n">
        <f aca="false">U29-C$3</f>
        <v>727</v>
      </c>
      <c r="W29" s="142" t="n">
        <f aca="false">VLOOKUP($A29,Table,MATCH(W$4,Curves,0))</f>
        <v>0.058187001200475</v>
      </c>
      <c r="X29" s="147" t="n">
        <f aca="false">1/(1+CHOOSE(F$3,(W30+($K$3/10000))/2,(W29+($K$3/10000))/2))^(2*V29/365.25)</f>
        <v>0.892165302986719</v>
      </c>
      <c r="Y29" s="71" t="n">
        <f aca="false">IF(AND(mthbeg&lt;=A29,mthend&gt;=A29),1,0)</f>
        <v>1</v>
      </c>
      <c r="Z29" s="71" t="n">
        <f aca="false">T29*Y29</f>
        <v>30</v>
      </c>
      <c r="AB29" s="132" t="n">
        <f aca="false">F29*G29</f>
        <v>6189969.55959488</v>
      </c>
      <c r="AC29" s="132" t="n">
        <f aca="false">$F29*H29</f>
        <v>6189969.55959488</v>
      </c>
      <c r="AD29" s="132" t="n">
        <f aca="false">$F29*I29</f>
        <v>6178364.27333363</v>
      </c>
      <c r="AE29" s="132" t="n">
        <f aca="false">$F29*J29</f>
        <v>14506.607826564</v>
      </c>
      <c r="AF29" s="132" t="n">
        <f aca="false">$F29*K29</f>
        <v>14506.607826564</v>
      </c>
      <c r="AG29" s="132" t="n">
        <f aca="false">$F29*L29</f>
        <v>0</v>
      </c>
      <c r="AH29" s="132" t="n">
        <f aca="false">$F29*M29</f>
        <v>21759.9117398461</v>
      </c>
      <c r="AI29" s="132" t="n">
        <f aca="false">$F29*N29</f>
        <v>21759.9117398461</v>
      </c>
      <c r="AJ29" s="132" t="n">
        <f aca="false">F29*O29</f>
        <v>0</v>
      </c>
      <c r="AK29" s="137"/>
      <c r="AL29" s="132" t="n">
        <f aca="false">CHOOSE($G$3,AC29-AD29,AD29-AC29)</f>
        <v>-11605.2862612512</v>
      </c>
      <c r="AM29" s="132" t="n">
        <f aca="false">CHOOSE($G$3,AF29-AG29,AG29-AF29)</f>
        <v>-14506.607826564</v>
      </c>
      <c r="AN29" s="132" t="n">
        <f aca="false">CHOOSE($G$3,AI29-AJ29,AJ29-AI29)</f>
        <v>-21759.9117398461</v>
      </c>
      <c r="AO29" s="148" t="n">
        <f aca="false">SUM(AL29:AN29)</f>
        <v>-47871.8058276613</v>
      </c>
      <c r="AQ29" s="132" t="n">
        <f aca="false">CHOOSE($G$3,AB29-AC29,AC29-AB29)</f>
        <v>0</v>
      </c>
      <c r="AR29" s="132" t="n">
        <f aca="false">CHOOSE($G$3,AE29-AF29,AF29-AE29)</f>
        <v>0</v>
      </c>
      <c r="AS29" s="132" t="n">
        <f aca="false">CHOOSE($G$3,AH29-AI29,AI29-AH29)</f>
        <v>0</v>
      </c>
      <c r="AT29" s="148" t="n">
        <f aca="false">AQ29+AR29+AS29</f>
        <v>0</v>
      </c>
      <c r="AU29" s="148"/>
      <c r="AV29" s="133" t="n">
        <f aca="false">AT29+AO29</f>
        <v>-47871.8058276613</v>
      </c>
      <c r="AX29" s="133" t="n">
        <f aca="false">AJ29+AG29+AD29</f>
        <v>6178364.27333363</v>
      </c>
      <c r="AY29" s="149"/>
      <c r="AZ29" s="76" t="n">
        <f aca="false">R29*E29</f>
        <v>6925134</v>
      </c>
    </row>
    <row r="30" customFormat="false" ht="12.75" hidden="false" customHeight="false" outlineLevel="0" collapsed="false">
      <c r="A30" s="138" t="n">
        <f aca="false">EDATE(A29,1)</f>
        <v>37591</v>
      </c>
      <c r="B30" s="139" t="n">
        <f aca="false">VLOOKUP($A30,Table2,MATCH(I$3,Curves2,0))</f>
        <v>54200</v>
      </c>
      <c r="C30" s="140"/>
      <c r="D30" s="141" t="n">
        <f aca="false">B30+C30</f>
        <v>54200</v>
      </c>
      <c r="E30" s="126" t="n">
        <f aca="false">IF(Y30=0,0,IF(AND(Y30=1,$H$3=1),D30*T30,IF($H$3=2,D30,"N/A")))</f>
        <v>1680200</v>
      </c>
      <c r="F30" s="126" t="n">
        <f aca="false">E30*X30</f>
        <v>1491764.79636133</v>
      </c>
      <c r="G30" s="142" t="n">
        <f aca="false">VLOOKUP($A30,Table,MATCH(G$4,Curves,0))</f>
        <v>4.36</v>
      </c>
      <c r="H30" s="143" t="n">
        <f aca="false">G30</f>
        <v>4.36</v>
      </c>
      <c r="I30" s="142" t="n">
        <f aca="false">VLOOKUP($A30,Table1,MATCH(I$3,Curves1,0))</f>
        <v>4.259</v>
      </c>
      <c r="J30" s="142" t="n">
        <f aca="false">VLOOKUP($A30,Table,MATCH(J$4,Curves,0))</f>
        <v>0.01</v>
      </c>
      <c r="K30" s="143" t="n">
        <f aca="false">J30</f>
        <v>0.01</v>
      </c>
      <c r="L30" s="144" t="n">
        <v>0</v>
      </c>
      <c r="M30" s="142" t="n">
        <f aca="false">VLOOKUP($A30,Table,MATCH(M$4,Curves,0))</f>
        <v>0.015</v>
      </c>
      <c r="N30" s="143" t="n">
        <f aca="false">M30</f>
        <v>0.015</v>
      </c>
      <c r="O30" s="144" t="n">
        <v>0</v>
      </c>
      <c r="P30" s="145"/>
      <c r="Q30" s="144" t="n">
        <f aca="false">M30+J30+G30</f>
        <v>4.385</v>
      </c>
      <c r="R30" s="144" t="n">
        <f aca="false">O30+L30+I30</f>
        <v>4.259</v>
      </c>
      <c r="S30" s="145"/>
      <c r="T30" s="71" t="n">
        <f aca="false">A31-A30</f>
        <v>31</v>
      </c>
      <c r="U30" s="146" t="n">
        <f aca="false">CHOOSE(F$3,A31+24,A30)</f>
        <v>37646</v>
      </c>
      <c r="V30" s="71" t="n">
        <f aca="false">U30-C$3</f>
        <v>758</v>
      </c>
      <c r="W30" s="142" t="n">
        <f aca="false">VLOOKUP($A30,Table,MATCH(W$4,Curves,0))</f>
        <v>0.058156079325201</v>
      </c>
      <c r="X30" s="147" t="n">
        <f aca="false">1/(1+CHOOSE(F$3,(W31+($K$3/10000))/2,(W30+($K$3/10000))/2))^(2*V30/365.25)</f>
        <v>0.887849539555606</v>
      </c>
      <c r="Y30" s="71" t="n">
        <f aca="false">IF(AND(mthbeg&lt;=A30,mthend&gt;=A30),1,0)</f>
        <v>1</v>
      </c>
      <c r="Z30" s="71" t="n">
        <f aca="false">T30*Y30</f>
        <v>31</v>
      </c>
      <c r="AB30" s="132" t="n">
        <f aca="false">F30*G30</f>
        <v>6504094.5121354</v>
      </c>
      <c r="AC30" s="132" t="n">
        <f aca="false">$F30*H30</f>
        <v>6504094.5121354</v>
      </c>
      <c r="AD30" s="132" t="n">
        <f aca="false">$F30*I30</f>
        <v>6353426.2677029</v>
      </c>
      <c r="AE30" s="132" t="n">
        <f aca="false">$F30*J30</f>
        <v>14917.6479636133</v>
      </c>
      <c r="AF30" s="132" t="n">
        <f aca="false">$F30*K30</f>
        <v>14917.6479636133</v>
      </c>
      <c r="AG30" s="132" t="n">
        <f aca="false">$F30*L30</f>
        <v>0</v>
      </c>
      <c r="AH30" s="132" t="n">
        <f aca="false">$F30*M30</f>
        <v>22376.4719454199</v>
      </c>
      <c r="AI30" s="132" t="n">
        <f aca="false">$F30*N30</f>
        <v>22376.4719454199</v>
      </c>
      <c r="AJ30" s="132" t="n">
        <f aca="false">F30*O30</f>
        <v>0</v>
      </c>
      <c r="AK30" s="137"/>
      <c r="AL30" s="132" t="n">
        <f aca="false">CHOOSE($G$3,AC30-AD30,AD30-AC30)</f>
        <v>-150668.244432494</v>
      </c>
      <c r="AM30" s="132" t="n">
        <f aca="false">CHOOSE($G$3,AF30-AG30,AG30-AF30)</f>
        <v>-14917.6479636133</v>
      </c>
      <c r="AN30" s="132" t="n">
        <f aca="false">CHOOSE($G$3,AI30-AJ30,AJ30-AI30)</f>
        <v>-22376.4719454199</v>
      </c>
      <c r="AO30" s="148" t="n">
        <f aca="false">SUM(AL30:AN30)</f>
        <v>-187962.364341527</v>
      </c>
      <c r="AQ30" s="132" t="n">
        <f aca="false">CHOOSE($G$3,AB30-AC30,AC30-AB30)</f>
        <v>0</v>
      </c>
      <c r="AR30" s="132" t="n">
        <f aca="false">CHOOSE($G$3,AE30-AF30,AF30-AE30)</f>
        <v>0</v>
      </c>
      <c r="AS30" s="132" t="n">
        <f aca="false">CHOOSE($G$3,AH30-AI30,AI30-AH30)</f>
        <v>0</v>
      </c>
      <c r="AT30" s="148" t="n">
        <f aca="false">AQ30+AR30+AS30</f>
        <v>0</v>
      </c>
      <c r="AU30" s="148"/>
      <c r="AV30" s="133" t="n">
        <f aca="false">AT30+AO30</f>
        <v>-187962.364341527</v>
      </c>
      <c r="AX30" s="133" t="n">
        <f aca="false">AJ30+AG30+AD30</f>
        <v>6353426.2677029</v>
      </c>
      <c r="AY30" s="149"/>
      <c r="AZ30" s="76" t="n">
        <f aca="false">R30*E30</f>
        <v>7155971.8</v>
      </c>
    </row>
    <row r="31" customFormat="false" ht="12.75" hidden="false" customHeight="false" outlineLevel="0" collapsed="false">
      <c r="A31" s="138" t="n">
        <f aca="false">EDATE(A30,1)</f>
        <v>37622</v>
      </c>
      <c r="B31" s="139" t="n">
        <f aca="false">VLOOKUP($A31,Table2,MATCH(I$3,Curves2,0))</f>
        <v>54200</v>
      </c>
      <c r="C31" s="140"/>
      <c r="D31" s="141" t="n">
        <f aca="false">B31+C31</f>
        <v>54200</v>
      </c>
      <c r="E31" s="126" t="n">
        <f aca="false">IF(Y31=0,0,IF(AND(Y31=1,$H$3=1),D31*T31,IF($H$3=2,D31,"N/A")))</f>
        <v>1680200</v>
      </c>
      <c r="F31" s="126" t="n">
        <f aca="false">E31*X31</f>
        <v>1484460.30492057</v>
      </c>
      <c r="G31" s="142" t="n">
        <f aca="false">VLOOKUP($A31,Table,MATCH(G$4,Curves,0))</f>
        <v>4.382</v>
      </c>
      <c r="H31" s="143" t="n">
        <f aca="false">G31</f>
        <v>4.382</v>
      </c>
      <c r="I31" s="142" t="n">
        <f aca="false">VLOOKUP($A31,Table1,MATCH(I$3,Curves1,0))</f>
        <v>4.259</v>
      </c>
      <c r="J31" s="142" t="n">
        <f aca="false">VLOOKUP($A31,Table,MATCH(J$4,Curves,0))</f>
        <v>0.01</v>
      </c>
      <c r="K31" s="143" t="n">
        <f aca="false">J31</f>
        <v>0.01</v>
      </c>
      <c r="L31" s="144" t="n">
        <v>0</v>
      </c>
      <c r="M31" s="142" t="n">
        <f aca="false">VLOOKUP($A31,Table,MATCH(M$4,Curves,0))</f>
        <v>0.02</v>
      </c>
      <c r="N31" s="143" t="n">
        <f aca="false">M31</f>
        <v>0.02</v>
      </c>
      <c r="O31" s="144" t="n">
        <v>0</v>
      </c>
      <c r="P31" s="145"/>
      <c r="Q31" s="144" t="n">
        <f aca="false">M31+J31+G31</f>
        <v>4.412</v>
      </c>
      <c r="R31" s="144" t="n">
        <f aca="false">O31+L31+I31</f>
        <v>4.259</v>
      </c>
      <c r="S31" s="145"/>
      <c r="T31" s="71" t="n">
        <f aca="false">A32-A31</f>
        <v>31</v>
      </c>
      <c r="U31" s="146" t="n">
        <f aca="false">CHOOSE(F$3,A32+24,A31)</f>
        <v>37677</v>
      </c>
      <c r="V31" s="71" t="n">
        <f aca="false">U31-C$3</f>
        <v>789</v>
      </c>
      <c r="W31" s="142" t="n">
        <f aca="false">VLOOKUP($A31,Table,MATCH(W$4,Curves,0))</f>
        <v>0.058147967103</v>
      </c>
      <c r="X31" s="147" t="n">
        <f aca="false">1/(1+CHOOSE(F$3,(W32+($K$3/10000))/2,(W31+($K$3/10000))/2))^(2*V31/365.25)</f>
        <v>0.883502145530632</v>
      </c>
      <c r="Y31" s="71" t="n">
        <f aca="false">IF(AND(mthbeg&lt;=A31,mthend&gt;=A31),1,0)</f>
        <v>1</v>
      </c>
      <c r="Z31" s="71" t="n">
        <f aca="false">T31*Y31</f>
        <v>31</v>
      </c>
      <c r="AB31" s="132" t="n">
        <f aca="false">F31*G31</f>
        <v>6504905.05616193</v>
      </c>
      <c r="AC31" s="132" t="n">
        <f aca="false">$F31*H31</f>
        <v>6504905.05616193</v>
      </c>
      <c r="AD31" s="132" t="n">
        <f aca="false">$F31*I31</f>
        <v>6322316.4386567</v>
      </c>
      <c r="AE31" s="132" t="n">
        <f aca="false">$F31*J31</f>
        <v>14844.6030492057</v>
      </c>
      <c r="AF31" s="132" t="n">
        <f aca="false">$F31*K31</f>
        <v>14844.6030492057</v>
      </c>
      <c r="AG31" s="132" t="n">
        <f aca="false">$F31*L31</f>
        <v>0</v>
      </c>
      <c r="AH31" s="132" t="n">
        <f aca="false">$F31*M31</f>
        <v>29689.2060984113</v>
      </c>
      <c r="AI31" s="132" t="n">
        <f aca="false">$F31*N31</f>
        <v>29689.2060984113</v>
      </c>
      <c r="AJ31" s="132" t="n">
        <f aca="false">F31*O31</f>
        <v>0</v>
      </c>
      <c r="AK31" s="137"/>
      <c r="AL31" s="132" t="n">
        <f aca="false">CHOOSE($G$3,AC31-AD31,AD31-AC31)</f>
        <v>-182588.617505229</v>
      </c>
      <c r="AM31" s="132" t="n">
        <f aca="false">CHOOSE($G$3,AF31-AG31,AG31-AF31)</f>
        <v>-14844.6030492057</v>
      </c>
      <c r="AN31" s="132" t="n">
        <f aca="false">CHOOSE($G$3,AI31-AJ31,AJ31-AI31)</f>
        <v>-29689.2060984113</v>
      </c>
      <c r="AO31" s="148" t="n">
        <f aca="false">SUM(AL31:AN31)</f>
        <v>-227122.426652846</v>
      </c>
      <c r="AQ31" s="132" t="n">
        <f aca="false">CHOOSE($G$3,AB31-AC31,AC31-AB31)</f>
        <v>0</v>
      </c>
      <c r="AR31" s="132" t="n">
        <f aca="false">CHOOSE($G$3,AE31-AF31,AF31-AE31)</f>
        <v>0</v>
      </c>
      <c r="AS31" s="132" t="n">
        <f aca="false">CHOOSE($G$3,AH31-AI31,AI31-AH31)</f>
        <v>0</v>
      </c>
      <c r="AT31" s="148" t="n">
        <f aca="false">AQ31+AR31+AS31</f>
        <v>0</v>
      </c>
      <c r="AU31" s="148"/>
      <c r="AV31" s="133" t="n">
        <f aca="false">AT31+AO31</f>
        <v>-227122.426652846</v>
      </c>
      <c r="AX31" s="133" t="n">
        <f aca="false">AJ31+AG31+AD31</f>
        <v>6322316.4386567</v>
      </c>
      <c r="AY31" s="149"/>
      <c r="AZ31" s="76" t="n">
        <f aca="false">R31*E31</f>
        <v>7155971.8</v>
      </c>
    </row>
    <row r="32" customFormat="false" ht="12.75" hidden="false" customHeight="false" outlineLevel="0" collapsed="false">
      <c r="A32" s="138" t="n">
        <f aca="false">EDATE(A31,1)</f>
        <v>37653</v>
      </c>
      <c r="B32" s="139" t="n">
        <f aca="false">VLOOKUP($A32,Table2,MATCH(I$3,Curves2,0))</f>
        <v>54200</v>
      </c>
      <c r="C32" s="140"/>
      <c r="D32" s="141" t="n">
        <f aca="false">B32+C32</f>
        <v>54200</v>
      </c>
      <c r="E32" s="126" t="n">
        <f aca="false">IF(Y32=0,0,IF(AND(Y32=1,$H$3=1),D32*T32,IF($H$3=2,D32,"N/A")))</f>
        <v>1517600</v>
      </c>
      <c r="F32" s="126" t="n">
        <f aca="false">E32*X32</f>
        <v>1334867.55747769</v>
      </c>
      <c r="G32" s="142" t="n">
        <f aca="false">VLOOKUP($A32,Table,MATCH(G$4,Curves,0))</f>
        <v>4.227</v>
      </c>
      <c r="H32" s="143" t="n">
        <f aca="false">G32</f>
        <v>4.227</v>
      </c>
      <c r="I32" s="142" t="n">
        <f aca="false">VLOOKUP($A32,Table1,MATCH(I$3,Curves1,0))</f>
        <v>4.259</v>
      </c>
      <c r="J32" s="142" t="n">
        <f aca="false">VLOOKUP($A32,Table,MATCH(J$4,Curves,0))</f>
        <v>0.01</v>
      </c>
      <c r="K32" s="143" t="n">
        <f aca="false">J32</f>
        <v>0.01</v>
      </c>
      <c r="L32" s="144" t="n">
        <v>0</v>
      </c>
      <c r="M32" s="142" t="n">
        <f aca="false">VLOOKUP($A32,Table,MATCH(M$4,Curves,0))</f>
        <v>0.02</v>
      </c>
      <c r="N32" s="143" t="n">
        <f aca="false">M32</f>
        <v>0.02</v>
      </c>
      <c r="O32" s="144" t="n">
        <v>0</v>
      </c>
      <c r="P32" s="145"/>
      <c r="Q32" s="144" t="n">
        <f aca="false">M32+J32+G32</f>
        <v>4.257</v>
      </c>
      <c r="R32" s="144" t="n">
        <f aca="false">O32+L32+I32</f>
        <v>4.259</v>
      </c>
      <c r="S32" s="145"/>
      <c r="T32" s="71" t="n">
        <f aca="false">A33-A32</f>
        <v>28</v>
      </c>
      <c r="U32" s="146" t="n">
        <f aca="false">CHOOSE(F$3,A33+24,A32)</f>
        <v>37705</v>
      </c>
      <c r="V32" s="71" t="n">
        <f aca="false">U32-C$3</f>
        <v>817</v>
      </c>
      <c r="W32" s="142" t="n">
        <f aca="false">VLOOKUP($A32,Table,MATCH(W$4,Curves,0))</f>
        <v>0.058168803916155</v>
      </c>
      <c r="X32" s="147" t="n">
        <f aca="false">1/(1+CHOOSE(F$3,(W33+($K$3/10000))/2,(W32+($K$3/10000))/2))^(2*V32/365.25)</f>
        <v>0.87959116860681</v>
      </c>
      <c r="Y32" s="71" t="n">
        <f aca="false">IF(AND(mthbeg&lt;=A32,mthend&gt;=A32),1,0)</f>
        <v>1</v>
      </c>
      <c r="Z32" s="71" t="n">
        <f aca="false">T32*Y32</f>
        <v>28</v>
      </c>
      <c r="AB32" s="132" t="n">
        <f aca="false">F32*G32</f>
        <v>5642485.16545821</v>
      </c>
      <c r="AC32" s="132" t="n">
        <f aca="false">$F32*H32</f>
        <v>5642485.16545821</v>
      </c>
      <c r="AD32" s="132" t="n">
        <f aca="false">$F32*I32</f>
        <v>5685200.9272975</v>
      </c>
      <c r="AE32" s="132" t="n">
        <f aca="false">$F32*J32</f>
        <v>13348.6755747769</v>
      </c>
      <c r="AF32" s="132" t="n">
        <f aca="false">$F32*K32</f>
        <v>13348.6755747769</v>
      </c>
      <c r="AG32" s="132" t="n">
        <f aca="false">$F32*L32</f>
        <v>0</v>
      </c>
      <c r="AH32" s="132" t="n">
        <f aca="false">$F32*M32</f>
        <v>26697.3511495539</v>
      </c>
      <c r="AI32" s="132" t="n">
        <f aca="false">$F32*N32</f>
        <v>26697.3511495539</v>
      </c>
      <c r="AJ32" s="132" t="n">
        <f aca="false">F32*O32</f>
        <v>0</v>
      </c>
      <c r="AK32" s="137"/>
      <c r="AL32" s="132" t="n">
        <f aca="false">CHOOSE($G$3,AC32-AD32,AD32-AC32)</f>
        <v>42715.7618392864</v>
      </c>
      <c r="AM32" s="132" t="n">
        <f aca="false">CHOOSE($G$3,AF32-AG32,AG32-AF32)</f>
        <v>-13348.6755747769</v>
      </c>
      <c r="AN32" s="132" t="n">
        <f aca="false">CHOOSE($G$3,AI32-AJ32,AJ32-AI32)</f>
        <v>-26697.3511495539</v>
      </c>
      <c r="AO32" s="148" t="n">
        <f aca="false">SUM(AL32:AN32)</f>
        <v>2669.7351149556</v>
      </c>
      <c r="AQ32" s="132" t="n">
        <f aca="false">CHOOSE($G$3,AB32-AC32,AC32-AB32)</f>
        <v>0</v>
      </c>
      <c r="AR32" s="132" t="n">
        <f aca="false">CHOOSE($G$3,AE32-AF32,AF32-AE32)</f>
        <v>0</v>
      </c>
      <c r="AS32" s="132" t="n">
        <f aca="false">CHOOSE($G$3,AH32-AI32,AI32-AH32)</f>
        <v>0</v>
      </c>
      <c r="AT32" s="148" t="n">
        <f aca="false">AQ32+AR32+AS32</f>
        <v>0</v>
      </c>
      <c r="AU32" s="148"/>
      <c r="AV32" s="133" t="n">
        <f aca="false">AT32+AO32</f>
        <v>2669.7351149556</v>
      </c>
      <c r="AX32" s="133" t="n">
        <f aca="false">AJ32+AG32+AD32</f>
        <v>5685200.9272975</v>
      </c>
      <c r="AY32" s="149"/>
      <c r="AZ32" s="76" t="n">
        <f aca="false">R32*E32</f>
        <v>6463458.4</v>
      </c>
    </row>
    <row r="33" customFormat="false" ht="12.75" hidden="false" customHeight="false" outlineLevel="0" collapsed="false">
      <c r="A33" s="138" t="n">
        <f aca="false">EDATE(A32,1)</f>
        <v>37681</v>
      </c>
      <c r="B33" s="139" t="n">
        <f aca="false">VLOOKUP($A33,Table2,MATCH(I$3,Curves2,0))</f>
        <v>54200</v>
      </c>
      <c r="C33" s="140"/>
      <c r="D33" s="141" t="n">
        <f aca="false">B33+C33</f>
        <v>54200</v>
      </c>
      <c r="E33" s="126" t="n">
        <f aca="false">IF(Y33=0,0,IF(AND(Y33=1,$H$3=1),D33*T33,IF($H$3=2,D33,"N/A")))</f>
        <v>1680200</v>
      </c>
      <c r="F33" s="126" t="n">
        <f aca="false">E33*X33</f>
        <v>1470664.82778758</v>
      </c>
      <c r="G33" s="142" t="n">
        <f aca="false">VLOOKUP($A33,Table,MATCH(G$4,Curves,0))</f>
        <v>4.027</v>
      </c>
      <c r="H33" s="143" t="n">
        <f aca="false">G33</f>
        <v>4.027</v>
      </c>
      <c r="I33" s="142" t="n">
        <f aca="false">VLOOKUP($A33,Table1,MATCH(I$3,Curves1,0))</f>
        <v>4.259</v>
      </c>
      <c r="J33" s="142" t="n">
        <f aca="false">VLOOKUP($A33,Table,MATCH(J$4,Curves,0))</f>
        <v>0.01</v>
      </c>
      <c r="K33" s="143" t="n">
        <f aca="false">J33</f>
        <v>0.01</v>
      </c>
      <c r="L33" s="144" t="n">
        <v>0</v>
      </c>
      <c r="M33" s="142" t="n">
        <f aca="false">VLOOKUP($A33,Table,MATCH(M$4,Curves,0))</f>
        <v>0.02</v>
      </c>
      <c r="N33" s="143" t="n">
        <f aca="false">M33</f>
        <v>0.02</v>
      </c>
      <c r="O33" s="144" t="n">
        <v>0</v>
      </c>
      <c r="P33" s="145"/>
      <c r="Q33" s="144" t="n">
        <f aca="false">M33+J33+G33</f>
        <v>4.057</v>
      </c>
      <c r="R33" s="144" t="n">
        <f aca="false">O33+L33+I33</f>
        <v>4.259</v>
      </c>
      <c r="S33" s="145"/>
      <c r="T33" s="71" t="n">
        <f aca="false">A34-A33</f>
        <v>31</v>
      </c>
      <c r="U33" s="146" t="n">
        <f aca="false">CHOOSE(F$3,A34+24,A33)</f>
        <v>37736</v>
      </c>
      <c r="V33" s="71" t="n">
        <f aca="false">U33-C$3</f>
        <v>848</v>
      </c>
      <c r="W33" s="142" t="n">
        <f aca="false">VLOOKUP($A33,Table,MATCH(W$4,Curves,0))</f>
        <v>0.058187624263651</v>
      </c>
      <c r="X33" s="147" t="n">
        <f aca="false">1/(1+CHOOSE(F$3,(W34+($K$3/10000))/2,(W33+($K$3/10000))/2))^(2*V33/365.25)</f>
        <v>0.875291529453389</v>
      </c>
      <c r="Y33" s="71" t="n">
        <f aca="false">IF(AND(mthbeg&lt;=A33,mthend&gt;=A33),1,0)</f>
        <v>1</v>
      </c>
      <c r="Z33" s="71" t="n">
        <f aca="false">T33*Y33</f>
        <v>31</v>
      </c>
      <c r="AB33" s="132" t="n">
        <f aca="false">F33*G33</f>
        <v>5922367.2615006</v>
      </c>
      <c r="AC33" s="132" t="n">
        <f aca="false">$F33*H33</f>
        <v>5922367.2615006</v>
      </c>
      <c r="AD33" s="132" t="n">
        <f aca="false">$F33*I33</f>
        <v>6263561.50154732</v>
      </c>
      <c r="AE33" s="132" t="n">
        <f aca="false">$F33*J33</f>
        <v>14706.6482778758</v>
      </c>
      <c r="AF33" s="132" t="n">
        <f aca="false">$F33*K33</f>
        <v>14706.6482778758</v>
      </c>
      <c r="AG33" s="132" t="n">
        <f aca="false">$F33*L33</f>
        <v>0</v>
      </c>
      <c r="AH33" s="132" t="n">
        <f aca="false">$F33*M33</f>
        <v>29413.2965557517</v>
      </c>
      <c r="AI33" s="132" t="n">
        <f aca="false">$F33*N33</f>
        <v>29413.2965557517</v>
      </c>
      <c r="AJ33" s="132" t="n">
        <f aca="false">F33*O33</f>
        <v>0</v>
      </c>
      <c r="AK33" s="137"/>
      <c r="AL33" s="132" t="n">
        <f aca="false">CHOOSE($G$3,AC33-AD33,AD33-AC33)</f>
        <v>341194.24004672</v>
      </c>
      <c r="AM33" s="132" t="n">
        <f aca="false">CHOOSE($G$3,AF33-AG33,AG33-AF33)</f>
        <v>-14706.6482778758</v>
      </c>
      <c r="AN33" s="132" t="n">
        <f aca="false">CHOOSE($G$3,AI33-AJ33,AJ33-AI33)</f>
        <v>-29413.2965557517</v>
      </c>
      <c r="AO33" s="148" t="n">
        <f aca="false">SUM(AL33:AN33)</f>
        <v>297074.295213092</v>
      </c>
      <c r="AQ33" s="132" t="n">
        <f aca="false">CHOOSE($G$3,AB33-AC33,AC33-AB33)</f>
        <v>0</v>
      </c>
      <c r="AR33" s="132" t="n">
        <f aca="false">CHOOSE($G$3,AE33-AF33,AF33-AE33)</f>
        <v>0</v>
      </c>
      <c r="AS33" s="132" t="n">
        <f aca="false">CHOOSE($G$3,AH33-AI33,AI33-AH33)</f>
        <v>0</v>
      </c>
      <c r="AT33" s="148" t="n">
        <f aca="false">AQ33+AR33+AS33</f>
        <v>0</v>
      </c>
      <c r="AU33" s="148"/>
      <c r="AV33" s="133" t="n">
        <f aca="false">AT33+AO33</f>
        <v>297074.295213092</v>
      </c>
      <c r="AX33" s="133" t="n">
        <f aca="false">AJ33+AG33+AD33</f>
        <v>6263561.50154732</v>
      </c>
      <c r="AY33" s="149"/>
      <c r="AZ33" s="76" t="n">
        <f aca="false">R33*E33</f>
        <v>7155971.8</v>
      </c>
    </row>
    <row r="34" customFormat="false" ht="12.75" hidden="false" customHeight="false" outlineLevel="0" collapsed="false">
      <c r="A34" s="138" t="n">
        <f aca="false">EDATE(A33,1)</f>
        <v>37712</v>
      </c>
      <c r="B34" s="139" t="n">
        <f aca="false">VLOOKUP($A34,Table2,MATCH(I$3,Curves2,0))</f>
        <v>59200</v>
      </c>
      <c r="C34" s="140"/>
      <c r="D34" s="141" t="n">
        <f aca="false">B34+C34</f>
        <v>59200</v>
      </c>
      <c r="E34" s="126" t="n">
        <f aca="false">IF(Y34=0,0,IF(AND(Y34=1,$H$3=1),D34*T34,IF($H$3=2,D34,"N/A")))</f>
        <v>1776000</v>
      </c>
      <c r="F34" s="126" t="n">
        <f aca="false">E34*X34</f>
        <v>1547192.1938537</v>
      </c>
      <c r="G34" s="142" t="n">
        <f aca="false">VLOOKUP($A34,Table,MATCH(G$4,Curves,0))</f>
        <v>3.792</v>
      </c>
      <c r="H34" s="143" t="n">
        <f aca="false">G34</f>
        <v>3.792</v>
      </c>
      <c r="I34" s="142" t="n">
        <f aca="false">VLOOKUP($A34,Table1,MATCH(I$3,Curves1,0))</f>
        <v>3.8993</v>
      </c>
      <c r="J34" s="142" t="n">
        <f aca="false">VLOOKUP($A34,Table,MATCH(J$4,Curves,0))</f>
        <v>0.021</v>
      </c>
      <c r="K34" s="143" t="n">
        <f aca="false">J34</f>
        <v>0.021</v>
      </c>
      <c r="L34" s="144" t="n">
        <v>0</v>
      </c>
      <c r="M34" s="142" t="n">
        <f aca="false">VLOOKUP($A34,Table,MATCH(M$4,Curves,0))</f>
        <v>0.015</v>
      </c>
      <c r="N34" s="143" t="n">
        <f aca="false">M34</f>
        <v>0.015</v>
      </c>
      <c r="O34" s="144" t="n">
        <v>0</v>
      </c>
      <c r="P34" s="145"/>
      <c r="Q34" s="144" t="n">
        <f aca="false">M34+J34+G34</f>
        <v>3.828</v>
      </c>
      <c r="R34" s="144" t="n">
        <f aca="false">O34+L34+I34</f>
        <v>3.8993</v>
      </c>
      <c r="S34" s="145"/>
      <c r="T34" s="71" t="n">
        <f aca="false">A35-A34</f>
        <v>30</v>
      </c>
      <c r="U34" s="146" t="n">
        <f aca="false">CHOOSE(F$3,A35+24,A34)</f>
        <v>37766</v>
      </c>
      <c r="V34" s="71" t="n">
        <f aca="false">U34-C$3</f>
        <v>878</v>
      </c>
      <c r="W34" s="142" t="n">
        <f aca="false">VLOOKUP($A34,Table,MATCH(W$4,Curves,0))</f>
        <v>0.058201856354669</v>
      </c>
      <c r="X34" s="147" t="n">
        <f aca="false">1/(1+CHOOSE(F$3,(W35+($K$3/10000))/2,(W34+($K$3/10000))/2))^(2*V34/365.25)</f>
        <v>0.871166775818526</v>
      </c>
      <c r="Y34" s="71" t="n">
        <f aca="false">IF(AND(mthbeg&lt;=A34,mthend&gt;=A34),1,0)</f>
        <v>1</v>
      </c>
      <c r="Z34" s="71" t="n">
        <f aca="false">T34*Y34</f>
        <v>30</v>
      </c>
      <c r="AB34" s="132" t="n">
        <f aca="false">F34*G34</f>
        <v>5866952.79909324</v>
      </c>
      <c r="AC34" s="132" t="n">
        <f aca="false">$F34*H34</f>
        <v>5866952.79909324</v>
      </c>
      <c r="AD34" s="132" t="n">
        <f aca="false">$F34*I34</f>
        <v>6032966.52149374</v>
      </c>
      <c r="AE34" s="132" t="n">
        <f aca="false">$F34*J34</f>
        <v>32491.0360709277</v>
      </c>
      <c r="AF34" s="132" t="n">
        <f aca="false">$F34*K34</f>
        <v>32491.0360709277</v>
      </c>
      <c r="AG34" s="132" t="n">
        <f aca="false">$F34*L34</f>
        <v>0</v>
      </c>
      <c r="AH34" s="132" t="n">
        <f aca="false">$F34*M34</f>
        <v>23207.8829078055</v>
      </c>
      <c r="AI34" s="132" t="n">
        <f aca="false">$F34*N34</f>
        <v>23207.8829078055</v>
      </c>
      <c r="AJ34" s="132" t="n">
        <f aca="false">F34*O34</f>
        <v>0</v>
      </c>
      <c r="AK34" s="137"/>
      <c r="AL34" s="132" t="n">
        <f aca="false">CHOOSE($G$3,AC34-AD34,AD34-AC34)</f>
        <v>166013.722400503</v>
      </c>
      <c r="AM34" s="132" t="n">
        <f aca="false">CHOOSE($G$3,AF34-AG34,AG34-AF34)</f>
        <v>-32491.0360709277</v>
      </c>
      <c r="AN34" s="132" t="n">
        <f aca="false">CHOOSE($G$3,AI34-AJ34,AJ34-AI34)</f>
        <v>-23207.8829078055</v>
      </c>
      <c r="AO34" s="148" t="n">
        <f aca="false">SUM(AL34:AN34)</f>
        <v>110314.80342177</v>
      </c>
      <c r="AQ34" s="132" t="n">
        <f aca="false">CHOOSE($G$3,AB34-AC34,AC34-AB34)</f>
        <v>0</v>
      </c>
      <c r="AR34" s="132" t="n">
        <f aca="false">CHOOSE($G$3,AE34-AF34,AF34-AE34)</f>
        <v>0</v>
      </c>
      <c r="AS34" s="132" t="n">
        <f aca="false">CHOOSE($G$3,AH34-AI34,AI34-AH34)</f>
        <v>0</v>
      </c>
      <c r="AT34" s="148" t="n">
        <f aca="false">AQ34+AR34+AS34</f>
        <v>0</v>
      </c>
      <c r="AU34" s="148"/>
      <c r="AV34" s="133" t="n">
        <f aca="false">AT34+AO34</f>
        <v>110314.80342177</v>
      </c>
      <c r="AX34" s="133" t="n">
        <f aca="false">AJ34+AG34+AD34</f>
        <v>6032966.52149374</v>
      </c>
      <c r="AY34" s="149"/>
      <c r="AZ34" s="76" t="n">
        <f aca="false">R34*E34</f>
        <v>6925156.8</v>
      </c>
    </row>
    <row r="35" customFormat="false" ht="12.75" hidden="false" customHeight="false" outlineLevel="0" collapsed="false">
      <c r="A35" s="138" t="n">
        <f aca="false">EDATE(A34,1)</f>
        <v>37742</v>
      </c>
      <c r="B35" s="139" t="n">
        <f aca="false">VLOOKUP($A35,Table2,MATCH(I$3,Curves2,0))</f>
        <v>59200</v>
      </c>
      <c r="C35" s="140"/>
      <c r="D35" s="141" t="n">
        <f aca="false">B35+C35</f>
        <v>59200</v>
      </c>
      <c r="E35" s="126" t="n">
        <f aca="false">IF(Y35=0,0,IF(AND(Y35=1,$H$3=1),D35*T35,IF($H$3=2,D35,"N/A")))</f>
        <v>1835200</v>
      </c>
      <c r="F35" s="126" t="n">
        <f aca="false">E35*X35</f>
        <v>1590979.36898608</v>
      </c>
      <c r="G35" s="142" t="n">
        <f aca="false">VLOOKUP($A35,Table,MATCH(G$4,Curves,0))</f>
        <v>3.742</v>
      </c>
      <c r="H35" s="143" t="n">
        <f aca="false">G35</f>
        <v>3.742</v>
      </c>
      <c r="I35" s="142" t="n">
        <f aca="false">VLOOKUP($A35,Table1,MATCH(I$3,Curves1,0))</f>
        <v>3.8993</v>
      </c>
      <c r="J35" s="142" t="n">
        <f aca="false">VLOOKUP($A35,Table,MATCH(J$4,Curves,0))</f>
        <v>0.021</v>
      </c>
      <c r="K35" s="143" t="n">
        <f aca="false">J35</f>
        <v>0.021</v>
      </c>
      <c r="L35" s="144" t="n">
        <v>0</v>
      </c>
      <c r="M35" s="142" t="n">
        <f aca="false">VLOOKUP($A35,Table,MATCH(M$4,Curves,0))</f>
        <v>0.015</v>
      </c>
      <c r="N35" s="143" t="n">
        <f aca="false">M35</f>
        <v>0.015</v>
      </c>
      <c r="O35" s="144" t="n">
        <v>0</v>
      </c>
      <c r="P35" s="145"/>
      <c r="Q35" s="144" t="n">
        <f aca="false">M35+J35+G35</f>
        <v>3.778</v>
      </c>
      <c r="R35" s="144" t="n">
        <f aca="false">O35+L35+I35</f>
        <v>3.8993</v>
      </c>
      <c r="S35" s="145"/>
      <c r="T35" s="71" t="n">
        <f aca="false">A36-A35</f>
        <v>31</v>
      </c>
      <c r="U35" s="146" t="n">
        <f aca="false">CHOOSE(F$3,A36+24,A35)</f>
        <v>37797</v>
      </c>
      <c r="V35" s="71" t="n">
        <f aca="false">U35-C$3</f>
        <v>909</v>
      </c>
      <c r="W35" s="142" t="n">
        <f aca="false">VLOOKUP($A35,Table,MATCH(W$4,Curves,0))</f>
        <v>0.05820672378151</v>
      </c>
      <c r="X35" s="147" t="n">
        <f aca="false">1/(1+CHOOSE(F$3,(W36+($K$3/10000))/2,(W35+($K$3/10000))/2))^(2*V35/365.25)</f>
        <v>0.866924242036878</v>
      </c>
      <c r="Y35" s="71" t="n">
        <f aca="false">IF(AND(mthbeg&lt;=A35,mthend&gt;=A35),1,0)</f>
        <v>1</v>
      </c>
      <c r="Z35" s="71" t="n">
        <f aca="false">T35*Y35</f>
        <v>31</v>
      </c>
      <c r="AB35" s="132" t="n">
        <f aca="false">F35*G35</f>
        <v>5953444.79874591</v>
      </c>
      <c r="AC35" s="132" t="n">
        <f aca="false">$F35*H35</f>
        <v>5953444.79874591</v>
      </c>
      <c r="AD35" s="132" t="n">
        <f aca="false">$F35*I35</f>
        <v>6203705.85348742</v>
      </c>
      <c r="AE35" s="132" t="n">
        <f aca="false">$F35*J35</f>
        <v>33410.5667487077</v>
      </c>
      <c r="AF35" s="132" t="n">
        <f aca="false">$F35*K35</f>
        <v>33410.5667487077</v>
      </c>
      <c r="AG35" s="132" t="n">
        <f aca="false">$F35*L35</f>
        <v>0</v>
      </c>
      <c r="AH35" s="132" t="n">
        <f aca="false">$F35*M35</f>
        <v>23864.6905347912</v>
      </c>
      <c r="AI35" s="132" t="n">
        <f aca="false">$F35*N35</f>
        <v>23864.6905347912</v>
      </c>
      <c r="AJ35" s="132" t="n">
        <f aca="false">F35*O35</f>
        <v>0</v>
      </c>
      <c r="AK35" s="137"/>
      <c r="AL35" s="132" t="n">
        <f aca="false">CHOOSE($G$3,AC35-AD35,AD35-AC35)</f>
        <v>250261.05474151</v>
      </c>
      <c r="AM35" s="132" t="n">
        <f aca="false">CHOOSE($G$3,AF35-AG35,AG35-AF35)</f>
        <v>-33410.5667487077</v>
      </c>
      <c r="AN35" s="132" t="n">
        <f aca="false">CHOOSE($G$3,AI35-AJ35,AJ35-AI35)</f>
        <v>-23864.6905347912</v>
      </c>
      <c r="AO35" s="148" t="n">
        <f aca="false">SUM(AL35:AN35)</f>
        <v>192985.797458011</v>
      </c>
      <c r="AQ35" s="132" t="n">
        <f aca="false">CHOOSE($G$3,AB35-AC35,AC35-AB35)</f>
        <v>0</v>
      </c>
      <c r="AR35" s="132" t="n">
        <f aca="false">CHOOSE($G$3,AE35-AF35,AF35-AE35)</f>
        <v>0</v>
      </c>
      <c r="AS35" s="132" t="n">
        <f aca="false">CHOOSE($G$3,AH35-AI35,AI35-AH35)</f>
        <v>0</v>
      </c>
      <c r="AT35" s="148" t="n">
        <f aca="false">AQ35+AR35+AS35</f>
        <v>0</v>
      </c>
      <c r="AU35" s="148"/>
      <c r="AV35" s="133" t="n">
        <f aca="false">AT35+AO35</f>
        <v>192985.797458011</v>
      </c>
      <c r="AX35" s="133" t="n">
        <f aca="false">AJ35+AG35+AD35</f>
        <v>6203705.85348742</v>
      </c>
      <c r="AY35" s="149"/>
      <c r="AZ35" s="76" t="n">
        <f aca="false">R35*E35</f>
        <v>7155995.36</v>
      </c>
    </row>
    <row r="36" customFormat="false" ht="12.75" hidden="false" customHeight="false" outlineLevel="0" collapsed="false">
      <c r="A36" s="138" t="n">
        <f aca="false">EDATE(A35,1)</f>
        <v>37773</v>
      </c>
      <c r="B36" s="139" t="n">
        <f aca="false">VLOOKUP($A36,Table2,MATCH(I$3,Curves2,0))</f>
        <v>59200</v>
      </c>
      <c r="C36" s="140"/>
      <c r="D36" s="141" t="n">
        <f aca="false">B36+C36</f>
        <v>59200</v>
      </c>
      <c r="E36" s="126" t="n">
        <f aca="false">IF(Y36=0,0,IF(AND(Y36=1,$H$3=1),D36*T36,IF($H$3=2,D36,"N/A")))</f>
        <v>1776000</v>
      </c>
      <c r="F36" s="126" t="n">
        <f aca="false">E36*X36</f>
        <v>1532385.00838504</v>
      </c>
      <c r="G36" s="142" t="n">
        <f aca="false">VLOOKUP($A36,Table,MATCH(G$4,Curves,0))</f>
        <v>3.752</v>
      </c>
      <c r="H36" s="143" t="n">
        <f aca="false">G36</f>
        <v>3.752</v>
      </c>
      <c r="I36" s="142" t="n">
        <f aca="false">VLOOKUP($A36,Table1,MATCH(I$3,Curves1,0))</f>
        <v>3.8993</v>
      </c>
      <c r="J36" s="142" t="n">
        <f aca="false">VLOOKUP($A36,Table,MATCH(J$4,Curves,0))</f>
        <v>0.021</v>
      </c>
      <c r="K36" s="143" t="n">
        <f aca="false">J36</f>
        <v>0.021</v>
      </c>
      <c r="L36" s="144" t="n">
        <v>0</v>
      </c>
      <c r="M36" s="142" t="n">
        <f aca="false">VLOOKUP($A36,Table,MATCH(M$4,Curves,0))</f>
        <v>0.015</v>
      </c>
      <c r="N36" s="143" t="n">
        <f aca="false">M36</f>
        <v>0.015</v>
      </c>
      <c r="O36" s="144" t="n">
        <v>0</v>
      </c>
      <c r="P36" s="145"/>
      <c r="Q36" s="144" t="n">
        <f aca="false">M36+J36+G36</f>
        <v>3.788</v>
      </c>
      <c r="R36" s="144" t="n">
        <f aca="false">O36+L36+I36</f>
        <v>3.8993</v>
      </c>
      <c r="S36" s="145"/>
      <c r="T36" s="71" t="n">
        <f aca="false">A37-A36</f>
        <v>30</v>
      </c>
      <c r="U36" s="146" t="n">
        <f aca="false">CHOOSE(F$3,A37+24,A36)</f>
        <v>37827</v>
      </c>
      <c r="V36" s="71" t="n">
        <f aca="false">U36-C$3</f>
        <v>939</v>
      </c>
      <c r="W36" s="142" t="n">
        <f aca="false">VLOOKUP($A36,Table,MATCH(W$4,Curves,0))</f>
        <v>0.058211753455922</v>
      </c>
      <c r="X36" s="147" t="n">
        <f aca="false">1/(1+CHOOSE(F$3,(W37+($K$3/10000))/2,(W36+($K$3/10000))/2))^(2*V36/365.25)</f>
        <v>0.8628293966132</v>
      </c>
      <c r="Y36" s="71" t="n">
        <f aca="false">IF(AND(mthbeg&lt;=A36,mthend&gt;=A36),1,0)</f>
        <v>1</v>
      </c>
      <c r="Z36" s="71" t="n">
        <f aca="false">T36*Y36</f>
        <v>30</v>
      </c>
      <c r="AB36" s="132" t="n">
        <f aca="false">F36*G36</f>
        <v>5749508.55146068</v>
      </c>
      <c r="AC36" s="132" t="n">
        <f aca="false">$F36*H36</f>
        <v>5749508.55146068</v>
      </c>
      <c r="AD36" s="132" t="n">
        <f aca="false">$F36*I36</f>
        <v>5975228.8631958</v>
      </c>
      <c r="AE36" s="132" t="n">
        <f aca="false">$F36*J36</f>
        <v>32180.0851760859</v>
      </c>
      <c r="AF36" s="132" t="n">
        <f aca="false">$F36*K36</f>
        <v>32180.0851760859</v>
      </c>
      <c r="AG36" s="132" t="n">
        <f aca="false">$F36*L36</f>
        <v>0</v>
      </c>
      <c r="AH36" s="132" t="n">
        <f aca="false">$F36*M36</f>
        <v>22985.7751257756</v>
      </c>
      <c r="AI36" s="132" t="n">
        <f aca="false">$F36*N36</f>
        <v>22985.7751257756</v>
      </c>
      <c r="AJ36" s="132" t="n">
        <f aca="false">F36*O36</f>
        <v>0</v>
      </c>
      <c r="AK36" s="137"/>
      <c r="AL36" s="132" t="n">
        <f aca="false">CHOOSE($G$3,AC36-AD36,AD36-AC36)</f>
        <v>225720.311735118</v>
      </c>
      <c r="AM36" s="132" t="n">
        <f aca="false">CHOOSE($G$3,AF36-AG36,AG36-AF36)</f>
        <v>-32180.0851760859</v>
      </c>
      <c r="AN36" s="132" t="n">
        <f aca="false">CHOOSE($G$3,AI36-AJ36,AJ36-AI36)</f>
        <v>-22985.7751257756</v>
      </c>
      <c r="AO36" s="148" t="n">
        <f aca="false">SUM(AL36:AN36)</f>
        <v>170554.451433256</v>
      </c>
      <c r="AQ36" s="132" t="n">
        <f aca="false">CHOOSE($G$3,AB36-AC36,AC36-AB36)</f>
        <v>0</v>
      </c>
      <c r="AR36" s="132" t="n">
        <f aca="false">CHOOSE($G$3,AE36-AF36,AF36-AE36)</f>
        <v>0</v>
      </c>
      <c r="AS36" s="132" t="n">
        <f aca="false">CHOOSE($G$3,AH36-AI36,AI36-AH36)</f>
        <v>0</v>
      </c>
      <c r="AT36" s="148" t="n">
        <f aca="false">AQ36+AR36+AS36</f>
        <v>0</v>
      </c>
      <c r="AU36" s="148"/>
      <c r="AV36" s="133" t="n">
        <f aca="false">AT36+AO36</f>
        <v>170554.451433256</v>
      </c>
      <c r="AX36" s="133" t="n">
        <f aca="false">AJ36+AG36+AD36</f>
        <v>5975228.8631958</v>
      </c>
      <c r="AY36" s="149"/>
      <c r="AZ36" s="76" t="n">
        <f aca="false">R36*E36</f>
        <v>6925156.8</v>
      </c>
    </row>
    <row r="37" customFormat="false" ht="12.75" hidden="false" customHeight="false" outlineLevel="0" collapsed="false">
      <c r="A37" s="138" t="n">
        <f aca="false">EDATE(A36,1)</f>
        <v>37803</v>
      </c>
      <c r="B37" s="139" t="n">
        <f aca="false">VLOOKUP($A37,Table2,MATCH(I$3,Curves2,0))</f>
        <v>59200</v>
      </c>
      <c r="C37" s="140"/>
      <c r="D37" s="141" t="n">
        <f aca="false">B37+C37</f>
        <v>59200</v>
      </c>
      <c r="E37" s="126" t="n">
        <f aca="false">IF(Y37=0,0,IF(AND(Y37=1,$H$3=1),D37*T37,IF($H$3=2,D37,"N/A")))</f>
        <v>1835200</v>
      </c>
      <c r="F37" s="126" t="n">
        <f aca="false">E37*X37</f>
        <v>1575712.04685994</v>
      </c>
      <c r="G37" s="142" t="n">
        <f aca="false">VLOOKUP($A37,Table,MATCH(G$4,Curves,0))</f>
        <v>3.767</v>
      </c>
      <c r="H37" s="143" t="n">
        <f aca="false">G37</f>
        <v>3.767</v>
      </c>
      <c r="I37" s="142" t="n">
        <f aca="false">VLOOKUP($A37,Table1,MATCH(I$3,Curves1,0))</f>
        <v>3.8993</v>
      </c>
      <c r="J37" s="142" t="n">
        <f aca="false">VLOOKUP($A37,Table,MATCH(J$4,Curves,0))</f>
        <v>0.021</v>
      </c>
      <c r="K37" s="143" t="n">
        <f aca="false">J37</f>
        <v>0.021</v>
      </c>
      <c r="L37" s="144" t="n">
        <v>0</v>
      </c>
      <c r="M37" s="142" t="n">
        <f aca="false">VLOOKUP($A37,Table,MATCH(M$4,Curves,0))</f>
        <v>0.015</v>
      </c>
      <c r="N37" s="143" t="n">
        <f aca="false">M37</f>
        <v>0.015</v>
      </c>
      <c r="O37" s="144" t="n">
        <v>0</v>
      </c>
      <c r="P37" s="145"/>
      <c r="Q37" s="144" t="n">
        <f aca="false">M37+J37+G37</f>
        <v>3.803</v>
      </c>
      <c r="R37" s="144" t="n">
        <f aca="false">O37+L37+I37</f>
        <v>3.8993</v>
      </c>
      <c r="S37" s="145"/>
      <c r="T37" s="71" t="n">
        <f aca="false">A38-A37</f>
        <v>31</v>
      </c>
      <c r="U37" s="146" t="n">
        <f aca="false">CHOOSE(F$3,A38+24,A37)</f>
        <v>37858</v>
      </c>
      <c r="V37" s="71" t="n">
        <f aca="false">U37-C$3</f>
        <v>970</v>
      </c>
      <c r="W37" s="142" t="n">
        <f aca="false">VLOOKUP($A37,Table,MATCH(W$4,Curves,0))</f>
        <v>0.058220406142149</v>
      </c>
      <c r="X37" s="147" t="n">
        <f aca="false">1/(1+CHOOSE(F$3,(W38+($K$3/10000))/2,(W37+($K$3/10000))/2))^(2*V37/365.25)</f>
        <v>0.85860508220354</v>
      </c>
      <c r="Y37" s="71" t="n">
        <f aca="false">IF(AND(mthbeg&lt;=A37,mthend&gt;=A37),1,0)</f>
        <v>1</v>
      </c>
      <c r="Z37" s="71" t="n">
        <f aca="false">T37*Y37</f>
        <v>31</v>
      </c>
      <c r="AB37" s="132" t="n">
        <f aca="false">F37*G37</f>
        <v>5935707.28052138</v>
      </c>
      <c r="AC37" s="132" t="n">
        <f aca="false">$F37*H37</f>
        <v>5935707.28052138</v>
      </c>
      <c r="AD37" s="132" t="n">
        <f aca="false">$F37*I37</f>
        <v>6144173.98432095</v>
      </c>
      <c r="AE37" s="132" t="n">
        <f aca="false">$F37*J37</f>
        <v>33089.9529840587</v>
      </c>
      <c r="AF37" s="132" t="n">
        <f aca="false">$F37*K37</f>
        <v>33089.9529840587</v>
      </c>
      <c r="AG37" s="132" t="n">
        <f aca="false">$F37*L37</f>
        <v>0</v>
      </c>
      <c r="AH37" s="132" t="n">
        <f aca="false">$F37*M37</f>
        <v>23635.6807028991</v>
      </c>
      <c r="AI37" s="132" t="n">
        <f aca="false">$F37*N37</f>
        <v>23635.6807028991</v>
      </c>
      <c r="AJ37" s="132" t="n">
        <f aca="false">F37*O37</f>
        <v>0</v>
      </c>
      <c r="AK37" s="137"/>
      <c r="AL37" s="132" t="n">
        <f aca="false">CHOOSE($G$3,AC37-AD37,AD37-AC37)</f>
        <v>208466.70379957</v>
      </c>
      <c r="AM37" s="132" t="n">
        <f aca="false">CHOOSE($G$3,AF37-AG37,AG37-AF37)</f>
        <v>-33089.9529840587</v>
      </c>
      <c r="AN37" s="132" t="n">
        <f aca="false">CHOOSE($G$3,AI37-AJ37,AJ37-AI37)</f>
        <v>-23635.6807028991</v>
      </c>
      <c r="AO37" s="148" t="n">
        <f aca="false">SUM(AL37:AN37)</f>
        <v>151741.070112612</v>
      </c>
      <c r="AQ37" s="132" t="n">
        <f aca="false">CHOOSE($G$3,AB37-AC37,AC37-AB37)</f>
        <v>0</v>
      </c>
      <c r="AR37" s="132" t="n">
        <f aca="false">CHOOSE($G$3,AE37-AF37,AF37-AE37)</f>
        <v>0</v>
      </c>
      <c r="AS37" s="132" t="n">
        <f aca="false">CHOOSE($G$3,AH37-AI37,AI37-AH37)</f>
        <v>0</v>
      </c>
      <c r="AT37" s="148" t="n">
        <f aca="false">AQ37+AR37+AS37</f>
        <v>0</v>
      </c>
      <c r="AU37" s="148"/>
      <c r="AV37" s="133" t="n">
        <f aca="false">AT37+AO37</f>
        <v>151741.070112612</v>
      </c>
      <c r="AX37" s="133" t="n">
        <f aca="false">AJ37+AG37+AD37</f>
        <v>6144173.98432095</v>
      </c>
      <c r="AY37" s="149"/>
      <c r="AZ37" s="76" t="n">
        <f aca="false">R37*E37</f>
        <v>7155995.36</v>
      </c>
    </row>
    <row r="38" customFormat="false" ht="12.75" hidden="false" customHeight="false" outlineLevel="0" collapsed="false">
      <c r="A38" s="138" t="n">
        <f aca="false">EDATE(A37,1)</f>
        <v>37834</v>
      </c>
      <c r="B38" s="139" t="n">
        <f aca="false">VLOOKUP($A38,Table2,MATCH(I$3,Curves2,0))</f>
        <v>59200</v>
      </c>
      <c r="C38" s="140"/>
      <c r="D38" s="141" t="n">
        <f aca="false">B38+C38</f>
        <v>59200</v>
      </c>
      <c r="E38" s="126" t="n">
        <f aca="false">IF(Y38=0,0,IF(AND(Y38=1,$H$3=1),D38*T38,IF($H$3=2,D38,"N/A")))</f>
        <v>1835200</v>
      </c>
      <c r="F38" s="126" t="n">
        <f aca="false">E38*X38</f>
        <v>1567993.82200483</v>
      </c>
      <c r="G38" s="142" t="n">
        <f aca="false">VLOOKUP($A38,Table,MATCH(G$4,Curves,0))</f>
        <v>3.762</v>
      </c>
      <c r="H38" s="143" t="n">
        <f aca="false">G38</f>
        <v>3.762</v>
      </c>
      <c r="I38" s="142" t="n">
        <f aca="false">VLOOKUP($A38,Table1,MATCH(I$3,Curves1,0))</f>
        <v>3.8993</v>
      </c>
      <c r="J38" s="142" t="n">
        <f aca="false">VLOOKUP($A38,Table,MATCH(J$4,Curves,0))</f>
        <v>0.021</v>
      </c>
      <c r="K38" s="143" t="n">
        <f aca="false">J38</f>
        <v>0.021</v>
      </c>
      <c r="L38" s="144" t="n">
        <v>0</v>
      </c>
      <c r="M38" s="142" t="n">
        <f aca="false">VLOOKUP($A38,Table,MATCH(M$4,Curves,0))</f>
        <v>0.015</v>
      </c>
      <c r="N38" s="143" t="n">
        <f aca="false">M38</f>
        <v>0.015</v>
      </c>
      <c r="O38" s="144" t="n">
        <v>0</v>
      </c>
      <c r="P38" s="145"/>
      <c r="Q38" s="144" t="n">
        <f aca="false">M38+J38+G38</f>
        <v>3.798</v>
      </c>
      <c r="R38" s="144" t="n">
        <f aca="false">O38+L38+I38</f>
        <v>3.8993</v>
      </c>
      <c r="S38" s="145"/>
      <c r="T38" s="71" t="n">
        <f aca="false">A39-A38</f>
        <v>31</v>
      </c>
      <c r="U38" s="146" t="n">
        <f aca="false">CHOOSE(F$3,A39+24,A38)</f>
        <v>37889</v>
      </c>
      <c r="V38" s="71" t="n">
        <f aca="false">U38-C$3</f>
        <v>1001</v>
      </c>
      <c r="W38" s="142" t="n">
        <f aca="false">VLOOKUP($A38,Table,MATCH(W$4,Curves,0))</f>
        <v>0.058234784229674</v>
      </c>
      <c r="X38" s="147" t="n">
        <f aca="false">1/(1+CHOOSE(F$3,(W39+($K$3/10000))/2,(W38+($K$3/10000))/2))^(2*V38/365.25)</f>
        <v>0.854399423498708</v>
      </c>
      <c r="Y38" s="71" t="n">
        <f aca="false">IF(AND(mthbeg&lt;=A38,mthend&gt;=A38),1,0)</f>
        <v>1</v>
      </c>
      <c r="Z38" s="71" t="n">
        <f aca="false">T38*Y38</f>
        <v>31</v>
      </c>
      <c r="AB38" s="132" t="n">
        <f aca="false">F38*G38</f>
        <v>5898792.75838216</v>
      </c>
      <c r="AC38" s="132" t="n">
        <f aca="false">$F38*H38</f>
        <v>5898792.75838216</v>
      </c>
      <c r="AD38" s="132" t="n">
        <f aca="false">$F38*I38</f>
        <v>6114078.31014343</v>
      </c>
      <c r="AE38" s="132" t="n">
        <f aca="false">$F38*J38</f>
        <v>32927.8702621014</v>
      </c>
      <c r="AF38" s="132" t="n">
        <f aca="false">$F38*K38</f>
        <v>32927.8702621014</v>
      </c>
      <c r="AG38" s="132" t="n">
        <f aca="false">$F38*L38</f>
        <v>0</v>
      </c>
      <c r="AH38" s="132" t="n">
        <f aca="false">$F38*M38</f>
        <v>23519.9073300724</v>
      </c>
      <c r="AI38" s="132" t="n">
        <f aca="false">$F38*N38</f>
        <v>23519.9073300724</v>
      </c>
      <c r="AJ38" s="132" t="n">
        <f aca="false">F38*O38</f>
        <v>0</v>
      </c>
      <c r="AK38" s="137"/>
      <c r="AL38" s="132" t="n">
        <f aca="false">CHOOSE($G$3,AC38-AD38,AD38-AC38)</f>
        <v>215285.551761264</v>
      </c>
      <c r="AM38" s="132" t="n">
        <f aca="false">CHOOSE($G$3,AF38-AG38,AG38-AF38)</f>
        <v>-32927.8702621014</v>
      </c>
      <c r="AN38" s="132" t="n">
        <f aca="false">CHOOSE($G$3,AI38-AJ38,AJ38-AI38)</f>
        <v>-23519.9073300724</v>
      </c>
      <c r="AO38" s="148" t="n">
        <f aca="false">SUM(AL38:AN38)</f>
        <v>158837.77416909</v>
      </c>
      <c r="AQ38" s="132" t="n">
        <f aca="false">CHOOSE($G$3,AB38-AC38,AC38-AB38)</f>
        <v>0</v>
      </c>
      <c r="AR38" s="132" t="n">
        <f aca="false">CHOOSE($G$3,AE38-AF38,AF38-AE38)</f>
        <v>0</v>
      </c>
      <c r="AS38" s="132" t="n">
        <f aca="false">CHOOSE($G$3,AH38-AI38,AI38-AH38)</f>
        <v>0</v>
      </c>
      <c r="AT38" s="148" t="n">
        <f aca="false">AQ38+AR38+AS38</f>
        <v>0</v>
      </c>
      <c r="AU38" s="148"/>
      <c r="AV38" s="133" t="n">
        <f aca="false">AT38+AO38</f>
        <v>158837.77416909</v>
      </c>
      <c r="AX38" s="133" t="n">
        <f aca="false">AJ38+AG38+AD38</f>
        <v>6114078.31014343</v>
      </c>
      <c r="AY38" s="149"/>
      <c r="AZ38" s="76" t="n">
        <f aca="false">R38*E38</f>
        <v>7155995.36</v>
      </c>
    </row>
    <row r="39" customFormat="false" ht="12.75" hidden="false" customHeight="false" outlineLevel="0" collapsed="false">
      <c r="A39" s="138" t="n">
        <f aca="false">EDATE(A38,1)</f>
        <v>37865</v>
      </c>
      <c r="B39" s="139" t="n">
        <f aca="false">VLOOKUP($A39,Table2,MATCH(I$3,Curves2,0))</f>
        <v>59200</v>
      </c>
      <c r="C39" s="140"/>
      <c r="D39" s="141" t="n">
        <f aca="false">B39+C39</f>
        <v>59200</v>
      </c>
      <c r="E39" s="126" t="n">
        <f aca="false">IF(Y39=0,0,IF(AND(Y39=1,$H$3=1),D39*T39,IF($H$3=2,D39,"N/A")))</f>
        <v>1776000</v>
      </c>
      <c r="F39" s="126" t="n">
        <f aca="false">E39*X39</f>
        <v>1510206.77833478</v>
      </c>
      <c r="G39" s="142" t="n">
        <f aca="false">VLOOKUP($A39,Table,MATCH(G$4,Curves,0))</f>
        <v>3.774</v>
      </c>
      <c r="H39" s="143" t="n">
        <f aca="false">G39</f>
        <v>3.774</v>
      </c>
      <c r="I39" s="142" t="n">
        <f aca="false">VLOOKUP($A39,Table1,MATCH(I$3,Curves1,0))</f>
        <v>3.8993</v>
      </c>
      <c r="J39" s="142" t="n">
        <f aca="false">VLOOKUP($A39,Table,MATCH(J$4,Curves,0))</f>
        <v>0.021</v>
      </c>
      <c r="K39" s="143" t="n">
        <f aca="false">J39</f>
        <v>0.021</v>
      </c>
      <c r="L39" s="144" t="n">
        <v>0</v>
      </c>
      <c r="M39" s="142" t="n">
        <f aca="false">VLOOKUP($A39,Table,MATCH(M$4,Curves,0))</f>
        <v>0.015</v>
      </c>
      <c r="N39" s="143" t="n">
        <f aca="false">M39</f>
        <v>0.015</v>
      </c>
      <c r="O39" s="144" t="n">
        <v>0</v>
      </c>
      <c r="P39" s="145"/>
      <c r="Q39" s="144" t="n">
        <f aca="false">M39+J39+G39</f>
        <v>3.81</v>
      </c>
      <c r="R39" s="144" t="n">
        <f aca="false">O39+L39+I39</f>
        <v>3.8993</v>
      </c>
      <c r="S39" s="145"/>
      <c r="T39" s="71" t="n">
        <f aca="false">A40-A39</f>
        <v>30</v>
      </c>
      <c r="U39" s="146" t="n">
        <f aca="false">CHOOSE(F$3,A40+24,A39)</f>
        <v>37919</v>
      </c>
      <c r="V39" s="71" t="n">
        <f aca="false">U39-C$3</f>
        <v>1031</v>
      </c>
      <c r="W39" s="142" t="n">
        <f aca="false">VLOOKUP($A39,Table,MATCH(W$4,Curves,0))</f>
        <v>0.058249162317267</v>
      </c>
      <c r="X39" s="147" t="n">
        <f aca="false">1/(1+CHOOSE(F$3,(W40+($K$3/10000))/2,(W39+($K$3/10000))/2))^(2*V39/365.25)</f>
        <v>0.850341654467784</v>
      </c>
      <c r="Y39" s="71" t="n">
        <f aca="false">IF(AND(mthbeg&lt;=A39,mthend&gt;=A39),1,0)</f>
        <v>1</v>
      </c>
      <c r="Z39" s="71" t="n">
        <f aca="false">T39*Y39</f>
        <v>30</v>
      </c>
      <c r="AB39" s="132" t="n">
        <f aca="false">F39*G39</f>
        <v>5699520.38143548</v>
      </c>
      <c r="AC39" s="132" t="n">
        <f aca="false">$F39*H39</f>
        <v>5699520.38143548</v>
      </c>
      <c r="AD39" s="132" t="n">
        <f aca="false">$F39*I39</f>
        <v>5888749.29076083</v>
      </c>
      <c r="AE39" s="132" t="n">
        <f aca="false">$F39*J39</f>
        <v>31714.3423450305</v>
      </c>
      <c r="AF39" s="132" t="n">
        <f aca="false">$F39*K39</f>
        <v>31714.3423450305</v>
      </c>
      <c r="AG39" s="132" t="n">
        <f aca="false">$F39*L39</f>
        <v>0</v>
      </c>
      <c r="AH39" s="132" t="n">
        <f aca="false">$F39*M39</f>
        <v>22653.1016750218</v>
      </c>
      <c r="AI39" s="132" t="n">
        <f aca="false">$F39*N39</f>
        <v>22653.1016750218</v>
      </c>
      <c r="AJ39" s="132" t="n">
        <f aca="false">F39*O39</f>
        <v>0</v>
      </c>
      <c r="AK39" s="137"/>
      <c r="AL39" s="132" t="n">
        <f aca="false">CHOOSE($G$3,AC39-AD39,AD39-AC39)</f>
        <v>189228.909325348</v>
      </c>
      <c r="AM39" s="132" t="n">
        <f aca="false">CHOOSE($G$3,AF39-AG39,AG39-AF39)</f>
        <v>-31714.3423450305</v>
      </c>
      <c r="AN39" s="132" t="n">
        <f aca="false">CHOOSE($G$3,AI39-AJ39,AJ39-AI39)</f>
        <v>-22653.1016750218</v>
      </c>
      <c r="AO39" s="148" t="n">
        <f aca="false">SUM(AL39:AN39)</f>
        <v>134861.465305296</v>
      </c>
      <c r="AQ39" s="132" t="n">
        <f aca="false">CHOOSE($G$3,AB39-AC39,AC39-AB39)</f>
        <v>0</v>
      </c>
      <c r="AR39" s="132" t="n">
        <f aca="false">CHOOSE($G$3,AE39-AF39,AF39-AE39)</f>
        <v>0</v>
      </c>
      <c r="AS39" s="132" t="n">
        <f aca="false">CHOOSE($G$3,AH39-AI39,AI39-AH39)</f>
        <v>0</v>
      </c>
      <c r="AT39" s="148" t="n">
        <f aca="false">AQ39+AR39+AS39</f>
        <v>0</v>
      </c>
      <c r="AU39" s="148"/>
      <c r="AV39" s="133" t="n">
        <f aca="false">AT39+AO39</f>
        <v>134861.465305296</v>
      </c>
      <c r="AX39" s="133" t="n">
        <f aca="false">AJ39+AG39+AD39</f>
        <v>5888749.29076083</v>
      </c>
      <c r="AY39" s="149"/>
      <c r="AZ39" s="76" t="n">
        <f aca="false">R39*E39</f>
        <v>6925156.8</v>
      </c>
    </row>
    <row r="40" customFormat="false" ht="12.75" hidden="false" customHeight="false" outlineLevel="0" collapsed="false">
      <c r="A40" s="138" t="n">
        <f aca="false">EDATE(A39,1)</f>
        <v>37895</v>
      </c>
      <c r="B40" s="139" t="n">
        <f aca="false">VLOOKUP($A40,Table2,MATCH(I$3,Curves2,0))</f>
        <v>59200</v>
      </c>
      <c r="C40" s="140"/>
      <c r="D40" s="141" t="n">
        <f aca="false">B40+C40</f>
        <v>59200</v>
      </c>
      <c r="E40" s="126" t="n">
        <f aca="false">IF(Y40=0,0,IF(AND(Y40=1,$H$3=1),D40*T40,IF($H$3=2,D40,"N/A")))</f>
        <v>1835200</v>
      </c>
      <c r="F40" s="126" t="n">
        <f aca="false">E40*X40</f>
        <v>1552871.95713974</v>
      </c>
      <c r="G40" s="142" t="n">
        <f aca="false">VLOOKUP($A40,Table,MATCH(G$4,Curves,0))</f>
        <v>3.792</v>
      </c>
      <c r="H40" s="143" t="n">
        <f aca="false">G40</f>
        <v>3.792</v>
      </c>
      <c r="I40" s="142" t="n">
        <f aca="false">VLOOKUP($A40,Table1,MATCH(I$3,Curves1,0))</f>
        <v>3.8993</v>
      </c>
      <c r="J40" s="142" t="n">
        <f aca="false">VLOOKUP($A40,Table,MATCH(J$4,Curves,0))</f>
        <v>0.021</v>
      </c>
      <c r="K40" s="143" t="n">
        <f aca="false">J40</f>
        <v>0.021</v>
      </c>
      <c r="L40" s="144" t="n">
        <v>0</v>
      </c>
      <c r="M40" s="142" t="n">
        <f aca="false">VLOOKUP($A40,Table,MATCH(M$4,Curves,0))</f>
        <v>0.015</v>
      </c>
      <c r="N40" s="143" t="n">
        <f aca="false">M40</f>
        <v>0.015</v>
      </c>
      <c r="O40" s="144" t="n">
        <v>0</v>
      </c>
      <c r="P40" s="145"/>
      <c r="Q40" s="144" t="n">
        <f aca="false">M40+J40+G40</f>
        <v>3.828</v>
      </c>
      <c r="R40" s="144" t="n">
        <f aca="false">O40+L40+I40</f>
        <v>3.8993</v>
      </c>
      <c r="S40" s="145"/>
      <c r="T40" s="71" t="n">
        <f aca="false">A41-A40</f>
        <v>31</v>
      </c>
      <c r="U40" s="146" t="n">
        <f aca="false">CHOOSE(F$3,A41+24,A40)</f>
        <v>37950</v>
      </c>
      <c r="V40" s="71" t="n">
        <f aca="false">U40-C$3</f>
        <v>1062</v>
      </c>
      <c r="W40" s="142" t="n">
        <f aca="false">VLOOKUP($A40,Table,MATCH(W$4,Curves,0))</f>
        <v>0.058265422795858</v>
      </c>
      <c r="X40" s="147" t="n">
        <f aca="false">1/(1+CHOOSE(F$3,(W41+($K$3/10000))/2,(W40+($K$3/10000))/2))^(2*V40/365.25)</f>
        <v>0.846159523288873</v>
      </c>
      <c r="Y40" s="71" t="n">
        <f aca="false">IF(AND(mthbeg&lt;=A40,mthend&gt;=A40),1,0)</f>
        <v>1</v>
      </c>
      <c r="Z40" s="71" t="n">
        <f aca="false">T40*Y40</f>
        <v>31</v>
      </c>
      <c r="AB40" s="132" t="n">
        <f aca="false">F40*G40</f>
        <v>5888490.46147389</v>
      </c>
      <c r="AC40" s="132" t="n">
        <f aca="false">$F40*H40</f>
        <v>5888490.46147389</v>
      </c>
      <c r="AD40" s="132" t="n">
        <f aca="false">$F40*I40</f>
        <v>6055113.62247499</v>
      </c>
      <c r="AE40" s="132" t="n">
        <f aca="false">$F40*J40</f>
        <v>32610.3110999345</v>
      </c>
      <c r="AF40" s="132" t="n">
        <f aca="false">$F40*K40</f>
        <v>32610.3110999345</v>
      </c>
      <c r="AG40" s="132" t="n">
        <f aca="false">$F40*L40</f>
        <v>0</v>
      </c>
      <c r="AH40" s="132" t="n">
        <f aca="false">$F40*M40</f>
        <v>23293.0793570961</v>
      </c>
      <c r="AI40" s="132" t="n">
        <f aca="false">$F40*N40</f>
        <v>23293.0793570961</v>
      </c>
      <c r="AJ40" s="132" t="n">
        <f aca="false">F40*O40</f>
        <v>0</v>
      </c>
      <c r="AK40" s="137"/>
      <c r="AL40" s="132" t="n">
        <f aca="false">CHOOSE($G$3,AC40-AD40,AD40-AC40)</f>
        <v>166623.161001096</v>
      </c>
      <c r="AM40" s="132" t="n">
        <f aca="false">CHOOSE($G$3,AF40-AG40,AG40-AF40)</f>
        <v>-32610.3110999345</v>
      </c>
      <c r="AN40" s="132" t="n">
        <f aca="false">CHOOSE($G$3,AI40-AJ40,AJ40-AI40)</f>
        <v>-23293.0793570961</v>
      </c>
      <c r="AO40" s="148" t="n">
        <f aca="false">SUM(AL40:AN40)</f>
        <v>110719.770544065</v>
      </c>
      <c r="AQ40" s="132" t="n">
        <f aca="false">CHOOSE($G$3,AB40-AC40,AC40-AB40)</f>
        <v>0</v>
      </c>
      <c r="AR40" s="132" t="n">
        <f aca="false">CHOOSE($G$3,AE40-AF40,AF40-AE40)</f>
        <v>0</v>
      </c>
      <c r="AS40" s="132" t="n">
        <f aca="false">CHOOSE($G$3,AH40-AI40,AI40-AH40)</f>
        <v>0</v>
      </c>
      <c r="AT40" s="148" t="n">
        <f aca="false">AQ40+AR40+AS40</f>
        <v>0</v>
      </c>
      <c r="AU40" s="148"/>
      <c r="AV40" s="133" t="n">
        <f aca="false">AT40+AO40</f>
        <v>110719.770544065</v>
      </c>
      <c r="AX40" s="133" t="n">
        <f aca="false">AJ40+AG40+AD40</f>
        <v>6055113.62247499</v>
      </c>
      <c r="AY40" s="149"/>
      <c r="AZ40" s="76" t="n">
        <f aca="false">R40*E40</f>
        <v>7155995.36</v>
      </c>
    </row>
    <row r="41" customFormat="false" ht="12.75" hidden="false" customHeight="false" outlineLevel="0" collapsed="false">
      <c r="A41" s="138" t="n">
        <f aca="false">EDATE(A40,1)</f>
        <v>37926</v>
      </c>
      <c r="B41" s="139" t="n">
        <f aca="false">VLOOKUP($A41,Table2,MATCH(I$3,Curves2,0))</f>
        <v>59200</v>
      </c>
      <c r="C41" s="140"/>
      <c r="D41" s="141" t="n">
        <f aca="false">B41+C41</f>
        <v>59200</v>
      </c>
      <c r="E41" s="126" t="n">
        <f aca="false">IF(Y41=0,0,IF(AND(Y41=1,$H$3=1),D41*T41,IF($H$3=2,D41,"N/A")))</f>
        <v>1776000</v>
      </c>
      <c r="F41" s="126" t="n">
        <f aca="false">E41*X41</f>
        <v>1495621.58933657</v>
      </c>
      <c r="G41" s="142" t="n">
        <f aca="false">VLOOKUP($A41,Table,MATCH(G$4,Curves,0))</f>
        <v>3.927</v>
      </c>
      <c r="H41" s="143" t="n">
        <f aca="false">G41</f>
        <v>3.927</v>
      </c>
      <c r="I41" s="142" t="n">
        <f aca="false">VLOOKUP($A41,Table1,MATCH(I$3,Curves1,0))</f>
        <v>3.8993</v>
      </c>
      <c r="J41" s="142" t="n">
        <f aca="false">VLOOKUP($A41,Table,MATCH(J$4,Curves,0))</f>
        <v>0.01</v>
      </c>
      <c r="K41" s="143" t="n">
        <f aca="false">J41</f>
        <v>0.01</v>
      </c>
      <c r="L41" s="144" t="n">
        <v>0</v>
      </c>
      <c r="M41" s="142" t="n">
        <f aca="false">VLOOKUP($A41,Table,MATCH(M$4,Curves,0))</f>
        <v>0.015</v>
      </c>
      <c r="N41" s="143" t="n">
        <f aca="false">M41</f>
        <v>0.015</v>
      </c>
      <c r="O41" s="144" t="n">
        <v>0</v>
      </c>
      <c r="P41" s="145"/>
      <c r="Q41" s="144" t="n">
        <f aca="false">M41+J41+G41</f>
        <v>3.952</v>
      </c>
      <c r="R41" s="144" t="n">
        <f aca="false">O41+L41+I41</f>
        <v>3.8993</v>
      </c>
      <c r="S41" s="145"/>
      <c r="T41" s="71" t="n">
        <f aca="false">A42-A41</f>
        <v>30</v>
      </c>
      <c r="U41" s="146" t="n">
        <f aca="false">CHOOSE(F$3,A42+24,A41)</f>
        <v>37980</v>
      </c>
      <c r="V41" s="71" t="n">
        <f aca="false">U41-C$3</f>
        <v>1092</v>
      </c>
      <c r="W41" s="142" t="n">
        <f aca="false">VLOOKUP($A41,Table,MATCH(W$4,Curves,0))</f>
        <v>0.058285170471645</v>
      </c>
      <c r="X41" s="147" t="n">
        <f aca="false">1/(1+CHOOSE(F$3,(W42+($K$3/10000))/2,(W41+($K$3/10000))/2))^(2*V41/365.25)</f>
        <v>0.842129273275098</v>
      </c>
      <c r="Y41" s="71" t="n">
        <f aca="false">IF(AND(mthbeg&lt;=A41,mthend&gt;=A41),1,0)</f>
        <v>1</v>
      </c>
      <c r="Z41" s="71" t="n">
        <f aca="false">T41*Y41</f>
        <v>30</v>
      </c>
      <c r="AB41" s="132" t="n">
        <f aca="false">F41*G41</f>
        <v>5873305.98132473</v>
      </c>
      <c r="AC41" s="132" t="n">
        <f aca="false">$F41*H41</f>
        <v>5873305.98132473</v>
      </c>
      <c r="AD41" s="132" t="n">
        <f aca="false">$F41*I41</f>
        <v>5831877.2633001</v>
      </c>
      <c r="AE41" s="132" t="n">
        <f aca="false">$F41*J41</f>
        <v>14956.2158933657</v>
      </c>
      <c r="AF41" s="132" t="n">
        <f aca="false">$F41*K41</f>
        <v>14956.2158933657</v>
      </c>
      <c r="AG41" s="132" t="n">
        <f aca="false">$F41*L41</f>
        <v>0</v>
      </c>
      <c r="AH41" s="132" t="n">
        <f aca="false">$F41*M41</f>
        <v>22434.3238400486</v>
      </c>
      <c r="AI41" s="132" t="n">
        <f aca="false">$F41*N41</f>
        <v>22434.3238400486</v>
      </c>
      <c r="AJ41" s="132" t="n">
        <f aca="false">F41*O41</f>
        <v>0</v>
      </c>
      <c r="AK41" s="137"/>
      <c r="AL41" s="132" t="n">
        <f aca="false">CHOOSE($G$3,AC41-AD41,AD41-AC41)</f>
        <v>-41428.7180246227</v>
      </c>
      <c r="AM41" s="132" t="n">
        <f aca="false">CHOOSE($G$3,AF41-AG41,AG41-AF41)</f>
        <v>-14956.2158933657</v>
      </c>
      <c r="AN41" s="132" t="n">
        <f aca="false">CHOOSE($G$3,AI41-AJ41,AJ41-AI41)</f>
        <v>-22434.3238400486</v>
      </c>
      <c r="AO41" s="148" t="n">
        <f aca="false">SUM(AL41:AN41)</f>
        <v>-78819.257758037</v>
      </c>
      <c r="AQ41" s="132" t="n">
        <f aca="false">CHOOSE($G$3,AB41-AC41,AC41-AB41)</f>
        <v>0</v>
      </c>
      <c r="AR41" s="132" t="n">
        <f aca="false">CHOOSE($G$3,AE41-AF41,AF41-AE41)</f>
        <v>0</v>
      </c>
      <c r="AS41" s="132" t="n">
        <f aca="false">CHOOSE($G$3,AH41-AI41,AI41-AH41)</f>
        <v>0</v>
      </c>
      <c r="AT41" s="148" t="n">
        <f aca="false">AQ41+AR41+AS41</f>
        <v>0</v>
      </c>
      <c r="AU41" s="148"/>
      <c r="AV41" s="133" t="n">
        <f aca="false">AT41+AO41</f>
        <v>-78819.257758037</v>
      </c>
      <c r="AX41" s="133" t="n">
        <f aca="false">AJ41+AG41+AD41</f>
        <v>5831877.2633001</v>
      </c>
      <c r="AY41" s="149"/>
      <c r="AZ41" s="76" t="n">
        <f aca="false">R41*E41</f>
        <v>6925156.8</v>
      </c>
    </row>
    <row r="42" customFormat="false" ht="12.75" hidden="false" customHeight="false" outlineLevel="0" collapsed="false">
      <c r="A42" s="138" t="n">
        <f aca="false">EDATE(A41,1)</f>
        <v>37956</v>
      </c>
      <c r="B42" s="139" t="n">
        <f aca="false">VLOOKUP($A42,Table2,MATCH(I$3,Curves2,0))</f>
        <v>59200</v>
      </c>
      <c r="C42" s="140"/>
      <c r="D42" s="141" t="n">
        <f aca="false">B42+C42</f>
        <v>59200</v>
      </c>
      <c r="E42" s="126" t="n">
        <f aca="false">IF(Y42=0,0,IF(AND(Y42=1,$H$3=1),D42*T42,IF($H$3=2,D42,"N/A")))</f>
        <v>1835200</v>
      </c>
      <c r="F42" s="126" t="n">
        <f aca="false">E42*X42</f>
        <v>1537820.07367983</v>
      </c>
      <c r="G42" s="142" t="n">
        <f aca="false">VLOOKUP($A42,Table,MATCH(G$4,Curves,0))</f>
        <v>4.052</v>
      </c>
      <c r="H42" s="143" t="n">
        <f aca="false">G42</f>
        <v>4.052</v>
      </c>
      <c r="I42" s="142" t="n">
        <f aca="false">VLOOKUP($A42,Table1,MATCH(I$3,Curves1,0))</f>
        <v>3.8993</v>
      </c>
      <c r="J42" s="142" t="n">
        <f aca="false">VLOOKUP($A42,Table,MATCH(J$4,Curves,0))</f>
        <v>0.01</v>
      </c>
      <c r="K42" s="143" t="n">
        <f aca="false">J42</f>
        <v>0.01</v>
      </c>
      <c r="L42" s="144" t="n">
        <v>0</v>
      </c>
      <c r="M42" s="142" t="n">
        <f aca="false">VLOOKUP($A42,Table,MATCH(M$4,Curves,0))</f>
        <v>0.015</v>
      </c>
      <c r="N42" s="143" t="n">
        <f aca="false">M42</f>
        <v>0.015</v>
      </c>
      <c r="O42" s="144" t="n">
        <v>0</v>
      </c>
      <c r="P42" s="145"/>
      <c r="Q42" s="144" t="n">
        <f aca="false">M42+J42+G42</f>
        <v>4.077</v>
      </c>
      <c r="R42" s="144" t="n">
        <f aca="false">O42+L42+I42</f>
        <v>3.8993</v>
      </c>
      <c r="S42" s="145"/>
      <c r="T42" s="71" t="n">
        <f aca="false">A43-A42</f>
        <v>31</v>
      </c>
      <c r="U42" s="146" t="n">
        <f aca="false">CHOOSE(F$3,A43+24,A42)</f>
        <v>38011</v>
      </c>
      <c r="V42" s="71" t="n">
        <f aca="false">U42-C$3</f>
        <v>1123</v>
      </c>
      <c r="W42" s="142" t="n">
        <f aca="false">VLOOKUP($A42,Table,MATCH(W$4,Curves,0))</f>
        <v>0.058304281125756</v>
      </c>
      <c r="X42" s="147" t="n">
        <f aca="false">1/(1+CHOOSE(F$3,(W43+($K$3/10000))/2,(W42+($K$3/10000))/2))^(2*V42/365.25)</f>
        <v>0.837957755928416</v>
      </c>
      <c r="Y42" s="71" t="n">
        <f aca="false">IF(AND(mthbeg&lt;=A42,mthend&gt;=A42),1,0)</f>
        <v>1</v>
      </c>
      <c r="Z42" s="71" t="n">
        <f aca="false">T42*Y42</f>
        <v>31</v>
      </c>
      <c r="AB42" s="132" t="n">
        <f aca="false">F42*G42</f>
        <v>6231246.93855067</v>
      </c>
      <c r="AC42" s="132" t="n">
        <f aca="false">$F42*H42</f>
        <v>6231246.93855067</v>
      </c>
      <c r="AD42" s="132" t="n">
        <f aca="false">$F42*I42</f>
        <v>5996421.81329976</v>
      </c>
      <c r="AE42" s="132" t="n">
        <f aca="false">$F42*J42</f>
        <v>15378.2007367983</v>
      </c>
      <c r="AF42" s="132" t="n">
        <f aca="false">$F42*K42</f>
        <v>15378.2007367983</v>
      </c>
      <c r="AG42" s="132" t="n">
        <f aca="false">$F42*L42</f>
        <v>0</v>
      </c>
      <c r="AH42" s="132" t="n">
        <f aca="false">$F42*M42</f>
        <v>23067.3011051974</v>
      </c>
      <c r="AI42" s="132" t="n">
        <f aca="false">$F42*N42</f>
        <v>23067.3011051974</v>
      </c>
      <c r="AJ42" s="132" t="n">
        <f aca="false">F42*O42</f>
        <v>0</v>
      </c>
      <c r="AK42" s="137"/>
      <c r="AL42" s="132" t="n">
        <f aca="false">CHOOSE($G$3,AC42-AD42,AD42-AC42)</f>
        <v>-234825.125250909</v>
      </c>
      <c r="AM42" s="132" t="n">
        <f aca="false">CHOOSE($G$3,AF42-AG42,AG42-AF42)</f>
        <v>-15378.2007367983</v>
      </c>
      <c r="AN42" s="132" t="n">
        <f aca="false">CHOOSE($G$3,AI42-AJ42,AJ42-AI42)</f>
        <v>-23067.3011051974</v>
      </c>
      <c r="AO42" s="148" t="n">
        <f aca="false">SUM(AL42:AN42)</f>
        <v>-273270.627092905</v>
      </c>
      <c r="AQ42" s="132" t="n">
        <f aca="false">CHOOSE($G$3,AB42-AC42,AC42-AB42)</f>
        <v>0</v>
      </c>
      <c r="AR42" s="132" t="n">
        <f aca="false">CHOOSE($G$3,AE42-AF42,AF42-AE42)</f>
        <v>0</v>
      </c>
      <c r="AS42" s="132" t="n">
        <f aca="false">CHOOSE($G$3,AH42-AI42,AI42-AH42)</f>
        <v>0</v>
      </c>
      <c r="AT42" s="148" t="n">
        <f aca="false">AQ42+AR42+AS42</f>
        <v>0</v>
      </c>
      <c r="AU42" s="148"/>
      <c r="AV42" s="133" t="n">
        <f aca="false">AT42+AO42</f>
        <v>-273270.627092905</v>
      </c>
      <c r="AX42" s="133" t="n">
        <f aca="false">AJ42+AG42+AD42</f>
        <v>5996421.81329976</v>
      </c>
      <c r="AY42" s="149"/>
      <c r="AZ42" s="76" t="n">
        <f aca="false">R42*E42</f>
        <v>7155995.36</v>
      </c>
    </row>
    <row r="43" customFormat="false" ht="12.75" hidden="false" customHeight="false" outlineLevel="0" collapsed="false">
      <c r="A43" s="138" t="n">
        <f aca="false">EDATE(A42,1)</f>
        <v>37987</v>
      </c>
      <c r="B43" s="139" t="n">
        <f aca="false">VLOOKUP($A43,Table2,MATCH(I$3,Curves2,0))</f>
        <v>59200</v>
      </c>
      <c r="C43" s="140"/>
      <c r="D43" s="141" t="n">
        <f aca="false">B43+C43</f>
        <v>59200</v>
      </c>
      <c r="E43" s="126" t="n">
        <f aca="false">IF(Y43=0,0,IF(AND(Y43=1,$H$3=1),D43*T43,IF($H$3=2,D43,"N/A")))</f>
        <v>1835200</v>
      </c>
      <c r="F43" s="126" t="n">
        <f aca="false">E43*X43</f>
        <v>1530146.13540457</v>
      </c>
      <c r="G43" s="142" t="n">
        <f aca="false">VLOOKUP($A43,Table,MATCH(G$4,Curves,0))</f>
        <v>4.132</v>
      </c>
      <c r="H43" s="143" t="n">
        <f aca="false">G43</f>
        <v>4.132</v>
      </c>
      <c r="I43" s="142" t="n">
        <f aca="false">VLOOKUP($A43,Table1,MATCH(I$3,Curves1,0))</f>
        <v>3.8993</v>
      </c>
      <c r="J43" s="142" t="n">
        <f aca="false">VLOOKUP($A43,Table,MATCH(J$4,Curves,0))</f>
        <v>0.01</v>
      </c>
      <c r="K43" s="143" t="n">
        <f aca="false">J43</f>
        <v>0.01</v>
      </c>
      <c r="L43" s="144" t="n">
        <v>0</v>
      </c>
      <c r="M43" s="142" t="n">
        <f aca="false">VLOOKUP($A43,Table,MATCH(M$4,Curves,0))</f>
        <v>0.02</v>
      </c>
      <c r="N43" s="143" t="n">
        <f aca="false">M43</f>
        <v>0.02</v>
      </c>
      <c r="O43" s="144" t="n">
        <v>0</v>
      </c>
      <c r="P43" s="145"/>
      <c r="Q43" s="144" t="n">
        <f aca="false">M43+J43+G43</f>
        <v>4.162</v>
      </c>
      <c r="R43" s="144" t="n">
        <f aca="false">O43+L43+I43</f>
        <v>3.8993</v>
      </c>
      <c r="S43" s="145"/>
      <c r="T43" s="71" t="n">
        <f aca="false">A44-A43</f>
        <v>31</v>
      </c>
      <c r="U43" s="146" t="n">
        <f aca="false">CHOOSE(F$3,A44+24,A43)</f>
        <v>38042</v>
      </c>
      <c r="V43" s="71" t="n">
        <f aca="false">U43-C$3</f>
        <v>1154</v>
      </c>
      <c r="W43" s="142" t="n">
        <f aca="false">VLOOKUP($A43,Table,MATCH(W$4,Curves,0))</f>
        <v>0.058333777934929</v>
      </c>
      <c r="X43" s="147" t="n">
        <f aca="false">1/(1+CHOOSE(F$3,(W44+($K$3/10000))/2,(W43+($K$3/10000))/2))^(2*V43/365.25)</f>
        <v>0.833776228969362</v>
      </c>
      <c r="Y43" s="71" t="n">
        <f aca="false">IF(AND(mthbeg&lt;=A43,mthend&gt;=A43),1,0)</f>
        <v>1</v>
      </c>
      <c r="Z43" s="71" t="n">
        <f aca="false">T43*Y43</f>
        <v>31</v>
      </c>
      <c r="AB43" s="132" t="n">
        <f aca="false">F43*G43</f>
        <v>6322563.8314917</v>
      </c>
      <c r="AC43" s="132" t="n">
        <f aca="false">$F43*H43</f>
        <v>6322563.8314917</v>
      </c>
      <c r="AD43" s="132" t="n">
        <f aca="false">$F43*I43</f>
        <v>5966498.82578305</v>
      </c>
      <c r="AE43" s="132" t="n">
        <f aca="false">$F43*J43</f>
        <v>15301.4613540457</v>
      </c>
      <c r="AF43" s="132" t="n">
        <f aca="false">$F43*K43</f>
        <v>15301.4613540457</v>
      </c>
      <c r="AG43" s="132" t="n">
        <f aca="false">$F43*L43</f>
        <v>0</v>
      </c>
      <c r="AH43" s="132" t="n">
        <f aca="false">$F43*M43</f>
        <v>30602.9227080915</v>
      </c>
      <c r="AI43" s="132" t="n">
        <f aca="false">$F43*N43</f>
        <v>30602.9227080915</v>
      </c>
      <c r="AJ43" s="132" t="n">
        <f aca="false">F43*O43</f>
        <v>0</v>
      </c>
      <c r="AK43" s="137"/>
      <c r="AL43" s="132" t="n">
        <f aca="false">CHOOSE($G$3,AC43-AD43,AD43-AC43)</f>
        <v>-356065.005708643</v>
      </c>
      <c r="AM43" s="132" t="n">
        <f aca="false">CHOOSE($G$3,AF43-AG43,AG43-AF43)</f>
        <v>-15301.4613540457</v>
      </c>
      <c r="AN43" s="132" t="n">
        <f aca="false">CHOOSE($G$3,AI43-AJ43,AJ43-AI43)</f>
        <v>-30602.9227080915</v>
      </c>
      <c r="AO43" s="148" t="n">
        <f aca="false">SUM(AL43:AN43)</f>
        <v>-401969.38977078</v>
      </c>
      <c r="AQ43" s="132" t="n">
        <f aca="false">CHOOSE($G$3,AB43-AC43,AC43-AB43)</f>
        <v>0</v>
      </c>
      <c r="AR43" s="132" t="n">
        <f aca="false">CHOOSE($G$3,AE43-AF43,AF43-AE43)</f>
        <v>0</v>
      </c>
      <c r="AS43" s="132" t="n">
        <f aca="false">CHOOSE($G$3,AH43-AI43,AI43-AH43)</f>
        <v>0</v>
      </c>
      <c r="AT43" s="148" t="n">
        <f aca="false">AQ43+AR43+AS43</f>
        <v>0</v>
      </c>
      <c r="AU43" s="148"/>
      <c r="AV43" s="133" t="n">
        <f aca="false">AT43+AO43</f>
        <v>-401969.38977078</v>
      </c>
      <c r="AX43" s="133" t="n">
        <f aca="false">AJ43+AG43+AD43</f>
        <v>5966498.82578305</v>
      </c>
      <c r="AY43" s="149"/>
      <c r="AZ43" s="76" t="n">
        <f aca="false">R43*E43</f>
        <v>7155995.36</v>
      </c>
    </row>
    <row r="44" customFormat="false" ht="12.75" hidden="false" customHeight="false" outlineLevel="0" collapsed="false">
      <c r="A44" s="138" t="n">
        <f aca="false">EDATE(A43,1)</f>
        <v>38018</v>
      </c>
      <c r="B44" s="139" t="n">
        <f aca="false">VLOOKUP($A44,Table2,MATCH(I$3,Curves2,0))</f>
        <v>59200</v>
      </c>
      <c r="C44" s="140"/>
      <c r="D44" s="141" t="n">
        <f aca="false">B44+C44</f>
        <v>59200</v>
      </c>
      <c r="E44" s="126" t="n">
        <f aca="false">IF(Y44=0,0,IF(AND(Y44=1,$H$3=1),D44*T44,IF($H$3=2,D44,"N/A")))</f>
        <v>1716800</v>
      </c>
      <c r="F44" s="126" t="n">
        <f aca="false">E44*X44</f>
        <v>1424735.28624532</v>
      </c>
      <c r="G44" s="142" t="n">
        <f aca="false">VLOOKUP($A44,Table,MATCH(G$4,Curves,0))</f>
        <v>4.017</v>
      </c>
      <c r="H44" s="143" t="n">
        <f aca="false">G44</f>
        <v>4.017</v>
      </c>
      <c r="I44" s="142" t="n">
        <f aca="false">VLOOKUP($A44,Table1,MATCH(I$3,Curves1,0))</f>
        <v>3.8993</v>
      </c>
      <c r="J44" s="142" t="n">
        <f aca="false">VLOOKUP($A44,Table,MATCH(J$4,Curves,0))</f>
        <v>0.01</v>
      </c>
      <c r="K44" s="143" t="n">
        <f aca="false">J44</f>
        <v>0.01</v>
      </c>
      <c r="L44" s="144" t="n">
        <v>0</v>
      </c>
      <c r="M44" s="142" t="n">
        <f aca="false">VLOOKUP($A44,Table,MATCH(M$4,Curves,0))</f>
        <v>0.02</v>
      </c>
      <c r="N44" s="143" t="n">
        <f aca="false">M44</f>
        <v>0.02</v>
      </c>
      <c r="O44" s="144" t="n">
        <v>0</v>
      </c>
      <c r="P44" s="145"/>
      <c r="Q44" s="144" t="n">
        <f aca="false">M44+J44+G44</f>
        <v>4.047</v>
      </c>
      <c r="R44" s="144" t="n">
        <f aca="false">O44+L44+I44</f>
        <v>3.8993</v>
      </c>
      <c r="S44" s="145"/>
      <c r="T44" s="71" t="n">
        <f aca="false">A45-A44</f>
        <v>29</v>
      </c>
      <c r="U44" s="146" t="n">
        <f aca="false">CHOOSE(F$3,A45+24,A44)</f>
        <v>38071</v>
      </c>
      <c r="V44" s="71" t="n">
        <f aca="false">U44-C$3</f>
        <v>1183</v>
      </c>
      <c r="W44" s="142" t="n">
        <f aca="false">VLOOKUP($A44,Table,MATCH(W$4,Curves,0))</f>
        <v>0.058373673819866</v>
      </c>
      <c r="X44" s="147" t="n">
        <f aca="false">1/(1+CHOOSE(F$3,(W45+($K$3/10000))/2,(W44+($K$3/10000))/2))^(2*V44/365.25)</f>
        <v>0.829878428614467</v>
      </c>
      <c r="Y44" s="71" t="n">
        <f aca="false">IF(AND(mthbeg&lt;=A44,mthend&gt;=A44),1,0)</f>
        <v>1</v>
      </c>
      <c r="Z44" s="71" t="n">
        <f aca="false">T44*Y44</f>
        <v>29</v>
      </c>
      <c r="AB44" s="132" t="n">
        <f aca="false">F44*G44</f>
        <v>5723161.64484744</v>
      </c>
      <c r="AC44" s="132" t="n">
        <f aca="false">$F44*H44</f>
        <v>5723161.64484744</v>
      </c>
      <c r="AD44" s="132" t="n">
        <f aca="false">$F44*I44</f>
        <v>5555470.30165637</v>
      </c>
      <c r="AE44" s="132" t="n">
        <f aca="false">$F44*J44</f>
        <v>14247.3528624532</v>
      </c>
      <c r="AF44" s="132" t="n">
        <f aca="false">$F44*K44</f>
        <v>14247.3528624532</v>
      </c>
      <c r="AG44" s="132" t="n">
        <f aca="false">$F44*L44</f>
        <v>0</v>
      </c>
      <c r="AH44" s="132" t="n">
        <f aca="false">$F44*M44</f>
        <v>28494.7057249064</v>
      </c>
      <c r="AI44" s="132" t="n">
        <f aca="false">$F44*N44</f>
        <v>28494.7057249064</v>
      </c>
      <c r="AJ44" s="132" t="n">
        <f aca="false">F44*O44</f>
        <v>0</v>
      </c>
      <c r="AK44" s="137"/>
      <c r="AL44" s="132" t="n">
        <f aca="false">CHOOSE($G$3,AC44-AD44,AD44-AC44)</f>
        <v>-167691.343191074</v>
      </c>
      <c r="AM44" s="132" t="n">
        <f aca="false">CHOOSE($G$3,AF44-AG44,AG44-AF44)</f>
        <v>-14247.3528624532</v>
      </c>
      <c r="AN44" s="132" t="n">
        <f aca="false">CHOOSE($G$3,AI44-AJ44,AJ44-AI44)</f>
        <v>-28494.7057249064</v>
      </c>
      <c r="AO44" s="148" t="n">
        <f aca="false">SUM(AL44:AN44)</f>
        <v>-210433.401778434</v>
      </c>
      <c r="AQ44" s="132" t="n">
        <f aca="false">CHOOSE($G$3,AB44-AC44,AC44-AB44)</f>
        <v>0</v>
      </c>
      <c r="AR44" s="132" t="n">
        <f aca="false">CHOOSE($G$3,AE44-AF44,AF44-AE44)</f>
        <v>0</v>
      </c>
      <c r="AS44" s="132" t="n">
        <f aca="false">CHOOSE($G$3,AH44-AI44,AI44-AH44)</f>
        <v>0</v>
      </c>
      <c r="AT44" s="148" t="n">
        <f aca="false">AQ44+AR44+AS44</f>
        <v>0</v>
      </c>
      <c r="AU44" s="148"/>
      <c r="AV44" s="133" t="n">
        <f aca="false">AT44+AO44</f>
        <v>-210433.401778434</v>
      </c>
      <c r="AX44" s="133" t="n">
        <f aca="false">AJ44+AG44+AD44</f>
        <v>5555470.30165637</v>
      </c>
      <c r="AY44" s="149"/>
      <c r="AZ44" s="76" t="n">
        <f aca="false">R44*E44</f>
        <v>6694318.24</v>
      </c>
    </row>
    <row r="45" customFormat="false" ht="12.75" hidden="false" customHeight="false" outlineLevel="0" collapsed="false">
      <c r="A45" s="138" t="n">
        <f aca="false">EDATE(A44,1)</f>
        <v>38047</v>
      </c>
      <c r="B45" s="139" t="n">
        <f aca="false">VLOOKUP($A45,Table2,MATCH(I$3,Curves2,0))</f>
        <v>59200</v>
      </c>
      <c r="C45" s="140"/>
      <c r="D45" s="141" t="n">
        <f aca="false">B45+C45</f>
        <v>59200</v>
      </c>
      <c r="E45" s="126" t="n">
        <f aca="false">IF(Y45=0,0,IF(AND(Y45=1,$H$3=1),D45*T45,IF($H$3=2,D45,"N/A")))</f>
        <v>1835200</v>
      </c>
      <c r="F45" s="126" t="n">
        <f aca="false">E45*X45</f>
        <v>1515414.22889799</v>
      </c>
      <c r="G45" s="142" t="n">
        <f aca="false">VLOOKUP($A45,Table,MATCH(G$4,Curves,0))</f>
        <v>3.877</v>
      </c>
      <c r="H45" s="143" t="n">
        <f aca="false">G45</f>
        <v>3.877</v>
      </c>
      <c r="I45" s="142" t="n">
        <f aca="false">VLOOKUP($A45,Table1,MATCH(I$3,Curves1,0))</f>
        <v>3.8993</v>
      </c>
      <c r="J45" s="142" t="n">
        <f aca="false">VLOOKUP($A45,Table,MATCH(J$4,Curves,0))</f>
        <v>0.01</v>
      </c>
      <c r="K45" s="143" t="n">
        <f aca="false">J45</f>
        <v>0.01</v>
      </c>
      <c r="L45" s="144" t="n">
        <v>0</v>
      </c>
      <c r="M45" s="142" t="n">
        <f aca="false">VLOOKUP($A45,Table,MATCH(M$4,Curves,0))</f>
        <v>0.02</v>
      </c>
      <c r="N45" s="143" t="n">
        <f aca="false">M45</f>
        <v>0.02</v>
      </c>
      <c r="O45" s="144" t="n">
        <v>0</v>
      </c>
      <c r="P45" s="145"/>
      <c r="Q45" s="144" t="n">
        <f aca="false">M45+J45+G45</f>
        <v>3.907</v>
      </c>
      <c r="R45" s="144" t="n">
        <f aca="false">O45+L45+I45</f>
        <v>3.8993</v>
      </c>
      <c r="S45" s="145"/>
      <c r="T45" s="71" t="n">
        <f aca="false">A46-A45</f>
        <v>31</v>
      </c>
      <c r="U45" s="146" t="n">
        <f aca="false">CHOOSE(F$3,A46+24,A45)</f>
        <v>38102</v>
      </c>
      <c r="V45" s="71" t="n">
        <f aca="false">U45-C$3</f>
        <v>1214</v>
      </c>
      <c r="W45" s="142" t="n">
        <f aca="false">VLOOKUP($A45,Table,MATCH(W$4,Curves,0))</f>
        <v>0.058410995777223</v>
      </c>
      <c r="X45" s="147" t="n">
        <f aca="false">1/(1+CHOOSE(F$3,(W46+($K$3/10000))/2,(W45+($K$3/10000))/2))^(2*V45/365.25)</f>
        <v>0.825748816967081</v>
      </c>
      <c r="Y45" s="71" t="n">
        <f aca="false">IF(AND(mthbeg&lt;=A45,mthend&gt;=A45),1,0)</f>
        <v>1</v>
      </c>
      <c r="Z45" s="71" t="n">
        <f aca="false">T45*Y45</f>
        <v>31</v>
      </c>
      <c r="AB45" s="132" t="n">
        <f aca="false">F45*G45</f>
        <v>5875260.96543749</v>
      </c>
      <c r="AC45" s="132" t="n">
        <f aca="false">$F45*H45</f>
        <v>5875260.96543749</v>
      </c>
      <c r="AD45" s="132" t="n">
        <f aca="false">$F45*I45</f>
        <v>5909054.70274192</v>
      </c>
      <c r="AE45" s="132" t="n">
        <f aca="false">$F45*J45</f>
        <v>15154.1422889799</v>
      </c>
      <c r="AF45" s="132" t="n">
        <f aca="false">$F45*K45</f>
        <v>15154.1422889799</v>
      </c>
      <c r="AG45" s="132" t="n">
        <f aca="false">$F45*L45</f>
        <v>0</v>
      </c>
      <c r="AH45" s="132" t="n">
        <f aca="false">$F45*M45</f>
        <v>30308.2845779597</v>
      </c>
      <c r="AI45" s="132" t="n">
        <f aca="false">$F45*N45</f>
        <v>30308.2845779597</v>
      </c>
      <c r="AJ45" s="132" t="n">
        <f aca="false">F45*O45</f>
        <v>0</v>
      </c>
      <c r="AK45" s="137"/>
      <c r="AL45" s="132" t="n">
        <f aca="false">CHOOSE($G$3,AC45-AD45,AD45-AC45)</f>
        <v>33793.7373044258</v>
      </c>
      <c r="AM45" s="132" t="n">
        <f aca="false">CHOOSE($G$3,AF45-AG45,AG45-AF45)</f>
        <v>-15154.1422889799</v>
      </c>
      <c r="AN45" s="132" t="n">
        <f aca="false">CHOOSE($G$3,AI45-AJ45,AJ45-AI45)</f>
        <v>-30308.2845779597</v>
      </c>
      <c r="AO45" s="148" t="n">
        <f aca="false">SUM(AL45:AN45)</f>
        <v>-11668.6895625138</v>
      </c>
      <c r="AQ45" s="132" t="n">
        <f aca="false">CHOOSE($G$3,AB45-AC45,AC45-AB45)</f>
        <v>0</v>
      </c>
      <c r="AR45" s="132" t="n">
        <f aca="false">CHOOSE($G$3,AE45-AF45,AF45-AE45)</f>
        <v>0</v>
      </c>
      <c r="AS45" s="132" t="n">
        <f aca="false">CHOOSE($G$3,AH45-AI45,AI45-AH45)</f>
        <v>0</v>
      </c>
      <c r="AT45" s="148" t="n">
        <f aca="false">AQ45+AR45+AS45</f>
        <v>0</v>
      </c>
      <c r="AU45" s="148"/>
      <c r="AV45" s="133" t="n">
        <f aca="false">AT45+AO45</f>
        <v>-11668.6895625138</v>
      </c>
      <c r="AX45" s="133" t="n">
        <f aca="false">AJ45+AG45+AD45</f>
        <v>5909054.70274192</v>
      </c>
      <c r="AY45" s="149"/>
      <c r="AZ45" s="76" t="n">
        <f aca="false">R45*E45</f>
        <v>7155995.36</v>
      </c>
    </row>
    <row r="46" customFormat="false" ht="12.75" hidden="false" customHeight="false" outlineLevel="0" collapsed="false">
      <c r="A46" s="138" t="n">
        <f aca="false">EDATE(A45,1)</f>
        <v>38078</v>
      </c>
      <c r="B46" s="139" t="n">
        <f aca="false">VLOOKUP($A46,Table2,MATCH(I$3,Curves2,0))</f>
        <v>60900</v>
      </c>
      <c r="C46" s="140"/>
      <c r="D46" s="141" t="n">
        <f aca="false">B46+C46</f>
        <v>60900</v>
      </c>
      <c r="E46" s="126" t="n">
        <f aca="false">IF(Y46=0,0,IF(AND(Y46=1,$H$3=1),D46*T46,IF($H$3=2,D46,"N/A")))</f>
        <v>1827000</v>
      </c>
      <c r="F46" s="126" t="n">
        <f aca="false">E46*X46</f>
        <v>1501412.49339164</v>
      </c>
      <c r="G46" s="142" t="n">
        <f aca="false">VLOOKUP($A46,Table,MATCH(G$4,Curves,0))</f>
        <v>3.682</v>
      </c>
      <c r="H46" s="143" t="n">
        <f aca="false">G46</f>
        <v>3.682</v>
      </c>
      <c r="I46" s="142" t="n">
        <f aca="false">VLOOKUP($A46,Table1,MATCH(I$3,Curves1,0))</f>
        <v>3.7904</v>
      </c>
      <c r="J46" s="142" t="n">
        <f aca="false">VLOOKUP($A46,Table,MATCH(J$4,Curves,0))</f>
        <v>0.021</v>
      </c>
      <c r="K46" s="143" t="n">
        <f aca="false">J46</f>
        <v>0.021</v>
      </c>
      <c r="L46" s="144" t="n">
        <v>0</v>
      </c>
      <c r="M46" s="142" t="n">
        <f aca="false">VLOOKUP($A46,Table,MATCH(M$4,Curves,0))</f>
        <v>0.015</v>
      </c>
      <c r="N46" s="143" t="n">
        <f aca="false">M46</f>
        <v>0.015</v>
      </c>
      <c r="O46" s="144" t="n">
        <v>0</v>
      </c>
      <c r="P46" s="145"/>
      <c r="Q46" s="144" t="n">
        <f aca="false">M46+J46+G46</f>
        <v>3.718</v>
      </c>
      <c r="R46" s="144" t="n">
        <f aca="false">O46+L46+I46</f>
        <v>3.7904</v>
      </c>
      <c r="S46" s="145"/>
      <c r="T46" s="71" t="n">
        <f aca="false">A47-A46</f>
        <v>30</v>
      </c>
      <c r="U46" s="146" t="n">
        <f aca="false">CHOOSE(F$3,A47+24,A46)</f>
        <v>38132</v>
      </c>
      <c r="V46" s="71" t="n">
        <f aca="false">U46-C$3</f>
        <v>1244</v>
      </c>
      <c r="W46" s="142" t="n">
        <f aca="false">VLOOKUP($A46,Table,MATCH(W$4,Curves,0))</f>
        <v>0.05844259999348</v>
      </c>
      <c r="X46" s="147" t="n">
        <f aca="false">1/(1+CHOOSE(F$3,(W47+($K$3/10000))/2,(W46+($K$3/10000))/2))^(2*V46/365.25)</f>
        <v>0.82179118412241</v>
      </c>
      <c r="Y46" s="71" t="n">
        <f aca="false">IF(AND(mthbeg&lt;=A46,mthend&gt;=A46),1,0)</f>
        <v>1</v>
      </c>
      <c r="Z46" s="71" t="n">
        <f aca="false">T46*Y46</f>
        <v>30</v>
      </c>
      <c r="AB46" s="132" t="n">
        <f aca="false">F46*G46</f>
        <v>5528200.80066803</v>
      </c>
      <c r="AC46" s="132" t="n">
        <f aca="false">$F46*H46</f>
        <v>5528200.80066803</v>
      </c>
      <c r="AD46" s="132" t="n">
        <f aca="false">$F46*I46</f>
        <v>5690953.91495168</v>
      </c>
      <c r="AE46" s="132" t="n">
        <f aca="false">$F46*J46</f>
        <v>31529.6623612245</v>
      </c>
      <c r="AF46" s="132" t="n">
        <f aca="false">$F46*K46</f>
        <v>31529.6623612245</v>
      </c>
      <c r="AG46" s="132" t="n">
        <f aca="false">$F46*L46</f>
        <v>0</v>
      </c>
      <c r="AH46" s="132" t="n">
        <f aca="false">$F46*M46</f>
        <v>22521.1874008746</v>
      </c>
      <c r="AI46" s="132" t="n">
        <f aca="false">$F46*N46</f>
        <v>22521.1874008746</v>
      </c>
      <c r="AJ46" s="132" t="n">
        <f aca="false">F46*O46</f>
        <v>0</v>
      </c>
      <c r="AK46" s="137"/>
      <c r="AL46" s="132" t="n">
        <f aca="false">CHOOSE($G$3,AC46-AD46,AD46-AC46)</f>
        <v>162753.114283654</v>
      </c>
      <c r="AM46" s="132" t="n">
        <f aca="false">CHOOSE($G$3,AF46-AG46,AG46-AF46)</f>
        <v>-31529.6623612245</v>
      </c>
      <c r="AN46" s="132" t="n">
        <f aca="false">CHOOSE($G$3,AI46-AJ46,AJ46-AI46)</f>
        <v>-22521.1874008746</v>
      </c>
      <c r="AO46" s="148" t="n">
        <f aca="false">SUM(AL46:AN46)</f>
        <v>108702.264521555</v>
      </c>
      <c r="AQ46" s="132" t="n">
        <f aca="false">CHOOSE($G$3,AB46-AC46,AC46-AB46)</f>
        <v>0</v>
      </c>
      <c r="AR46" s="132" t="n">
        <f aca="false">CHOOSE($G$3,AE46-AF46,AF46-AE46)</f>
        <v>0</v>
      </c>
      <c r="AS46" s="132" t="n">
        <f aca="false">CHOOSE($G$3,AH46-AI46,AI46-AH46)</f>
        <v>0</v>
      </c>
      <c r="AT46" s="148" t="n">
        <f aca="false">AQ46+AR46+AS46</f>
        <v>0</v>
      </c>
      <c r="AU46" s="148"/>
      <c r="AV46" s="133" t="n">
        <f aca="false">AT46+AO46</f>
        <v>108702.264521555</v>
      </c>
      <c r="AX46" s="133" t="n">
        <f aca="false">AJ46+AG46+AD46</f>
        <v>5690953.91495168</v>
      </c>
      <c r="AY46" s="149"/>
      <c r="AZ46" s="76" t="n">
        <f aca="false">R46*E46</f>
        <v>6925060.8</v>
      </c>
    </row>
    <row r="47" customFormat="false" ht="12.75" hidden="false" customHeight="false" outlineLevel="0" collapsed="false">
      <c r="A47" s="138" t="n">
        <f aca="false">EDATE(A46,1)</f>
        <v>38108</v>
      </c>
      <c r="B47" s="139" t="n">
        <f aca="false">VLOOKUP($A47,Table2,MATCH(I$3,Curves2,0))</f>
        <v>60900</v>
      </c>
      <c r="C47" s="140"/>
      <c r="D47" s="141" t="n">
        <f aca="false">B47+C47</f>
        <v>60900</v>
      </c>
      <c r="E47" s="126" t="n">
        <f aca="false">IF(Y47=0,0,IF(AND(Y47=1,$H$3=1),D47*T47,IF($H$3=2,D47,"N/A")))</f>
        <v>1887900</v>
      </c>
      <c r="F47" s="126" t="n">
        <f aca="false">E47*X47</f>
        <v>1543770.82572787</v>
      </c>
      <c r="G47" s="142" t="n">
        <f aca="false">VLOOKUP($A47,Table,MATCH(G$4,Curves,0))</f>
        <v>3.637</v>
      </c>
      <c r="H47" s="143" t="n">
        <f aca="false">G47</f>
        <v>3.637</v>
      </c>
      <c r="I47" s="142" t="n">
        <f aca="false">VLOOKUP($A47,Table1,MATCH(I$3,Curves1,0))</f>
        <v>3.7904</v>
      </c>
      <c r="J47" s="142" t="n">
        <f aca="false">VLOOKUP($A47,Table,MATCH(J$4,Curves,0))</f>
        <v>0.021</v>
      </c>
      <c r="K47" s="143" t="n">
        <f aca="false">J47</f>
        <v>0.021</v>
      </c>
      <c r="L47" s="144" t="n">
        <v>0</v>
      </c>
      <c r="M47" s="142" t="n">
        <f aca="false">VLOOKUP($A47,Table,MATCH(M$4,Curves,0))</f>
        <v>0.015</v>
      </c>
      <c r="N47" s="143" t="n">
        <f aca="false">M47</f>
        <v>0.015</v>
      </c>
      <c r="O47" s="144" t="n">
        <v>0</v>
      </c>
      <c r="P47" s="145"/>
      <c r="Q47" s="144" t="n">
        <f aca="false">M47+J47+G47</f>
        <v>3.673</v>
      </c>
      <c r="R47" s="144" t="n">
        <f aca="false">O47+L47+I47</f>
        <v>3.7904</v>
      </c>
      <c r="S47" s="145"/>
      <c r="T47" s="71" t="n">
        <f aca="false">A48-A47</f>
        <v>31</v>
      </c>
      <c r="U47" s="146" t="n">
        <f aca="false">CHOOSE(F$3,A48+24,A47)</f>
        <v>38163</v>
      </c>
      <c r="V47" s="71" t="n">
        <f aca="false">U47-C$3</f>
        <v>1275</v>
      </c>
      <c r="W47" s="142" t="n">
        <f aca="false">VLOOKUP($A47,Table,MATCH(W$4,Curves,0))</f>
        <v>0.058464625576222</v>
      </c>
      <c r="X47" s="147" t="n">
        <f aca="false">1/(1+CHOOSE(F$3,(W48+($K$3/10000))/2,(W47+($K$3/10000))/2))^(2*V47/365.25)</f>
        <v>0.817718536854636</v>
      </c>
      <c r="Y47" s="71" t="n">
        <f aca="false">IF(AND(mthbeg&lt;=A47,mthend&gt;=A47),1,0)</f>
        <v>1</v>
      </c>
      <c r="Z47" s="71" t="n">
        <f aca="false">T47*Y47</f>
        <v>31</v>
      </c>
      <c r="AB47" s="132" t="n">
        <f aca="false">F47*G47</f>
        <v>5614694.49317225</v>
      </c>
      <c r="AC47" s="132" t="n">
        <f aca="false">$F47*H47</f>
        <v>5614694.49317225</v>
      </c>
      <c r="AD47" s="132" t="n">
        <f aca="false">$F47*I47</f>
        <v>5851508.93783891</v>
      </c>
      <c r="AE47" s="132" t="n">
        <f aca="false">$F47*J47</f>
        <v>32419.1873402852</v>
      </c>
      <c r="AF47" s="132" t="n">
        <f aca="false">$F47*K47</f>
        <v>32419.1873402852</v>
      </c>
      <c r="AG47" s="132" t="n">
        <f aca="false">$F47*L47</f>
        <v>0</v>
      </c>
      <c r="AH47" s="132" t="n">
        <f aca="false">$F47*M47</f>
        <v>23156.562385918</v>
      </c>
      <c r="AI47" s="132" t="n">
        <f aca="false">$F47*N47</f>
        <v>23156.562385918</v>
      </c>
      <c r="AJ47" s="132" t="n">
        <f aca="false">F47*O47</f>
        <v>0</v>
      </c>
      <c r="AK47" s="137"/>
      <c r="AL47" s="132" t="n">
        <f aca="false">CHOOSE($G$3,AC47-AD47,AD47-AC47)</f>
        <v>236814.444666655</v>
      </c>
      <c r="AM47" s="132" t="n">
        <f aca="false">CHOOSE($G$3,AF47-AG47,AG47-AF47)</f>
        <v>-32419.1873402852</v>
      </c>
      <c r="AN47" s="132" t="n">
        <f aca="false">CHOOSE($G$3,AI47-AJ47,AJ47-AI47)</f>
        <v>-23156.562385918</v>
      </c>
      <c r="AO47" s="148" t="n">
        <f aca="false">SUM(AL47:AN47)</f>
        <v>181238.694940452</v>
      </c>
      <c r="AQ47" s="132" t="n">
        <f aca="false">CHOOSE($G$3,AB47-AC47,AC47-AB47)</f>
        <v>0</v>
      </c>
      <c r="AR47" s="132" t="n">
        <f aca="false">CHOOSE($G$3,AE47-AF47,AF47-AE47)</f>
        <v>0</v>
      </c>
      <c r="AS47" s="132" t="n">
        <f aca="false">CHOOSE($G$3,AH47-AI47,AI47-AH47)</f>
        <v>0</v>
      </c>
      <c r="AT47" s="148" t="n">
        <f aca="false">AQ47+AR47+AS47</f>
        <v>0</v>
      </c>
      <c r="AU47" s="148"/>
      <c r="AV47" s="133" t="n">
        <f aca="false">AT47+AO47</f>
        <v>181238.694940452</v>
      </c>
      <c r="AX47" s="133" t="n">
        <f aca="false">AJ47+AG47+AD47</f>
        <v>5851508.93783891</v>
      </c>
      <c r="AY47" s="149"/>
      <c r="AZ47" s="76" t="n">
        <f aca="false">R47*E47</f>
        <v>7155896.16</v>
      </c>
    </row>
    <row r="48" customFormat="false" ht="12.75" hidden="false" customHeight="false" outlineLevel="0" collapsed="false">
      <c r="A48" s="138" t="n">
        <f aca="false">EDATE(A47,1)</f>
        <v>38139</v>
      </c>
      <c r="B48" s="139" t="n">
        <f aca="false">VLOOKUP($A48,Table2,MATCH(I$3,Curves2,0))</f>
        <v>60900</v>
      </c>
      <c r="C48" s="140"/>
      <c r="D48" s="141" t="n">
        <f aca="false">B48+C48</f>
        <v>60900</v>
      </c>
      <c r="E48" s="126" t="n">
        <f aca="false">IF(Y48=0,0,IF(AND(Y48=1,$H$3=1),D48*T48,IF($H$3=2,D48,"N/A")))</f>
        <v>1827000</v>
      </c>
      <c r="F48" s="126" t="n">
        <f aca="false">E48*X48</f>
        <v>1486791.74007542</v>
      </c>
      <c r="G48" s="142" t="n">
        <f aca="false">VLOOKUP($A48,Table,MATCH(G$4,Curves,0))</f>
        <v>3.657</v>
      </c>
      <c r="H48" s="143" t="n">
        <f aca="false">G48</f>
        <v>3.657</v>
      </c>
      <c r="I48" s="142" t="n">
        <f aca="false">VLOOKUP($A48,Table1,MATCH(I$3,Curves1,0))</f>
        <v>3.7904</v>
      </c>
      <c r="J48" s="142" t="n">
        <f aca="false">VLOOKUP($A48,Table,MATCH(J$4,Curves,0))</f>
        <v>0.021</v>
      </c>
      <c r="K48" s="143" t="n">
        <f aca="false">J48</f>
        <v>0.021</v>
      </c>
      <c r="L48" s="144" t="n">
        <v>0</v>
      </c>
      <c r="M48" s="142" t="n">
        <f aca="false">VLOOKUP($A48,Table,MATCH(M$4,Curves,0))</f>
        <v>0.015</v>
      </c>
      <c r="N48" s="143" t="n">
        <f aca="false">M48</f>
        <v>0.015</v>
      </c>
      <c r="O48" s="144" t="n">
        <v>0</v>
      </c>
      <c r="P48" s="145"/>
      <c r="Q48" s="144" t="n">
        <f aca="false">M48+J48+G48</f>
        <v>3.693</v>
      </c>
      <c r="R48" s="144" t="n">
        <f aca="false">O48+L48+I48</f>
        <v>3.7904</v>
      </c>
      <c r="S48" s="145"/>
      <c r="T48" s="71" t="n">
        <f aca="false">A49-A48</f>
        <v>30</v>
      </c>
      <c r="U48" s="146" t="n">
        <f aca="false">CHOOSE(F$3,A49+24,A48)</f>
        <v>38193</v>
      </c>
      <c r="V48" s="71" t="n">
        <f aca="false">U48-C$3</f>
        <v>1305</v>
      </c>
      <c r="W48" s="142" t="n">
        <f aca="false">VLOOKUP($A48,Table,MATCH(W$4,Curves,0))</f>
        <v>0.058487385345225</v>
      </c>
      <c r="X48" s="147" t="n">
        <f aca="false">1/(1+CHOOSE(F$3,(W49+($K$3/10000))/2,(W48+($K$3/10000))/2))^(2*V48/365.25)</f>
        <v>0.813788582416761</v>
      </c>
      <c r="Y48" s="71" t="n">
        <f aca="false">IF(AND(mthbeg&lt;=A48,mthend&gt;=A48),1,0)</f>
        <v>1</v>
      </c>
      <c r="Z48" s="71" t="n">
        <f aca="false">T48*Y48</f>
        <v>30</v>
      </c>
      <c r="AB48" s="132" t="n">
        <f aca="false">F48*G48</f>
        <v>5437197.39345582</v>
      </c>
      <c r="AC48" s="132" t="n">
        <f aca="false">$F48*H48</f>
        <v>5437197.39345582</v>
      </c>
      <c r="AD48" s="132" t="n">
        <f aca="false">$F48*I48</f>
        <v>5635535.41158188</v>
      </c>
      <c r="AE48" s="132" t="n">
        <f aca="false">$F48*J48</f>
        <v>31222.6265415839</v>
      </c>
      <c r="AF48" s="132" t="n">
        <f aca="false">$F48*K48</f>
        <v>31222.6265415839</v>
      </c>
      <c r="AG48" s="132" t="n">
        <f aca="false">$F48*L48</f>
        <v>0</v>
      </c>
      <c r="AH48" s="132" t="n">
        <f aca="false">$F48*M48</f>
        <v>22301.8761011313</v>
      </c>
      <c r="AI48" s="132" t="n">
        <f aca="false">$F48*N48</f>
        <v>22301.8761011313</v>
      </c>
      <c r="AJ48" s="132" t="n">
        <f aca="false">F48*O48</f>
        <v>0</v>
      </c>
      <c r="AK48" s="137"/>
      <c r="AL48" s="132" t="n">
        <f aca="false">CHOOSE($G$3,AC48-AD48,AD48-AC48)</f>
        <v>198338.018126061</v>
      </c>
      <c r="AM48" s="132" t="n">
        <f aca="false">CHOOSE($G$3,AF48-AG48,AG48-AF48)</f>
        <v>-31222.6265415839</v>
      </c>
      <c r="AN48" s="132" t="n">
        <f aca="false">CHOOSE($G$3,AI48-AJ48,AJ48-AI48)</f>
        <v>-22301.8761011313</v>
      </c>
      <c r="AO48" s="148" t="n">
        <f aca="false">SUM(AL48:AN48)</f>
        <v>144813.515483346</v>
      </c>
      <c r="AQ48" s="132" t="n">
        <f aca="false">CHOOSE($G$3,AB48-AC48,AC48-AB48)</f>
        <v>0</v>
      </c>
      <c r="AR48" s="132" t="n">
        <f aca="false">CHOOSE($G$3,AE48-AF48,AF48-AE48)</f>
        <v>0</v>
      </c>
      <c r="AS48" s="132" t="n">
        <f aca="false">CHOOSE($G$3,AH48-AI48,AI48-AH48)</f>
        <v>0</v>
      </c>
      <c r="AT48" s="148" t="n">
        <f aca="false">AQ48+AR48+AS48</f>
        <v>0</v>
      </c>
      <c r="AU48" s="148"/>
      <c r="AV48" s="133" t="n">
        <f aca="false">AT48+AO48</f>
        <v>144813.515483346</v>
      </c>
      <c r="AX48" s="133" t="n">
        <f aca="false">AJ48+AG48+AD48</f>
        <v>5635535.41158188</v>
      </c>
      <c r="AY48" s="149"/>
      <c r="AZ48" s="76" t="n">
        <f aca="false">R48*E48</f>
        <v>6925060.8</v>
      </c>
    </row>
    <row r="49" customFormat="false" ht="12.75" hidden="false" customHeight="false" outlineLevel="0" collapsed="false">
      <c r="A49" s="138" t="n">
        <f aca="false">EDATE(A48,1)</f>
        <v>38169</v>
      </c>
      <c r="B49" s="139" t="n">
        <f aca="false">VLOOKUP($A49,Table2,MATCH(I$3,Curves2,0))</f>
        <v>60900</v>
      </c>
      <c r="C49" s="140"/>
      <c r="D49" s="141" t="n">
        <f aca="false">B49+C49</f>
        <v>60900</v>
      </c>
      <c r="E49" s="126" t="n">
        <f aca="false">IF(Y49=0,0,IF(AND(Y49=1,$H$3=1),D49*T49,IF($H$3=2,D49,"N/A")))</f>
        <v>1887900</v>
      </c>
      <c r="F49" s="126" t="n">
        <f aca="false">E49*X49</f>
        <v>1528705.59904198</v>
      </c>
      <c r="G49" s="142" t="n">
        <f aca="false">VLOOKUP($A49,Table,MATCH(G$4,Curves,0))</f>
        <v>3.672</v>
      </c>
      <c r="H49" s="143" t="n">
        <f aca="false">G49</f>
        <v>3.672</v>
      </c>
      <c r="I49" s="142" t="n">
        <f aca="false">VLOOKUP($A49,Table1,MATCH(I$3,Curves1,0))</f>
        <v>3.7904</v>
      </c>
      <c r="J49" s="142" t="n">
        <f aca="false">VLOOKUP($A49,Table,MATCH(J$4,Curves,0))</f>
        <v>0.021</v>
      </c>
      <c r="K49" s="143" t="n">
        <f aca="false">J49</f>
        <v>0.021</v>
      </c>
      <c r="L49" s="144" t="n">
        <v>0</v>
      </c>
      <c r="M49" s="142" t="n">
        <f aca="false">VLOOKUP($A49,Table,MATCH(M$4,Curves,0))</f>
        <v>0.015</v>
      </c>
      <c r="N49" s="143" t="n">
        <f aca="false">M49</f>
        <v>0.015</v>
      </c>
      <c r="O49" s="144" t="n">
        <v>0</v>
      </c>
      <c r="P49" s="145"/>
      <c r="Q49" s="144" t="n">
        <f aca="false">M49+J49+G49</f>
        <v>3.708</v>
      </c>
      <c r="R49" s="144" t="n">
        <f aca="false">O49+L49+I49</f>
        <v>3.7904</v>
      </c>
      <c r="S49" s="145"/>
      <c r="T49" s="71" t="n">
        <f aca="false">A50-A49</f>
        <v>31</v>
      </c>
      <c r="U49" s="146" t="n">
        <f aca="false">CHOOSE(F$3,A50+24,A49)</f>
        <v>38224</v>
      </c>
      <c r="V49" s="71" t="n">
        <f aca="false">U49-C$3</f>
        <v>1336</v>
      </c>
      <c r="W49" s="142" t="n">
        <f aca="false">VLOOKUP($A49,Table,MATCH(W$4,Curves,0))</f>
        <v>0.058511178500586</v>
      </c>
      <c r="X49" s="147" t="n">
        <f aca="false">1/(1+CHOOSE(F$3,(W50+($K$3/10000))/2,(W49+($K$3/10000))/2))^(2*V49/365.25)</f>
        <v>0.809738650904168</v>
      </c>
      <c r="Y49" s="71" t="n">
        <f aca="false">IF(AND(mthbeg&lt;=A49,mthend&gt;=A49),1,0)</f>
        <v>1</v>
      </c>
      <c r="Z49" s="71" t="n">
        <f aca="false">T49*Y49</f>
        <v>31</v>
      </c>
      <c r="AB49" s="132" t="n">
        <f aca="false">F49*G49</f>
        <v>5613406.95968215</v>
      </c>
      <c r="AC49" s="132" t="n">
        <f aca="false">$F49*H49</f>
        <v>5613406.95968215</v>
      </c>
      <c r="AD49" s="132" t="n">
        <f aca="false">$F49*I49</f>
        <v>5794405.70260872</v>
      </c>
      <c r="AE49" s="132" t="n">
        <f aca="false">$F49*J49</f>
        <v>32102.8175798816</v>
      </c>
      <c r="AF49" s="132" t="n">
        <f aca="false">$F49*K49</f>
        <v>32102.8175798816</v>
      </c>
      <c r="AG49" s="132" t="n">
        <f aca="false">$F49*L49</f>
        <v>0</v>
      </c>
      <c r="AH49" s="132" t="n">
        <f aca="false">$F49*M49</f>
        <v>22930.5839856297</v>
      </c>
      <c r="AI49" s="132" t="n">
        <f aca="false">$F49*N49</f>
        <v>22930.5839856297</v>
      </c>
      <c r="AJ49" s="132" t="n">
        <f aca="false">F49*O49</f>
        <v>0</v>
      </c>
      <c r="AK49" s="137"/>
      <c r="AL49" s="132" t="n">
        <f aca="false">CHOOSE($G$3,AC49-AD49,AD49-AC49)</f>
        <v>180998.74292657</v>
      </c>
      <c r="AM49" s="132" t="n">
        <f aca="false">CHOOSE($G$3,AF49-AG49,AG49-AF49)</f>
        <v>-32102.8175798816</v>
      </c>
      <c r="AN49" s="132" t="n">
        <f aca="false">CHOOSE($G$3,AI49-AJ49,AJ49-AI49)</f>
        <v>-22930.5839856297</v>
      </c>
      <c r="AO49" s="148" t="n">
        <f aca="false">SUM(AL49:AN49)</f>
        <v>125965.341361058</v>
      </c>
      <c r="AQ49" s="132" t="n">
        <f aca="false">CHOOSE($G$3,AB49-AC49,AC49-AB49)</f>
        <v>0</v>
      </c>
      <c r="AR49" s="132" t="n">
        <f aca="false">CHOOSE($G$3,AE49-AF49,AF49-AE49)</f>
        <v>0</v>
      </c>
      <c r="AS49" s="132" t="n">
        <f aca="false">CHOOSE($G$3,AH49-AI49,AI49-AH49)</f>
        <v>0</v>
      </c>
      <c r="AT49" s="148" t="n">
        <f aca="false">AQ49+AR49+AS49</f>
        <v>0</v>
      </c>
      <c r="AU49" s="148"/>
      <c r="AV49" s="133" t="n">
        <f aca="false">AT49+AO49</f>
        <v>125965.341361058</v>
      </c>
      <c r="AX49" s="133" t="n">
        <f aca="false">AJ49+AG49+AD49</f>
        <v>5794405.70260872</v>
      </c>
      <c r="AY49" s="149"/>
      <c r="AZ49" s="76" t="n">
        <f aca="false">R49*E49</f>
        <v>7155896.16</v>
      </c>
    </row>
    <row r="50" customFormat="false" ht="12.75" hidden="false" customHeight="false" outlineLevel="0" collapsed="false">
      <c r="A50" s="138" t="n">
        <f aca="false">EDATE(A49,1)</f>
        <v>38200</v>
      </c>
      <c r="B50" s="139" t="n">
        <f aca="false">VLOOKUP($A50,Table2,MATCH(I$3,Curves2,0))</f>
        <v>60900</v>
      </c>
      <c r="C50" s="140"/>
      <c r="D50" s="141" t="n">
        <f aca="false">B50+C50</f>
        <v>60900</v>
      </c>
      <c r="E50" s="126" t="n">
        <f aca="false">IF(Y50=0,0,IF(AND(Y50=1,$H$3=1),D50*T50,IF($H$3=2,D50,"N/A")))</f>
        <v>1887900</v>
      </c>
      <c r="F50" s="126" t="n">
        <f aca="false">E50*X50</f>
        <v>1521091.13089777</v>
      </c>
      <c r="G50" s="142" t="n">
        <f aca="false">VLOOKUP($A50,Table,MATCH(G$4,Curves,0))</f>
        <v>3.682</v>
      </c>
      <c r="H50" s="143" t="n">
        <f aca="false">G50</f>
        <v>3.682</v>
      </c>
      <c r="I50" s="142" t="n">
        <f aca="false">VLOOKUP($A50,Table1,MATCH(I$3,Curves1,0))</f>
        <v>3.7904</v>
      </c>
      <c r="J50" s="142" t="n">
        <f aca="false">VLOOKUP($A50,Table,MATCH(J$4,Curves,0))</f>
        <v>0.021</v>
      </c>
      <c r="K50" s="143" t="n">
        <f aca="false">J50</f>
        <v>0.021</v>
      </c>
      <c r="L50" s="144" t="n">
        <v>0</v>
      </c>
      <c r="M50" s="142" t="n">
        <f aca="false">VLOOKUP($A50,Table,MATCH(M$4,Curves,0))</f>
        <v>0.015</v>
      </c>
      <c r="N50" s="143" t="n">
        <f aca="false">M50</f>
        <v>0.015</v>
      </c>
      <c r="O50" s="144" t="n">
        <v>0</v>
      </c>
      <c r="P50" s="145"/>
      <c r="Q50" s="144" t="n">
        <f aca="false">M50+J50+G50</f>
        <v>3.718</v>
      </c>
      <c r="R50" s="144" t="n">
        <f aca="false">O50+L50+I50</f>
        <v>3.7904</v>
      </c>
      <c r="S50" s="145"/>
      <c r="T50" s="71" t="n">
        <f aca="false">A51-A50</f>
        <v>31</v>
      </c>
      <c r="U50" s="146" t="n">
        <f aca="false">CHOOSE(F$3,A51+24,A50)</f>
        <v>38255</v>
      </c>
      <c r="V50" s="71" t="n">
        <f aca="false">U50-C$3</f>
        <v>1367</v>
      </c>
      <c r="W50" s="142" t="n">
        <f aca="false">VLOOKUP($A50,Table,MATCH(W$4,Curves,0))</f>
        <v>0.058537707389653</v>
      </c>
      <c r="X50" s="147" t="n">
        <f aca="false">1/(1+CHOOSE(F$3,(W51+($K$3/10000))/2,(W50+($K$3/10000))/2))^(2*V50/365.25)</f>
        <v>0.805705350335172</v>
      </c>
      <c r="Y50" s="71" t="n">
        <f aca="false">IF(AND(mthbeg&lt;=A50,mthend&gt;=A50),1,0)</f>
        <v>1</v>
      </c>
      <c r="Z50" s="71" t="n">
        <f aca="false">T50*Y50</f>
        <v>31</v>
      </c>
      <c r="AB50" s="132" t="n">
        <f aca="false">F50*G50</f>
        <v>5600657.54396559</v>
      </c>
      <c r="AC50" s="132" t="n">
        <f aca="false">$F50*H50</f>
        <v>5600657.54396559</v>
      </c>
      <c r="AD50" s="132" t="n">
        <f aca="false">$F50*I50</f>
        <v>5765543.82255491</v>
      </c>
      <c r="AE50" s="132" t="n">
        <f aca="false">$F50*J50</f>
        <v>31942.9137488532</v>
      </c>
      <c r="AF50" s="132" t="n">
        <f aca="false">$F50*K50</f>
        <v>31942.9137488532</v>
      </c>
      <c r="AG50" s="132" t="n">
        <f aca="false">$F50*L50</f>
        <v>0</v>
      </c>
      <c r="AH50" s="132" t="n">
        <f aca="false">$F50*M50</f>
        <v>22816.3669634666</v>
      </c>
      <c r="AI50" s="132" t="n">
        <f aca="false">$F50*N50</f>
        <v>22816.3669634666</v>
      </c>
      <c r="AJ50" s="132" t="n">
        <f aca="false">F50*O50</f>
        <v>0</v>
      </c>
      <c r="AK50" s="137"/>
      <c r="AL50" s="132" t="n">
        <f aca="false">CHOOSE($G$3,AC50-AD50,AD50-AC50)</f>
        <v>164886.278589319</v>
      </c>
      <c r="AM50" s="132" t="n">
        <f aca="false">CHOOSE($G$3,AF50-AG50,AG50-AF50)</f>
        <v>-31942.9137488532</v>
      </c>
      <c r="AN50" s="132" t="n">
        <f aca="false">CHOOSE($G$3,AI50-AJ50,AJ50-AI50)</f>
        <v>-22816.3669634666</v>
      </c>
      <c r="AO50" s="148" t="n">
        <f aca="false">SUM(AL50:AN50)</f>
        <v>110126.997876999</v>
      </c>
      <c r="AQ50" s="132" t="n">
        <f aca="false">CHOOSE($G$3,AB50-AC50,AC50-AB50)</f>
        <v>0</v>
      </c>
      <c r="AR50" s="132" t="n">
        <f aca="false">CHOOSE($G$3,AE50-AF50,AF50-AE50)</f>
        <v>0</v>
      </c>
      <c r="AS50" s="132" t="n">
        <f aca="false">CHOOSE($G$3,AH50-AI50,AI50-AH50)</f>
        <v>0</v>
      </c>
      <c r="AT50" s="148" t="n">
        <f aca="false">AQ50+AR50+AS50</f>
        <v>0</v>
      </c>
      <c r="AU50" s="148"/>
      <c r="AV50" s="133" t="n">
        <f aca="false">AT50+AO50</f>
        <v>110126.997876999</v>
      </c>
      <c r="AX50" s="133" t="n">
        <f aca="false">AJ50+AG50+AD50</f>
        <v>5765543.82255491</v>
      </c>
      <c r="AY50" s="149"/>
      <c r="AZ50" s="76" t="n">
        <f aca="false">R50*E50</f>
        <v>7155896.16</v>
      </c>
    </row>
    <row r="51" customFormat="false" ht="12.75" hidden="false" customHeight="false" outlineLevel="0" collapsed="false">
      <c r="A51" s="138" t="n">
        <f aca="false">EDATE(A50,1)</f>
        <v>38231</v>
      </c>
      <c r="B51" s="139" t="n">
        <f aca="false">VLOOKUP($A51,Table2,MATCH(I$3,Curves2,0))</f>
        <v>60900</v>
      </c>
      <c r="C51" s="140"/>
      <c r="D51" s="141" t="n">
        <f aca="false">B51+C51</f>
        <v>60900</v>
      </c>
      <c r="E51" s="126" t="n">
        <f aca="false">IF(Y51=0,0,IF(AND(Y51=1,$H$3=1),D51*T51,IF($H$3=2,D51,"N/A")))</f>
        <v>1827000</v>
      </c>
      <c r="F51" s="126" t="n">
        <f aca="false">E51*X51</f>
        <v>1464915.1331266</v>
      </c>
      <c r="G51" s="142" t="n">
        <f aca="false">VLOOKUP($A51,Table,MATCH(G$4,Curves,0))</f>
        <v>3.699</v>
      </c>
      <c r="H51" s="143" t="n">
        <f aca="false">G51</f>
        <v>3.699</v>
      </c>
      <c r="I51" s="142" t="n">
        <f aca="false">VLOOKUP($A51,Table1,MATCH(I$3,Curves1,0))</f>
        <v>3.7904</v>
      </c>
      <c r="J51" s="142" t="n">
        <f aca="false">VLOOKUP($A51,Table,MATCH(J$4,Curves,0))</f>
        <v>0.021</v>
      </c>
      <c r="K51" s="143" t="n">
        <f aca="false">J51</f>
        <v>0.021</v>
      </c>
      <c r="L51" s="144" t="n">
        <v>0</v>
      </c>
      <c r="M51" s="142" t="n">
        <f aca="false">VLOOKUP($A51,Table,MATCH(M$4,Curves,0))</f>
        <v>0.015</v>
      </c>
      <c r="N51" s="143" t="n">
        <f aca="false">M51</f>
        <v>0.015</v>
      </c>
      <c r="O51" s="144" t="n">
        <v>0</v>
      </c>
      <c r="P51" s="145"/>
      <c r="Q51" s="144" t="n">
        <f aca="false">M51+J51+G51</f>
        <v>3.735</v>
      </c>
      <c r="R51" s="144" t="n">
        <f aca="false">O51+L51+I51</f>
        <v>3.7904</v>
      </c>
      <c r="S51" s="145"/>
      <c r="T51" s="71" t="n">
        <f aca="false">A52-A51</f>
        <v>30</v>
      </c>
      <c r="U51" s="146" t="n">
        <f aca="false">CHOOSE(F$3,A52+24,A51)</f>
        <v>38285</v>
      </c>
      <c r="V51" s="71" t="n">
        <f aca="false">U51-C$3</f>
        <v>1397</v>
      </c>
      <c r="W51" s="142" t="n">
        <f aca="false">VLOOKUP($A51,Table,MATCH(W$4,Curves,0))</f>
        <v>0.058564236278954</v>
      </c>
      <c r="X51" s="147" t="n">
        <f aca="false">1/(1+CHOOSE(F$3,(W52+($K$3/10000))/2,(W51+($K$3/10000))/2))^(2*V51/365.25)</f>
        <v>0.801814522784125</v>
      </c>
      <c r="Y51" s="71" t="n">
        <f aca="false">IF(AND(mthbeg&lt;=A51,mthend&gt;=A51),1,0)</f>
        <v>1</v>
      </c>
      <c r="Z51" s="71" t="n">
        <f aca="false">T51*Y51</f>
        <v>30</v>
      </c>
      <c r="AB51" s="132" t="n">
        <f aca="false">F51*G51</f>
        <v>5418721.07743528</v>
      </c>
      <c r="AC51" s="132" t="n">
        <f aca="false">$F51*H51</f>
        <v>5418721.07743528</v>
      </c>
      <c r="AD51" s="132" t="n">
        <f aca="false">$F51*I51</f>
        <v>5552614.32060305</v>
      </c>
      <c r="AE51" s="132" t="n">
        <f aca="false">$F51*J51</f>
        <v>30763.2177956585</v>
      </c>
      <c r="AF51" s="132" t="n">
        <f aca="false">$F51*K51</f>
        <v>30763.2177956585</v>
      </c>
      <c r="AG51" s="132" t="n">
        <f aca="false">$F51*L51</f>
        <v>0</v>
      </c>
      <c r="AH51" s="132" t="n">
        <f aca="false">$F51*M51</f>
        <v>21973.7269968989</v>
      </c>
      <c r="AI51" s="132" t="n">
        <f aca="false">$F51*N51</f>
        <v>21973.7269968989</v>
      </c>
      <c r="AJ51" s="132" t="n">
        <f aca="false">F51*O51</f>
        <v>0</v>
      </c>
      <c r="AK51" s="137"/>
      <c r="AL51" s="132" t="n">
        <f aca="false">CHOOSE($G$3,AC51-AD51,AD51-AC51)</f>
        <v>133893.24316777</v>
      </c>
      <c r="AM51" s="132" t="n">
        <f aca="false">CHOOSE($G$3,AF51-AG51,AG51-AF51)</f>
        <v>-30763.2177956585</v>
      </c>
      <c r="AN51" s="132" t="n">
        <f aca="false">CHOOSE($G$3,AI51-AJ51,AJ51-AI51)</f>
        <v>-21973.7269968989</v>
      </c>
      <c r="AO51" s="148" t="n">
        <f aca="false">SUM(AL51:AN51)</f>
        <v>81156.2983752127</v>
      </c>
      <c r="AQ51" s="132" t="n">
        <f aca="false">CHOOSE($G$3,AB51-AC51,AC51-AB51)</f>
        <v>0</v>
      </c>
      <c r="AR51" s="132" t="n">
        <f aca="false">CHOOSE($G$3,AE51-AF51,AF51-AE51)</f>
        <v>0</v>
      </c>
      <c r="AS51" s="132" t="n">
        <f aca="false">CHOOSE($G$3,AH51-AI51,AI51-AH51)</f>
        <v>0</v>
      </c>
      <c r="AT51" s="148" t="n">
        <f aca="false">AQ51+AR51+AS51</f>
        <v>0</v>
      </c>
      <c r="AU51" s="148"/>
      <c r="AV51" s="133" t="n">
        <f aca="false">AT51+AO51</f>
        <v>81156.2983752127</v>
      </c>
      <c r="AX51" s="133" t="n">
        <f aca="false">AJ51+AG51+AD51</f>
        <v>5552614.32060305</v>
      </c>
      <c r="AY51" s="149"/>
      <c r="AZ51" s="76" t="n">
        <f aca="false">R51*E51</f>
        <v>6925060.8</v>
      </c>
    </row>
    <row r="52" customFormat="false" ht="12.75" hidden="false" customHeight="false" outlineLevel="0" collapsed="false">
      <c r="A52" s="138" t="n">
        <f aca="false">EDATE(A51,1)</f>
        <v>38261</v>
      </c>
      <c r="B52" s="139" t="n">
        <f aca="false">VLOOKUP($A52,Table2,MATCH(I$3,Curves2,0))</f>
        <v>60900</v>
      </c>
      <c r="C52" s="140"/>
      <c r="D52" s="141" t="n">
        <f aca="false">B52+C52</f>
        <v>60900</v>
      </c>
      <c r="E52" s="126" t="n">
        <f aca="false">IF(Y52=0,0,IF(AND(Y52=1,$H$3=1),D52*T52,IF($H$3=2,D52,"N/A")))</f>
        <v>1887900</v>
      </c>
      <c r="F52" s="126" t="n">
        <f aca="false">E52*X52</f>
        <v>1506179.46000007</v>
      </c>
      <c r="G52" s="142" t="n">
        <f aca="false">VLOOKUP($A52,Table,MATCH(G$4,Curves,0))</f>
        <v>3.717</v>
      </c>
      <c r="H52" s="143" t="n">
        <f aca="false">G52</f>
        <v>3.717</v>
      </c>
      <c r="I52" s="142" t="n">
        <f aca="false">VLOOKUP($A52,Table1,MATCH(I$3,Curves1,0))</f>
        <v>3.7904</v>
      </c>
      <c r="J52" s="142" t="n">
        <f aca="false">VLOOKUP($A52,Table,MATCH(J$4,Curves,0))</f>
        <v>0.021</v>
      </c>
      <c r="K52" s="143" t="n">
        <f aca="false">J52</f>
        <v>0.021</v>
      </c>
      <c r="L52" s="144" t="n">
        <v>0</v>
      </c>
      <c r="M52" s="142" t="n">
        <f aca="false">VLOOKUP($A52,Table,MATCH(M$4,Curves,0))</f>
        <v>0.015</v>
      </c>
      <c r="N52" s="143" t="n">
        <f aca="false">M52</f>
        <v>0.015</v>
      </c>
      <c r="O52" s="144" t="n">
        <v>0</v>
      </c>
      <c r="P52" s="145"/>
      <c r="Q52" s="144" t="n">
        <f aca="false">M52+J52+G52</f>
        <v>3.753</v>
      </c>
      <c r="R52" s="144" t="n">
        <f aca="false">O52+L52+I52</f>
        <v>3.7904</v>
      </c>
      <c r="S52" s="145"/>
      <c r="T52" s="71" t="n">
        <f aca="false">A53-A52</f>
        <v>31</v>
      </c>
      <c r="U52" s="146" t="n">
        <f aca="false">CHOOSE(F$3,A53+24,A52)</f>
        <v>38316</v>
      </c>
      <c r="V52" s="71" t="n">
        <f aca="false">U52-C$3</f>
        <v>1428</v>
      </c>
      <c r="W52" s="142" t="n">
        <f aca="false">VLOOKUP($A52,Table,MATCH(W$4,Curves,0))</f>
        <v>0.058591058426884</v>
      </c>
      <c r="X52" s="147" t="n">
        <f aca="false">1/(1+CHOOSE(F$3,(W53+($K$3/10000))/2,(W52+($K$3/10000))/2))^(2*V52/365.25)</f>
        <v>0.797806801207727</v>
      </c>
      <c r="Y52" s="71" t="n">
        <f aca="false">IF(AND(mthbeg&lt;=A52,mthend&gt;=A52),1,0)</f>
        <v>1</v>
      </c>
      <c r="Z52" s="71" t="n">
        <f aca="false">T52*Y52</f>
        <v>31</v>
      </c>
      <c r="AB52" s="132" t="n">
        <f aca="false">F52*G52</f>
        <v>5598469.05282025</v>
      </c>
      <c r="AC52" s="132" t="n">
        <f aca="false">$F52*H52</f>
        <v>5598469.05282025</v>
      </c>
      <c r="AD52" s="132" t="n">
        <f aca="false">$F52*I52</f>
        <v>5709022.62518425</v>
      </c>
      <c r="AE52" s="132" t="n">
        <f aca="false">$F52*J52</f>
        <v>31629.7686600014</v>
      </c>
      <c r="AF52" s="132" t="n">
        <f aca="false">$F52*K52</f>
        <v>31629.7686600014</v>
      </c>
      <c r="AG52" s="132" t="n">
        <f aca="false">$F52*L52</f>
        <v>0</v>
      </c>
      <c r="AH52" s="132" t="n">
        <f aca="false">$F52*M52</f>
        <v>22592.691900001</v>
      </c>
      <c r="AI52" s="132" t="n">
        <f aca="false">$F52*N52</f>
        <v>22592.691900001</v>
      </c>
      <c r="AJ52" s="132" t="n">
        <f aca="false">F52*O52</f>
        <v>0</v>
      </c>
      <c r="AK52" s="137"/>
      <c r="AL52" s="132" t="n">
        <f aca="false">CHOOSE($G$3,AC52-AD52,AD52-AC52)</f>
        <v>110553.572364004</v>
      </c>
      <c r="AM52" s="132" t="n">
        <f aca="false">CHOOSE($G$3,AF52-AG52,AG52-AF52)</f>
        <v>-31629.7686600014</v>
      </c>
      <c r="AN52" s="132" t="n">
        <f aca="false">CHOOSE($G$3,AI52-AJ52,AJ52-AI52)</f>
        <v>-22592.691900001</v>
      </c>
      <c r="AO52" s="148" t="n">
        <f aca="false">SUM(AL52:AN52)</f>
        <v>56331.1118040019</v>
      </c>
      <c r="AQ52" s="132" t="n">
        <f aca="false">CHOOSE($G$3,AB52-AC52,AC52-AB52)</f>
        <v>0</v>
      </c>
      <c r="AR52" s="132" t="n">
        <f aca="false">CHOOSE($G$3,AE52-AF52,AF52-AE52)</f>
        <v>0</v>
      </c>
      <c r="AS52" s="132" t="n">
        <f aca="false">CHOOSE($G$3,AH52-AI52,AI52-AH52)</f>
        <v>0</v>
      </c>
      <c r="AT52" s="148" t="n">
        <f aca="false">AQ52+AR52+AS52</f>
        <v>0</v>
      </c>
      <c r="AU52" s="148"/>
      <c r="AV52" s="133" t="n">
        <f aca="false">AT52+AO52</f>
        <v>56331.1118040019</v>
      </c>
      <c r="AX52" s="133" t="n">
        <f aca="false">AJ52+AG52+AD52</f>
        <v>5709022.62518425</v>
      </c>
      <c r="AY52" s="149"/>
      <c r="AZ52" s="76" t="n">
        <f aca="false">R52*E52</f>
        <v>7155896.16</v>
      </c>
    </row>
    <row r="53" customFormat="false" ht="12.75" hidden="false" customHeight="false" outlineLevel="0" collapsed="false">
      <c r="A53" s="138" t="n">
        <f aca="false">EDATE(A52,1)</f>
        <v>38292</v>
      </c>
      <c r="B53" s="139" t="n">
        <f aca="false">VLOOKUP($A53,Table2,MATCH(I$3,Curves2,0))</f>
        <v>60900</v>
      </c>
      <c r="C53" s="140"/>
      <c r="D53" s="141" t="n">
        <f aca="false">B53+C53</f>
        <v>60900</v>
      </c>
      <c r="E53" s="126" t="n">
        <f aca="false">IF(Y53=0,0,IF(AND(Y53=1,$H$3=1),D53*T53,IF($H$3=2,D53,"N/A")))</f>
        <v>1827000</v>
      </c>
      <c r="F53" s="126" t="n">
        <f aca="false">E53*X53</f>
        <v>1450535.40126314</v>
      </c>
      <c r="G53" s="142" t="n">
        <f aca="false">VLOOKUP($A53,Table,MATCH(G$4,Curves,0))</f>
        <v>3.862</v>
      </c>
      <c r="H53" s="143" t="n">
        <f aca="false">G53</f>
        <v>3.862</v>
      </c>
      <c r="I53" s="142" t="n">
        <f aca="false">VLOOKUP($A53,Table1,MATCH(I$3,Curves1,0))</f>
        <v>3.7904</v>
      </c>
      <c r="J53" s="142" t="n">
        <f aca="false">VLOOKUP($A53,Table,MATCH(J$4,Curves,0))</f>
        <v>0.01</v>
      </c>
      <c r="K53" s="143" t="n">
        <f aca="false">J53</f>
        <v>0.01</v>
      </c>
      <c r="L53" s="144" t="n">
        <v>0</v>
      </c>
      <c r="M53" s="142" t="n">
        <f aca="false">VLOOKUP($A53,Table,MATCH(M$4,Curves,0))</f>
        <v>0.015</v>
      </c>
      <c r="N53" s="143" t="n">
        <f aca="false">M53</f>
        <v>0.015</v>
      </c>
      <c r="O53" s="144" t="n">
        <v>0</v>
      </c>
      <c r="P53" s="145"/>
      <c r="Q53" s="144" t="n">
        <f aca="false">M53+J53+G53</f>
        <v>3.887</v>
      </c>
      <c r="R53" s="144" t="n">
        <f aca="false">O53+L53+I53</f>
        <v>3.7904</v>
      </c>
      <c r="S53" s="145"/>
      <c r="T53" s="71" t="n">
        <f aca="false">A54-A53</f>
        <v>30</v>
      </c>
      <c r="U53" s="146" t="n">
        <f aca="false">CHOOSE(F$3,A54+24,A53)</f>
        <v>38346</v>
      </c>
      <c r="V53" s="71" t="n">
        <f aca="false">U53-C$3</f>
        <v>1458</v>
      </c>
      <c r="W53" s="142" t="n">
        <f aca="false">VLOOKUP($A53,Table,MATCH(W$4,Curves,0))</f>
        <v>0.058619880473754</v>
      </c>
      <c r="X53" s="147" t="n">
        <f aca="false">1/(1+CHOOSE(F$3,(W54+($K$3/10000))/2,(W53+($K$3/10000))/2))^(2*V53/365.25)</f>
        <v>0.793943843055903</v>
      </c>
      <c r="Y53" s="71" t="n">
        <f aca="false">IF(AND(mthbeg&lt;=A53,mthend&gt;=A53),1,0)</f>
        <v>1</v>
      </c>
      <c r="Z53" s="71" t="n">
        <f aca="false">T53*Y53</f>
        <v>30</v>
      </c>
      <c r="AB53" s="132" t="n">
        <f aca="false">F53*G53</f>
        <v>5601967.71967823</v>
      </c>
      <c r="AC53" s="132" t="n">
        <f aca="false">$F53*H53</f>
        <v>5601967.71967823</v>
      </c>
      <c r="AD53" s="132" t="n">
        <f aca="false">$F53*I53</f>
        <v>5498109.38494779</v>
      </c>
      <c r="AE53" s="132" t="n">
        <f aca="false">$F53*J53</f>
        <v>14505.3540126314</v>
      </c>
      <c r="AF53" s="132" t="n">
        <f aca="false">$F53*K53</f>
        <v>14505.3540126314</v>
      </c>
      <c r="AG53" s="132" t="n">
        <f aca="false">$F53*L53</f>
        <v>0</v>
      </c>
      <c r="AH53" s="132" t="n">
        <f aca="false">$F53*M53</f>
        <v>21758.031018947</v>
      </c>
      <c r="AI53" s="132" t="n">
        <f aca="false">$F53*N53</f>
        <v>21758.031018947</v>
      </c>
      <c r="AJ53" s="132" t="n">
        <f aca="false">F53*O53</f>
        <v>0</v>
      </c>
      <c r="AK53" s="137"/>
      <c r="AL53" s="132" t="n">
        <f aca="false">CHOOSE($G$3,AC53-AD53,AD53-AC53)</f>
        <v>-103858.334730441</v>
      </c>
      <c r="AM53" s="132" t="n">
        <f aca="false">CHOOSE($G$3,AF53-AG53,AG53-AF53)</f>
        <v>-14505.3540126314</v>
      </c>
      <c r="AN53" s="132" t="n">
        <f aca="false">CHOOSE($G$3,AI53-AJ53,AJ53-AI53)</f>
        <v>-21758.031018947</v>
      </c>
      <c r="AO53" s="148" t="n">
        <f aca="false">SUM(AL53:AN53)</f>
        <v>-140121.719762019</v>
      </c>
      <c r="AQ53" s="132" t="n">
        <f aca="false">CHOOSE($G$3,AB53-AC53,AC53-AB53)</f>
        <v>0</v>
      </c>
      <c r="AR53" s="132" t="n">
        <f aca="false">CHOOSE($G$3,AE53-AF53,AF53-AE53)</f>
        <v>0</v>
      </c>
      <c r="AS53" s="132" t="n">
        <f aca="false">CHOOSE($G$3,AH53-AI53,AI53-AH53)</f>
        <v>0</v>
      </c>
      <c r="AT53" s="148" t="n">
        <f aca="false">AQ53+AR53+AS53</f>
        <v>0</v>
      </c>
      <c r="AU53" s="148"/>
      <c r="AV53" s="133" t="n">
        <f aca="false">AT53+AO53</f>
        <v>-140121.719762019</v>
      </c>
      <c r="AX53" s="133" t="n">
        <f aca="false">AJ53+AG53+AD53</f>
        <v>5498109.38494779</v>
      </c>
      <c r="AY53" s="149"/>
      <c r="AZ53" s="76" t="n">
        <f aca="false">R53*E53</f>
        <v>6925060.8</v>
      </c>
    </row>
    <row r="54" customFormat="false" ht="12.75" hidden="false" customHeight="false" outlineLevel="0" collapsed="false">
      <c r="A54" s="138" t="n">
        <f aca="false">EDATE(A53,1)</f>
        <v>38322</v>
      </c>
      <c r="B54" s="139" t="n">
        <f aca="false">VLOOKUP($A54,Table2,MATCH(I$3,Curves2,0))</f>
        <v>60900</v>
      </c>
      <c r="C54" s="140"/>
      <c r="D54" s="141" t="n">
        <f aca="false">B54+C54</f>
        <v>60900</v>
      </c>
      <c r="E54" s="126" t="n">
        <f aca="false">IF(Y54=0,0,IF(AND(Y54=1,$H$3=1),D54*T54,IF($H$3=2,D54,"N/A")))</f>
        <v>1887900</v>
      </c>
      <c r="F54" s="126" t="n">
        <f aca="false">E54*X54</f>
        <v>1491332.51826928</v>
      </c>
      <c r="G54" s="142" t="n">
        <f aca="false">VLOOKUP($A54,Table,MATCH(G$4,Curves,0))</f>
        <v>3.997</v>
      </c>
      <c r="H54" s="143" t="n">
        <f aca="false">G54</f>
        <v>3.997</v>
      </c>
      <c r="I54" s="142" t="n">
        <f aca="false">VLOOKUP($A54,Table1,MATCH(I$3,Curves1,0))</f>
        <v>3.7904</v>
      </c>
      <c r="J54" s="142" t="n">
        <f aca="false">VLOOKUP($A54,Table,MATCH(J$4,Curves,0))</f>
        <v>0.01</v>
      </c>
      <c r="K54" s="143" t="n">
        <f aca="false">J54</f>
        <v>0.01</v>
      </c>
      <c r="L54" s="144" t="n">
        <v>0</v>
      </c>
      <c r="M54" s="142" t="n">
        <f aca="false">VLOOKUP($A54,Table,MATCH(M$4,Curves,0))</f>
        <v>0.015</v>
      </c>
      <c r="N54" s="143" t="n">
        <f aca="false">M54</f>
        <v>0.015</v>
      </c>
      <c r="O54" s="144" t="n">
        <v>0</v>
      </c>
      <c r="P54" s="145"/>
      <c r="Q54" s="144" t="n">
        <f aca="false">M54+J54+G54</f>
        <v>4.022</v>
      </c>
      <c r="R54" s="144" t="n">
        <f aca="false">O54+L54+I54</f>
        <v>3.7904</v>
      </c>
      <c r="S54" s="145"/>
      <c r="T54" s="71" t="n">
        <f aca="false">A55-A54</f>
        <v>31</v>
      </c>
      <c r="U54" s="146" t="n">
        <f aca="false">CHOOSE(F$3,A55+24,A54)</f>
        <v>38377</v>
      </c>
      <c r="V54" s="71" t="n">
        <f aca="false">U54-C$3</f>
        <v>1489</v>
      </c>
      <c r="W54" s="142" t="n">
        <f aca="false">VLOOKUP($A54,Table,MATCH(W$4,Curves,0))</f>
        <v>0.05864777277744</v>
      </c>
      <c r="X54" s="147" t="n">
        <f aca="false">1/(1+CHOOSE(F$3,(W55+($K$3/10000))/2,(W54+($K$3/10000))/2))^(2*V54/365.25)</f>
        <v>0.789942538412671</v>
      </c>
      <c r="Y54" s="71" t="n">
        <f aca="false">IF(AND(mthbeg&lt;=A54,mthend&gt;=A54),1,0)</f>
        <v>1</v>
      </c>
      <c r="Z54" s="71" t="n">
        <f aca="false">T54*Y54</f>
        <v>31</v>
      </c>
      <c r="AB54" s="132" t="n">
        <f aca="false">F54*G54</f>
        <v>5960856.07552232</v>
      </c>
      <c r="AC54" s="132" t="n">
        <f aca="false">$F54*H54</f>
        <v>5960856.07552232</v>
      </c>
      <c r="AD54" s="132" t="n">
        <f aca="false">$F54*I54</f>
        <v>5652746.77724789</v>
      </c>
      <c r="AE54" s="132" t="n">
        <f aca="false">$F54*J54</f>
        <v>14913.3251826928</v>
      </c>
      <c r="AF54" s="132" t="n">
        <f aca="false">$F54*K54</f>
        <v>14913.3251826928</v>
      </c>
      <c r="AG54" s="132" t="n">
        <f aca="false">$F54*L54</f>
        <v>0</v>
      </c>
      <c r="AH54" s="132" t="n">
        <f aca="false">$F54*M54</f>
        <v>22369.9877740392</v>
      </c>
      <c r="AI54" s="132" t="n">
        <f aca="false">$F54*N54</f>
        <v>22369.9877740392</v>
      </c>
      <c r="AJ54" s="132" t="n">
        <f aca="false">F54*O54</f>
        <v>0</v>
      </c>
      <c r="AK54" s="137"/>
      <c r="AL54" s="132" t="n">
        <f aca="false">CHOOSE($G$3,AC54-AD54,AD54-AC54)</f>
        <v>-308109.298274433</v>
      </c>
      <c r="AM54" s="132" t="n">
        <f aca="false">CHOOSE($G$3,AF54-AG54,AG54-AF54)</f>
        <v>-14913.3251826928</v>
      </c>
      <c r="AN54" s="132" t="n">
        <f aca="false">CHOOSE($G$3,AI54-AJ54,AJ54-AI54)</f>
        <v>-22369.9877740392</v>
      </c>
      <c r="AO54" s="148" t="n">
        <f aca="false">SUM(AL54:AN54)</f>
        <v>-345392.611231165</v>
      </c>
      <c r="AQ54" s="132" t="n">
        <f aca="false">CHOOSE($G$3,AB54-AC54,AC54-AB54)</f>
        <v>0</v>
      </c>
      <c r="AR54" s="132" t="n">
        <f aca="false">CHOOSE($G$3,AE54-AF54,AF54-AE54)</f>
        <v>0</v>
      </c>
      <c r="AS54" s="132" t="n">
        <f aca="false">CHOOSE($G$3,AH54-AI54,AI54-AH54)</f>
        <v>0</v>
      </c>
      <c r="AT54" s="148" t="n">
        <f aca="false">AQ54+AR54+AS54</f>
        <v>0</v>
      </c>
      <c r="AU54" s="148"/>
      <c r="AV54" s="133" t="n">
        <f aca="false">AT54+AO54</f>
        <v>-345392.611231165</v>
      </c>
      <c r="AX54" s="133" t="n">
        <f aca="false">AJ54+AG54+AD54</f>
        <v>5652746.77724789</v>
      </c>
      <c r="AY54" s="149"/>
      <c r="AZ54" s="76" t="n">
        <f aca="false">R54*E54</f>
        <v>7155896.16</v>
      </c>
    </row>
    <row r="55" customFormat="false" ht="12.75" hidden="false" customHeight="false" outlineLevel="0" collapsed="false">
      <c r="A55" s="138" t="n">
        <f aca="false">EDATE(A54,1)</f>
        <v>38353</v>
      </c>
      <c r="B55" s="139" t="n">
        <f aca="false">VLOOKUP($A55,Table2,MATCH(I$3,Curves2,0))</f>
        <v>60900</v>
      </c>
      <c r="C55" s="140"/>
      <c r="D55" s="141" t="n">
        <f aca="false">B55+C55</f>
        <v>60900</v>
      </c>
      <c r="E55" s="126" t="n">
        <f aca="false">IF(Y55=0,0,IF(AND(Y55=1,$H$3=1),D55*T55,IF($H$3=2,D55,"N/A")))</f>
        <v>1887900</v>
      </c>
      <c r="F55" s="126" t="n">
        <f aca="false">E55*X55</f>
        <v>1483767.15653042</v>
      </c>
      <c r="G55" s="142" t="n">
        <f aca="false">VLOOKUP($A55,Table,MATCH(G$4,Curves,0))</f>
        <v>4.122</v>
      </c>
      <c r="H55" s="143" t="n">
        <f aca="false">G55</f>
        <v>4.122</v>
      </c>
      <c r="I55" s="142" t="n">
        <f aca="false">VLOOKUP($A55,Table1,MATCH(I$3,Curves1,0))</f>
        <v>3.7904</v>
      </c>
      <c r="J55" s="142" t="n">
        <f aca="false">VLOOKUP($A55,Table,MATCH(J$4,Curves,0))</f>
        <v>0.01</v>
      </c>
      <c r="K55" s="143" t="n">
        <f aca="false">J55</f>
        <v>0.01</v>
      </c>
      <c r="L55" s="144" t="n">
        <v>0</v>
      </c>
      <c r="M55" s="142" t="n">
        <f aca="false">VLOOKUP($A55,Table,MATCH(M$4,Curves,0))</f>
        <v>0.02</v>
      </c>
      <c r="N55" s="143" t="n">
        <f aca="false">M55</f>
        <v>0.02</v>
      </c>
      <c r="O55" s="144" t="n">
        <v>0</v>
      </c>
      <c r="P55" s="145"/>
      <c r="Q55" s="144" t="n">
        <f aca="false">M55+J55+G55</f>
        <v>4.152</v>
      </c>
      <c r="R55" s="144" t="n">
        <f aca="false">O55+L55+I55</f>
        <v>3.7904</v>
      </c>
      <c r="S55" s="145"/>
      <c r="T55" s="71" t="n">
        <f aca="false">A56-A55</f>
        <v>31</v>
      </c>
      <c r="U55" s="146" t="n">
        <f aca="false">CHOOSE(F$3,A56+24,A55)</f>
        <v>38408</v>
      </c>
      <c r="V55" s="71" t="n">
        <f aca="false">U55-C$3</f>
        <v>1520</v>
      </c>
      <c r="W55" s="142" t="n">
        <f aca="false">VLOOKUP($A55,Table,MATCH(W$4,Curves,0))</f>
        <v>0.058684757331705</v>
      </c>
      <c r="X55" s="147" t="n">
        <f aca="false">1/(1+CHOOSE(F$3,(W56+($K$3/10000))/2,(W55+($K$3/10000))/2))^(2*V55/365.25)</f>
        <v>0.785935248969975</v>
      </c>
      <c r="Y55" s="71" t="n">
        <f aca="false">IF(AND(mthbeg&lt;=A55,mthend&gt;=A55),1,0)</f>
        <v>1</v>
      </c>
      <c r="Z55" s="71" t="n">
        <f aca="false">T55*Y55</f>
        <v>31</v>
      </c>
      <c r="AB55" s="132" t="n">
        <f aca="false">F55*G55</f>
        <v>6116088.21921837</v>
      </c>
      <c r="AC55" s="132" t="n">
        <f aca="false">$F55*H55</f>
        <v>6116088.21921837</v>
      </c>
      <c r="AD55" s="132" t="n">
        <f aca="false">$F55*I55</f>
        <v>5624071.03011289</v>
      </c>
      <c r="AE55" s="132" t="n">
        <f aca="false">$F55*J55</f>
        <v>14837.6715653042</v>
      </c>
      <c r="AF55" s="132" t="n">
        <f aca="false">$F55*K55</f>
        <v>14837.6715653042</v>
      </c>
      <c r="AG55" s="132" t="n">
        <f aca="false">$F55*L55</f>
        <v>0</v>
      </c>
      <c r="AH55" s="132" t="n">
        <f aca="false">$F55*M55</f>
        <v>29675.3431306083</v>
      </c>
      <c r="AI55" s="132" t="n">
        <f aca="false">$F55*N55</f>
        <v>29675.3431306083</v>
      </c>
      <c r="AJ55" s="132" t="n">
        <f aca="false">F55*O55</f>
        <v>0</v>
      </c>
      <c r="AK55" s="137"/>
      <c r="AL55" s="132" t="n">
        <f aca="false">CHOOSE($G$3,AC55-AD55,AD55-AC55)</f>
        <v>-492017.189105486</v>
      </c>
      <c r="AM55" s="132" t="n">
        <f aca="false">CHOOSE($G$3,AF55-AG55,AG55-AF55)</f>
        <v>-14837.6715653042</v>
      </c>
      <c r="AN55" s="132" t="n">
        <f aca="false">CHOOSE($G$3,AI55-AJ55,AJ55-AI55)</f>
        <v>-29675.3431306083</v>
      </c>
      <c r="AO55" s="148" t="n">
        <f aca="false">SUM(AL55:AN55)</f>
        <v>-536530.203801398</v>
      </c>
      <c r="AQ55" s="132" t="n">
        <f aca="false">CHOOSE($G$3,AB55-AC55,AC55-AB55)</f>
        <v>0</v>
      </c>
      <c r="AR55" s="132" t="n">
        <f aca="false">CHOOSE($G$3,AE55-AF55,AF55-AE55)</f>
        <v>0</v>
      </c>
      <c r="AS55" s="132" t="n">
        <f aca="false">CHOOSE($G$3,AH55-AI55,AI55-AH55)</f>
        <v>0</v>
      </c>
      <c r="AT55" s="148" t="n">
        <f aca="false">AQ55+AR55+AS55</f>
        <v>0</v>
      </c>
      <c r="AU55" s="148"/>
      <c r="AV55" s="133" t="n">
        <f aca="false">AT55+AO55</f>
        <v>-536530.203801398</v>
      </c>
      <c r="AX55" s="133" t="n">
        <f aca="false">AJ55+AG55+AD55</f>
        <v>5624071.03011289</v>
      </c>
      <c r="AY55" s="149"/>
      <c r="AZ55" s="76" t="n">
        <f aca="false">R55*E55</f>
        <v>7155896.16</v>
      </c>
    </row>
    <row r="56" customFormat="false" ht="12.75" hidden="false" customHeight="false" outlineLevel="0" collapsed="false">
      <c r="A56" s="138" t="n">
        <f aca="false">EDATE(A55,1)</f>
        <v>38384</v>
      </c>
      <c r="B56" s="139" t="n">
        <f aca="false">VLOOKUP($A56,Table2,MATCH(I$3,Curves2,0))</f>
        <v>60900</v>
      </c>
      <c r="C56" s="140"/>
      <c r="D56" s="141" t="n">
        <f aca="false">B56+C56</f>
        <v>60900</v>
      </c>
      <c r="E56" s="126" t="n">
        <f aca="false">IF(Y56=0,0,IF(AND(Y56=1,$H$3=1),D56*T56,IF($H$3=2,D56,"N/A")))</f>
        <v>1705200</v>
      </c>
      <c r="F56" s="126" t="n">
        <f aca="false">E56*X56</f>
        <v>1334026.37647753</v>
      </c>
      <c r="G56" s="142" t="n">
        <f aca="false">VLOOKUP($A56,Table,MATCH(G$4,Curves,0))</f>
        <v>4.007</v>
      </c>
      <c r="H56" s="143" t="n">
        <f aca="false">G56</f>
        <v>4.007</v>
      </c>
      <c r="I56" s="142" t="n">
        <f aca="false">VLOOKUP($A56,Table1,MATCH(I$3,Curves1,0))</f>
        <v>3.7904</v>
      </c>
      <c r="J56" s="142" t="n">
        <f aca="false">VLOOKUP($A56,Table,MATCH(J$4,Curves,0))</f>
        <v>0.01</v>
      </c>
      <c r="K56" s="143" t="n">
        <f aca="false">J56</f>
        <v>0.01</v>
      </c>
      <c r="L56" s="144" t="n">
        <v>0</v>
      </c>
      <c r="M56" s="142" t="n">
        <f aca="false">VLOOKUP($A56,Table,MATCH(M$4,Curves,0))</f>
        <v>0.02</v>
      </c>
      <c r="N56" s="143" t="n">
        <f aca="false">M56</f>
        <v>0.02</v>
      </c>
      <c r="O56" s="144" t="n">
        <v>0</v>
      </c>
      <c r="P56" s="145"/>
      <c r="Q56" s="144" t="n">
        <f aca="false">M56+J56+G56</f>
        <v>4.037</v>
      </c>
      <c r="R56" s="144" t="n">
        <f aca="false">O56+L56+I56</f>
        <v>3.7904</v>
      </c>
      <c r="S56" s="145"/>
      <c r="T56" s="71" t="n">
        <f aca="false">A57-A56</f>
        <v>28</v>
      </c>
      <c r="U56" s="146" t="n">
        <f aca="false">CHOOSE(F$3,A57+24,A56)</f>
        <v>38436</v>
      </c>
      <c r="V56" s="71" t="n">
        <f aca="false">U56-C$3</f>
        <v>1548</v>
      </c>
      <c r="W56" s="142" t="n">
        <f aca="false">VLOOKUP($A56,Table,MATCH(W$4,Curves,0))</f>
        <v>0.058728463950989</v>
      </c>
      <c r="X56" s="147" t="n">
        <f aca="false">1/(1+CHOOSE(F$3,(W57+($K$3/10000))/2,(W56+($K$3/10000))/2))^(2*V56/365.25)</f>
        <v>0.782328393430408</v>
      </c>
      <c r="Y56" s="71" t="n">
        <f aca="false">IF(AND(mthbeg&lt;=A56,mthend&gt;=A56),1,0)</f>
        <v>1</v>
      </c>
      <c r="Z56" s="71" t="n">
        <f aca="false">T56*Y56</f>
        <v>28</v>
      </c>
      <c r="AB56" s="132" t="n">
        <f aca="false">F56*G56</f>
        <v>5345443.69054547</v>
      </c>
      <c r="AC56" s="132" t="n">
        <f aca="false">$F56*H56</f>
        <v>5345443.69054547</v>
      </c>
      <c r="AD56" s="132" t="n">
        <f aca="false">$F56*I56</f>
        <v>5056493.57740044</v>
      </c>
      <c r="AE56" s="132" t="n">
        <f aca="false">$F56*J56</f>
        <v>13340.2637647753</v>
      </c>
      <c r="AF56" s="132" t="n">
        <f aca="false">$F56*K56</f>
        <v>13340.2637647753</v>
      </c>
      <c r="AG56" s="132" t="n">
        <f aca="false">$F56*L56</f>
        <v>0</v>
      </c>
      <c r="AH56" s="132" t="n">
        <f aca="false">$F56*M56</f>
        <v>26680.5275295506</v>
      </c>
      <c r="AI56" s="132" t="n">
        <f aca="false">$F56*N56</f>
        <v>26680.5275295506</v>
      </c>
      <c r="AJ56" s="132" t="n">
        <f aca="false">F56*O56</f>
        <v>0</v>
      </c>
      <c r="AK56" s="137"/>
      <c r="AL56" s="132" t="n">
        <f aca="false">CHOOSE($G$3,AC56-AD56,AD56-AC56)</f>
        <v>-288950.113145033</v>
      </c>
      <c r="AM56" s="132" t="n">
        <f aca="false">CHOOSE($G$3,AF56-AG56,AG56-AF56)</f>
        <v>-13340.2637647753</v>
      </c>
      <c r="AN56" s="132" t="n">
        <f aca="false">CHOOSE($G$3,AI56-AJ56,AJ56-AI56)</f>
        <v>-26680.5275295506</v>
      </c>
      <c r="AO56" s="148" t="n">
        <f aca="false">SUM(AL56:AN56)</f>
        <v>-328970.904439359</v>
      </c>
      <c r="AQ56" s="132" t="n">
        <f aca="false">CHOOSE($G$3,AB56-AC56,AC56-AB56)</f>
        <v>0</v>
      </c>
      <c r="AR56" s="132" t="n">
        <f aca="false">CHOOSE($G$3,AE56-AF56,AF56-AE56)</f>
        <v>0</v>
      </c>
      <c r="AS56" s="132" t="n">
        <f aca="false">CHOOSE($G$3,AH56-AI56,AI56-AH56)</f>
        <v>0</v>
      </c>
      <c r="AT56" s="148" t="n">
        <f aca="false">AQ56+AR56+AS56</f>
        <v>0</v>
      </c>
      <c r="AU56" s="148"/>
      <c r="AV56" s="133" t="n">
        <f aca="false">AT56+AO56</f>
        <v>-328970.904439359</v>
      </c>
      <c r="AX56" s="133" t="n">
        <f aca="false">AJ56+AG56+AD56</f>
        <v>5056493.57740044</v>
      </c>
      <c r="AY56" s="149"/>
      <c r="AZ56" s="76" t="n">
        <f aca="false">R56*E56</f>
        <v>6463390.08</v>
      </c>
    </row>
    <row r="57" customFormat="false" ht="12.75" hidden="false" customHeight="false" outlineLevel="0" collapsed="false">
      <c r="A57" s="138" t="n">
        <f aca="false">EDATE(A56,1)</f>
        <v>38412</v>
      </c>
      <c r="B57" s="139" t="n">
        <f aca="false">VLOOKUP($A57,Table2,MATCH(I$3,Curves2,0))</f>
        <v>60900</v>
      </c>
      <c r="C57" s="140"/>
      <c r="D57" s="141" t="n">
        <f aca="false">B57+C57</f>
        <v>60900</v>
      </c>
      <c r="E57" s="126" t="n">
        <f aca="false">IF(Y57=0,0,IF(AND(Y57=1,$H$3=1),D57*T57,IF($H$3=2,D57,"N/A")))</f>
        <v>1887900</v>
      </c>
      <c r="F57" s="126" t="n">
        <f aca="false">E57*X57</f>
        <v>1469521.07673921</v>
      </c>
      <c r="G57" s="142" t="n">
        <f aca="false">VLOOKUP($A57,Table,MATCH(G$4,Curves,0))</f>
        <v>3.867</v>
      </c>
      <c r="H57" s="143" t="n">
        <f aca="false">G57</f>
        <v>3.867</v>
      </c>
      <c r="I57" s="142" t="n">
        <f aca="false">VLOOKUP($A57,Table1,MATCH(I$3,Curves1,0))</f>
        <v>3.7904</v>
      </c>
      <c r="J57" s="142" t="n">
        <f aca="false">VLOOKUP($A57,Table,MATCH(J$4,Curves,0))</f>
        <v>0.01</v>
      </c>
      <c r="K57" s="143" t="n">
        <f aca="false">J57</f>
        <v>0.01</v>
      </c>
      <c r="L57" s="144" t="n">
        <v>0</v>
      </c>
      <c r="M57" s="142" t="n">
        <f aca="false">VLOOKUP($A57,Table,MATCH(M$4,Curves,0))</f>
        <v>0.02</v>
      </c>
      <c r="N57" s="143" t="n">
        <f aca="false">M57</f>
        <v>0.02</v>
      </c>
      <c r="O57" s="144" t="n">
        <v>0</v>
      </c>
      <c r="P57" s="145"/>
      <c r="Q57" s="144" t="n">
        <f aca="false">M57+J57+G57</f>
        <v>3.897</v>
      </c>
      <c r="R57" s="144" t="n">
        <f aca="false">O57+L57+I57</f>
        <v>3.7904</v>
      </c>
      <c r="S57" s="145"/>
      <c r="T57" s="71" t="n">
        <f aca="false">A58-A57</f>
        <v>31</v>
      </c>
      <c r="U57" s="146" t="n">
        <f aca="false">CHOOSE(F$3,A58+24,A57)</f>
        <v>38467</v>
      </c>
      <c r="V57" s="71" t="n">
        <f aca="false">U57-C$3</f>
        <v>1579</v>
      </c>
      <c r="W57" s="142" t="n">
        <f aca="false">VLOOKUP($A57,Table,MATCH(W$4,Curves,0))</f>
        <v>0.058767940897985</v>
      </c>
      <c r="X57" s="147" t="n">
        <f aca="false">1/(1+CHOOSE(F$3,(W58+($K$3/10000))/2,(W57+($K$3/10000))/2))^(2*V57/365.25)</f>
        <v>0.778389256178404</v>
      </c>
      <c r="Y57" s="71" t="n">
        <f aca="false">IF(AND(mthbeg&lt;=A57,mthend&gt;=A57),1,0)</f>
        <v>1</v>
      </c>
      <c r="Z57" s="71" t="n">
        <f aca="false">T57*Y57</f>
        <v>31</v>
      </c>
      <c r="AB57" s="132" t="n">
        <f aca="false">F57*G57</f>
        <v>5682638.00375052</v>
      </c>
      <c r="AC57" s="132" t="n">
        <f aca="false">$F57*H57</f>
        <v>5682638.00375052</v>
      </c>
      <c r="AD57" s="132" t="n">
        <f aca="false">$F57*I57</f>
        <v>5570072.6892723</v>
      </c>
      <c r="AE57" s="132" t="n">
        <f aca="false">$F57*J57</f>
        <v>14695.2107673921</v>
      </c>
      <c r="AF57" s="132" t="n">
        <f aca="false">$F57*K57</f>
        <v>14695.2107673921</v>
      </c>
      <c r="AG57" s="132" t="n">
        <f aca="false">$F57*L57</f>
        <v>0</v>
      </c>
      <c r="AH57" s="132" t="n">
        <f aca="false">$F57*M57</f>
        <v>29390.4215347842</v>
      </c>
      <c r="AI57" s="132" t="n">
        <f aca="false">$F57*N57</f>
        <v>29390.4215347842</v>
      </c>
      <c r="AJ57" s="132" t="n">
        <f aca="false">F57*O57</f>
        <v>0</v>
      </c>
      <c r="AK57" s="137"/>
      <c r="AL57" s="132" t="n">
        <f aca="false">CHOOSE($G$3,AC57-AD57,AD57-AC57)</f>
        <v>-112565.314478223</v>
      </c>
      <c r="AM57" s="132" t="n">
        <f aca="false">CHOOSE($G$3,AF57-AG57,AG57-AF57)</f>
        <v>-14695.2107673921</v>
      </c>
      <c r="AN57" s="132" t="n">
        <f aca="false">CHOOSE($G$3,AI57-AJ57,AJ57-AI57)</f>
        <v>-29390.4215347842</v>
      </c>
      <c r="AO57" s="148" t="n">
        <f aca="false">SUM(AL57:AN57)</f>
        <v>-156650.946780399</v>
      </c>
      <c r="AQ57" s="132" t="n">
        <f aca="false">CHOOSE($G$3,AB57-AC57,AC57-AB57)</f>
        <v>0</v>
      </c>
      <c r="AR57" s="132" t="n">
        <f aca="false">CHOOSE($G$3,AE57-AF57,AF57-AE57)</f>
        <v>0</v>
      </c>
      <c r="AS57" s="132" t="n">
        <f aca="false">CHOOSE($G$3,AH57-AI57,AI57-AH57)</f>
        <v>0</v>
      </c>
      <c r="AT57" s="148" t="n">
        <f aca="false">AQ57+AR57+AS57</f>
        <v>0</v>
      </c>
      <c r="AU57" s="148"/>
      <c r="AV57" s="133" t="n">
        <f aca="false">AT57+AO57</f>
        <v>-156650.946780399</v>
      </c>
      <c r="AX57" s="133" t="n">
        <f aca="false">AJ57+AG57+AD57</f>
        <v>5570072.6892723</v>
      </c>
      <c r="AY57" s="149"/>
      <c r="AZ57" s="76" t="n">
        <f aca="false">R57*E57</f>
        <v>7155896.16</v>
      </c>
    </row>
    <row r="58" customFormat="false" ht="12.75" hidden="false" customHeight="false" outlineLevel="0" collapsed="false">
      <c r="A58" s="138" t="n">
        <f aca="false">EDATE(A57,1)</f>
        <v>38443</v>
      </c>
      <c r="B58" s="139" t="n">
        <f aca="false">VLOOKUP($A58,Table2,MATCH(I$3,Curves2,0))</f>
        <v>60900</v>
      </c>
      <c r="C58" s="140"/>
      <c r="D58" s="141" t="n">
        <f aca="false">B58+C58</f>
        <v>60900</v>
      </c>
      <c r="E58" s="126" t="n">
        <f aca="false">IF(Y58=0,0,IF(AND(Y58=1,$H$3=1),D58*T58,IF($H$3=2,D58,"N/A")))</f>
        <v>1827000</v>
      </c>
      <c r="F58" s="126" t="n">
        <f aca="false">E58*X58</f>
        <v>1415239.40368907</v>
      </c>
      <c r="G58" s="142" t="n">
        <f aca="false">VLOOKUP($A58,Table,MATCH(G$4,Curves,0))</f>
        <v>3.672</v>
      </c>
      <c r="H58" s="143" t="n">
        <f aca="false">G58</f>
        <v>3.672</v>
      </c>
      <c r="I58" s="142" t="n">
        <f aca="false">VLOOKUP($A58,Table1,MATCH(I$3,Curves1,0))</f>
        <v>3.7904</v>
      </c>
      <c r="J58" s="142" t="n">
        <f aca="false">VLOOKUP($A58,Table,MATCH(J$4,Curves,0))</f>
        <v>0.021</v>
      </c>
      <c r="K58" s="143" t="n">
        <f aca="false">J58</f>
        <v>0.021</v>
      </c>
      <c r="L58" s="144" t="n">
        <v>0</v>
      </c>
      <c r="M58" s="142" t="n">
        <f aca="false">VLOOKUP($A58,Table,MATCH(M$4,Curves,0))</f>
        <v>0.015</v>
      </c>
      <c r="N58" s="143" t="n">
        <f aca="false">M58</f>
        <v>0.015</v>
      </c>
      <c r="O58" s="144" t="n">
        <v>0</v>
      </c>
      <c r="P58" s="145"/>
      <c r="Q58" s="144" t="n">
        <f aca="false">M58+J58+G58</f>
        <v>3.708</v>
      </c>
      <c r="R58" s="144" t="n">
        <f aca="false">O58+L58+I58</f>
        <v>3.7904</v>
      </c>
      <c r="S58" s="145"/>
      <c r="T58" s="71" t="n">
        <f aca="false">A59-A58</f>
        <v>30</v>
      </c>
      <c r="U58" s="146" t="n">
        <f aca="false">CHOOSE(F$3,A59+24,A58)</f>
        <v>38497</v>
      </c>
      <c r="V58" s="71" t="n">
        <f aca="false">U58-C$3</f>
        <v>1609</v>
      </c>
      <c r="W58" s="142" t="n">
        <f aca="false">VLOOKUP($A58,Table,MATCH(W$4,Curves,0))</f>
        <v>0.058799350228651</v>
      </c>
      <c r="X58" s="147" t="n">
        <f aca="false">1/(1+CHOOSE(F$3,(W59+($K$3/10000))/2,(W58+($K$3/10000))/2))^(2*V58/365.25)</f>
        <v>0.774624742030143</v>
      </c>
      <c r="Y58" s="71" t="n">
        <f aca="false">IF(AND(mthbeg&lt;=A58,mthend&gt;=A58),1,0)</f>
        <v>1</v>
      </c>
      <c r="Z58" s="71" t="n">
        <f aca="false">T58*Y58</f>
        <v>30</v>
      </c>
      <c r="AB58" s="132" t="n">
        <f aca="false">F58*G58</f>
        <v>5196759.09034627</v>
      </c>
      <c r="AC58" s="132" t="n">
        <f aca="false">$F58*H58</f>
        <v>5196759.09034627</v>
      </c>
      <c r="AD58" s="132" t="n">
        <f aca="false">$F58*I58</f>
        <v>5364323.43574306</v>
      </c>
      <c r="AE58" s="132" t="n">
        <f aca="false">$F58*J58</f>
        <v>29720.0274774705</v>
      </c>
      <c r="AF58" s="132" t="n">
        <f aca="false">$F58*K58</f>
        <v>29720.0274774705</v>
      </c>
      <c r="AG58" s="132" t="n">
        <f aca="false">$F58*L58</f>
        <v>0</v>
      </c>
      <c r="AH58" s="132" t="n">
        <f aca="false">$F58*M58</f>
        <v>21228.5910553361</v>
      </c>
      <c r="AI58" s="132" t="n">
        <f aca="false">$F58*N58</f>
        <v>21228.5910553361</v>
      </c>
      <c r="AJ58" s="132" t="n">
        <f aca="false">F58*O58</f>
        <v>0</v>
      </c>
      <c r="AK58" s="137"/>
      <c r="AL58" s="132" t="n">
        <f aca="false">CHOOSE($G$3,AC58-AD58,AD58-AC58)</f>
        <v>167564.345396786</v>
      </c>
      <c r="AM58" s="132" t="n">
        <f aca="false">CHOOSE($G$3,AF58-AG58,AG58-AF58)</f>
        <v>-29720.0274774705</v>
      </c>
      <c r="AN58" s="132" t="n">
        <f aca="false">CHOOSE($G$3,AI58-AJ58,AJ58-AI58)</f>
        <v>-21228.5910553361</v>
      </c>
      <c r="AO58" s="148" t="n">
        <f aca="false">SUM(AL58:AN58)</f>
        <v>116615.726863979</v>
      </c>
      <c r="AQ58" s="132" t="n">
        <f aca="false">CHOOSE($G$3,AB58-AC58,AC58-AB58)</f>
        <v>0</v>
      </c>
      <c r="AR58" s="132" t="n">
        <f aca="false">CHOOSE($G$3,AE58-AF58,AF58-AE58)</f>
        <v>0</v>
      </c>
      <c r="AS58" s="132" t="n">
        <f aca="false">CHOOSE($G$3,AH58-AI58,AI58-AH58)</f>
        <v>0</v>
      </c>
      <c r="AT58" s="148" t="n">
        <f aca="false">AQ58+AR58+AS58</f>
        <v>0</v>
      </c>
      <c r="AU58" s="148"/>
      <c r="AV58" s="133" t="n">
        <f aca="false">AT58+AO58</f>
        <v>116615.726863979</v>
      </c>
      <c r="AX58" s="133" t="n">
        <f aca="false">AJ58+AG58+AD58</f>
        <v>5364323.43574306</v>
      </c>
      <c r="AY58" s="149"/>
      <c r="AZ58" s="76" t="n">
        <f aca="false">R58*E58</f>
        <v>6925060.8</v>
      </c>
    </row>
    <row r="59" customFormat="false" ht="12.75" hidden="false" customHeight="false" outlineLevel="0" collapsed="false">
      <c r="A59" s="138" t="n">
        <f aca="false">EDATE(A58,1)</f>
        <v>38473</v>
      </c>
      <c r="B59" s="139" t="n">
        <f aca="false">VLOOKUP($A59,Table2,MATCH(I$3,Curves2,0))</f>
        <v>60900</v>
      </c>
      <c r="C59" s="140"/>
      <c r="D59" s="141" t="n">
        <f aca="false">B59+C59</f>
        <v>60900</v>
      </c>
      <c r="E59" s="126" t="n">
        <f aca="false">IF(Y59=0,0,IF(AND(Y59=1,$H$3=1),D59*T59,IF($H$3=2,D59,"N/A")))</f>
        <v>1887900</v>
      </c>
      <c r="F59" s="126" t="n">
        <f aca="false">E59*X59</f>
        <v>1455101.20791764</v>
      </c>
      <c r="G59" s="142" t="n">
        <f aca="false">VLOOKUP($A59,Table,MATCH(G$4,Curves,0))</f>
        <v>3.627</v>
      </c>
      <c r="H59" s="143" t="n">
        <f aca="false">G59</f>
        <v>3.627</v>
      </c>
      <c r="I59" s="142" t="n">
        <f aca="false">VLOOKUP($A59,Table1,MATCH(I$3,Curves1,0))</f>
        <v>3.7904</v>
      </c>
      <c r="J59" s="142" t="n">
        <f aca="false">VLOOKUP($A59,Table,MATCH(J$4,Curves,0))</f>
        <v>0.021</v>
      </c>
      <c r="K59" s="143" t="n">
        <f aca="false">J59</f>
        <v>0.021</v>
      </c>
      <c r="L59" s="144" t="n">
        <v>0</v>
      </c>
      <c r="M59" s="142" t="n">
        <f aca="false">VLOOKUP($A59,Table,MATCH(M$4,Curves,0))</f>
        <v>0.015</v>
      </c>
      <c r="N59" s="143" t="n">
        <f aca="false">M59</f>
        <v>0.015</v>
      </c>
      <c r="O59" s="144" t="n">
        <v>0</v>
      </c>
      <c r="P59" s="145"/>
      <c r="Q59" s="144" t="n">
        <f aca="false">M59+J59+G59</f>
        <v>3.663</v>
      </c>
      <c r="R59" s="144" t="n">
        <f aca="false">O59+L59+I59</f>
        <v>3.7904</v>
      </c>
      <c r="S59" s="145"/>
      <c r="T59" s="71" t="n">
        <f aca="false">A60-A59</f>
        <v>31</v>
      </c>
      <c r="U59" s="146" t="n">
        <f aca="false">CHOOSE(F$3,A60+24,A59)</f>
        <v>38528</v>
      </c>
      <c r="V59" s="71" t="n">
        <f aca="false">U59-C$3</f>
        <v>1640</v>
      </c>
      <c r="W59" s="142" t="n">
        <f aca="false">VLOOKUP($A59,Table,MATCH(W$4,Curves,0))</f>
        <v>0.058819945858717</v>
      </c>
      <c r="X59" s="147" t="n">
        <f aca="false">1/(1+CHOOSE(F$3,(W60+($K$3/10000))/2,(W59+($K$3/10000))/2))^(2*V59/365.25)</f>
        <v>0.77075120923653</v>
      </c>
      <c r="Y59" s="71" t="n">
        <f aca="false">IF(AND(mthbeg&lt;=A59,mthend&gt;=A59),1,0)</f>
        <v>1</v>
      </c>
      <c r="Z59" s="71" t="n">
        <f aca="false">T59*Y59</f>
        <v>31</v>
      </c>
      <c r="AB59" s="132" t="n">
        <f aca="false">F59*G59</f>
        <v>5277652.0811173</v>
      </c>
      <c r="AC59" s="132" t="n">
        <f aca="false">$F59*H59</f>
        <v>5277652.0811173</v>
      </c>
      <c r="AD59" s="132" t="n">
        <f aca="false">$F59*I59</f>
        <v>5515415.61849104</v>
      </c>
      <c r="AE59" s="132" t="n">
        <f aca="false">$F59*J59</f>
        <v>30557.1253662705</v>
      </c>
      <c r="AF59" s="132" t="n">
        <f aca="false">$F59*K59</f>
        <v>30557.1253662705</v>
      </c>
      <c r="AG59" s="132" t="n">
        <f aca="false">$F59*L59</f>
        <v>0</v>
      </c>
      <c r="AH59" s="132" t="n">
        <f aca="false">$F59*M59</f>
        <v>21826.5181187647</v>
      </c>
      <c r="AI59" s="132" t="n">
        <f aca="false">$F59*N59</f>
        <v>21826.5181187647</v>
      </c>
      <c r="AJ59" s="132" t="n">
        <f aca="false">F59*O59</f>
        <v>0</v>
      </c>
      <c r="AK59" s="137"/>
      <c r="AL59" s="132" t="n">
        <f aca="false">CHOOSE($G$3,AC59-AD59,AD59-AC59)</f>
        <v>237763.537373744</v>
      </c>
      <c r="AM59" s="132" t="n">
        <f aca="false">CHOOSE($G$3,AF59-AG59,AG59-AF59)</f>
        <v>-30557.1253662705</v>
      </c>
      <c r="AN59" s="132" t="n">
        <f aca="false">CHOOSE($G$3,AI59-AJ59,AJ59-AI59)</f>
        <v>-21826.5181187647</v>
      </c>
      <c r="AO59" s="148" t="n">
        <f aca="false">SUM(AL59:AN59)</f>
        <v>185379.893888709</v>
      </c>
      <c r="AQ59" s="132" t="n">
        <f aca="false">CHOOSE($G$3,AB59-AC59,AC59-AB59)</f>
        <v>0</v>
      </c>
      <c r="AR59" s="132" t="n">
        <f aca="false">CHOOSE($G$3,AE59-AF59,AF59-AE59)</f>
        <v>0</v>
      </c>
      <c r="AS59" s="132" t="n">
        <f aca="false">CHOOSE($G$3,AH59-AI59,AI59-AH59)</f>
        <v>0</v>
      </c>
      <c r="AT59" s="148" t="n">
        <f aca="false">AQ59+AR59+AS59</f>
        <v>0</v>
      </c>
      <c r="AU59" s="148"/>
      <c r="AV59" s="133" t="n">
        <f aca="false">AT59+AO59</f>
        <v>185379.893888709</v>
      </c>
      <c r="AX59" s="133" t="n">
        <f aca="false">AJ59+AG59+AD59</f>
        <v>5515415.61849104</v>
      </c>
      <c r="AY59" s="149"/>
      <c r="AZ59" s="76" t="n">
        <f aca="false">R59*E59</f>
        <v>7155896.16</v>
      </c>
    </row>
    <row r="60" customFormat="false" ht="12.75" hidden="false" customHeight="false" outlineLevel="0" collapsed="false">
      <c r="A60" s="138" t="n">
        <f aca="false">EDATE(A59,1)</f>
        <v>38504</v>
      </c>
      <c r="B60" s="139" t="n">
        <f aca="false">VLOOKUP($A60,Table2,MATCH(I$3,Curves2,0))</f>
        <v>60900</v>
      </c>
      <c r="C60" s="140"/>
      <c r="D60" s="141" t="n">
        <f aca="false">B60+C60</f>
        <v>60900</v>
      </c>
      <c r="E60" s="126" t="n">
        <f aca="false">IF(Y60=0,0,IF(AND(Y60=1,$H$3=1),D60*T60,IF($H$3=2,D60,"N/A")))</f>
        <v>1827000</v>
      </c>
      <c r="F60" s="126" t="n">
        <f aca="false">E60*X60</f>
        <v>1401342.81862712</v>
      </c>
      <c r="G60" s="142" t="n">
        <f aca="false">VLOOKUP($A60,Table,MATCH(G$4,Curves,0))</f>
        <v>3.647</v>
      </c>
      <c r="H60" s="143" t="n">
        <f aca="false">G60</f>
        <v>3.647</v>
      </c>
      <c r="I60" s="142" t="n">
        <f aca="false">VLOOKUP($A60,Table1,MATCH(I$3,Curves1,0))</f>
        <v>3.7904</v>
      </c>
      <c r="J60" s="142" t="n">
        <f aca="false">VLOOKUP($A60,Table,MATCH(J$4,Curves,0))</f>
        <v>0.021</v>
      </c>
      <c r="K60" s="143" t="n">
        <f aca="false">J60</f>
        <v>0.021</v>
      </c>
      <c r="L60" s="144" t="n">
        <v>0</v>
      </c>
      <c r="M60" s="142" t="n">
        <f aca="false">VLOOKUP($A60,Table,MATCH(M$4,Curves,0))</f>
        <v>0.015</v>
      </c>
      <c r="N60" s="143" t="n">
        <f aca="false">M60</f>
        <v>0.015</v>
      </c>
      <c r="O60" s="144" t="n">
        <v>0</v>
      </c>
      <c r="P60" s="145"/>
      <c r="Q60" s="144" t="n">
        <f aca="false">M60+J60+G60</f>
        <v>3.683</v>
      </c>
      <c r="R60" s="144" t="n">
        <f aca="false">O60+L60+I60</f>
        <v>3.7904</v>
      </c>
      <c r="S60" s="145"/>
      <c r="T60" s="71" t="n">
        <f aca="false">A61-A60</f>
        <v>30</v>
      </c>
      <c r="U60" s="146" t="n">
        <f aca="false">CHOOSE(F$3,A61+24,A60)</f>
        <v>38558</v>
      </c>
      <c r="V60" s="71" t="n">
        <f aca="false">U60-C$3</f>
        <v>1670</v>
      </c>
      <c r="W60" s="142" t="n">
        <f aca="false">VLOOKUP($A60,Table,MATCH(W$4,Curves,0))</f>
        <v>0.058841228009932</v>
      </c>
      <c r="X60" s="147" t="n">
        <f aca="false">1/(1+CHOOSE(F$3,(W61+($K$3/10000))/2,(W60+($K$3/10000))/2))^(2*V60/365.25)</f>
        <v>0.767018510469143</v>
      </c>
      <c r="Y60" s="71" t="n">
        <f aca="false">IF(AND(mthbeg&lt;=A60,mthend&gt;=A60),1,0)</f>
        <v>1</v>
      </c>
      <c r="Z60" s="71" t="n">
        <f aca="false">T60*Y60</f>
        <v>30</v>
      </c>
      <c r="AB60" s="132" t="n">
        <f aca="false">F60*G60</f>
        <v>5110697.25953312</v>
      </c>
      <c r="AC60" s="132" t="n">
        <f aca="false">$F60*H60</f>
        <v>5110697.25953312</v>
      </c>
      <c r="AD60" s="132" t="n">
        <f aca="false">$F60*I60</f>
        <v>5311649.81972425</v>
      </c>
      <c r="AE60" s="132" t="n">
        <f aca="false">$F60*J60</f>
        <v>29428.1991911696</v>
      </c>
      <c r="AF60" s="132" t="n">
        <f aca="false">$F60*K60</f>
        <v>29428.1991911696</v>
      </c>
      <c r="AG60" s="132" t="n">
        <f aca="false">$F60*L60</f>
        <v>0</v>
      </c>
      <c r="AH60" s="132" t="n">
        <f aca="false">$F60*M60</f>
        <v>21020.1422794069</v>
      </c>
      <c r="AI60" s="132" t="n">
        <f aca="false">$F60*N60</f>
        <v>21020.1422794069</v>
      </c>
      <c r="AJ60" s="132" t="n">
        <f aca="false">F60*O60</f>
        <v>0</v>
      </c>
      <c r="AK60" s="137"/>
      <c r="AL60" s="132" t="n">
        <f aca="false">CHOOSE($G$3,AC60-AD60,AD60-AC60)</f>
        <v>200952.56019113</v>
      </c>
      <c r="AM60" s="132" t="n">
        <f aca="false">CHOOSE($G$3,AF60-AG60,AG60-AF60)</f>
        <v>-29428.1991911696</v>
      </c>
      <c r="AN60" s="132" t="n">
        <f aca="false">CHOOSE($G$3,AI60-AJ60,AJ60-AI60)</f>
        <v>-21020.1422794069</v>
      </c>
      <c r="AO60" s="148" t="n">
        <f aca="false">SUM(AL60:AN60)</f>
        <v>150504.218720554</v>
      </c>
      <c r="AQ60" s="132" t="n">
        <f aca="false">CHOOSE($G$3,AB60-AC60,AC60-AB60)</f>
        <v>0</v>
      </c>
      <c r="AR60" s="132" t="n">
        <f aca="false">CHOOSE($G$3,AE60-AF60,AF60-AE60)</f>
        <v>0</v>
      </c>
      <c r="AS60" s="132" t="n">
        <f aca="false">CHOOSE($G$3,AH60-AI60,AI60-AH60)</f>
        <v>0</v>
      </c>
      <c r="AT60" s="148" t="n">
        <f aca="false">AQ60+AR60+AS60</f>
        <v>0</v>
      </c>
      <c r="AU60" s="148"/>
      <c r="AV60" s="133" t="n">
        <f aca="false">AT60+AO60</f>
        <v>150504.218720554</v>
      </c>
      <c r="AX60" s="133" t="n">
        <f aca="false">AJ60+AG60+AD60</f>
        <v>5311649.81972425</v>
      </c>
      <c r="AY60" s="149"/>
      <c r="AZ60" s="76" t="n">
        <f aca="false">R60*E60</f>
        <v>6925060.8</v>
      </c>
    </row>
    <row r="61" customFormat="false" ht="12.75" hidden="false" customHeight="false" outlineLevel="0" collapsed="false">
      <c r="A61" s="138" t="n">
        <f aca="false">EDATE(A60,1)</f>
        <v>38534</v>
      </c>
      <c r="B61" s="139" t="n">
        <f aca="false">VLOOKUP($A61,Table2,MATCH(I$3,Curves2,0))</f>
        <v>60900</v>
      </c>
      <c r="C61" s="140"/>
      <c r="D61" s="141" t="n">
        <f aca="false">B61+C61</f>
        <v>60900</v>
      </c>
      <c r="E61" s="126" t="n">
        <f aca="false">IF(Y61=0,0,IF(AND(Y61=1,$H$3=1),D61*T61,IF($H$3=2,D61,"N/A")))</f>
        <v>1887900</v>
      </c>
      <c r="F61" s="126" t="n">
        <f aca="false">E61*X61</f>
        <v>1440803.26331731</v>
      </c>
      <c r="G61" s="142" t="n">
        <f aca="false">VLOOKUP($A61,Table,MATCH(G$4,Curves,0))</f>
        <v>3.662</v>
      </c>
      <c r="H61" s="143" t="n">
        <f aca="false">G61</f>
        <v>3.662</v>
      </c>
      <c r="I61" s="142" t="n">
        <f aca="false">VLOOKUP($A61,Table1,MATCH(I$3,Curves1,0))</f>
        <v>3.7904</v>
      </c>
      <c r="J61" s="142" t="n">
        <f aca="false">VLOOKUP($A61,Table,MATCH(J$4,Curves,0))</f>
        <v>0.021</v>
      </c>
      <c r="K61" s="143" t="n">
        <f aca="false">J61</f>
        <v>0.021</v>
      </c>
      <c r="L61" s="144" t="n">
        <v>0</v>
      </c>
      <c r="M61" s="142" t="n">
        <f aca="false">VLOOKUP($A61,Table,MATCH(M$4,Curves,0))</f>
        <v>0.015</v>
      </c>
      <c r="N61" s="143" t="n">
        <f aca="false">M61</f>
        <v>0.015</v>
      </c>
      <c r="O61" s="144" t="n">
        <v>0</v>
      </c>
      <c r="P61" s="145"/>
      <c r="Q61" s="144" t="n">
        <f aca="false">M61+J61+G61</f>
        <v>3.698</v>
      </c>
      <c r="R61" s="144" t="n">
        <f aca="false">O61+L61+I61</f>
        <v>3.7904</v>
      </c>
      <c r="S61" s="145"/>
      <c r="T61" s="71" t="n">
        <f aca="false">A62-A61</f>
        <v>31</v>
      </c>
      <c r="U61" s="146" t="n">
        <f aca="false">CHOOSE(F$3,A62+24,A61)</f>
        <v>38589</v>
      </c>
      <c r="V61" s="71" t="n">
        <f aca="false">U61-C$3</f>
        <v>1701</v>
      </c>
      <c r="W61" s="142" t="n">
        <f aca="false">VLOOKUP($A61,Table,MATCH(W$4,Curves,0))</f>
        <v>0.058861823640284</v>
      </c>
      <c r="X61" s="147" t="n">
        <f aca="false">1/(1+CHOOSE(F$3,(W62+($K$3/10000))/2,(W61+($K$3/10000))/2))^(2*V61/365.25)</f>
        <v>0.763177744222314</v>
      </c>
      <c r="Y61" s="71" t="n">
        <f aca="false">IF(AND(mthbeg&lt;=A61,mthend&gt;=A61),1,0)</f>
        <v>1</v>
      </c>
      <c r="Z61" s="71" t="n">
        <f aca="false">T61*Y61</f>
        <v>31</v>
      </c>
      <c r="AB61" s="132" t="n">
        <f aca="false">F61*G61</f>
        <v>5276221.55026798</v>
      </c>
      <c r="AC61" s="132" t="n">
        <f aca="false">$F61*H61</f>
        <v>5276221.55026798</v>
      </c>
      <c r="AD61" s="132" t="n">
        <f aca="false">$F61*I61</f>
        <v>5461220.68927792</v>
      </c>
      <c r="AE61" s="132" t="n">
        <f aca="false">$F61*J61</f>
        <v>30256.8685296635</v>
      </c>
      <c r="AF61" s="132" t="n">
        <f aca="false">$F61*K61</f>
        <v>30256.8685296635</v>
      </c>
      <c r="AG61" s="132" t="n">
        <f aca="false">$F61*L61</f>
        <v>0</v>
      </c>
      <c r="AH61" s="132" t="n">
        <f aca="false">$F61*M61</f>
        <v>21612.0489497596</v>
      </c>
      <c r="AI61" s="132" t="n">
        <f aca="false">$F61*N61</f>
        <v>21612.0489497596</v>
      </c>
      <c r="AJ61" s="132" t="n">
        <f aca="false">F61*O61</f>
        <v>0</v>
      </c>
      <c r="AK61" s="137"/>
      <c r="AL61" s="132" t="n">
        <f aca="false">CHOOSE($G$3,AC61-AD61,AD61-AC61)</f>
        <v>184999.139009942</v>
      </c>
      <c r="AM61" s="132" t="n">
        <f aca="false">CHOOSE($G$3,AF61-AG61,AG61-AF61)</f>
        <v>-30256.8685296635</v>
      </c>
      <c r="AN61" s="132" t="n">
        <f aca="false">CHOOSE($G$3,AI61-AJ61,AJ61-AI61)</f>
        <v>-21612.0489497596</v>
      </c>
      <c r="AO61" s="148" t="n">
        <f aca="false">SUM(AL61:AN61)</f>
        <v>133130.221530519</v>
      </c>
      <c r="AQ61" s="132" t="n">
        <f aca="false">CHOOSE($G$3,AB61-AC61,AC61-AB61)</f>
        <v>0</v>
      </c>
      <c r="AR61" s="132" t="n">
        <f aca="false">CHOOSE($G$3,AE61-AF61,AF61-AE61)</f>
        <v>0</v>
      </c>
      <c r="AS61" s="132" t="n">
        <f aca="false">CHOOSE($G$3,AH61-AI61,AI61-AH61)</f>
        <v>0</v>
      </c>
      <c r="AT61" s="148" t="n">
        <f aca="false">AQ61+AR61+AS61</f>
        <v>0</v>
      </c>
      <c r="AU61" s="148"/>
      <c r="AV61" s="133" t="n">
        <f aca="false">AT61+AO61</f>
        <v>133130.221530519</v>
      </c>
      <c r="AX61" s="133" t="n">
        <f aca="false">AJ61+AG61+AD61</f>
        <v>5461220.68927792</v>
      </c>
      <c r="AY61" s="149"/>
      <c r="AZ61" s="76" t="n">
        <f aca="false">R61*E61</f>
        <v>7155896.16</v>
      </c>
    </row>
    <row r="62" customFormat="false" ht="12.75" hidden="false" customHeight="false" outlineLevel="0" collapsed="false">
      <c r="A62" s="138" t="n">
        <f aca="false">EDATE(A61,1)</f>
        <v>38565</v>
      </c>
      <c r="B62" s="139" t="n">
        <f aca="false">VLOOKUP($A62,Table2,MATCH(I$3,Curves2,0))</f>
        <v>60900</v>
      </c>
      <c r="C62" s="140"/>
      <c r="D62" s="141" t="n">
        <f aca="false">B62+C62</f>
        <v>60900</v>
      </c>
      <c r="E62" s="126" t="n">
        <f aca="false">IF(Y62=0,0,IF(AND(Y62=1,$H$3=1),D62*T62,IF($H$3=2,D62,"N/A")))</f>
        <v>1887900</v>
      </c>
      <c r="F62" s="126" t="n">
        <f aca="false">E62*X62</f>
        <v>1433583.55987126</v>
      </c>
      <c r="G62" s="142" t="n">
        <f aca="false">VLOOKUP($A62,Table,MATCH(G$4,Curves,0))</f>
        <v>3.672</v>
      </c>
      <c r="H62" s="143" t="n">
        <f aca="false">G62</f>
        <v>3.672</v>
      </c>
      <c r="I62" s="142" t="n">
        <f aca="false">VLOOKUP($A62,Table1,MATCH(I$3,Curves1,0))</f>
        <v>3.7904</v>
      </c>
      <c r="J62" s="142" t="n">
        <f aca="false">VLOOKUP($A62,Table,MATCH(J$4,Curves,0))</f>
        <v>0.021</v>
      </c>
      <c r="K62" s="143" t="n">
        <f aca="false">J62</f>
        <v>0.021</v>
      </c>
      <c r="L62" s="144" t="n">
        <v>0</v>
      </c>
      <c r="M62" s="142" t="n">
        <f aca="false">VLOOKUP($A62,Table,MATCH(M$4,Curves,0))</f>
        <v>0.015</v>
      </c>
      <c r="N62" s="143" t="n">
        <f aca="false">M62</f>
        <v>0.015</v>
      </c>
      <c r="O62" s="144" t="n">
        <v>0</v>
      </c>
      <c r="P62" s="145"/>
      <c r="Q62" s="144" t="n">
        <f aca="false">M62+J62+G62</f>
        <v>3.708</v>
      </c>
      <c r="R62" s="144" t="n">
        <f aca="false">O62+L62+I62</f>
        <v>3.7904</v>
      </c>
      <c r="S62" s="145"/>
      <c r="T62" s="71" t="n">
        <f aca="false">A63-A62</f>
        <v>31</v>
      </c>
      <c r="U62" s="146" t="n">
        <f aca="false">CHOOSE(F$3,A63+24,A62)</f>
        <v>38620</v>
      </c>
      <c r="V62" s="71" t="n">
        <f aca="false">U62-C$3</f>
        <v>1732</v>
      </c>
      <c r="W62" s="142" t="n">
        <f aca="false">VLOOKUP($A62,Table,MATCH(W$4,Curves,0))</f>
        <v>0.058883105791796</v>
      </c>
      <c r="X62" s="147" t="n">
        <f aca="false">1/(1+CHOOSE(F$3,(W63+($K$3/10000))/2,(W62+($K$3/10000))/2))^(2*V62/365.25)</f>
        <v>0.759353546200148</v>
      </c>
      <c r="Y62" s="71" t="n">
        <f aca="false">IF(AND(mthbeg&lt;=A62,mthend&gt;=A62),1,0)</f>
        <v>1</v>
      </c>
      <c r="Z62" s="71" t="n">
        <f aca="false">T62*Y62</f>
        <v>31</v>
      </c>
      <c r="AB62" s="132" t="n">
        <f aca="false">F62*G62</f>
        <v>5264118.83184726</v>
      </c>
      <c r="AC62" s="132" t="n">
        <f aca="false">$F62*H62</f>
        <v>5264118.83184726</v>
      </c>
      <c r="AD62" s="132" t="n">
        <f aca="false">$F62*I62</f>
        <v>5433855.12533602</v>
      </c>
      <c r="AE62" s="132" t="n">
        <f aca="false">$F62*J62</f>
        <v>30105.2547572965</v>
      </c>
      <c r="AF62" s="132" t="n">
        <f aca="false">$F62*K62</f>
        <v>30105.2547572965</v>
      </c>
      <c r="AG62" s="132" t="n">
        <f aca="false">$F62*L62</f>
        <v>0</v>
      </c>
      <c r="AH62" s="132" t="n">
        <f aca="false">$F62*M62</f>
        <v>21503.7533980689</v>
      </c>
      <c r="AI62" s="132" t="n">
        <f aca="false">$F62*N62</f>
        <v>21503.7533980689</v>
      </c>
      <c r="AJ62" s="132" t="n">
        <f aca="false">F62*O62</f>
        <v>0</v>
      </c>
      <c r="AK62" s="137"/>
      <c r="AL62" s="132" t="n">
        <f aca="false">CHOOSE($G$3,AC62-AD62,AD62-AC62)</f>
        <v>169736.293488757</v>
      </c>
      <c r="AM62" s="132" t="n">
        <f aca="false">CHOOSE($G$3,AF62-AG62,AG62-AF62)</f>
        <v>-30105.2547572965</v>
      </c>
      <c r="AN62" s="132" t="n">
        <f aca="false">CHOOSE($G$3,AI62-AJ62,AJ62-AI62)</f>
        <v>-21503.7533980689</v>
      </c>
      <c r="AO62" s="148" t="n">
        <f aca="false">SUM(AL62:AN62)</f>
        <v>118127.285333391</v>
      </c>
      <c r="AQ62" s="132" t="n">
        <f aca="false">CHOOSE($G$3,AB62-AC62,AC62-AB62)</f>
        <v>0</v>
      </c>
      <c r="AR62" s="132" t="n">
        <f aca="false">CHOOSE($G$3,AE62-AF62,AF62-AE62)</f>
        <v>0</v>
      </c>
      <c r="AS62" s="132" t="n">
        <f aca="false">CHOOSE($G$3,AH62-AI62,AI62-AH62)</f>
        <v>0</v>
      </c>
      <c r="AT62" s="148" t="n">
        <f aca="false">AQ62+AR62+AS62</f>
        <v>0</v>
      </c>
      <c r="AU62" s="148"/>
      <c r="AV62" s="133" t="n">
        <f aca="false">AT62+AO62</f>
        <v>118127.285333391</v>
      </c>
      <c r="AX62" s="133" t="n">
        <f aca="false">AJ62+AG62+AD62</f>
        <v>5433855.12533602</v>
      </c>
      <c r="AY62" s="149"/>
      <c r="AZ62" s="76" t="n">
        <f aca="false">R62*E62</f>
        <v>7155896.16</v>
      </c>
    </row>
    <row r="63" customFormat="false" ht="12.75" hidden="false" customHeight="false" outlineLevel="0" collapsed="false">
      <c r="A63" s="138" t="n">
        <f aca="false">EDATE(A62,1)</f>
        <v>38596</v>
      </c>
      <c r="B63" s="139" t="n">
        <f aca="false">VLOOKUP($A63,Table2,MATCH(I$3,Curves2,0))</f>
        <v>60900</v>
      </c>
      <c r="C63" s="140"/>
      <c r="D63" s="141" t="n">
        <f aca="false">B63+C63</f>
        <v>60900</v>
      </c>
      <c r="E63" s="126" t="n">
        <f aca="false">IF(Y63=0,0,IF(AND(Y63=1,$H$3=1),D63*T63,IF($H$3=2,D63,"N/A")))</f>
        <v>1827000</v>
      </c>
      <c r="F63" s="126" t="n">
        <f aca="false">E63*X63</f>
        <v>1380606.22455439</v>
      </c>
      <c r="G63" s="142" t="n">
        <f aca="false">VLOOKUP($A63,Table,MATCH(G$4,Curves,0))</f>
        <v>3.689</v>
      </c>
      <c r="H63" s="143" t="n">
        <f aca="false">G63</f>
        <v>3.689</v>
      </c>
      <c r="I63" s="142" t="n">
        <f aca="false">VLOOKUP($A63,Table1,MATCH(I$3,Curves1,0))</f>
        <v>3.7904</v>
      </c>
      <c r="J63" s="142" t="n">
        <f aca="false">VLOOKUP($A63,Table,MATCH(J$4,Curves,0))</f>
        <v>0.021</v>
      </c>
      <c r="K63" s="143" t="n">
        <f aca="false">J63</f>
        <v>0.021</v>
      </c>
      <c r="L63" s="144" t="n">
        <v>0</v>
      </c>
      <c r="M63" s="142" t="n">
        <f aca="false">VLOOKUP($A63,Table,MATCH(M$4,Curves,0))</f>
        <v>0.015</v>
      </c>
      <c r="N63" s="143" t="n">
        <f aca="false">M63</f>
        <v>0.015</v>
      </c>
      <c r="O63" s="144" t="n">
        <v>0</v>
      </c>
      <c r="P63" s="145"/>
      <c r="Q63" s="144" t="n">
        <f aca="false">M63+J63+G63</f>
        <v>3.725</v>
      </c>
      <c r="R63" s="144" t="n">
        <f aca="false">O63+L63+I63</f>
        <v>3.7904</v>
      </c>
      <c r="S63" s="145"/>
      <c r="T63" s="71" t="n">
        <f aca="false">A64-A63</f>
        <v>30</v>
      </c>
      <c r="U63" s="146" t="n">
        <f aca="false">CHOOSE(F$3,A64+24,A63)</f>
        <v>38650</v>
      </c>
      <c r="V63" s="71" t="n">
        <f aca="false">U63-C$3</f>
        <v>1762</v>
      </c>
      <c r="W63" s="142" t="n">
        <f aca="false">VLOOKUP($A63,Table,MATCH(W$4,Curves,0))</f>
        <v>0.058904387943459</v>
      </c>
      <c r="X63" s="147" t="n">
        <f aca="false">1/(1+CHOOSE(F$3,(W64+($K$3/10000))/2,(W63+($K$3/10000))/2))^(2*V63/365.25)</f>
        <v>0.755668431611598</v>
      </c>
      <c r="Y63" s="71" t="n">
        <f aca="false">IF(AND(mthbeg&lt;=A63,mthend&gt;=A63),1,0)</f>
        <v>1</v>
      </c>
      <c r="Z63" s="71" t="n">
        <f aca="false">T63*Y63</f>
        <v>30</v>
      </c>
      <c r="AB63" s="132" t="n">
        <f aca="false">F63*G63</f>
        <v>5093056.36238115</v>
      </c>
      <c r="AC63" s="132" t="n">
        <f aca="false">$F63*H63</f>
        <v>5093056.36238115</v>
      </c>
      <c r="AD63" s="132" t="n">
        <f aca="false">$F63*I63</f>
        <v>5233049.83355096</v>
      </c>
      <c r="AE63" s="132" t="n">
        <f aca="false">$F63*J63</f>
        <v>28992.7307156422</v>
      </c>
      <c r="AF63" s="132" t="n">
        <f aca="false">$F63*K63</f>
        <v>28992.7307156422</v>
      </c>
      <c r="AG63" s="132" t="n">
        <f aca="false">$F63*L63</f>
        <v>0</v>
      </c>
      <c r="AH63" s="132" t="n">
        <f aca="false">$F63*M63</f>
        <v>20709.0933683159</v>
      </c>
      <c r="AI63" s="132" t="n">
        <f aca="false">$F63*N63</f>
        <v>20709.0933683159</v>
      </c>
      <c r="AJ63" s="132" t="n">
        <f aca="false">F63*O63</f>
        <v>0</v>
      </c>
      <c r="AK63" s="137"/>
      <c r="AL63" s="132" t="n">
        <f aca="false">CHOOSE($G$3,AC63-AD63,AD63-AC63)</f>
        <v>139993.471169814</v>
      </c>
      <c r="AM63" s="132" t="n">
        <f aca="false">CHOOSE($G$3,AF63-AG63,AG63-AF63)</f>
        <v>-28992.7307156422</v>
      </c>
      <c r="AN63" s="132" t="n">
        <f aca="false">CHOOSE($G$3,AI63-AJ63,AJ63-AI63)</f>
        <v>-20709.0933683159</v>
      </c>
      <c r="AO63" s="148" t="n">
        <f aca="false">SUM(AL63:AN63)</f>
        <v>90291.6470858564</v>
      </c>
      <c r="AQ63" s="132" t="n">
        <f aca="false">CHOOSE($G$3,AB63-AC63,AC63-AB63)</f>
        <v>0</v>
      </c>
      <c r="AR63" s="132" t="n">
        <f aca="false">CHOOSE($G$3,AE63-AF63,AF63-AE63)</f>
        <v>0</v>
      </c>
      <c r="AS63" s="132" t="n">
        <f aca="false">CHOOSE($G$3,AH63-AI63,AI63-AH63)</f>
        <v>0</v>
      </c>
      <c r="AT63" s="148" t="n">
        <f aca="false">AQ63+AR63+AS63</f>
        <v>0</v>
      </c>
      <c r="AU63" s="148"/>
      <c r="AV63" s="133" t="n">
        <f aca="false">AT63+AO63</f>
        <v>90291.6470858564</v>
      </c>
      <c r="AX63" s="133" t="n">
        <f aca="false">AJ63+AG63+AD63</f>
        <v>5233049.83355096</v>
      </c>
      <c r="AY63" s="149"/>
      <c r="AZ63" s="76" t="n">
        <f aca="false">R63*E63</f>
        <v>6925060.8</v>
      </c>
    </row>
    <row r="64" customFormat="false" ht="12.75" hidden="false" customHeight="false" outlineLevel="0" collapsed="false">
      <c r="A64" s="138" t="n">
        <f aca="false">EDATE(A63,1)</f>
        <v>38626</v>
      </c>
      <c r="B64" s="139" t="n">
        <f aca="false">VLOOKUP($A64,Table2,MATCH(I$3,Curves2,0))</f>
        <v>60900</v>
      </c>
      <c r="C64" s="140"/>
      <c r="D64" s="141" t="n">
        <f aca="false">B64+C64</f>
        <v>60900</v>
      </c>
      <c r="E64" s="126" t="n">
        <f aca="false">IF(Y64=0,0,IF(AND(Y64=1,$H$3=1),D64*T64,IF($H$3=2,D64,"N/A")))</f>
        <v>1887900</v>
      </c>
      <c r="F64" s="126" t="n">
        <f aca="false">E64*X64</f>
        <v>1419467.9682009</v>
      </c>
      <c r="G64" s="142" t="n">
        <f aca="false">VLOOKUP($A64,Table,MATCH(G$4,Curves,0))</f>
        <v>3.707</v>
      </c>
      <c r="H64" s="143" t="n">
        <f aca="false">G64</f>
        <v>3.707</v>
      </c>
      <c r="I64" s="142" t="n">
        <f aca="false">VLOOKUP($A64,Table1,MATCH(I$3,Curves1,0))</f>
        <v>3.7904</v>
      </c>
      <c r="J64" s="142" t="n">
        <f aca="false">VLOOKUP($A64,Table,MATCH(J$4,Curves,0))</f>
        <v>0.021</v>
      </c>
      <c r="K64" s="143" t="n">
        <f aca="false">J64</f>
        <v>0.021</v>
      </c>
      <c r="L64" s="144" t="n">
        <v>0</v>
      </c>
      <c r="M64" s="142" t="n">
        <f aca="false">VLOOKUP($A64,Table,MATCH(M$4,Curves,0))</f>
        <v>0.015</v>
      </c>
      <c r="N64" s="143" t="n">
        <f aca="false">M64</f>
        <v>0.015</v>
      </c>
      <c r="O64" s="144" t="n">
        <v>0</v>
      </c>
      <c r="P64" s="145"/>
      <c r="Q64" s="144" t="n">
        <f aca="false">M64+J64+G64</f>
        <v>3.743</v>
      </c>
      <c r="R64" s="144" t="n">
        <f aca="false">O64+L64+I64</f>
        <v>3.7904</v>
      </c>
      <c r="S64" s="145"/>
      <c r="T64" s="71" t="n">
        <f aca="false">A65-A64</f>
        <v>31</v>
      </c>
      <c r="U64" s="146" t="n">
        <f aca="false">CHOOSE(F$3,A65+24,A64)</f>
        <v>38681</v>
      </c>
      <c r="V64" s="71" t="n">
        <f aca="false">U64-C$3</f>
        <v>1793</v>
      </c>
      <c r="W64" s="142" t="n">
        <f aca="false">VLOOKUP($A64,Table,MATCH(W$4,Curves,0))</f>
        <v>0.058924983574244</v>
      </c>
      <c r="X64" s="147" t="n">
        <f aca="false">1/(1+CHOOSE(F$3,(W65+($K$3/10000))/2,(W64+($K$3/10000))/2))^(2*V64/365.25)</f>
        <v>0.751876671540284</v>
      </c>
      <c r="Y64" s="71" t="n">
        <f aca="false">IF(AND(mthbeg&lt;=A64,mthend&gt;=A64),1,0)</f>
        <v>1</v>
      </c>
      <c r="Z64" s="71" t="n">
        <f aca="false">T64*Y64</f>
        <v>31</v>
      </c>
      <c r="AB64" s="132" t="n">
        <f aca="false">F64*G64</f>
        <v>5261967.75812074</v>
      </c>
      <c r="AC64" s="132" t="n">
        <f aca="false">$F64*H64</f>
        <v>5261967.75812074</v>
      </c>
      <c r="AD64" s="132" t="n">
        <f aca="false">$F64*I64</f>
        <v>5380351.3866687</v>
      </c>
      <c r="AE64" s="132" t="n">
        <f aca="false">$F64*J64</f>
        <v>29808.8273322189</v>
      </c>
      <c r="AF64" s="132" t="n">
        <f aca="false">$F64*K64</f>
        <v>29808.8273322189</v>
      </c>
      <c r="AG64" s="132" t="n">
        <f aca="false">$F64*L64</f>
        <v>0</v>
      </c>
      <c r="AH64" s="132" t="n">
        <f aca="false">$F64*M64</f>
        <v>21292.0195230135</v>
      </c>
      <c r="AI64" s="132" t="n">
        <f aca="false">$F64*N64</f>
        <v>21292.0195230135</v>
      </c>
      <c r="AJ64" s="132" t="n">
        <f aca="false">F64*O64</f>
        <v>0</v>
      </c>
      <c r="AK64" s="137"/>
      <c r="AL64" s="132" t="n">
        <f aca="false">CHOOSE($G$3,AC64-AD64,AD64-AC64)</f>
        <v>118383.628547955</v>
      </c>
      <c r="AM64" s="132" t="n">
        <f aca="false">CHOOSE($G$3,AF64-AG64,AG64-AF64)</f>
        <v>-29808.8273322189</v>
      </c>
      <c r="AN64" s="132" t="n">
        <f aca="false">CHOOSE($G$3,AI64-AJ64,AJ64-AI64)</f>
        <v>-21292.0195230135</v>
      </c>
      <c r="AO64" s="148" t="n">
        <f aca="false">SUM(AL64:AN64)</f>
        <v>67282.7816927229</v>
      </c>
      <c r="AQ64" s="132" t="n">
        <f aca="false">CHOOSE($G$3,AB64-AC64,AC64-AB64)</f>
        <v>0</v>
      </c>
      <c r="AR64" s="132" t="n">
        <f aca="false">CHOOSE($G$3,AE64-AF64,AF64-AE64)</f>
        <v>0</v>
      </c>
      <c r="AS64" s="132" t="n">
        <f aca="false">CHOOSE($G$3,AH64-AI64,AI64-AH64)</f>
        <v>0</v>
      </c>
      <c r="AT64" s="148" t="n">
        <f aca="false">AQ64+AR64+AS64</f>
        <v>0</v>
      </c>
      <c r="AU64" s="148"/>
      <c r="AV64" s="133" t="n">
        <f aca="false">AT64+AO64</f>
        <v>67282.7816927229</v>
      </c>
      <c r="AX64" s="133" t="n">
        <f aca="false">AJ64+AG64+AD64</f>
        <v>5380351.3866687</v>
      </c>
      <c r="AY64" s="149"/>
      <c r="AZ64" s="76" t="n">
        <f aca="false">R64*E64</f>
        <v>7155896.16</v>
      </c>
    </row>
    <row r="65" customFormat="false" ht="12.75" hidden="false" customHeight="false" outlineLevel="0" collapsed="false">
      <c r="A65" s="138" t="n">
        <f aca="false">EDATE(A64,1)</f>
        <v>38657</v>
      </c>
      <c r="B65" s="139" t="n">
        <f aca="false">VLOOKUP($A65,Table2,MATCH(I$3,Curves2,0))</f>
        <v>60900</v>
      </c>
      <c r="C65" s="140"/>
      <c r="D65" s="141" t="n">
        <f aca="false">B65+C65</f>
        <v>60900</v>
      </c>
      <c r="E65" s="126" t="n">
        <f aca="false">IF(Y65=0,0,IF(AND(Y65=1,$H$3=1),D65*T65,IF($H$3=2,D65,"N/A")))</f>
        <v>1827000</v>
      </c>
      <c r="F65" s="126" t="n">
        <f aca="false">E65*X65</f>
        <v>1367003.13506146</v>
      </c>
      <c r="G65" s="142" t="n">
        <f aca="false">VLOOKUP($A65,Table,MATCH(G$4,Curves,0))</f>
        <v>3.852</v>
      </c>
      <c r="H65" s="143" t="n">
        <f aca="false">G65</f>
        <v>3.852</v>
      </c>
      <c r="I65" s="142" t="n">
        <f aca="false">VLOOKUP($A65,Table1,MATCH(I$3,Curves1,0))</f>
        <v>3.7904</v>
      </c>
      <c r="J65" s="142" t="n">
        <f aca="false">VLOOKUP($A65,Table,MATCH(J$4,Curves,0))</f>
        <v>0.011</v>
      </c>
      <c r="K65" s="143" t="n">
        <f aca="false">J65</f>
        <v>0.011</v>
      </c>
      <c r="L65" s="144" t="n">
        <v>0</v>
      </c>
      <c r="M65" s="142" t="n">
        <f aca="false">VLOOKUP($A65,Table,MATCH(M$4,Curves,0))</f>
        <v>0.015</v>
      </c>
      <c r="N65" s="143" t="n">
        <f aca="false">M65</f>
        <v>0.015</v>
      </c>
      <c r="O65" s="144" t="n">
        <v>0</v>
      </c>
      <c r="P65" s="145"/>
      <c r="Q65" s="144" t="n">
        <f aca="false">M65+J65+G65</f>
        <v>3.878</v>
      </c>
      <c r="R65" s="144" t="n">
        <f aca="false">O65+L65+I65</f>
        <v>3.7904</v>
      </c>
      <c r="S65" s="145"/>
      <c r="T65" s="71" t="n">
        <f aca="false">A66-A65</f>
        <v>30</v>
      </c>
      <c r="U65" s="146" t="n">
        <f aca="false">CHOOSE(F$3,A66+24,A65)</f>
        <v>38711</v>
      </c>
      <c r="V65" s="71" t="n">
        <f aca="false">U65-C$3</f>
        <v>1823</v>
      </c>
      <c r="W65" s="142" t="n">
        <f aca="false">VLOOKUP($A65,Table,MATCH(W$4,Curves,0))</f>
        <v>0.058946265726202</v>
      </c>
      <c r="X65" s="147" t="n">
        <f aca="false">1/(1+CHOOSE(F$3,(W66+($K$3/10000))/2,(W65+($K$3/10000))/2))^(2*V65/365.25)</f>
        <v>0.748222843492863</v>
      </c>
      <c r="Y65" s="71" t="n">
        <f aca="false">IF(AND(mthbeg&lt;=A65,mthend&gt;=A65),1,0)</f>
        <v>1</v>
      </c>
      <c r="Z65" s="71" t="n">
        <f aca="false">T65*Y65</f>
        <v>30</v>
      </c>
      <c r="AB65" s="132" t="n">
        <f aca="false">F65*G65</f>
        <v>5265696.07625674</v>
      </c>
      <c r="AC65" s="132" t="n">
        <f aca="false">$F65*H65</f>
        <v>5265696.07625674</v>
      </c>
      <c r="AD65" s="132" t="n">
        <f aca="false">$F65*I65</f>
        <v>5181488.68313696</v>
      </c>
      <c r="AE65" s="132" t="n">
        <f aca="false">$F65*J65</f>
        <v>15037.0344856761</v>
      </c>
      <c r="AF65" s="132" t="n">
        <f aca="false">$F65*K65</f>
        <v>15037.0344856761</v>
      </c>
      <c r="AG65" s="132" t="n">
        <f aca="false">$F65*L65</f>
        <v>0</v>
      </c>
      <c r="AH65" s="132" t="n">
        <f aca="false">$F65*M65</f>
        <v>20505.0470259219</v>
      </c>
      <c r="AI65" s="132" t="n">
        <f aca="false">$F65*N65</f>
        <v>20505.0470259219</v>
      </c>
      <c r="AJ65" s="132" t="n">
        <f aca="false">F65*O65</f>
        <v>0</v>
      </c>
      <c r="AK65" s="137"/>
      <c r="AL65" s="132" t="n">
        <f aca="false">CHOOSE($G$3,AC65-AD65,AD65-AC65)</f>
        <v>-84207.393119785</v>
      </c>
      <c r="AM65" s="132" t="n">
        <f aca="false">CHOOSE($G$3,AF65-AG65,AG65-AF65)</f>
        <v>-15037.0344856761</v>
      </c>
      <c r="AN65" s="132" t="n">
        <f aca="false">CHOOSE($G$3,AI65-AJ65,AJ65-AI65)</f>
        <v>-20505.0470259219</v>
      </c>
      <c r="AO65" s="148" t="n">
        <f aca="false">SUM(AL65:AN65)</f>
        <v>-119749.474631383</v>
      </c>
      <c r="AQ65" s="132" t="n">
        <f aca="false">CHOOSE($G$3,AB65-AC65,AC65-AB65)</f>
        <v>0</v>
      </c>
      <c r="AR65" s="132" t="n">
        <f aca="false">CHOOSE($G$3,AE65-AF65,AF65-AE65)</f>
        <v>0</v>
      </c>
      <c r="AS65" s="132" t="n">
        <f aca="false">CHOOSE($G$3,AH65-AI65,AI65-AH65)</f>
        <v>0</v>
      </c>
      <c r="AT65" s="148" t="n">
        <f aca="false">AQ65+AR65+AS65</f>
        <v>0</v>
      </c>
      <c r="AU65" s="148"/>
      <c r="AV65" s="133" t="n">
        <f aca="false">AT65+AO65</f>
        <v>-119749.474631383</v>
      </c>
      <c r="AX65" s="133" t="n">
        <f aca="false">AJ65+AG65+AD65</f>
        <v>5181488.68313696</v>
      </c>
      <c r="AY65" s="149"/>
      <c r="AZ65" s="76" t="n">
        <f aca="false">R65*E65</f>
        <v>6925060.8</v>
      </c>
    </row>
    <row r="66" customFormat="false" ht="12.75" hidden="false" customHeight="false" outlineLevel="0" collapsed="false">
      <c r="A66" s="138" t="n">
        <f aca="false">EDATE(A65,1)</f>
        <v>38687</v>
      </c>
      <c r="B66" s="139" t="n">
        <f aca="false">VLOOKUP($A66,Table2,MATCH(I$3,Curves2,0))</f>
        <v>60900</v>
      </c>
      <c r="C66" s="140"/>
      <c r="D66" s="141" t="n">
        <f aca="false">B66+C66</f>
        <v>60900</v>
      </c>
      <c r="E66" s="126" t="n">
        <f aca="false">IF(Y66=0,0,IF(AND(Y66=1,$H$3=1),D66*T66,IF($H$3=2,D66,"N/A")))</f>
        <v>0</v>
      </c>
      <c r="F66" s="126" t="n">
        <f aca="false">E66*X66</f>
        <v>0</v>
      </c>
      <c r="G66" s="142" t="n">
        <f aca="false">VLOOKUP($A66,Table,MATCH(G$4,Curves,0))</f>
        <v>3.987</v>
      </c>
      <c r="H66" s="143" t="n">
        <f aca="false">G66</f>
        <v>3.987</v>
      </c>
      <c r="I66" s="142" t="n">
        <f aca="false">VLOOKUP($A66,Table1,MATCH(I$3,Curves1,0))</f>
        <v>3.7904</v>
      </c>
      <c r="J66" s="142" t="n">
        <f aca="false">VLOOKUP($A66,Table,MATCH(J$4,Curves,0))</f>
        <v>0.011</v>
      </c>
      <c r="K66" s="143" t="n">
        <f aca="false">J66</f>
        <v>0.011</v>
      </c>
      <c r="L66" s="144" t="n">
        <v>0</v>
      </c>
      <c r="M66" s="142" t="n">
        <f aca="false">VLOOKUP($A66,Table,MATCH(M$4,Curves,0))</f>
        <v>0.015</v>
      </c>
      <c r="N66" s="143" t="n">
        <f aca="false">M66</f>
        <v>0.015</v>
      </c>
      <c r="O66" s="144" t="n">
        <v>0</v>
      </c>
      <c r="P66" s="145"/>
      <c r="Q66" s="144" t="n">
        <f aca="false">M66+J66+G66</f>
        <v>4.013</v>
      </c>
      <c r="R66" s="144" t="n">
        <f aca="false">O66+L66+I66</f>
        <v>3.7904</v>
      </c>
      <c r="S66" s="145"/>
      <c r="T66" s="71" t="n">
        <f aca="false">A67-A66</f>
        <v>31</v>
      </c>
      <c r="U66" s="146" t="n">
        <f aca="false">CHOOSE(F$3,A67+24,A66)</f>
        <v>38742</v>
      </c>
      <c r="V66" s="71" t="n">
        <f aca="false">U66-C$3</f>
        <v>1854</v>
      </c>
      <c r="W66" s="142" t="n">
        <f aca="false">VLOOKUP($A66,Table,MATCH(W$4,Curves,0))</f>
        <v>0.058966861357273</v>
      </c>
      <c r="X66" s="147" t="n">
        <f aca="false">1/(1+CHOOSE(F$3,(W67+($K$3/10000))/2,(W66+($K$3/10000))/2))^(2*V66/365.25)</f>
        <v>0.744541427640193</v>
      </c>
      <c r="Y66" s="71" t="n">
        <f aca="false">IF(AND(mthbeg&lt;=A66,mthend&gt;=A66),1,0)</f>
        <v>0</v>
      </c>
      <c r="Z66" s="71" t="n">
        <f aca="false">T66*Y66</f>
        <v>0</v>
      </c>
      <c r="AB66" s="132" t="n">
        <f aca="false">F66*G66</f>
        <v>0</v>
      </c>
      <c r="AC66" s="132" t="n">
        <f aca="false">$F66*H66</f>
        <v>0</v>
      </c>
      <c r="AD66" s="132" t="n">
        <f aca="false">$F66*I66</f>
        <v>0</v>
      </c>
      <c r="AE66" s="132" t="n">
        <f aca="false">$F66*J66</f>
        <v>0</v>
      </c>
      <c r="AF66" s="132" t="n">
        <f aca="false">$F66*K66</f>
        <v>0</v>
      </c>
      <c r="AG66" s="132" t="n">
        <f aca="false">$F66*L66</f>
        <v>0</v>
      </c>
      <c r="AH66" s="132" t="n">
        <f aca="false">$F66*M66</f>
        <v>0</v>
      </c>
      <c r="AI66" s="132" t="n">
        <f aca="false">$F66*N66</f>
        <v>0</v>
      </c>
      <c r="AJ66" s="132" t="n">
        <f aca="false">F66*O66</f>
        <v>0</v>
      </c>
      <c r="AK66" s="137"/>
      <c r="AL66" s="132" t="n">
        <f aca="false">CHOOSE($G$3,AC66-AD66,AD66-AC66)</f>
        <v>0</v>
      </c>
      <c r="AM66" s="132" t="n">
        <f aca="false">CHOOSE($G$3,AF66-AG66,AG66-AF66)</f>
        <v>0</v>
      </c>
      <c r="AN66" s="132" t="n">
        <f aca="false">CHOOSE($G$3,AI66-AJ66,AJ66-AI66)</f>
        <v>0</v>
      </c>
      <c r="AO66" s="148" t="n">
        <f aca="false">SUM(AL66:AN66)</f>
        <v>0</v>
      </c>
      <c r="AQ66" s="132" t="n">
        <f aca="false">CHOOSE($G$3,AB66-AC66,AC66-AB66)</f>
        <v>0</v>
      </c>
      <c r="AR66" s="132" t="n">
        <f aca="false">CHOOSE($G$3,AE66-AF66,AF66-AE66)</f>
        <v>0</v>
      </c>
      <c r="AS66" s="132" t="n">
        <f aca="false">CHOOSE($G$3,AH66-AI66,AI66-AH66)</f>
        <v>0</v>
      </c>
      <c r="AT66" s="148" t="n">
        <f aca="false">AQ66+AR66+AS66</f>
        <v>0</v>
      </c>
      <c r="AU66" s="148"/>
      <c r="AV66" s="133" t="n">
        <f aca="false">AT66+AO66</f>
        <v>0</v>
      </c>
      <c r="AX66" s="133" t="n">
        <f aca="false">AJ66+AG66+AD66</f>
        <v>0</v>
      </c>
      <c r="AY66" s="149"/>
      <c r="AZ66" s="76" t="n">
        <f aca="false">R66*E66</f>
        <v>0</v>
      </c>
    </row>
    <row r="67" customFormat="false" ht="12.75" hidden="false" customHeight="false" outlineLevel="0" collapsed="false">
      <c r="A67" s="138" t="n">
        <f aca="false">EDATE(A66,1)</f>
        <v>38718</v>
      </c>
      <c r="B67" s="139" t="n">
        <f aca="false">VLOOKUP($A67,Table2,MATCH(I$3,Curves2,0))</f>
        <v>60900</v>
      </c>
      <c r="C67" s="140"/>
      <c r="D67" s="141" t="n">
        <f aca="false">B67+C67</f>
        <v>60900</v>
      </c>
      <c r="E67" s="126" t="n">
        <f aca="false">IF(Y67=0,0,IF(AND(Y67=1,$H$3=1),D67*T67,IF($H$3=2,D67,"N/A")))</f>
        <v>0</v>
      </c>
      <c r="F67" s="126" t="n">
        <f aca="false">E67*X67</f>
        <v>0</v>
      </c>
      <c r="G67" s="142" t="n">
        <f aca="false">VLOOKUP($A67,Table,MATCH(G$4,Curves,0))</f>
        <v>3.987</v>
      </c>
      <c r="H67" s="143" t="n">
        <f aca="false">G67</f>
        <v>3.987</v>
      </c>
      <c r="I67" s="142" t="n">
        <f aca="false">VLOOKUP($A67,Table1,MATCH(I$3,Curves1,0))</f>
        <v>3.7904</v>
      </c>
      <c r="J67" s="142" t="n">
        <f aca="false">VLOOKUP($A67,Table,MATCH(J$4,Curves,0))</f>
        <v>0.011</v>
      </c>
      <c r="K67" s="143" t="n">
        <f aca="false">J67</f>
        <v>0.011</v>
      </c>
      <c r="L67" s="144" t="n">
        <v>0</v>
      </c>
      <c r="M67" s="142" t="n">
        <f aca="false">VLOOKUP($A67,Table,MATCH(M$4,Curves,0))</f>
        <v>0.015</v>
      </c>
      <c r="N67" s="143" t="n">
        <f aca="false">M67</f>
        <v>0.015</v>
      </c>
      <c r="O67" s="144" t="n">
        <v>0</v>
      </c>
      <c r="P67" s="145"/>
      <c r="Q67" s="144" t="n">
        <f aca="false">M67+J67+G67</f>
        <v>4.013</v>
      </c>
      <c r="R67" s="144" t="n">
        <f aca="false">O67+L67+I67</f>
        <v>3.7904</v>
      </c>
      <c r="S67" s="145"/>
      <c r="T67" s="71" t="n">
        <f aca="false">A68-A67</f>
        <v>31</v>
      </c>
      <c r="U67" s="146" t="n">
        <f aca="false">CHOOSE(F$3,A68+24,A67)</f>
        <v>38773</v>
      </c>
      <c r="V67" s="71" t="n">
        <f aca="false">U67-C$3</f>
        <v>1885</v>
      </c>
      <c r="W67" s="142" t="n">
        <f aca="false">VLOOKUP($A67,Table,MATCH(W$4,Curves,0))</f>
        <v>0.058966861357273</v>
      </c>
      <c r="X67" s="147" t="n">
        <f aca="false">1/(1+CHOOSE(F$3,(W68+($K$3/10000))/2,(W67+($K$3/10000))/2))^(2*V67/365.25)</f>
        <v>0.740878125138109</v>
      </c>
      <c r="Y67" s="71" t="n">
        <f aca="false">IF(AND(mthbeg&lt;=A67,mthend&gt;=A67),1,0)</f>
        <v>0</v>
      </c>
      <c r="Z67" s="71" t="n">
        <f aca="false">T67*Y67</f>
        <v>0</v>
      </c>
      <c r="AB67" s="132" t="n">
        <f aca="false">F67*G67</f>
        <v>0</v>
      </c>
      <c r="AC67" s="132" t="n">
        <f aca="false">$F67*H67</f>
        <v>0</v>
      </c>
      <c r="AD67" s="132" t="n">
        <f aca="false">$F67*I67</f>
        <v>0</v>
      </c>
      <c r="AE67" s="132" t="n">
        <f aca="false">$F67*J67</f>
        <v>0</v>
      </c>
      <c r="AF67" s="132" t="n">
        <f aca="false">$F67*K67</f>
        <v>0</v>
      </c>
      <c r="AG67" s="132" t="n">
        <f aca="false">$F67*L67</f>
        <v>0</v>
      </c>
      <c r="AH67" s="132" t="n">
        <f aca="false">$F67*M67</f>
        <v>0</v>
      </c>
      <c r="AI67" s="132" t="n">
        <f aca="false">$F67*N67</f>
        <v>0</v>
      </c>
      <c r="AJ67" s="132" t="n">
        <f aca="false">F67*O67</f>
        <v>0</v>
      </c>
      <c r="AK67" s="137"/>
      <c r="AL67" s="132" t="n">
        <f aca="false">CHOOSE($G$3,AC67-AD67,AD67-AC67)</f>
        <v>0</v>
      </c>
      <c r="AM67" s="132" t="n">
        <f aca="false">CHOOSE($G$3,AF67-AG67,AG67-AF67)</f>
        <v>0</v>
      </c>
      <c r="AN67" s="132" t="n">
        <f aca="false">CHOOSE($G$3,AI67-AJ67,AJ67-AI67)</f>
        <v>0</v>
      </c>
      <c r="AO67" s="148" t="n">
        <f aca="false">SUM(AL67:AN67)</f>
        <v>0</v>
      </c>
      <c r="AQ67" s="132" t="n">
        <f aca="false">CHOOSE($G$3,AB67-AC67,AC67-AB67)</f>
        <v>0</v>
      </c>
      <c r="AR67" s="132" t="n">
        <f aca="false">CHOOSE($G$3,AE67-AF67,AF67-AE67)</f>
        <v>0</v>
      </c>
      <c r="AS67" s="132" t="n">
        <f aca="false">CHOOSE($G$3,AH67-AI67,AI67-AH67)</f>
        <v>0</v>
      </c>
      <c r="AT67" s="148" t="n">
        <f aca="false">AQ67+AR67+AS67</f>
        <v>0</v>
      </c>
      <c r="AU67" s="148"/>
      <c r="AV67" s="133" t="n">
        <f aca="false">AT67+AO67</f>
        <v>0</v>
      </c>
      <c r="AX67" s="133" t="n">
        <f aca="false">AJ67+AG67+AD67</f>
        <v>0</v>
      </c>
      <c r="AY67" s="149"/>
      <c r="AZ67" s="76" t="n">
        <f aca="false">R67*E67</f>
        <v>0</v>
      </c>
    </row>
    <row r="68" customFormat="false" ht="12.75" hidden="false" customHeight="false" outlineLevel="0" collapsed="false">
      <c r="A68" s="138" t="n">
        <f aca="false">EDATE(A67,1)</f>
        <v>38749</v>
      </c>
      <c r="B68" s="139" t="n">
        <f aca="false">VLOOKUP($A68,Table2,MATCH(I$3,Curves2,0))</f>
        <v>60900</v>
      </c>
      <c r="C68" s="140"/>
      <c r="D68" s="141" t="n">
        <f aca="false">B68+C68</f>
        <v>60900</v>
      </c>
      <c r="E68" s="126" t="n">
        <f aca="false">IF(Y68=0,0,IF(AND(Y68=1,$H$3=1),D68*T68,IF($H$3=2,D68,"N/A")))</f>
        <v>0</v>
      </c>
      <c r="F68" s="126" t="n">
        <f aca="false">E68*X68</f>
        <v>0</v>
      </c>
      <c r="G68" s="142" t="n">
        <f aca="false">VLOOKUP($A68,Table,MATCH(G$4,Curves,0))</f>
        <v>3.987</v>
      </c>
      <c r="H68" s="143" t="n">
        <f aca="false">G68</f>
        <v>3.987</v>
      </c>
      <c r="I68" s="142" t="n">
        <f aca="false">VLOOKUP($A68,Table1,MATCH(I$3,Curves1,0))</f>
        <v>3.7904</v>
      </c>
      <c r="J68" s="142" t="n">
        <f aca="false">VLOOKUP($A68,Table,MATCH(J$4,Curves,0))</f>
        <v>0.011</v>
      </c>
      <c r="K68" s="143" t="n">
        <f aca="false">J68</f>
        <v>0.011</v>
      </c>
      <c r="L68" s="144" t="n">
        <v>0</v>
      </c>
      <c r="M68" s="142" t="n">
        <f aca="false">VLOOKUP($A68,Table,MATCH(M$4,Curves,0))</f>
        <v>0.015</v>
      </c>
      <c r="N68" s="143" t="n">
        <f aca="false">M68</f>
        <v>0.015</v>
      </c>
      <c r="O68" s="144" t="n">
        <v>0</v>
      </c>
      <c r="P68" s="145"/>
      <c r="Q68" s="144" t="n">
        <f aca="false">M68+J68+G68</f>
        <v>4.013</v>
      </c>
      <c r="R68" s="144" t="n">
        <f aca="false">O68+L68+I68</f>
        <v>3.7904</v>
      </c>
      <c r="S68" s="145"/>
      <c r="T68" s="71" t="n">
        <f aca="false">A69-A68</f>
        <v>28</v>
      </c>
      <c r="U68" s="146" t="n">
        <f aca="false">CHOOSE(F$3,A69+24,A68)</f>
        <v>38801</v>
      </c>
      <c r="V68" s="71" t="n">
        <f aca="false">U68-C$3</f>
        <v>1913</v>
      </c>
      <c r="W68" s="142" t="n">
        <f aca="false">VLOOKUP($A68,Table,MATCH(W$4,Curves,0))</f>
        <v>0.058966861357273</v>
      </c>
      <c r="X68" s="147" t="n">
        <f aca="false">1/(1+CHOOSE(F$3,(W69+($K$3/10000))/2,(W68+($K$3/10000))/2))^(2*V68/365.25)</f>
        <v>0.737584830452934</v>
      </c>
      <c r="Y68" s="71" t="n">
        <f aca="false">IF(AND(mthbeg&lt;=A68,mthend&gt;=A68),1,0)</f>
        <v>0</v>
      </c>
      <c r="Z68" s="71" t="n">
        <f aca="false">T68*Y68</f>
        <v>0</v>
      </c>
      <c r="AB68" s="132" t="n">
        <f aca="false">F68*G68</f>
        <v>0</v>
      </c>
      <c r="AC68" s="132" t="n">
        <f aca="false">$F68*H68</f>
        <v>0</v>
      </c>
      <c r="AD68" s="132" t="n">
        <f aca="false">$F68*I68</f>
        <v>0</v>
      </c>
      <c r="AE68" s="132" t="n">
        <f aca="false">$F68*J68</f>
        <v>0</v>
      </c>
      <c r="AF68" s="132" t="n">
        <f aca="false">$F68*K68</f>
        <v>0</v>
      </c>
      <c r="AG68" s="132" t="n">
        <f aca="false">$F68*L68</f>
        <v>0</v>
      </c>
      <c r="AH68" s="132" t="n">
        <f aca="false">$F68*M68</f>
        <v>0</v>
      </c>
      <c r="AI68" s="132" t="n">
        <f aca="false">$F68*N68</f>
        <v>0</v>
      </c>
      <c r="AJ68" s="132" t="n">
        <f aca="false">F68*O68</f>
        <v>0</v>
      </c>
      <c r="AK68" s="137"/>
      <c r="AL68" s="132" t="n">
        <f aca="false">CHOOSE($G$3,AC68-AD68,AD68-AC68)</f>
        <v>0</v>
      </c>
      <c r="AM68" s="132" t="n">
        <f aca="false">CHOOSE($G$3,AF68-AG68,AG68-AF68)</f>
        <v>0</v>
      </c>
      <c r="AN68" s="132" t="n">
        <f aca="false">CHOOSE($G$3,AI68-AJ68,AJ68-AI68)</f>
        <v>0</v>
      </c>
      <c r="AO68" s="148" t="n">
        <f aca="false">SUM(AL68:AN68)</f>
        <v>0</v>
      </c>
      <c r="AQ68" s="132" t="n">
        <f aca="false">CHOOSE($G$3,AB68-AC68,AC68-AB68)</f>
        <v>0</v>
      </c>
      <c r="AR68" s="132" t="n">
        <f aca="false">CHOOSE($G$3,AE68-AF68,AF68-AE68)</f>
        <v>0</v>
      </c>
      <c r="AS68" s="132" t="n">
        <f aca="false">CHOOSE($G$3,AH68-AI68,AI68-AH68)</f>
        <v>0</v>
      </c>
      <c r="AT68" s="148" t="n">
        <f aca="false">AQ68+AR68+AS68</f>
        <v>0</v>
      </c>
      <c r="AU68" s="148"/>
      <c r="AV68" s="133" t="n">
        <f aca="false">AT68+AO68</f>
        <v>0</v>
      </c>
      <c r="AX68" s="133" t="n">
        <f aca="false">AJ68+AG68+AD68</f>
        <v>0</v>
      </c>
      <c r="AY68" s="149"/>
      <c r="AZ68" s="76" t="n">
        <f aca="false">R68*E68</f>
        <v>0</v>
      </c>
    </row>
    <row r="69" customFormat="false" ht="12.75" hidden="false" customHeight="false" outlineLevel="0" collapsed="false">
      <c r="A69" s="138" t="n">
        <f aca="false">EDATE(A68,1)</f>
        <v>38777</v>
      </c>
      <c r="B69" s="139" t="n">
        <f aca="false">VLOOKUP($A69,Table2,MATCH(I$3,Curves2,0))</f>
        <v>60900</v>
      </c>
      <c r="C69" s="140"/>
      <c r="D69" s="141" t="n">
        <f aca="false">B69+C69</f>
        <v>60900</v>
      </c>
      <c r="E69" s="126" t="n">
        <f aca="false">IF(Y69=0,0,IF(AND(Y69=1,$H$3=1),D69*T69,IF($H$3=2,D69,"N/A")))</f>
        <v>0</v>
      </c>
      <c r="F69" s="126" t="n">
        <f aca="false">E69*X69</f>
        <v>0</v>
      </c>
      <c r="G69" s="142" t="n">
        <f aca="false">VLOOKUP($A69,Table,MATCH(G$4,Curves,0))</f>
        <v>3.987</v>
      </c>
      <c r="H69" s="143" t="n">
        <f aca="false">G69</f>
        <v>3.987</v>
      </c>
      <c r="I69" s="142" t="n">
        <f aca="false">VLOOKUP($A69,Table1,MATCH(I$3,Curves1,0))</f>
        <v>3.7904</v>
      </c>
      <c r="J69" s="142" t="n">
        <f aca="false">VLOOKUP($A69,Table,MATCH(J$4,Curves,0))</f>
        <v>0.011</v>
      </c>
      <c r="K69" s="143" t="n">
        <f aca="false">J69</f>
        <v>0.011</v>
      </c>
      <c r="L69" s="144" t="n">
        <v>0</v>
      </c>
      <c r="M69" s="142" t="n">
        <f aca="false">VLOOKUP($A69,Table,MATCH(M$4,Curves,0))</f>
        <v>0.015</v>
      </c>
      <c r="N69" s="143" t="n">
        <f aca="false">M69</f>
        <v>0.015</v>
      </c>
      <c r="O69" s="144" t="n">
        <v>0</v>
      </c>
      <c r="P69" s="145"/>
      <c r="Q69" s="144" t="n">
        <f aca="false">M69+J69+G69</f>
        <v>4.013</v>
      </c>
      <c r="R69" s="144" t="n">
        <f aca="false">O69+L69+I69</f>
        <v>3.7904</v>
      </c>
      <c r="S69" s="145"/>
      <c r="T69" s="71" t="n">
        <f aca="false">A70-A69</f>
        <v>31</v>
      </c>
      <c r="U69" s="146" t="n">
        <f aca="false">CHOOSE(F$3,A70+24,A69)</f>
        <v>38832</v>
      </c>
      <c r="V69" s="71" t="n">
        <f aca="false">U69-C$3</f>
        <v>1944</v>
      </c>
      <c r="W69" s="142" t="n">
        <f aca="false">VLOOKUP($A69,Table,MATCH(W$4,Curves,0))</f>
        <v>0.058966861357273</v>
      </c>
      <c r="X69" s="147" t="n">
        <f aca="false">1/(1+CHOOSE(F$3,(W70+($K$3/10000))/2,(W69+($K$3/10000))/2))^(2*V69/365.25)</f>
        <v>0.733955755891614</v>
      </c>
      <c r="Y69" s="71" t="n">
        <f aca="false">IF(AND(mthbeg&lt;=A69,mthend&gt;=A69),1,0)</f>
        <v>0</v>
      </c>
      <c r="Z69" s="71" t="n">
        <f aca="false">T69*Y69</f>
        <v>0</v>
      </c>
      <c r="AB69" s="132" t="n">
        <f aca="false">F69*G69</f>
        <v>0</v>
      </c>
      <c r="AC69" s="132" t="n">
        <f aca="false">$F69*H69</f>
        <v>0</v>
      </c>
      <c r="AD69" s="132" t="n">
        <f aca="false">$F69*I69</f>
        <v>0</v>
      </c>
      <c r="AE69" s="132" t="n">
        <f aca="false">$F69*J69</f>
        <v>0</v>
      </c>
      <c r="AF69" s="132" t="n">
        <f aca="false">$F69*K69</f>
        <v>0</v>
      </c>
      <c r="AG69" s="132" t="n">
        <f aca="false">$F69*L69</f>
        <v>0</v>
      </c>
      <c r="AH69" s="132" t="n">
        <f aca="false">$F69*M69</f>
        <v>0</v>
      </c>
      <c r="AI69" s="132" t="n">
        <f aca="false">$F69*N69</f>
        <v>0</v>
      </c>
      <c r="AJ69" s="132" t="n">
        <f aca="false">F69*O69</f>
        <v>0</v>
      </c>
      <c r="AK69" s="137"/>
      <c r="AL69" s="132" t="n">
        <f aca="false">CHOOSE($G$3,AC69-AD69,AD69-AC69)</f>
        <v>0</v>
      </c>
      <c r="AM69" s="132" t="n">
        <f aca="false">CHOOSE($G$3,AF69-AG69,AG69-AF69)</f>
        <v>0</v>
      </c>
      <c r="AN69" s="132" t="n">
        <f aca="false">CHOOSE($G$3,AI69-AJ69,AJ69-AI69)</f>
        <v>0</v>
      </c>
      <c r="AO69" s="148" t="n">
        <f aca="false">SUM(AL69:AN69)</f>
        <v>0</v>
      </c>
      <c r="AQ69" s="132" t="n">
        <f aca="false">CHOOSE($G$3,AB69-AC69,AC69-AB69)</f>
        <v>0</v>
      </c>
      <c r="AR69" s="132" t="n">
        <f aca="false">CHOOSE($G$3,AE69-AF69,AF69-AE69)</f>
        <v>0</v>
      </c>
      <c r="AS69" s="132" t="n">
        <f aca="false">CHOOSE($G$3,AH69-AI69,AI69-AH69)</f>
        <v>0</v>
      </c>
      <c r="AT69" s="148" t="n">
        <f aca="false">AQ69+AR69+AS69</f>
        <v>0</v>
      </c>
      <c r="AU69" s="148"/>
      <c r="AV69" s="133" t="n">
        <f aca="false">AT69+AO69</f>
        <v>0</v>
      </c>
      <c r="AX69" s="133" t="n">
        <f aca="false">AJ69+AG69+AD69</f>
        <v>0</v>
      </c>
      <c r="AY69" s="149"/>
      <c r="AZ69" s="76" t="n">
        <f aca="false">R69*E69</f>
        <v>0</v>
      </c>
    </row>
    <row r="70" customFormat="false" ht="12.75" hidden="false" customHeight="false" outlineLevel="0" collapsed="false">
      <c r="A70" s="138" t="n">
        <f aca="false">EDATE(A69,1)</f>
        <v>38808</v>
      </c>
      <c r="B70" s="139" t="n">
        <f aca="false">VLOOKUP($A70,Table2,MATCH(I$3,Curves2,0))</f>
        <v>60900</v>
      </c>
      <c r="C70" s="140"/>
      <c r="D70" s="141" t="n">
        <f aca="false">B70+C70</f>
        <v>60900</v>
      </c>
      <c r="E70" s="126" t="n">
        <f aca="false">IF(Y70=0,0,IF(AND(Y70=1,$H$3=1),D70*T70,IF($H$3=2,D70,"N/A")))</f>
        <v>0</v>
      </c>
      <c r="F70" s="126" t="n">
        <f aca="false">E70*X70</f>
        <v>0</v>
      </c>
      <c r="G70" s="142" t="n">
        <f aca="false">VLOOKUP($A70,Table,MATCH(G$4,Curves,0))</f>
        <v>3.987</v>
      </c>
      <c r="H70" s="143" t="n">
        <f aca="false">G70</f>
        <v>3.987</v>
      </c>
      <c r="I70" s="142" t="n">
        <f aca="false">VLOOKUP($A70,Table1,MATCH(I$3,Curves1,0))</f>
        <v>3.7904</v>
      </c>
      <c r="J70" s="142" t="n">
        <f aca="false">VLOOKUP($A70,Table,MATCH(J$4,Curves,0))</f>
        <v>0.011</v>
      </c>
      <c r="K70" s="143" t="n">
        <f aca="false">J70</f>
        <v>0.011</v>
      </c>
      <c r="L70" s="144" t="n">
        <v>0</v>
      </c>
      <c r="M70" s="142" t="n">
        <f aca="false">VLOOKUP($A70,Table,MATCH(M$4,Curves,0))</f>
        <v>0.015</v>
      </c>
      <c r="N70" s="143" t="n">
        <f aca="false">M70</f>
        <v>0.015</v>
      </c>
      <c r="O70" s="144" t="n">
        <v>0</v>
      </c>
      <c r="P70" s="145"/>
      <c r="Q70" s="144" t="n">
        <f aca="false">M70+J70+G70</f>
        <v>4.013</v>
      </c>
      <c r="R70" s="144" t="n">
        <f aca="false">O70+L70+I70</f>
        <v>3.7904</v>
      </c>
      <c r="S70" s="145"/>
      <c r="T70" s="71" t="n">
        <f aca="false">A71-A70</f>
        <v>30</v>
      </c>
      <c r="U70" s="146" t="n">
        <f aca="false">CHOOSE(F$3,A71+24,A70)</f>
        <v>38862</v>
      </c>
      <c r="V70" s="71" t="n">
        <f aca="false">U70-C$3</f>
        <v>1974</v>
      </c>
      <c r="W70" s="142" t="n">
        <f aca="false">VLOOKUP($A70,Table,MATCH(W$4,Curves,0))</f>
        <v>0.058966861357273</v>
      </c>
      <c r="X70" s="147" t="n">
        <f aca="false">1/(1+CHOOSE(F$3,(W71+($K$3/10000))/2,(W70+($K$3/10000))/2))^(2*V70/365.25)</f>
        <v>0.730460750271427</v>
      </c>
      <c r="Y70" s="71" t="n">
        <f aca="false">IF(AND(mthbeg&lt;=A70,mthend&gt;=A70),1,0)</f>
        <v>0</v>
      </c>
      <c r="Z70" s="71" t="n">
        <f aca="false">T70*Y70</f>
        <v>0</v>
      </c>
      <c r="AB70" s="132" t="n">
        <f aca="false">F70*G70</f>
        <v>0</v>
      </c>
      <c r="AC70" s="132" t="n">
        <f aca="false">$F70*H70</f>
        <v>0</v>
      </c>
      <c r="AD70" s="132" t="n">
        <f aca="false">$F70*I70</f>
        <v>0</v>
      </c>
      <c r="AE70" s="132" t="n">
        <f aca="false">$F70*J70</f>
        <v>0</v>
      </c>
      <c r="AF70" s="132" t="n">
        <f aca="false">$F70*K70</f>
        <v>0</v>
      </c>
      <c r="AG70" s="132" t="n">
        <f aca="false">$F70*L70</f>
        <v>0</v>
      </c>
      <c r="AH70" s="132" t="n">
        <f aca="false">$F70*M70</f>
        <v>0</v>
      </c>
      <c r="AI70" s="132" t="n">
        <f aca="false">$F70*N70</f>
        <v>0</v>
      </c>
      <c r="AJ70" s="132" t="n">
        <f aca="false">F70*O70</f>
        <v>0</v>
      </c>
      <c r="AK70" s="137"/>
      <c r="AL70" s="132" t="n">
        <f aca="false">CHOOSE($G$3,AC70-AD70,AD70-AC70)</f>
        <v>0</v>
      </c>
      <c r="AM70" s="132" t="n">
        <f aca="false">CHOOSE($G$3,AF70-AG70,AG70-AF70)</f>
        <v>0</v>
      </c>
      <c r="AN70" s="132" t="n">
        <f aca="false">CHOOSE($G$3,AI70-AJ70,AJ70-AI70)</f>
        <v>0</v>
      </c>
      <c r="AO70" s="148" t="n">
        <f aca="false">SUM(AL70:AN70)</f>
        <v>0</v>
      </c>
      <c r="AQ70" s="132" t="n">
        <f aca="false">CHOOSE($G$3,AB70-AC70,AC70-AB70)</f>
        <v>0</v>
      </c>
      <c r="AR70" s="132" t="n">
        <f aca="false">CHOOSE($G$3,AE70-AF70,AF70-AE70)</f>
        <v>0</v>
      </c>
      <c r="AS70" s="132" t="n">
        <f aca="false">CHOOSE($G$3,AH70-AI70,AI70-AH70)</f>
        <v>0</v>
      </c>
      <c r="AT70" s="148" t="n">
        <f aca="false">AQ70+AR70+AS70</f>
        <v>0</v>
      </c>
      <c r="AU70" s="148"/>
      <c r="AV70" s="133" t="n">
        <f aca="false">AT70+AO70</f>
        <v>0</v>
      </c>
      <c r="AX70" s="133" t="n">
        <f aca="false">AJ70+AG70+AD70</f>
        <v>0</v>
      </c>
      <c r="AY70" s="149"/>
      <c r="AZ70" s="76" t="n">
        <f aca="false">R70*E70</f>
        <v>0</v>
      </c>
    </row>
    <row r="71" customFormat="false" ht="12.75" hidden="false" customHeight="false" outlineLevel="0" collapsed="false">
      <c r="A71" s="138" t="n">
        <f aca="false">EDATE(A70,1)</f>
        <v>38838</v>
      </c>
      <c r="B71" s="139" t="n">
        <f aca="false">VLOOKUP($A71,Table2,MATCH(I$3,Curves2,0))</f>
        <v>60900</v>
      </c>
      <c r="C71" s="140"/>
      <c r="D71" s="141" t="n">
        <f aca="false">B71+C71</f>
        <v>60900</v>
      </c>
      <c r="E71" s="126" t="n">
        <f aca="false">IF(Y71=0,0,IF(AND(Y71=1,$H$3=1),D71*T71,IF($H$3=2,D71,"N/A")))</f>
        <v>0</v>
      </c>
      <c r="F71" s="126" t="n">
        <f aca="false">E71*X71</f>
        <v>0</v>
      </c>
      <c r="G71" s="142" t="n">
        <f aca="false">VLOOKUP($A71,Table,MATCH(G$4,Curves,0))</f>
        <v>3.987</v>
      </c>
      <c r="H71" s="143" t="n">
        <f aca="false">G71</f>
        <v>3.987</v>
      </c>
      <c r="I71" s="142" t="n">
        <f aca="false">VLOOKUP($A71,Table1,MATCH(I$3,Curves1,0))</f>
        <v>3.7904</v>
      </c>
      <c r="J71" s="142" t="n">
        <f aca="false">VLOOKUP($A71,Table,MATCH(J$4,Curves,0))</f>
        <v>0.011</v>
      </c>
      <c r="K71" s="143" t="n">
        <f aca="false">J71</f>
        <v>0.011</v>
      </c>
      <c r="L71" s="144" t="n">
        <v>0</v>
      </c>
      <c r="M71" s="142" t="n">
        <f aca="false">VLOOKUP($A71,Table,MATCH(M$4,Curves,0))</f>
        <v>0.015</v>
      </c>
      <c r="N71" s="143" t="n">
        <f aca="false">M71</f>
        <v>0.015</v>
      </c>
      <c r="O71" s="144" t="n">
        <v>0</v>
      </c>
      <c r="P71" s="145"/>
      <c r="Q71" s="144" t="n">
        <f aca="false">M71+J71+G71</f>
        <v>4.013</v>
      </c>
      <c r="R71" s="144" t="n">
        <f aca="false">O71+L71+I71</f>
        <v>3.7904</v>
      </c>
      <c r="S71" s="145"/>
      <c r="T71" s="71" t="n">
        <f aca="false">A72-A71</f>
        <v>31</v>
      </c>
      <c r="U71" s="146" t="n">
        <f aca="false">CHOOSE(F$3,A72+24,A71)</f>
        <v>38893</v>
      </c>
      <c r="V71" s="71" t="n">
        <f aca="false">U71-C$3</f>
        <v>2005</v>
      </c>
      <c r="W71" s="142" t="n">
        <f aca="false">VLOOKUP($A71,Table,MATCH(W$4,Curves,0))</f>
        <v>0.058966861357273</v>
      </c>
      <c r="X71" s="147" t="n">
        <f aca="false">1/(1+CHOOSE(F$3,(W72+($K$3/10000))/2,(W71+($K$3/10000))/2))^(2*V71/365.25)</f>
        <v>0.726866727702898</v>
      </c>
      <c r="Y71" s="71" t="n">
        <f aca="false">IF(AND(mthbeg&lt;=A71,mthend&gt;=A71),1,0)</f>
        <v>0</v>
      </c>
      <c r="Z71" s="71" t="n">
        <f aca="false">T71*Y71</f>
        <v>0</v>
      </c>
      <c r="AB71" s="132" t="n">
        <f aca="false">F71*G71</f>
        <v>0</v>
      </c>
      <c r="AC71" s="132" t="n">
        <f aca="false">$F71*H71</f>
        <v>0</v>
      </c>
      <c r="AD71" s="132" t="n">
        <f aca="false">$F71*I71</f>
        <v>0</v>
      </c>
      <c r="AE71" s="132" t="n">
        <f aca="false">$F71*J71</f>
        <v>0</v>
      </c>
      <c r="AF71" s="132" t="n">
        <f aca="false">$F71*K71</f>
        <v>0</v>
      </c>
      <c r="AG71" s="132" t="n">
        <f aca="false">$F71*L71</f>
        <v>0</v>
      </c>
      <c r="AH71" s="132" t="n">
        <f aca="false">$F71*M71</f>
        <v>0</v>
      </c>
      <c r="AI71" s="132" t="n">
        <f aca="false">$F71*N71</f>
        <v>0</v>
      </c>
      <c r="AJ71" s="132" t="n">
        <f aca="false">F71*O71</f>
        <v>0</v>
      </c>
      <c r="AK71" s="137"/>
      <c r="AL71" s="132" t="n">
        <f aca="false">CHOOSE($G$3,AC71-AD71,AD71-AC71)</f>
        <v>0</v>
      </c>
      <c r="AM71" s="132" t="n">
        <f aca="false">CHOOSE($G$3,AF71-AG71,AG71-AF71)</f>
        <v>0</v>
      </c>
      <c r="AN71" s="132" t="n">
        <f aca="false">CHOOSE($G$3,AI71-AJ71,AJ71-AI71)</f>
        <v>0</v>
      </c>
      <c r="AO71" s="148" t="n">
        <f aca="false">SUM(AL71:AN71)</f>
        <v>0</v>
      </c>
      <c r="AQ71" s="132" t="n">
        <f aca="false">CHOOSE($G$3,AB71-AC71,AC71-AB71)</f>
        <v>0</v>
      </c>
      <c r="AR71" s="132" t="n">
        <f aca="false">CHOOSE($G$3,AE71-AF71,AF71-AE71)</f>
        <v>0</v>
      </c>
      <c r="AS71" s="132" t="n">
        <f aca="false">CHOOSE($G$3,AH71-AI71,AI71-AH71)</f>
        <v>0</v>
      </c>
      <c r="AT71" s="148" t="n">
        <f aca="false">AQ71+AR71+AS71</f>
        <v>0</v>
      </c>
      <c r="AU71" s="148"/>
      <c r="AV71" s="133" t="n">
        <f aca="false">AT71+AO71</f>
        <v>0</v>
      </c>
      <c r="AX71" s="133" t="n">
        <f aca="false">AJ71+AG71+AD71</f>
        <v>0</v>
      </c>
      <c r="AY71" s="149"/>
      <c r="AZ71" s="76" t="n">
        <f aca="false">R71*E71</f>
        <v>0</v>
      </c>
    </row>
    <row r="72" customFormat="false" ht="12.75" hidden="false" customHeight="false" outlineLevel="0" collapsed="false">
      <c r="A72" s="138" t="n">
        <f aca="false">EDATE(A71,1)</f>
        <v>38869</v>
      </c>
      <c r="B72" s="139" t="n">
        <f aca="false">VLOOKUP($A72,Table2,MATCH(I$3,Curves2,0))</f>
        <v>60900</v>
      </c>
      <c r="C72" s="140"/>
      <c r="D72" s="141" t="n">
        <f aca="false">B72+C72</f>
        <v>60900</v>
      </c>
      <c r="E72" s="126" t="n">
        <f aca="false">IF(Y72=0,0,IF(AND(Y72=1,$H$3=1),D72*T72,IF($H$3=2,D72,"N/A")))</f>
        <v>0</v>
      </c>
      <c r="F72" s="126" t="n">
        <f aca="false">E72*X72</f>
        <v>0</v>
      </c>
      <c r="G72" s="142" t="n">
        <f aca="false">VLOOKUP($A72,Table,MATCH(G$4,Curves,0))</f>
        <v>3.987</v>
      </c>
      <c r="H72" s="143" t="n">
        <f aca="false">G72</f>
        <v>3.987</v>
      </c>
      <c r="I72" s="142" t="n">
        <f aca="false">VLOOKUP($A72,Table1,MATCH(I$3,Curves1,0))</f>
        <v>3.7904</v>
      </c>
      <c r="J72" s="142" t="n">
        <f aca="false">VLOOKUP($A72,Table,MATCH(J$4,Curves,0))</f>
        <v>0.011</v>
      </c>
      <c r="K72" s="143" t="n">
        <f aca="false">J72</f>
        <v>0.011</v>
      </c>
      <c r="L72" s="144" t="n">
        <v>0</v>
      </c>
      <c r="M72" s="142" t="n">
        <f aca="false">VLOOKUP($A72,Table,MATCH(M$4,Curves,0))</f>
        <v>0.015</v>
      </c>
      <c r="N72" s="143" t="n">
        <f aca="false">M72</f>
        <v>0.015</v>
      </c>
      <c r="O72" s="144" t="n">
        <v>0</v>
      </c>
      <c r="P72" s="145"/>
      <c r="Q72" s="144" t="n">
        <f aca="false">M72+J72+G72</f>
        <v>4.013</v>
      </c>
      <c r="R72" s="144" t="n">
        <f aca="false">O72+L72+I72</f>
        <v>3.7904</v>
      </c>
      <c r="S72" s="145"/>
      <c r="T72" s="71" t="n">
        <f aca="false">A73-A72</f>
        <v>30</v>
      </c>
      <c r="U72" s="146" t="n">
        <f aca="false">CHOOSE(F$3,A73+24,A72)</f>
        <v>38923</v>
      </c>
      <c r="V72" s="71" t="n">
        <f aca="false">U72-C$3</f>
        <v>2035</v>
      </c>
      <c r="W72" s="142" t="n">
        <f aca="false">VLOOKUP($A72,Table,MATCH(W$4,Curves,0))</f>
        <v>0.058966861357273</v>
      </c>
      <c r="X72" s="147" t="n">
        <f aca="false">1/(1+CHOOSE(F$3,(W73+($K$3/10000))/2,(W72+($K$3/10000))/2))^(2*V72/365.25)</f>
        <v>0.72340547914935</v>
      </c>
      <c r="Y72" s="71" t="n">
        <f aca="false">IF(AND(mthbeg&lt;=A72,mthend&gt;=A72),1,0)</f>
        <v>0</v>
      </c>
      <c r="Z72" s="71" t="n">
        <f aca="false">T72*Y72</f>
        <v>0</v>
      </c>
      <c r="AB72" s="132" t="n">
        <f aca="false">F72*G72</f>
        <v>0</v>
      </c>
      <c r="AC72" s="132" t="n">
        <f aca="false">$F72*H72</f>
        <v>0</v>
      </c>
      <c r="AD72" s="132" t="n">
        <f aca="false">$F72*I72</f>
        <v>0</v>
      </c>
      <c r="AE72" s="132" t="n">
        <f aca="false">$F72*J72</f>
        <v>0</v>
      </c>
      <c r="AF72" s="132" t="n">
        <f aca="false">$F72*K72</f>
        <v>0</v>
      </c>
      <c r="AG72" s="132" t="n">
        <f aca="false">$F72*L72</f>
        <v>0</v>
      </c>
      <c r="AH72" s="132" t="n">
        <f aca="false">$F72*M72</f>
        <v>0</v>
      </c>
      <c r="AI72" s="132" t="n">
        <f aca="false">$F72*N72</f>
        <v>0</v>
      </c>
      <c r="AJ72" s="132" t="n">
        <f aca="false">F72*O72</f>
        <v>0</v>
      </c>
      <c r="AK72" s="137"/>
      <c r="AL72" s="132" t="n">
        <f aca="false">CHOOSE($G$3,AC72-AD72,AD72-AC72)</f>
        <v>0</v>
      </c>
      <c r="AM72" s="132" t="n">
        <f aca="false">CHOOSE($G$3,AF72-AG72,AG72-AF72)</f>
        <v>0</v>
      </c>
      <c r="AN72" s="132" t="n">
        <f aca="false">CHOOSE($G$3,AI72-AJ72,AJ72-AI72)</f>
        <v>0</v>
      </c>
      <c r="AO72" s="148" t="n">
        <f aca="false">SUM(AL72:AN72)</f>
        <v>0</v>
      </c>
      <c r="AQ72" s="132" t="n">
        <f aca="false">CHOOSE($G$3,AB72-AC72,AC72-AB72)</f>
        <v>0</v>
      </c>
      <c r="AR72" s="132" t="n">
        <f aca="false">CHOOSE($G$3,AE72-AF72,AF72-AE72)</f>
        <v>0</v>
      </c>
      <c r="AS72" s="132" t="n">
        <f aca="false">CHOOSE($G$3,AH72-AI72,AI72-AH72)</f>
        <v>0</v>
      </c>
      <c r="AT72" s="148" t="n">
        <f aca="false">AQ72+AR72+AS72</f>
        <v>0</v>
      </c>
      <c r="AU72" s="148"/>
      <c r="AV72" s="133" t="n">
        <f aca="false">AT72+AO72</f>
        <v>0</v>
      </c>
      <c r="AX72" s="133" t="n">
        <f aca="false">AJ72+AG72+AD72</f>
        <v>0</v>
      </c>
      <c r="AY72" s="149"/>
      <c r="AZ72" s="76" t="n">
        <f aca="false">R72*E72</f>
        <v>0</v>
      </c>
    </row>
    <row r="73" customFormat="false" ht="12.75" hidden="false" customHeight="false" outlineLevel="0" collapsed="false">
      <c r="A73" s="138" t="n">
        <f aca="false">EDATE(A72,1)</f>
        <v>38899</v>
      </c>
      <c r="B73" s="139" t="n">
        <f aca="false">VLOOKUP($A73,Table2,MATCH(I$3,Curves2,0))</f>
        <v>60900</v>
      </c>
      <c r="C73" s="140"/>
      <c r="D73" s="141" t="n">
        <f aca="false">B73+C73</f>
        <v>60900</v>
      </c>
      <c r="E73" s="126" t="n">
        <f aca="false">IF(Y73=0,0,IF(AND(Y73=1,$H$3=1),D73*T73,IF($H$3=2,D73,"N/A")))</f>
        <v>0</v>
      </c>
      <c r="F73" s="126" t="n">
        <f aca="false">E73*X73</f>
        <v>0</v>
      </c>
      <c r="G73" s="142" t="n">
        <f aca="false">VLOOKUP($A73,Table,MATCH(G$4,Curves,0))</f>
        <v>3.987</v>
      </c>
      <c r="H73" s="143" t="n">
        <f aca="false">G73</f>
        <v>3.987</v>
      </c>
      <c r="I73" s="142" t="n">
        <f aca="false">VLOOKUP($A73,Table1,MATCH(I$3,Curves1,0))</f>
        <v>3.7904</v>
      </c>
      <c r="J73" s="142" t="n">
        <f aca="false">VLOOKUP($A73,Table,MATCH(J$4,Curves,0))</f>
        <v>0.011</v>
      </c>
      <c r="K73" s="143" t="n">
        <f aca="false">J73</f>
        <v>0.011</v>
      </c>
      <c r="L73" s="144" t="n">
        <v>0</v>
      </c>
      <c r="M73" s="142" t="n">
        <f aca="false">VLOOKUP($A73,Table,MATCH(M$4,Curves,0))</f>
        <v>0.015</v>
      </c>
      <c r="N73" s="143" t="n">
        <f aca="false">M73</f>
        <v>0.015</v>
      </c>
      <c r="O73" s="144" t="n">
        <v>0</v>
      </c>
      <c r="P73" s="145"/>
      <c r="Q73" s="144" t="n">
        <f aca="false">M73+J73+G73</f>
        <v>4.013</v>
      </c>
      <c r="R73" s="144" t="n">
        <f aca="false">O73+L73+I73</f>
        <v>3.7904</v>
      </c>
      <c r="S73" s="145"/>
      <c r="T73" s="71" t="n">
        <f aca="false">A74-A73</f>
        <v>31</v>
      </c>
      <c r="U73" s="146" t="n">
        <f aca="false">CHOOSE(F$3,A74+24,A73)</f>
        <v>38954</v>
      </c>
      <c r="V73" s="71" t="n">
        <f aca="false">U73-C$3</f>
        <v>2066</v>
      </c>
      <c r="W73" s="142" t="n">
        <f aca="false">VLOOKUP($A73,Table,MATCH(W$4,Curves,0))</f>
        <v>0.058966861357273</v>
      </c>
      <c r="X73" s="147" t="n">
        <f aca="false">1/(1+CHOOSE(F$3,(W74+($K$3/10000))/2,(W73+($K$3/10000))/2))^(2*V73/365.25)</f>
        <v>0.719846170018374</v>
      </c>
      <c r="Y73" s="71" t="n">
        <f aca="false">IF(AND(mthbeg&lt;=A73,mthend&gt;=A73),1,0)</f>
        <v>0</v>
      </c>
      <c r="Z73" s="71" t="n">
        <f aca="false">T73*Y73</f>
        <v>0</v>
      </c>
      <c r="AB73" s="132" t="n">
        <f aca="false">F73*G73</f>
        <v>0</v>
      </c>
      <c r="AC73" s="132" t="n">
        <f aca="false">$F73*H73</f>
        <v>0</v>
      </c>
      <c r="AD73" s="132" t="n">
        <f aca="false">$F73*I73</f>
        <v>0</v>
      </c>
      <c r="AE73" s="132" t="n">
        <f aca="false">$F73*J73</f>
        <v>0</v>
      </c>
      <c r="AF73" s="132" t="n">
        <f aca="false">$F73*K73</f>
        <v>0</v>
      </c>
      <c r="AG73" s="132" t="n">
        <f aca="false">$F73*L73</f>
        <v>0</v>
      </c>
      <c r="AH73" s="132" t="n">
        <f aca="false">$F73*M73</f>
        <v>0</v>
      </c>
      <c r="AI73" s="132" t="n">
        <f aca="false">$F73*N73</f>
        <v>0</v>
      </c>
      <c r="AJ73" s="132" t="n">
        <f aca="false">F73*O73</f>
        <v>0</v>
      </c>
      <c r="AK73" s="137"/>
      <c r="AL73" s="132" t="n">
        <f aca="false">CHOOSE($G$3,AC73-AD73,AD73-AC73)</f>
        <v>0</v>
      </c>
      <c r="AM73" s="132" t="n">
        <f aca="false">CHOOSE($G$3,AF73-AG73,AG73-AF73)</f>
        <v>0</v>
      </c>
      <c r="AN73" s="132" t="n">
        <f aca="false">CHOOSE($G$3,AI73-AJ73,AJ73-AI73)</f>
        <v>0</v>
      </c>
      <c r="AO73" s="148" t="n">
        <f aca="false">SUM(AL73:AN73)</f>
        <v>0</v>
      </c>
      <c r="AQ73" s="132" t="n">
        <f aca="false">CHOOSE($G$3,AB73-AC73,AC73-AB73)</f>
        <v>0</v>
      </c>
      <c r="AR73" s="132" t="n">
        <f aca="false">CHOOSE($G$3,AE73-AF73,AF73-AE73)</f>
        <v>0</v>
      </c>
      <c r="AS73" s="132" t="n">
        <f aca="false">CHOOSE($G$3,AH73-AI73,AI73-AH73)</f>
        <v>0</v>
      </c>
      <c r="AT73" s="148" t="n">
        <f aca="false">AQ73+AR73+AS73</f>
        <v>0</v>
      </c>
      <c r="AU73" s="148"/>
      <c r="AV73" s="133" t="n">
        <f aca="false">AT73+AO73</f>
        <v>0</v>
      </c>
      <c r="AX73" s="133" t="n">
        <f aca="false">AJ73+AG73+AD73</f>
        <v>0</v>
      </c>
      <c r="AY73" s="149"/>
      <c r="AZ73" s="76" t="n">
        <f aca="false">R73*E73</f>
        <v>0</v>
      </c>
    </row>
    <row r="74" customFormat="false" ht="12.75" hidden="false" customHeight="false" outlineLevel="0" collapsed="false">
      <c r="A74" s="138" t="n">
        <f aca="false">EDATE(A73,1)</f>
        <v>38930</v>
      </c>
      <c r="B74" s="139" t="n">
        <f aca="false">VLOOKUP($A74,Table2,MATCH(I$3,Curves2,0))</f>
        <v>60900</v>
      </c>
      <c r="C74" s="140"/>
      <c r="D74" s="141" t="n">
        <f aca="false">B74+C74</f>
        <v>60900</v>
      </c>
      <c r="E74" s="126" t="n">
        <f aca="false">IF(Y74=0,0,IF(AND(Y74=1,$H$3=1),D74*T74,IF($H$3=2,D74,"N/A")))</f>
        <v>0</v>
      </c>
      <c r="F74" s="126" t="n">
        <f aca="false">E74*X74</f>
        <v>0</v>
      </c>
      <c r="G74" s="142" t="n">
        <f aca="false">VLOOKUP($A74,Table,MATCH(G$4,Curves,0))</f>
        <v>3.987</v>
      </c>
      <c r="H74" s="143" t="n">
        <f aca="false">G74</f>
        <v>3.987</v>
      </c>
      <c r="I74" s="142" t="n">
        <f aca="false">VLOOKUP($A74,Table1,MATCH(I$3,Curves1,0))</f>
        <v>3.7904</v>
      </c>
      <c r="J74" s="142" t="n">
        <f aca="false">VLOOKUP($A74,Table,MATCH(J$4,Curves,0))</f>
        <v>0.011</v>
      </c>
      <c r="K74" s="143" t="n">
        <f aca="false">J74</f>
        <v>0.011</v>
      </c>
      <c r="L74" s="144" t="n">
        <v>0</v>
      </c>
      <c r="M74" s="142" t="n">
        <f aca="false">VLOOKUP($A74,Table,MATCH(M$4,Curves,0))</f>
        <v>0.015</v>
      </c>
      <c r="N74" s="143" t="n">
        <f aca="false">M74</f>
        <v>0.015</v>
      </c>
      <c r="O74" s="144" t="n">
        <v>0</v>
      </c>
      <c r="P74" s="145"/>
      <c r="Q74" s="144" t="n">
        <f aca="false">M74+J74+G74</f>
        <v>4.013</v>
      </c>
      <c r="R74" s="144" t="n">
        <f aca="false">O74+L74+I74</f>
        <v>3.7904</v>
      </c>
      <c r="S74" s="145"/>
      <c r="T74" s="71" t="n">
        <f aca="false">A75-A74</f>
        <v>31</v>
      </c>
      <c r="U74" s="146" t="n">
        <f aca="false">CHOOSE(F$3,A75+24,A74)</f>
        <v>38985</v>
      </c>
      <c r="V74" s="71" t="n">
        <f aca="false">U74-C$3</f>
        <v>2097</v>
      </c>
      <c r="W74" s="142" t="n">
        <f aca="false">VLOOKUP($A74,Table,MATCH(W$4,Curves,0))</f>
        <v>0.058966861357273</v>
      </c>
      <c r="X74" s="147" t="n">
        <f aca="false">1/(1+CHOOSE(F$3,(W75+($K$3/10000))/2,(W74+($K$3/10000))/2))^(2*V74/365.25)</f>
        <v>0.71630437344689</v>
      </c>
      <c r="Y74" s="71" t="n">
        <f aca="false">IF(AND(mthbeg&lt;=A74,mthend&gt;=A74),1,0)</f>
        <v>0</v>
      </c>
      <c r="Z74" s="71" t="n">
        <f aca="false">T74*Y74</f>
        <v>0</v>
      </c>
      <c r="AB74" s="132" t="n">
        <f aca="false">F74*G74</f>
        <v>0</v>
      </c>
      <c r="AC74" s="132" t="n">
        <f aca="false">$F74*H74</f>
        <v>0</v>
      </c>
      <c r="AD74" s="132" t="n">
        <f aca="false">$F74*I74</f>
        <v>0</v>
      </c>
      <c r="AE74" s="132" t="n">
        <f aca="false">$F74*J74</f>
        <v>0</v>
      </c>
      <c r="AF74" s="132" t="n">
        <f aca="false">$F74*K74</f>
        <v>0</v>
      </c>
      <c r="AG74" s="132" t="n">
        <f aca="false">$F74*L74</f>
        <v>0</v>
      </c>
      <c r="AH74" s="132" t="n">
        <f aca="false">$F74*M74</f>
        <v>0</v>
      </c>
      <c r="AI74" s="132" t="n">
        <f aca="false">$F74*N74</f>
        <v>0</v>
      </c>
      <c r="AJ74" s="132" t="n">
        <f aca="false">F74*O74</f>
        <v>0</v>
      </c>
      <c r="AK74" s="137"/>
      <c r="AL74" s="132" t="n">
        <f aca="false">CHOOSE($G$3,AC74-AD74,AD74-AC74)</f>
        <v>0</v>
      </c>
      <c r="AM74" s="132" t="n">
        <f aca="false">CHOOSE($G$3,AF74-AG74,AG74-AF74)</f>
        <v>0</v>
      </c>
      <c r="AN74" s="132" t="n">
        <f aca="false">CHOOSE($G$3,AI74-AJ74,AJ74-AI74)</f>
        <v>0</v>
      </c>
      <c r="AO74" s="148" t="n">
        <f aca="false">SUM(AL74:AN74)</f>
        <v>0</v>
      </c>
      <c r="AQ74" s="132" t="n">
        <f aca="false">CHOOSE($G$3,AB74-AC74,AC74-AB74)</f>
        <v>0</v>
      </c>
      <c r="AR74" s="132" t="n">
        <f aca="false">CHOOSE($G$3,AE74-AF74,AF74-AE74)</f>
        <v>0</v>
      </c>
      <c r="AS74" s="132" t="n">
        <f aca="false">CHOOSE($G$3,AH74-AI74,AI74-AH74)</f>
        <v>0</v>
      </c>
      <c r="AT74" s="148" t="n">
        <f aca="false">AQ74+AR74+AS74</f>
        <v>0</v>
      </c>
      <c r="AU74" s="148"/>
      <c r="AV74" s="133" t="n">
        <f aca="false">AT74+AO74</f>
        <v>0</v>
      </c>
      <c r="AX74" s="133" t="n">
        <f aca="false">AJ74+AG74+AD74</f>
        <v>0</v>
      </c>
      <c r="AY74" s="149"/>
      <c r="AZ74" s="76" t="n">
        <f aca="false">R74*E74</f>
        <v>0</v>
      </c>
    </row>
    <row r="75" customFormat="false" ht="12.75" hidden="false" customHeight="false" outlineLevel="0" collapsed="false">
      <c r="A75" s="138" t="n">
        <f aca="false">EDATE(A74,1)</f>
        <v>38961</v>
      </c>
      <c r="B75" s="139" t="n">
        <f aca="false">VLOOKUP($A75,Table2,MATCH(I$3,Curves2,0))</f>
        <v>60900</v>
      </c>
      <c r="C75" s="140"/>
      <c r="D75" s="141" t="n">
        <f aca="false">B75+C75</f>
        <v>60900</v>
      </c>
      <c r="E75" s="126" t="n">
        <f aca="false">IF(Y75=0,0,IF(AND(Y75=1,$H$3=1),D75*T75,IF($H$3=2,D75,"N/A")))</f>
        <v>0</v>
      </c>
      <c r="F75" s="126" t="n">
        <f aca="false">E75*X75</f>
        <v>0</v>
      </c>
      <c r="G75" s="142" t="n">
        <f aca="false">VLOOKUP($A75,Table,MATCH(G$4,Curves,0))</f>
        <v>3.987</v>
      </c>
      <c r="H75" s="143" t="n">
        <f aca="false">G75</f>
        <v>3.987</v>
      </c>
      <c r="I75" s="142" t="n">
        <f aca="false">VLOOKUP($A75,Table1,MATCH(I$3,Curves1,0))</f>
        <v>3.7904</v>
      </c>
      <c r="J75" s="142" t="n">
        <f aca="false">VLOOKUP($A75,Table,MATCH(J$4,Curves,0))</f>
        <v>0.011</v>
      </c>
      <c r="K75" s="143" t="n">
        <f aca="false">J75</f>
        <v>0.011</v>
      </c>
      <c r="L75" s="144" t="n">
        <v>0</v>
      </c>
      <c r="M75" s="142" t="n">
        <f aca="false">VLOOKUP($A75,Table,MATCH(M$4,Curves,0))</f>
        <v>0.015</v>
      </c>
      <c r="N75" s="143" t="n">
        <f aca="false">M75</f>
        <v>0.015</v>
      </c>
      <c r="O75" s="144" t="n">
        <v>0</v>
      </c>
      <c r="P75" s="145"/>
      <c r="Q75" s="144" t="n">
        <f aca="false">M75+J75+G75</f>
        <v>4.013</v>
      </c>
      <c r="R75" s="144" t="n">
        <f aca="false">O75+L75+I75</f>
        <v>3.7904</v>
      </c>
      <c r="S75" s="145"/>
      <c r="T75" s="71" t="n">
        <f aca="false">A76-A75</f>
        <v>30</v>
      </c>
      <c r="U75" s="146" t="n">
        <f aca="false">CHOOSE(F$3,A76+24,A75)</f>
        <v>39015</v>
      </c>
      <c r="V75" s="71" t="n">
        <f aca="false">U75-C$3</f>
        <v>2127</v>
      </c>
      <c r="W75" s="142" t="n">
        <f aca="false">VLOOKUP($A75,Table,MATCH(W$4,Curves,0))</f>
        <v>0.058966861357273</v>
      </c>
      <c r="X75" s="147" t="n">
        <f aca="false">1/(1+CHOOSE(F$3,(W76+($K$3/10000))/2,(W75+($K$3/10000))/2))^(2*V75/365.25)</f>
        <v>0.712893421504807</v>
      </c>
      <c r="Y75" s="71" t="n">
        <f aca="false">IF(AND(mthbeg&lt;=A75,mthend&gt;=A75),1,0)</f>
        <v>0</v>
      </c>
      <c r="Z75" s="71" t="n">
        <f aca="false">T75*Y75</f>
        <v>0</v>
      </c>
      <c r="AB75" s="132" t="n">
        <f aca="false">F75*G75</f>
        <v>0</v>
      </c>
      <c r="AC75" s="132" t="n">
        <f aca="false">$F75*H75</f>
        <v>0</v>
      </c>
      <c r="AD75" s="132" t="n">
        <f aca="false">$F75*I75</f>
        <v>0</v>
      </c>
      <c r="AE75" s="132" t="n">
        <f aca="false">$F75*J75</f>
        <v>0</v>
      </c>
      <c r="AF75" s="132" t="n">
        <f aca="false">$F75*K75</f>
        <v>0</v>
      </c>
      <c r="AG75" s="132" t="n">
        <f aca="false">$F75*L75</f>
        <v>0</v>
      </c>
      <c r="AH75" s="132" t="n">
        <f aca="false">$F75*M75</f>
        <v>0</v>
      </c>
      <c r="AI75" s="132" t="n">
        <f aca="false">$F75*N75</f>
        <v>0</v>
      </c>
      <c r="AJ75" s="132" t="n">
        <f aca="false">F75*O75</f>
        <v>0</v>
      </c>
      <c r="AK75" s="137"/>
      <c r="AL75" s="132" t="n">
        <f aca="false">CHOOSE($G$3,AC75-AD75,AD75-AC75)</f>
        <v>0</v>
      </c>
      <c r="AM75" s="132" t="n">
        <f aca="false">CHOOSE($G$3,AF75-AG75,AG75-AF75)</f>
        <v>0</v>
      </c>
      <c r="AN75" s="132" t="n">
        <f aca="false">CHOOSE($G$3,AI75-AJ75,AJ75-AI75)</f>
        <v>0</v>
      </c>
      <c r="AO75" s="148" t="n">
        <f aca="false">SUM(AL75:AN75)</f>
        <v>0</v>
      </c>
      <c r="AQ75" s="132" t="n">
        <f aca="false">CHOOSE($G$3,AB75-AC75,AC75-AB75)</f>
        <v>0</v>
      </c>
      <c r="AR75" s="132" t="n">
        <f aca="false">CHOOSE($G$3,AE75-AF75,AF75-AE75)</f>
        <v>0</v>
      </c>
      <c r="AS75" s="132" t="n">
        <f aca="false">CHOOSE($G$3,AH75-AI75,AI75-AH75)</f>
        <v>0</v>
      </c>
      <c r="AT75" s="148" t="n">
        <f aca="false">AQ75+AR75+AS75</f>
        <v>0</v>
      </c>
      <c r="AU75" s="148"/>
      <c r="AV75" s="133" t="n">
        <f aca="false">AT75+AO75</f>
        <v>0</v>
      </c>
      <c r="AX75" s="133" t="n">
        <f aca="false">AJ75+AG75+AD75</f>
        <v>0</v>
      </c>
      <c r="AY75" s="149"/>
      <c r="AZ75" s="76" t="n">
        <f aca="false">R75*E75</f>
        <v>0</v>
      </c>
    </row>
    <row r="76" customFormat="false" ht="12.75" hidden="false" customHeight="false" outlineLevel="0" collapsed="false">
      <c r="A76" s="138" t="n">
        <f aca="false">EDATE(A75,1)</f>
        <v>38991</v>
      </c>
      <c r="B76" s="139" t="n">
        <f aca="false">VLOOKUP($A76,Table2,MATCH(I$3,Curves2,0))</f>
        <v>60900</v>
      </c>
      <c r="C76" s="140"/>
      <c r="D76" s="141" t="n">
        <f aca="false">B76+C76</f>
        <v>60900</v>
      </c>
      <c r="E76" s="126" t="n">
        <f aca="false">IF(Y76=0,0,IF(AND(Y76=1,$H$3=1),D76*T76,IF($H$3=2,D76,"N/A")))</f>
        <v>0</v>
      </c>
      <c r="F76" s="126" t="n">
        <f aca="false">E76*X76</f>
        <v>0</v>
      </c>
      <c r="G76" s="142" t="n">
        <f aca="false">VLOOKUP($A76,Table,MATCH(G$4,Curves,0))</f>
        <v>3.987</v>
      </c>
      <c r="H76" s="143" t="n">
        <f aca="false">G76</f>
        <v>3.987</v>
      </c>
      <c r="I76" s="142" t="n">
        <f aca="false">VLOOKUP($A76,Table1,MATCH(I$3,Curves1,0))</f>
        <v>3.7904</v>
      </c>
      <c r="J76" s="142" t="n">
        <f aca="false">VLOOKUP($A76,Table,MATCH(J$4,Curves,0))</f>
        <v>0.011</v>
      </c>
      <c r="K76" s="143" t="n">
        <f aca="false">J76</f>
        <v>0.011</v>
      </c>
      <c r="L76" s="144" t="n">
        <v>0</v>
      </c>
      <c r="M76" s="142" t="n">
        <f aca="false">VLOOKUP($A76,Table,MATCH(M$4,Curves,0))</f>
        <v>0.015</v>
      </c>
      <c r="N76" s="143" t="n">
        <f aca="false">M76</f>
        <v>0.015</v>
      </c>
      <c r="O76" s="144" t="n">
        <v>0</v>
      </c>
      <c r="P76" s="145"/>
      <c r="Q76" s="144" t="n">
        <f aca="false">M76+J76+G76</f>
        <v>4.013</v>
      </c>
      <c r="R76" s="144" t="n">
        <f aca="false">O76+L76+I76</f>
        <v>3.7904</v>
      </c>
      <c r="S76" s="145"/>
      <c r="T76" s="71" t="n">
        <f aca="false">A77-A76</f>
        <v>31</v>
      </c>
      <c r="U76" s="146" t="n">
        <f aca="false">CHOOSE(F$3,A77+24,A76)</f>
        <v>39046</v>
      </c>
      <c r="V76" s="71" t="n">
        <f aca="false">U76-C$3</f>
        <v>2158</v>
      </c>
      <c r="W76" s="142" t="n">
        <f aca="false">VLOOKUP($A76,Table,MATCH(W$4,Curves,0))</f>
        <v>0.058966861357273</v>
      </c>
      <c r="X76" s="147" t="n">
        <f aca="false">1/(1+CHOOSE(F$3,(W77+($K$3/10000))/2,(W76+($K$3/10000))/2))^(2*V76/365.25)</f>
        <v>0.709385833937793</v>
      </c>
      <c r="Y76" s="71" t="n">
        <f aca="false">IF(AND(mthbeg&lt;=A76,mthend&gt;=A76),1,0)</f>
        <v>0</v>
      </c>
      <c r="Z76" s="71" t="n">
        <f aca="false">T76*Y76</f>
        <v>0</v>
      </c>
      <c r="AB76" s="132" t="n">
        <f aca="false">F76*G76</f>
        <v>0</v>
      </c>
      <c r="AC76" s="132" t="n">
        <f aca="false">$F76*H76</f>
        <v>0</v>
      </c>
      <c r="AD76" s="132" t="n">
        <f aca="false">$F76*I76</f>
        <v>0</v>
      </c>
      <c r="AE76" s="132" t="n">
        <f aca="false">$F76*J76</f>
        <v>0</v>
      </c>
      <c r="AF76" s="132" t="n">
        <f aca="false">$F76*K76</f>
        <v>0</v>
      </c>
      <c r="AG76" s="132" t="n">
        <f aca="false">$F76*L76</f>
        <v>0</v>
      </c>
      <c r="AH76" s="132" t="n">
        <f aca="false">$F76*M76</f>
        <v>0</v>
      </c>
      <c r="AI76" s="132" t="n">
        <f aca="false">$F76*N76</f>
        <v>0</v>
      </c>
      <c r="AJ76" s="132" t="n">
        <f aca="false">F76*O76</f>
        <v>0</v>
      </c>
      <c r="AK76" s="137"/>
      <c r="AL76" s="132" t="n">
        <f aca="false">CHOOSE($G$3,AC76-AD76,AD76-AC76)</f>
        <v>0</v>
      </c>
      <c r="AM76" s="132" t="n">
        <f aca="false">CHOOSE($G$3,AF76-AG76,AG76-AF76)</f>
        <v>0</v>
      </c>
      <c r="AN76" s="132" t="n">
        <f aca="false">CHOOSE($G$3,AI76-AJ76,AJ76-AI76)</f>
        <v>0</v>
      </c>
      <c r="AO76" s="148" t="n">
        <f aca="false">SUM(AL76:AN76)</f>
        <v>0</v>
      </c>
      <c r="AQ76" s="132" t="n">
        <f aca="false">CHOOSE($G$3,AB76-AC76,AC76-AB76)</f>
        <v>0</v>
      </c>
      <c r="AR76" s="132" t="n">
        <f aca="false">CHOOSE($G$3,AE76-AF76,AF76-AE76)</f>
        <v>0</v>
      </c>
      <c r="AS76" s="132" t="n">
        <f aca="false">CHOOSE($G$3,AH76-AI76,AI76-AH76)</f>
        <v>0</v>
      </c>
      <c r="AT76" s="148" t="n">
        <f aca="false">AQ76+AR76+AS76</f>
        <v>0</v>
      </c>
      <c r="AU76" s="148"/>
      <c r="AV76" s="133" t="n">
        <f aca="false">AT76+AO76</f>
        <v>0</v>
      </c>
      <c r="AX76" s="133" t="n">
        <f aca="false">AJ76+AG76+AD76</f>
        <v>0</v>
      </c>
      <c r="AY76" s="149"/>
      <c r="AZ76" s="76" t="n">
        <f aca="false">R76*E76</f>
        <v>0</v>
      </c>
    </row>
    <row r="77" customFormat="false" ht="12.75" hidden="false" customHeight="false" outlineLevel="0" collapsed="false">
      <c r="A77" s="138" t="n">
        <f aca="false">EDATE(A76,1)</f>
        <v>39022</v>
      </c>
      <c r="B77" s="139" t="n">
        <f aca="false">VLOOKUP($A77,Table2,MATCH(I$3,Curves2,0))</f>
        <v>60900</v>
      </c>
      <c r="C77" s="140"/>
      <c r="D77" s="141" t="n">
        <f aca="false">B77+C77</f>
        <v>60900</v>
      </c>
      <c r="E77" s="126" t="n">
        <f aca="false">IF(Y77=0,0,IF(AND(Y77=1,$H$3=1),D77*T77,IF($H$3=2,D77,"N/A")))</f>
        <v>0</v>
      </c>
      <c r="F77" s="126" t="n">
        <f aca="false">E77*X77</f>
        <v>0</v>
      </c>
      <c r="G77" s="142" t="n">
        <f aca="false">VLOOKUP($A77,Table,MATCH(G$4,Curves,0))</f>
        <v>3.987</v>
      </c>
      <c r="H77" s="143" t="n">
        <f aca="false">G77</f>
        <v>3.987</v>
      </c>
      <c r="I77" s="142" t="n">
        <f aca="false">VLOOKUP($A77,Table1,MATCH(I$3,Curves1,0))</f>
        <v>3.7904</v>
      </c>
      <c r="J77" s="142" t="n">
        <f aca="false">VLOOKUP($A77,Table,MATCH(J$4,Curves,0))</f>
        <v>0.011</v>
      </c>
      <c r="K77" s="143" t="n">
        <f aca="false">J77</f>
        <v>0.011</v>
      </c>
      <c r="L77" s="144" t="n">
        <v>0</v>
      </c>
      <c r="M77" s="142" t="n">
        <f aca="false">VLOOKUP($A77,Table,MATCH(M$4,Curves,0))</f>
        <v>0.015</v>
      </c>
      <c r="N77" s="143" t="n">
        <f aca="false">M77</f>
        <v>0.015</v>
      </c>
      <c r="O77" s="144" t="n">
        <v>0</v>
      </c>
      <c r="P77" s="145"/>
      <c r="Q77" s="144" t="n">
        <f aca="false">M77+J77+G77</f>
        <v>4.013</v>
      </c>
      <c r="R77" s="144" t="n">
        <f aca="false">O77+L77+I77</f>
        <v>3.7904</v>
      </c>
      <c r="S77" s="145"/>
      <c r="T77" s="71" t="n">
        <f aca="false">A78-A77</f>
        <v>30</v>
      </c>
      <c r="U77" s="146" t="n">
        <f aca="false">CHOOSE(F$3,A78+24,A77)</f>
        <v>39076</v>
      </c>
      <c r="V77" s="71" t="n">
        <f aca="false">U77-C$3</f>
        <v>2188</v>
      </c>
      <c r="W77" s="142" t="n">
        <f aca="false">VLOOKUP($A77,Table,MATCH(W$4,Curves,0))</f>
        <v>0.058966861357273</v>
      </c>
      <c r="X77" s="147" t="n">
        <f aca="false">1/(1+CHOOSE(F$3,(W78+($K$3/10000))/2,(W77+($K$3/10000))/2))^(2*V77/365.25)</f>
        <v>0.706007827216554</v>
      </c>
      <c r="Y77" s="71" t="n">
        <f aca="false">IF(AND(mthbeg&lt;=A77,mthend&gt;=A77),1,0)</f>
        <v>0</v>
      </c>
      <c r="Z77" s="71" t="n">
        <f aca="false">T77*Y77</f>
        <v>0</v>
      </c>
      <c r="AB77" s="132" t="n">
        <f aca="false">F77*G77</f>
        <v>0</v>
      </c>
      <c r="AC77" s="132" t="n">
        <f aca="false">$F77*H77</f>
        <v>0</v>
      </c>
      <c r="AD77" s="132" t="n">
        <f aca="false">$F77*I77</f>
        <v>0</v>
      </c>
      <c r="AE77" s="132" t="n">
        <f aca="false">$F77*J77</f>
        <v>0</v>
      </c>
      <c r="AF77" s="132" t="n">
        <f aca="false">$F77*K77</f>
        <v>0</v>
      </c>
      <c r="AG77" s="132" t="n">
        <f aca="false">$F77*L77</f>
        <v>0</v>
      </c>
      <c r="AH77" s="132" t="n">
        <f aca="false">$F77*M77</f>
        <v>0</v>
      </c>
      <c r="AI77" s="132" t="n">
        <f aca="false">$F77*N77</f>
        <v>0</v>
      </c>
      <c r="AJ77" s="132" t="n">
        <f aca="false">F77*O77</f>
        <v>0</v>
      </c>
      <c r="AK77" s="137"/>
      <c r="AL77" s="132" t="n">
        <f aca="false">CHOOSE($G$3,AC77-AD77,AD77-AC77)</f>
        <v>0</v>
      </c>
      <c r="AM77" s="132" t="n">
        <f aca="false">CHOOSE($G$3,AF77-AG77,AG77-AF77)</f>
        <v>0</v>
      </c>
      <c r="AN77" s="132" t="n">
        <f aca="false">CHOOSE($G$3,AI77-AJ77,AJ77-AI77)</f>
        <v>0</v>
      </c>
      <c r="AO77" s="148" t="n">
        <f aca="false">SUM(AL77:AN77)</f>
        <v>0</v>
      </c>
      <c r="AQ77" s="132" t="n">
        <f aca="false">CHOOSE($G$3,AB77-AC77,AC77-AB77)</f>
        <v>0</v>
      </c>
      <c r="AR77" s="132" t="n">
        <f aca="false">CHOOSE($G$3,AE77-AF77,AF77-AE77)</f>
        <v>0</v>
      </c>
      <c r="AS77" s="132" t="n">
        <f aca="false">CHOOSE($G$3,AH77-AI77,AI77-AH77)</f>
        <v>0</v>
      </c>
      <c r="AT77" s="148" t="n">
        <f aca="false">AQ77+AR77+AS77</f>
        <v>0</v>
      </c>
      <c r="AU77" s="148"/>
      <c r="AV77" s="133" t="n">
        <f aca="false">AT77+AO77</f>
        <v>0</v>
      </c>
      <c r="AX77" s="133" t="n">
        <f aca="false">AJ77+AG77+AD77</f>
        <v>0</v>
      </c>
      <c r="AY77" s="149"/>
      <c r="AZ77" s="76" t="n">
        <f aca="false">R77*E77</f>
        <v>0</v>
      </c>
    </row>
    <row r="78" customFormat="false" ht="12.75" hidden="false" customHeight="false" outlineLevel="0" collapsed="false">
      <c r="A78" s="138" t="n">
        <f aca="false">EDATE(A77,1)</f>
        <v>39052</v>
      </c>
      <c r="B78" s="139" t="n">
        <f aca="false">VLOOKUP($A78,Table2,MATCH(I$3,Curves2,0))</f>
        <v>60900</v>
      </c>
      <c r="C78" s="140"/>
      <c r="D78" s="141" t="n">
        <f aca="false">B78+C78</f>
        <v>60900</v>
      </c>
      <c r="E78" s="126" t="n">
        <f aca="false">IF(Y78=0,0,IF(AND(Y78=1,$H$3=1),D78*T78,IF($H$3=2,D78,"N/A")))</f>
        <v>0</v>
      </c>
      <c r="F78" s="126" t="n">
        <f aca="false">E78*X78</f>
        <v>0</v>
      </c>
      <c r="G78" s="142" t="n">
        <f aca="false">VLOOKUP($A78,Table,MATCH(G$4,Curves,0))</f>
        <v>3.987</v>
      </c>
      <c r="H78" s="143" t="n">
        <f aca="false">G78</f>
        <v>3.987</v>
      </c>
      <c r="I78" s="142" t="n">
        <f aca="false">VLOOKUP($A78,Table1,MATCH(I$3,Curves1,0))</f>
        <v>3.7904</v>
      </c>
      <c r="J78" s="142" t="n">
        <f aca="false">VLOOKUP($A78,Table,MATCH(J$4,Curves,0))</f>
        <v>0.011</v>
      </c>
      <c r="K78" s="143" t="n">
        <f aca="false">J78</f>
        <v>0.011</v>
      </c>
      <c r="L78" s="144" t="n">
        <v>0</v>
      </c>
      <c r="M78" s="142" t="n">
        <f aca="false">VLOOKUP($A78,Table,MATCH(M$4,Curves,0))</f>
        <v>0.015</v>
      </c>
      <c r="N78" s="143" t="n">
        <f aca="false">M78</f>
        <v>0.015</v>
      </c>
      <c r="O78" s="144" t="n">
        <v>0</v>
      </c>
      <c r="P78" s="145"/>
      <c r="Q78" s="144" t="n">
        <f aca="false">M78+J78+G78</f>
        <v>4.013</v>
      </c>
      <c r="R78" s="144" t="n">
        <f aca="false">O78+L78+I78</f>
        <v>3.7904</v>
      </c>
      <c r="S78" s="145"/>
      <c r="T78" s="71" t="n">
        <f aca="false">A79-A78</f>
        <v>31</v>
      </c>
      <c r="U78" s="146" t="n">
        <f aca="false">CHOOSE(F$3,A79+24,A78)</f>
        <v>39107</v>
      </c>
      <c r="V78" s="71" t="n">
        <f aca="false">U78-C$3</f>
        <v>2219</v>
      </c>
      <c r="W78" s="142" t="n">
        <f aca="false">VLOOKUP($A78,Table,MATCH(W$4,Curves,0))</f>
        <v>0.058966861357273</v>
      </c>
      <c r="X78" s="147" t="n">
        <f aca="false">1/(1+CHOOSE(F$3,(W79+($K$3/10000))/2,(W78+($K$3/10000))/2))^(2*V78/365.25)</f>
        <v>0.702534118240909</v>
      </c>
      <c r="Y78" s="71" t="n">
        <f aca="false">IF(AND(mthbeg&lt;=A78,mthend&gt;=A78),1,0)</f>
        <v>0</v>
      </c>
      <c r="Z78" s="71" t="n">
        <f aca="false">T78*Y78</f>
        <v>0</v>
      </c>
      <c r="AB78" s="132" t="n">
        <f aca="false">F78*G78</f>
        <v>0</v>
      </c>
      <c r="AC78" s="132" t="n">
        <f aca="false">$F78*H78</f>
        <v>0</v>
      </c>
      <c r="AD78" s="132" t="n">
        <f aca="false">$F78*I78</f>
        <v>0</v>
      </c>
      <c r="AE78" s="132" t="n">
        <f aca="false">$F78*J78</f>
        <v>0</v>
      </c>
      <c r="AF78" s="132" t="n">
        <f aca="false">$F78*K78</f>
        <v>0</v>
      </c>
      <c r="AG78" s="132" t="n">
        <f aca="false">$F78*L78</f>
        <v>0</v>
      </c>
      <c r="AH78" s="132" t="n">
        <f aca="false">$F78*M78</f>
        <v>0</v>
      </c>
      <c r="AI78" s="132" t="n">
        <f aca="false">$F78*N78</f>
        <v>0</v>
      </c>
      <c r="AJ78" s="132" t="n">
        <f aca="false">F78*O78</f>
        <v>0</v>
      </c>
      <c r="AK78" s="137"/>
      <c r="AL78" s="132" t="n">
        <f aca="false">CHOOSE($G$3,AC78-AD78,AD78-AC78)</f>
        <v>0</v>
      </c>
      <c r="AM78" s="132" t="n">
        <f aca="false">CHOOSE($G$3,AF78-AG78,AG78-AF78)</f>
        <v>0</v>
      </c>
      <c r="AN78" s="132" t="n">
        <f aca="false">CHOOSE($G$3,AI78-AJ78,AJ78-AI78)</f>
        <v>0</v>
      </c>
      <c r="AO78" s="148" t="n">
        <f aca="false">SUM(AL78:AN78)</f>
        <v>0</v>
      </c>
      <c r="AQ78" s="132" t="n">
        <f aca="false">CHOOSE($G$3,AB78-AC78,AC78-AB78)</f>
        <v>0</v>
      </c>
      <c r="AR78" s="132" t="n">
        <f aca="false">CHOOSE($G$3,AE78-AF78,AF78-AE78)</f>
        <v>0</v>
      </c>
      <c r="AS78" s="132" t="n">
        <f aca="false">CHOOSE($G$3,AH78-AI78,AI78-AH78)</f>
        <v>0</v>
      </c>
      <c r="AT78" s="148" t="n">
        <f aca="false">AQ78+AR78+AS78</f>
        <v>0</v>
      </c>
      <c r="AU78" s="148"/>
      <c r="AV78" s="133" t="n">
        <f aca="false">AT78+AO78</f>
        <v>0</v>
      </c>
      <c r="AX78" s="133" t="n">
        <f aca="false">AJ78+AG78+AD78</f>
        <v>0</v>
      </c>
      <c r="AY78" s="149"/>
      <c r="AZ78" s="76" t="n">
        <f aca="false">R78*E78</f>
        <v>0</v>
      </c>
    </row>
    <row r="79" customFormat="false" ht="12.75" hidden="false" customHeight="false" outlineLevel="0" collapsed="false">
      <c r="A79" s="138" t="n">
        <f aca="false">EDATE(A78,1)</f>
        <v>39083</v>
      </c>
      <c r="B79" s="139" t="n">
        <f aca="false">VLOOKUP($A79,Table2,MATCH(I$3,Curves2,0))</f>
        <v>60900</v>
      </c>
      <c r="C79" s="140"/>
      <c r="D79" s="141" t="n">
        <f aca="false">B79+C79</f>
        <v>60900</v>
      </c>
      <c r="E79" s="126" t="n">
        <f aca="false">IF(Y79=0,0,IF(AND(Y79=1,$H$3=1),D79*T79,IF($H$3=2,D79,"N/A")))</f>
        <v>0</v>
      </c>
      <c r="F79" s="126" t="n">
        <f aca="false">E79*X79</f>
        <v>0</v>
      </c>
      <c r="G79" s="142" t="n">
        <f aca="false">VLOOKUP($A79,Table,MATCH(G$4,Curves,0))</f>
        <v>3.987</v>
      </c>
      <c r="H79" s="143" t="n">
        <f aca="false">G79</f>
        <v>3.987</v>
      </c>
      <c r="I79" s="142" t="n">
        <f aca="false">VLOOKUP($A79,Table1,MATCH(I$3,Curves1,0))</f>
        <v>3.7904</v>
      </c>
      <c r="J79" s="142" t="n">
        <f aca="false">VLOOKUP($A79,Table,MATCH(J$4,Curves,0))</f>
        <v>0.011</v>
      </c>
      <c r="K79" s="143" t="n">
        <f aca="false">J79</f>
        <v>0.011</v>
      </c>
      <c r="L79" s="144" t="n">
        <v>0</v>
      </c>
      <c r="M79" s="142" t="n">
        <f aca="false">VLOOKUP($A79,Table,MATCH(M$4,Curves,0))</f>
        <v>0.015</v>
      </c>
      <c r="N79" s="143" t="n">
        <f aca="false">M79</f>
        <v>0.015</v>
      </c>
      <c r="O79" s="144" t="n">
        <v>0</v>
      </c>
      <c r="P79" s="145"/>
      <c r="Q79" s="144" t="n">
        <f aca="false">M79+J79+G79</f>
        <v>4.013</v>
      </c>
      <c r="R79" s="144" t="n">
        <f aca="false">O79+L79+I79</f>
        <v>3.7904</v>
      </c>
      <c r="S79" s="145"/>
      <c r="T79" s="71" t="n">
        <f aca="false">A80-A79</f>
        <v>31</v>
      </c>
      <c r="U79" s="146" t="n">
        <f aca="false">CHOOSE(F$3,A80+24,A79)</f>
        <v>39138</v>
      </c>
      <c r="V79" s="71" t="n">
        <f aca="false">U79-C$3</f>
        <v>2250</v>
      </c>
      <c r="W79" s="142" t="n">
        <f aca="false">VLOOKUP($A79,Table,MATCH(W$4,Curves,0))</f>
        <v>0.058966861357273</v>
      </c>
      <c r="X79" s="147" t="n">
        <f aca="false">1/(1+CHOOSE(F$3,(W80+($K$3/10000))/2,(W79+($K$3/10000))/2))^(2*V79/365.25)</f>
        <v>0.699077500653747</v>
      </c>
      <c r="Y79" s="71" t="n">
        <f aca="false">IF(AND(mthbeg&lt;=A79,mthend&gt;=A79),1,0)</f>
        <v>0</v>
      </c>
      <c r="Z79" s="71" t="n">
        <f aca="false">T79*Y79</f>
        <v>0</v>
      </c>
      <c r="AB79" s="132" t="n">
        <f aca="false">F79*G79</f>
        <v>0</v>
      </c>
      <c r="AC79" s="132" t="n">
        <f aca="false">$F79*H79</f>
        <v>0</v>
      </c>
      <c r="AD79" s="132" t="n">
        <f aca="false">$F79*I79</f>
        <v>0</v>
      </c>
      <c r="AE79" s="132" t="n">
        <f aca="false">$F79*J79</f>
        <v>0</v>
      </c>
      <c r="AF79" s="132" t="n">
        <f aca="false">$F79*K79</f>
        <v>0</v>
      </c>
      <c r="AG79" s="132" t="n">
        <f aca="false">$F79*L79</f>
        <v>0</v>
      </c>
      <c r="AH79" s="132" t="n">
        <f aca="false">$F79*M79</f>
        <v>0</v>
      </c>
      <c r="AI79" s="132" t="n">
        <f aca="false">$F79*N79</f>
        <v>0</v>
      </c>
      <c r="AJ79" s="132" t="n">
        <f aca="false">F79*O79</f>
        <v>0</v>
      </c>
      <c r="AK79" s="137"/>
      <c r="AL79" s="132" t="n">
        <f aca="false">CHOOSE($G$3,AC79-AD79,AD79-AC79)</f>
        <v>0</v>
      </c>
      <c r="AM79" s="132" t="n">
        <f aca="false">CHOOSE($G$3,AF79-AG79,AG79-AF79)</f>
        <v>0</v>
      </c>
      <c r="AN79" s="132" t="n">
        <f aca="false">CHOOSE($G$3,AI79-AJ79,AJ79-AI79)</f>
        <v>0</v>
      </c>
      <c r="AO79" s="148" t="n">
        <f aca="false">SUM(AL79:AN79)</f>
        <v>0</v>
      </c>
      <c r="AQ79" s="132" t="n">
        <f aca="false">CHOOSE($G$3,AB79-AC79,AC79-AB79)</f>
        <v>0</v>
      </c>
      <c r="AR79" s="132" t="n">
        <f aca="false">CHOOSE($G$3,AE79-AF79,AF79-AE79)</f>
        <v>0</v>
      </c>
      <c r="AS79" s="132" t="n">
        <f aca="false">CHOOSE($G$3,AH79-AI79,AI79-AH79)</f>
        <v>0</v>
      </c>
      <c r="AT79" s="148" t="n">
        <f aca="false">AQ79+AR79+AS79</f>
        <v>0</v>
      </c>
      <c r="AU79" s="148"/>
      <c r="AV79" s="133" t="n">
        <f aca="false">AT79+AO79</f>
        <v>0</v>
      </c>
      <c r="AX79" s="133" t="n">
        <f aca="false">AJ79+AG79+AD79</f>
        <v>0</v>
      </c>
      <c r="AY79" s="149"/>
      <c r="AZ79" s="76" t="n">
        <f aca="false">R79*E79</f>
        <v>0</v>
      </c>
    </row>
    <row r="80" customFormat="false" ht="12.75" hidden="false" customHeight="false" outlineLevel="0" collapsed="false">
      <c r="A80" s="138" t="n">
        <f aca="false">EDATE(A79,1)</f>
        <v>39114</v>
      </c>
      <c r="B80" s="139" t="n">
        <f aca="false">VLOOKUP($A80,Table2,MATCH(I$3,Curves2,0))</f>
        <v>60900</v>
      </c>
      <c r="C80" s="140"/>
      <c r="D80" s="141" t="n">
        <f aca="false">B80+C80</f>
        <v>60900</v>
      </c>
      <c r="E80" s="126" t="n">
        <f aca="false">IF(Y80=0,0,IF(AND(Y80=1,$H$3=1),D80*T80,IF($H$3=2,D80,"N/A")))</f>
        <v>0</v>
      </c>
      <c r="F80" s="126" t="n">
        <f aca="false">E80*X80</f>
        <v>0</v>
      </c>
      <c r="G80" s="142" t="n">
        <f aca="false">VLOOKUP($A80,Table,MATCH(G$4,Curves,0))</f>
        <v>3.987</v>
      </c>
      <c r="H80" s="143" t="n">
        <f aca="false">G80</f>
        <v>3.987</v>
      </c>
      <c r="I80" s="142" t="n">
        <f aca="false">VLOOKUP($A80,Table1,MATCH(I$3,Curves1,0))</f>
        <v>3.7904</v>
      </c>
      <c r="J80" s="142" t="n">
        <f aca="false">VLOOKUP($A80,Table,MATCH(J$4,Curves,0))</f>
        <v>0.011</v>
      </c>
      <c r="K80" s="143" t="n">
        <f aca="false">J80</f>
        <v>0.011</v>
      </c>
      <c r="L80" s="144" t="n">
        <v>0</v>
      </c>
      <c r="M80" s="142" t="n">
        <f aca="false">VLOOKUP($A80,Table,MATCH(M$4,Curves,0))</f>
        <v>0.015</v>
      </c>
      <c r="N80" s="143" t="n">
        <f aca="false">M80</f>
        <v>0.015</v>
      </c>
      <c r="O80" s="144" t="n">
        <v>0</v>
      </c>
      <c r="P80" s="145"/>
      <c r="Q80" s="144" t="n">
        <f aca="false">M80+J80+G80</f>
        <v>4.013</v>
      </c>
      <c r="R80" s="144" t="n">
        <f aca="false">O80+L80+I80</f>
        <v>3.7904</v>
      </c>
      <c r="S80" s="145"/>
      <c r="T80" s="71" t="n">
        <f aca="false">A81-A80</f>
        <v>28</v>
      </c>
      <c r="U80" s="146" t="n">
        <f aca="false">CHOOSE(F$3,A81+24,A80)</f>
        <v>39166</v>
      </c>
      <c r="V80" s="71" t="n">
        <f aca="false">U80-C$3</f>
        <v>2278</v>
      </c>
      <c r="W80" s="142" t="n">
        <f aca="false">VLOOKUP($A80,Table,MATCH(W$4,Curves,0))</f>
        <v>0.058966861357273</v>
      </c>
      <c r="X80" s="147" t="n">
        <f aca="false">1/(1+CHOOSE(F$3,(W81+($K$3/10000))/2,(W80+($K$3/10000))/2))^(2*V80/365.25)</f>
        <v>0.695970014902296</v>
      </c>
      <c r="Y80" s="71" t="n">
        <f aca="false">IF(AND(mthbeg&lt;=A80,mthend&gt;=A80),1,0)</f>
        <v>0</v>
      </c>
      <c r="Z80" s="71" t="n">
        <f aca="false">T80*Y80</f>
        <v>0</v>
      </c>
      <c r="AB80" s="132" t="n">
        <f aca="false">F80*G80</f>
        <v>0</v>
      </c>
      <c r="AC80" s="132" t="n">
        <f aca="false">$F80*H80</f>
        <v>0</v>
      </c>
      <c r="AD80" s="132" t="n">
        <f aca="false">$F80*I80</f>
        <v>0</v>
      </c>
      <c r="AE80" s="132" t="n">
        <f aca="false">$F80*J80</f>
        <v>0</v>
      </c>
      <c r="AF80" s="132" t="n">
        <f aca="false">$F80*K80</f>
        <v>0</v>
      </c>
      <c r="AG80" s="132" t="n">
        <f aca="false">$F80*L80</f>
        <v>0</v>
      </c>
      <c r="AH80" s="132" t="n">
        <f aca="false">$F80*M80</f>
        <v>0</v>
      </c>
      <c r="AI80" s="132" t="n">
        <f aca="false">$F80*N80</f>
        <v>0</v>
      </c>
      <c r="AJ80" s="132" t="n">
        <f aca="false">F80*O80</f>
        <v>0</v>
      </c>
      <c r="AK80" s="137"/>
      <c r="AL80" s="132" t="n">
        <f aca="false">CHOOSE($G$3,AC80-AD80,AD80-AC80)</f>
        <v>0</v>
      </c>
      <c r="AM80" s="132" t="n">
        <f aca="false">CHOOSE($G$3,AF80-AG80,AG80-AF80)</f>
        <v>0</v>
      </c>
      <c r="AN80" s="132" t="n">
        <f aca="false">CHOOSE($G$3,AI80-AJ80,AJ80-AI80)</f>
        <v>0</v>
      </c>
      <c r="AO80" s="148" t="n">
        <f aca="false">SUM(AL80:AN80)</f>
        <v>0</v>
      </c>
      <c r="AQ80" s="132" t="n">
        <f aca="false">CHOOSE($G$3,AB80-AC80,AC80-AB80)</f>
        <v>0</v>
      </c>
      <c r="AR80" s="132" t="n">
        <f aca="false">CHOOSE($G$3,AE80-AF80,AF80-AE80)</f>
        <v>0</v>
      </c>
      <c r="AS80" s="132" t="n">
        <f aca="false">CHOOSE($G$3,AH80-AI80,AI80-AH80)</f>
        <v>0</v>
      </c>
      <c r="AT80" s="148" t="n">
        <f aca="false">AQ80+AR80+AS80</f>
        <v>0</v>
      </c>
      <c r="AU80" s="148"/>
      <c r="AV80" s="133" t="n">
        <f aca="false">AT80+AO80</f>
        <v>0</v>
      </c>
      <c r="AX80" s="133" t="n">
        <f aca="false">AJ80+AG80+AD80</f>
        <v>0</v>
      </c>
      <c r="AY80" s="149"/>
      <c r="AZ80" s="76" t="n">
        <f aca="false">R80*E80</f>
        <v>0</v>
      </c>
    </row>
    <row r="81" customFormat="false" ht="12.75" hidden="false" customHeight="false" outlineLevel="0" collapsed="false">
      <c r="A81" s="138" t="n">
        <f aca="false">EDATE(A80,1)</f>
        <v>39142</v>
      </c>
      <c r="B81" s="139" t="n">
        <f aca="false">VLOOKUP($A81,Table2,MATCH(I$3,Curves2,0))</f>
        <v>60900</v>
      </c>
      <c r="C81" s="140"/>
      <c r="D81" s="141" t="n">
        <f aca="false">B81+C81</f>
        <v>60900</v>
      </c>
      <c r="E81" s="126" t="n">
        <f aca="false">IF(Y81=0,0,IF(AND(Y81=1,$H$3=1),D81*T81,IF($H$3=2,D81,"N/A")))</f>
        <v>0</v>
      </c>
      <c r="F81" s="126" t="n">
        <f aca="false">E81*X81</f>
        <v>0</v>
      </c>
      <c r="G81" s="142" t="n">
        <f aca="false">VLOOKUP($A81,Table,MATCH(G$4,Curves,0))</f>
        <v>3.987</v>
      </c>
      <c r="H81" s="143" t="n">
        <f aca="false">G81</f>
        <v>3.987</v>
      </c>
      <c r="I81" s="142" t="n">
        <f aca="false">VLOOKUP($A81,Table1,MATCH(I$3,Curves1,0))</f>
        <v>3.7904</v>
      </c>
      <c r="J81" s="142" t="n">
        <f aca="false">VLOOKUP($A81,Table,MATCH(J$4,Curves,0))</f>
        <v>0.011</v>
      </c>
      <c r="K81" s="143" t="n">
        <f aca="false">J81</f>
        <v>0.011</v>
      </c>
      <c r="L81" s="144" t="n">
        <v>0</v>
      </c>
      <c r="M81" s="142" t="n">
        <f aca="false">VLOOKUP($A81,Table,MATCH(M$4,Curves,0))</f>
        <v>0.015</v>
      </c>
      <c r="N81" s="143" t="n">
        <f aca="false">M81</f>
        <v>0.015</v>
      </c>
      <c r="O81" s="144" t="n">
        <v>0</v>
      </c>
      <c r="P81" s="145"/>
      <c r="Q81" s="144" t="n">
        <f aca="false">M81+J81+G81</f>
        <v>4.013</v>
      </c>
      <c r="R81" s="144" t="n">
        <f aca="false">O81+L81+I81</f>
        <v>3.7904</v>
      </c>
      <c r="S81" s="145"/>
      <c r="T81" s="71" t="n">
        <f aca="false">A82-A81</f>
        <v>31</v>
      </c>
      <c r="U81" s="146" t="n">
        <f aca="false">CHOOSE(F$3,A82+24,A81)</f>
        <v>39197</v>
      </c>
      <c r="V81" s="71" t="n">
        <f aca="false">U81-C$3</f>
        <v>2309</v>
      </c>
      <c r="W81" s="142" t="n">
        <f aca="false">VLOOKUP($A81,Table,MATCH(W$4,Curves,0))</f>
        <v>0.058966861357273</v>
      </c>
      <c r="X81" s="147" t="n">
        <f aca="false">1/(1+CHOOSE(F$3,(W82+($K$3/10000))/2,(W81+($K$3/10000))/2))^(2*V81/365.25)</f>
        <v>0.692545694102515</v>
      </c>
      <c r="Y81" s="71" t="n">
        <f aca="false">IF(AND(mthbeg&lt;=A81,mthend&gt;=A81),1,0)</f>
        <v>0</v>
      </c>
      <c r="Z81" s="71" t="n">
        <f aca="false">T81*Y81</f>
        <v>0</v>
      </c>
      <c r="AB81" s="132" t="n">
        <f aca="false">F81*G81</f>
        <v>0</v>
      </c>
      <c r="AC81" s="132" t="n">
        <f aca="false">$F81*H81</f>
        <v>0</v>
      </c>
      <c r="AD81" s="132" t="n">
        <f aca="false">$F81*I81</f>
        <v>0</v>
      </c>
      <c r="AE81" s="132" t="n">
        <f aca="false">$F81*J81</f>
        <v>0</v>
      </c>
      <c r="AF81" s="132" t="n">
        <f aca="false">$F81*K81</f>
        <v>0</v>
      </c>
      <c r="AG81" s="132" t="n">
        <f aca="false">$F81*L81</f>
        <v>0</v>
      </c>
      <c r="AH81" s="132" t="n">
        <f aca="false">$F81*M81</f>
        <v>0</v>
      </c>
      <c r="AI81" s="132" t="n">
        <f aca="false">$F81*N81</f>
        <v>0</v>
      </c>
      <c r="AJ81" s="132" t="n">
        <f aca="false">F81*O81</f>
        <v>0</v>
      </c>
      <c r="AK81" s="137"/>
      <c r="AL81" s="132" t="n">
        <f aca="false">CHOOSE($G$3,AC81-AD81,AD81-AC81)</f>
        <v>0</v>
      </c>
      <c r="AM81" s="132" t="n">
        <f aca="false">CHOOSE($G$3,AF81-AG81,AG81-AF81)</f>
        <v>0</v>
      </c>
      <c r="AN81" s="132" t="n">
        <f aca="false">CHOOSE($G$3,AI81-AJ81,AJ81-AI81)</f>
        <v>0</v>
      </c>
      <c r="AO81" s="148" t="n">
        <f aca="false">SUM(AL81:AN81)</f>
        <v>0</v>
      </c>
      <c r="AQ81" s="132" t="n">
        <f aca="false">CHOOSE($G$3,AB81-AC81,AC81-AB81)</f>
        <v>0</v>
      </c>
      <c r="AR81" s="132" t="n">
        <f aca="false">CHOOSE($G$3,AE81-AF81,AF81-AE81)</f>
        <v>0</v>
      </c>
      <c r="AS81" s="132" t="n">
        <f aca="false">CHOOSE($G$3,AH81-AI81,AI81-AH81)</f>
        <v>0</v>
      </c>
      <c r="AT81" s="148" t="n">
        <f aca="false">AQ81+AR81+AS81</f>
        <v>0</v>
      </c>
      <c r="AU81" s="148"/>
      <c r="AV81" s="133" t="n">
        <f aca="false">AT81+AO81</f>
        <v>0</v>
      </c>
      <c r="AX81" s="133" t="n">
        <f aca="false">AJ81+AG81+AD81</f>
        <v>0</v>
      </c>
      <c r="AY81" s="149"/>
      <c r="AZ81" s="76" t="n">
        <f aca="false">R81*E81</f>
        <v>0</v>
      </c>
    </row>
    <row r="82" customFormat="false" ht="12.75" hidden="false" customHeight="false" outlineLevel="0" collapsed="false">
      <c r="A82" s="138" t="n">
        <f aca="false">EDATE(A81,1)</f>
        <v>39173</v>
      </c>
      <c r="B82" s="139" t="n">
        <f aca="false">VLOOKUP($A82,Table2,MATCH(I$3,Curves2,0))</f>
        <v>60900</v>
      </c>
      <c r="C82" s="140"/>
      <c r="D82" s="141" t="n">
        <f aca="false">B82+C82</f>
        <v>60900</v>
      </c>
      <c r="E82" s="126" t="n">
        <f aca="false">IF(Y82=0,0,IF(AND(Y82=1,$H$3=1),D82*T82,IF($H$3=2,D82,"N/A")))</f>
        <v>0</v>
      </c>
      <c r="F82" s="126" t="n">
        <f aca="false">E82*X82</f>
        <v>0</v>
      </c>
      <c r="G82" s="142" t="n">
        <f aca="false">VLOOKUP($A82,Table,MATCH(G$4,Curves,0))</f>
        <v>3.987</v>
      </c>
      <c r="H82" s="143" t="n">
        <f aca="false">G82</f>
        <v>3.987</v>
      </c>
      <c r="I82" s="142" t="n">
        <f aca="false">VLOOKUP($A82,Table1,MATCH(I$3,Curves1,0))</f>
        <v>3.7904</v>
      </c>
      <c r="J82" s="142" t="n">
        <f aca="false">VLOOKUP($A82,Table,MATCH(J$4,Curves,0))</f>
        <v>0.011</v>
      </c>
      <c r="K82" s="143" t="n">
        <f aca="false">J82</f>
        <v>0.011</v>
      </c>
      <c r="L82" s="144" t="n">
        <v>0</v>
      </c>
      <c r="M82" s="142" t="n">
        <f aca="false">VLOOKUP($A82,Table,MATCH(M$4,Curves,0))</f>
        <v>0.015</v>
      </c>
      <c r="N82" s="143" t="n">
        <f aca="false">M82</f>
        <v>0.015</v>
      </c>
      <c r="O82" s="144" t="n">
        <v>0</v>
      </c>
      <c r="P82" s="145"/>
      <c r="Q82" s="144" t="n">
        <f aca="false">M82+J82+G82</f>
        <v>4.013</v>
      </c>
      <c r="R82" s="144" t="n">
        <f aca="false">O82+L82+I82</f>
        <v>3.7904</v>
      </c>
      <c r="S82" s="145"/>
      <c r="T82" s="71" t="n">
        <f aca="false">A83-A82</f>
        <v>30</v>
      </c>
      <c r="U82" s="146" t="n">
        <f aca="false">CHOOSE(F$3,A83+24,A82)</f>
        <v>39227</v>
      </c>
      <c r="V82" s="71" t="n">
        <f aca="false">U82-C$3</f>
        <v>2339</v>
      </c>
      <c r="W82" s="142" t="n">
        <f aca="false">VLOOKUP($A82,Table,MATCH(W$4,Curves,0))</f>
        <v>0.058966861357273</v>
      </c>
      <c r="X82" s="147" t="n">
        <f aca="false">1/(1+CHOOSE(F$3,(W83+($K$3/10000))/2,(W82+($K$3/10000))/2))^(2*V82/365.25)</f>
        <v>0.689247878023419</v>
      </c>
      <c r="Y82" s="71" t="n">
        <f aca="false">IF(AND(mthbeg&lt;=A82,mthend&gt;=A82),1,0)</f>
        <v>0</v>
      </c>
      <c r="Z82" s="71" t="n">
        <f aca="false">T82*Y82</f>
        <v>0</v>
      </c>
      <c r="AB82" s="132" t="n">
        <f aca="false">F82*G82</f>
        <v>0</v>
      </c>
      <c r="AC82" s="132" t="n">
        <f aca="false">$F82*H82</f>
        <v>0</v>
      </c>
      <c r="AD82" s="132" t="n">
        <f aca="false">$F82*I82</f>
        <v>0</v>
      </c>
      <c r="AE82" s="132" t="n">
        <f aca="false">$F82*J82</f>
        <v>0</v>
      </c>
      <c r="AF82" s="132" t="n">
        <f aca="false">$F82*K82</f>
        <v>0</v>
      </c>
      <c r="AG82" s="132" t="n">
        <f aca="false">$F82*L82</f>
        <v>0</v>
      </c>
      <c r="AH82" s="132" t="n">
        <f aca="false">$F82*M82</f>
        <v>0</v>
      </c>
      <c r="AI82" s="132" t="n">
        <f aca="false">$F82*N82</f>
        <v>0</v>
      </c>
      <c r="AJ82" s="132" t="n">
        <f aca="false">F82*O82</f>
        <v>0</v>
      </c>
      <c r="AK82" s="137"/>
      <c r="AL82" s="132" t="n">
        <f aca="false">CHOOSE($G$3,AC82-AD82,AD82-AC82)</f>
        <v>0</v>
      </c>
      <c r="AM82" s="132" t="n">
        <f aca="false">CHOOSE($G$3,AF82-AG82,AG82-AF82)</f>
        <v>0</v>
      </c>
      <c r="AN82" s="132" t="n">
        <f aca="false">CHOOSE($G$3,AI82-AJ82,AJ82-AI82)</f>
        <v>0</v>
      </c>
      <c r="AO82" s="148" t="n">
        <f aca="false">SUM(AL82:AN82)</f>
        <v>0</v>
      </c>
      <c r="AQ82" s="132" t="n">
        <f aca="false">CHOOSE($G$3,AB82-AC82,AC82-AB82)</f>
        <v>0</v>
      </c>
      <c r="AR82" s="132" t="n">
        <f aca="false">CHOOSE($G$3,AE82-AF82,AF82-AE82)</f>
        <v>0</v>
      </c>
      <c r="AS82" s="132" t="n">
        <f aca="false">CHOOSE($G$3,AH82-AI82,AI82-AH82)</f>
        <v>0</v>
      </c>
      <c r="AT82" s="148" t="n">
        <f aca="false">AQ82+AR82+AS82</f>
        <v>0</v>
      </c>
      <c r="AU82" s="148"/>
      <c r="AV82" s="133" t="n">
        <f aca="false">AT82+AO82</f>
        <v>0</v>
      </c>
      <c r="AX82" s="133" t="n">
        <f aca="false">AJ82+AG82+AD82</f>
        <v>0</v>
      </c>
      <c r="AY82" s="149"/>
      <c r="AZ82" s="76" t="n">
        <f aca="false">R82*E82</f>
        <v>0</v>
      </c>
    </row>
    <row r="83" customFormat="false" ht="12.75" hidden="false" customHeight="false" outlineLevel="0" collapsed="false">
      <c r="A83" s="138" t="n">
        <f aca="false">EDATE(A82,1)</f>
        <v>39203</v>
      </c>
      <c r="B83" s="139" t="n">
        <f aca="false">VLOOKUP($A83,Table2,MATCH(I$3,Curves2,0))</f>
        <v>60900</v>
      </c>
      <c r="C83" s="140"/>
      <c r="D83" s="141" t="n">
        <f aca="false">B83+C83</f>
        <v>60900</v>
      </c>
      <c r="E83" s="126" t="n">
        <f aca="false">IF(Y83=0,0,IF(AND(Y83=1,$H$3=1),D83*T83,IF($H$3=2,D83,"N/A")))</f>
        <v>0</v>
      </c>
      <c r="F83" s="126" t="n">
        <f aca="false">E83*X83</f>
        <v>0</v>
      </c>
      <c r="G83" s="142" t="n">
        <f aca="false">VLOOKUP($A83,Table,MATCH(G$4,Curves,0))</f>
        <v>3.987</v>
      </c>
      <c r="H83" s="143" t="n">
        <f aca="false">G83</f>
        <v>3.987</v>
      </c>
      <c r="I83" s="142" t="n">
        <f aca="false">VLOOKUP($A83,Table1,MATCH(I$3,Curves1,0))</f>
        <v>3.7904</v>
      </c>
      <c r="J83" s="142" t="n">
        <f aca="false">VLOOKUP($A83,Table,MATCH(J$4,Curves,0))</f>
        <v>0.011</v>
      </c>
      <c r="K83" s="143" t="n">
        <f aca="false">J83</f>
        <v>0.011</v>
      </c>
      <c r="L83" s="144" t="n">
        <v>0</v>
      </c>
      <c r="M83" s="142" t="n">
        <f aca="false">VLOOKUP($A83,Table,MATCH(M$4,Curves,0))</f>
        <v>0.015</v>
      </c>
      <c r="N83" s="143" t="n">
        <f aca="false">M83</f>
        <v>0.015</v>
      </c>
      <c r="O83" s="144" t="n">
        <v>0</v>
      </c>
      <c r="P83" s="145"/>
      <c r="Q83" s="144" t="n">
        <f aca="false">M83+J83+G83</f>
        <v>4.013</v>
      </c>
      <c r="R83" s="144" t="n">
        <f aca="false">O83+L83+I83</f>
        <v>3.7904</v>
      </c>
      <c r="S83" s="145"/>
      <c r="T83" s="71" t="n">
        <f aca="false">A84-A83</f>
        <v>31</v>
      </c>
      <c r="U83" s="146" t="n">
        <f aca="false">CHOOSE(F$3,A84+24,A83)</f>
        <v>39258</v>
      </c>
      <c r="V83" s="71" t="n">
        <f aca="false">U83-C$3</f>
        <v>2370</v>
      </c>
      <c r="W83" s="142" t="n">
        <f aca="false">VLOOKUP($A83,Table,MATCH(W$4,Curves,0))</f>
        <v>0.058966861357273</v>
      </c>
      <c r="X83" s="147" t="n">
        <f aca="false">1/(1+CHOOSE(F$3,(W84+($K$3/10000))/2,(W83+($K$3/10000))/2))^(2*V83/365.25)</f>
        <v>0.685856631569716</v>
      </c>
      <c r="Y83" s="71" t="n">
        <f aca="false">IF(AND(mthbeg&lt;=A83,mthend&gt;=A83),1,0)</f>
        <v>0</v>
      </c>
      <c r="Z83" s="71" t="n">
        <f aca="false">T83*Y83</f>
        <v>0</v>
      </c>
      <c r="AB83" s="132" t="n">
        <f aca="false">F83*G83</f>
        <v>0</v>
      </c>
      <c r="AC83" s="132" t="n">
        <f aca="false">$F83*H83</f>
        <v>0</v>
      </c>
      <c r="AD83" s="132" t="n">
        <f aca="false">$F83*I83</f>
        <v>0</v>
      </c>
      <c r="AE83" s="132" t="n">
        <f aca="false">$F83*J83</f>
        <v>0</v>
      </c>
      <c r="AF83" s="132" t="n">
        <f aca="false">$F83*K83</f>
        <v>0</v>
      </c>
      <c r="AG83" s="132" t="n">
        <f aca="false">$F83*L83</f>
        <v>0</v>
      </c>
      <c r="AH83" s="132" t="n">
        <f aca="false">$F83*M83</f>
        <v>0</v>
      </c>
      <c r="AI83" s="132" t="n">
        <f aca="false">$F83*N83</f>
        <v>0</v>
      </c>
      <c r="AJ83" s="132" t="n">
        <f aca="false">F83*O83</f>
        <v>0</v>
      </c>
      <c r="AK83" s="137"/>
      <c r="AL83" s="132" t="n">
        <f aca="false">CHOOSE($G$3,AC83-AD83,AD83-AC83)</f>
        <v>0</v>
      </c>
      <c r="AM83" s="132" t="n">
        <f aca="false">CHOOSE($G$3,AF83-AG83,AG83-AF83)</f>
        <v>0</v>
      </c>
      <c r="AN83" s="132" t="n">
        <f aca="false">CHOOSE($G$3,AI83-AJ83,AJ83-AI83)</f>
        <v>0</v>
      </c>
      <c r="AO83" s="148" t="n">
        <f aca="false">SUM(AL83:AN83)</f>
        <v>0</v>
      </c>
      <c r="AQ83" s="132" t="n">
        <f aca="false">CHOOSE($G$3,AB83-AC83,AC83-AB83)</f>
        <v>0</v>
      </c>
      <c r="AR83" s="132" t="n">
        <f aca="false">CHOOSE($G$3,AE83-AF83,AF83-AE83)</f>
        <v>0</v>
      </c>
      <c r="AS83" s="132" t="n">
        <f aca="false">CHOOSE($G$3,AH83-AI83,AI83-AH83)</f>
        <v>0</v>
      </c>
      <c r="AT83" s="148" t="n">
        <f aca="false">AQ83+AR83+AS83</f>
        <v>0</v>
      </c>
      <c r="AU83" s="148"/>
      <c r="AV83" s="133" t="n">
        <f aca="false">AT83+AO83</f>
        <v>0</v>
      </c>
      <c r="AX83" s="133" t="n">
        <f aca="false">AJ83+AG83+AD83</f>
        <v>0</v>
      </c>
      <c r="AY83" s="149"/>
      <c r="AZ83" s="76" t="n">
        <f aca="false">R83*E83</f>
        <v>0</v>
      </c>
    </row>
    <row r="84" customFormat="false" ht="12.75" hidden="false" customHeight="false" outlineLevel="0" collapsed="false">
      <c r="A84" s="138" t="n">
        <f aca="false">EDATE(A83,1)</f>
        <v>39234</v>
      </c>
      <c r="B84" s="139" t="n">
        <f aca="false">VLOOKUP($A84,Table2,MATCH(I$3,Curves2,0))</f>
        <v>60900</v>
      </c>
      <c r="C84" s="140"/>
      <c r="D84" s="141" t="n">
        <f aca="false">B84+C84</f>
        <v>60900</v>
      </c>
      <c r="E84" s="126" t="n">
        <f aca="false">IF(Y84=0,0,IF(AND(Y84=1,$H$3=1),D84*T84,IF($H$3=2,D84,"N/A")))</f>
        <v>0</v>
      </c>
      <c r="F84" s="126" t="n">
        <f aca="false">E84*X84</f>
        <v>0</v>
      </c>
      <c r="G84" s="142" t="n">
        <f aca="false">VLOOKUP($A84,Table,MATCH(G$4,Curves,0))</f>
        <v>3.987</v>
      </c>
      <c r="H84" s="143" t="n">
        <f aca="false">G84</f>
        <v>3.987</v>
      </c>
      <c r="I84" s="142" t="n">
        <f aca="false">VLOOKUP($A84,Table1,MATCH(I$3,Curves1,0))</f>
        <v>3.7904</v>
      </c>
      <c r="J84" s="142" t="n">
        <f aca="false">VLOOKUP($A84,Table,MATCH(J$4,Curves,0))</f>
        <v>0.011</v>
      </c>
      <c r="K84" s="143" t="n">
        <f aca="false">J84</f>
        <v>0.011</v>
      </c>
      <c r="L84" s="144" t="n">
        <v>0</v>
      </c>
      <c r="M84" s="142" t="n">
        <f aca="false">VLOOKUP($A84,Table,MATCH(M$4,Curves,0))</f>
        <v>0.015</v>
      </c>
      <c r="N84" s="143" t="n">
        <f aca="false">M84</f>
        <v>0.015</v>
      </c>
      <c r="O84" s="144" t="n">
        <v>0</v>
      </c>
      <c r="P84" s="145"/>
      <c r="Q84" s="144" t="n">
        <f aca="false">M84+J84+G84</f>
        <v>4.013</v>
      </c>
      <c r="R84" s="144" t="n">
        <f aca="false">O84+L84+I84</f>
        <v>3.7904</v>
      </c>
      <c r="S84" s="145"/>
      <c r="T84" s="71" t="n">
        <f aca="false">A85-A84</f>
        <v>30</v>
      </c>
      <c r="U84" s="146" t="n">
        <f aca="false">CHOOSE(F$3,A85+24,A84)</f>
        <v>39288</v>
      </c>
      <c r="V84" s="71" t="n">
        <f aca="false">U84-C$3</f>
        <v>2400</v>
      </c>
      <c r="W84" s="142" t="n">
        <f aca="false">VLOOKUP($A84,Table,MATCH(W$4,Curves,0))</f>
        <v>0.058966861357273</v>
      </c>
      <c r="X84" s="147" t="n">
        <f aca="false">1/(1+CHOOSE(F$3,(W85+($K$3/10000))/2,(W84+($K$3/10000))/2))^(2*V84/365.25)</f>
        <v>0.682590667970771</v>
      </c>
      <c r="Y84" s="71" t="n">
        <f aca="false">IF(AND(mthbeg&lt;=A84,mthend&gt;=A84),1,0)</f>
        <v>0</v>
      </c>
      <c r="Z84" s="71" t="n">
        <f aca="false">T84*Y84</f>
        <v>0</v>
      </c>
      <c r="AB84" s="132" t="n">
        <f aca="false">F84*G84</f>
        <v>0</v>
      </c>
      <c r="AC84" s="132" t="n">
        <f aca="false">$F84*H84</f>
        <v>0</v>
      </c>
      <c r="AD84" s="132" t="n">
        <f aca="false">$F84*I84</f>
        <v>0</v>
      </c>
      <c r="AE84" s="132" t="n">
        <f aca="false">$F84*J84</f>
        <v>0</v>
      </c>
      <c r="AF84" s="132" t="n">
        <f aca="false">$F84*K84</f>
        <v>0</v>
      </c>
      <c r="AG84" s="132" t="n">
        <f aca="false">$F84*L84</f>
        <v>0</v>
      </c>
      <c r="AH84" s="132" t="n">
        <f aca="false">$F84*M84</f>
        <v>0</v>
      </c>
      <c r="AI84" s="132" t="n">
        <f aca="false">$F84*N84</f>
        <v>0</v>
      </c>
      <c r="AJ84" s="132" t="n">
        <f aca="false">F84*O84</f>
        <v>0</v>
      </c>
      <c r="AK84" s="137"/>
      <c r="AL84" s="132" t="n">
        <f aca="false">CHOOSE($G$3,AC84-AD84,AD84-AC84)</f>
        <v>0</v>
      </c>
      <c r="AM84" s="132" t="n">
        <f aca="false">CHOOSE($G$3,AF84-AG84,AG84-AF84)</f>
        <v>0</v>
      </c>
      <c r="AN84" s="132" t="n">
        <f aca="false">CHOOSE($G$3,AI84-AJ84,AJ84-AI84)</f>
        <v>0</v>
      </c>
      <c r="AO84" s="148" t="n">
        <f aca="false">SUM(AL84:AN84)</f>
        <v>0</v>
      </c>
      <c r="AQ84" s="132" t="n">
        <f aca="false">CHOOSE($G$3,AB84-AC84,AC84-AB84)</f>
        <v>0</v>
      </c>
      <c r="AR84" s="132" t="n">
        <f aca="false">CHOOSE($G$3,AE84-AF84,AF84-AE84)</f>
        <v>0</v>
      </c>
      <c r="AS84" s="132" t="n">
        <f aca="false">CHOOSE($G$3,AH84-AI84,AI84-AH84)</f>
        <v>0</v>
      </c>
      <c r="AT84" s="148" t="n">
        <f aca="false">AQ84+AR84+AS84</f>
        <v>0</v>
      </c>
      <c r="AU84" s="148"/>
      <c r="AV84" s="133" t="n">
        <f aca="false">AT84+AO84</f>
        <v>0</v>
      </c>
      <c r="AX84" s="133" t="n">
        <f aca="false">AJ84+AG84+AD84</f>
        <v>0</v>
      </c>
      <c r="AY84" s="149"/>
      <c r="AZ84" s="76" t="n">
        <f aca="false">R84*E84</f>
        <v>0</v>
      </c>
    </row>
    <row r="85" customFormat="false" ht="12.75" hidden="false" customHeight="false" outlineLevel="0" collapsed="false">
      <c r="A85" s="138" t="n">
        <f aca="false">EDATE(A84,1)</f>
        <v>39264</v>
      </c>
      <c r="B85" s="139" t="n">
        <f aca="false">VLOOKUP($A85,Table2,MATCH(I$3,Curves2,0))</f>
        <v>60900</v>
      </c>
      <c r="C85" s="140"/>
      <c r="D85" s="141" t="n">
        <f aca="false">B85+C85</f>
        <v>60900</v>
      </c>
      <c r="E85" s="126" t="n">
        <f aca="false">IF(Y85=0,0,IF(AND(Y85=1,$H$3=1),D85*T85,IF($H$3=2,D85,"N/A")))</f>
        <v>0</v>
      </c>
      <c r="F85" s="126" t="n">
        <f aca="false">E85*X85</f>
        <v>0</v>
      </c>
      <c r="G85" s="142" t="n">
        <f aca="false">VLOOKUP($A85,Table,MATCH(G$4,Curves,0))</f>
        <v>3.987</v>
      </c>
      <c r="H85" s="143" t="n">
        <f aca="false">G85</f>
        <v>3.987</v>
      </c>
      <c r="I85" s="142" t="n">
        <f aca="false">VLOOKUP($A85,Table1,MATCH(I$3,Curves1,0))</f>
        <v>3.7904</v>
      </c>
      <c r="J85" s="142" t="n">
        <f aca="false">VLOOKUP($A85,Table,MATCH(J$4,Curves,0))</f>
        <v>0.011</v>
      </c>
      <c r="K85" s="143" t="n">
        <f aca="false">J85</f>
        <v>0.011</v>
      </c>
      <c r="L85" s="144" t="n">
        <v>0</v>
      </c>
      <c r="M85" s="142" t="n">
        <f aca="false">VLOOKUP($A85,Table,MATCH(M$4,Curves,0))</f>
        <v>0.015</v>
      </c>
      <c r="N85" s="143" t="n">
        <f aca="false">M85</f>
        <v>0.015</v>
      </c>
      <c r="O85" s="144" t="n">
        <v>0</v>
      </c>
      <c r="P85" s="145"/>
      <c r="Q85" s="144" t="n">
        <f aca="false">M85+J85+G85</f>
        <v>4.013</v>
      </c>
      <c r="R85" s="144" t="n">
        <f aca="false">O85+L85+I85</f>
        <v>3.7904</v>
      </c>
      <c r="S85" s="145"/>
      <c r="T85" s="71" t="n">
        <f aca="false">A86-A85</f>
        <v>31</v>
      </c>
      <c r="U85" s="146" t="n">
        <f aca="false">CHOOSE(F$3,A86+24,A85)</f>
        <v>39319</v>
      </c>
      <c r="V85" s="71" t="n">
        <f aca="false">U85-C$3</f>
        <v>2431</v>
      </c>
      <c r="W85" s="142" t="n">
        <f aca="false">VLOOKUP($A85,Table,MATCH(W$4,Curves,0))</f>
        <v>0.058966861357273</v>
      </c>
      <c r="X85" s="147" t="n">
        <f aca="false">1/(1+CHOOSE(F$3,(W86+($K$3/10000))/2,(W85+($K$3/10000))/2))^(2*V85/365.25)</f>
        <v>0.679232176409325</v>
      </c>
      <c r="Y85" s="71" t="n">
        <f aca="false">IF(AND(mthbeg&lt;=A85,mthend&gt;=A85),1,0)</f>
        <v>0</v>
      </c>
      <c r="Z85" s="71" t="n">
        <f aca="false">T85*Y85</f>
        <v>0</v>
      </c>
      <c r="AB85" s="132" t="n">
        <f aca="false">F85*G85</f>
        <v>0</v>
      </c>
      <c r="AC85" s="132" t="n">
        <f aca="false">$F85*H85</f>
        <v>0</v>
      </c>
      <c r="AD85" s="132" t="n">
        <f aca="false">$F85*I85</f>
        <v>0</v>
      </c>
      <c r="AE85" s="132" t="n">
        <f aca="false">$F85*J85</f>
        <v>0</v>
      </c>
      <c r="AF85" s="132" t="n">
        <f aca="false">$F85*K85</f>
        <v>0</v>
      </c>
      <c r="AG85" s="132" t="n">
        <f aca="false">$F85*L85</f>
        <v>0</v>
      </c>
      <c r="AH85" s="132" t="n">
        <f aca="false">$F85*M85</f>
        <v>0</v>
      </c>
      <c r="AI85" s="132" t="n">
        <f aca="false">$F85*N85</f>
        <v>0</v>
      </c>
      <c r="AJ85" s="132" t="n">
        <f aca="false">F85*O85</f>
        <v>0</v>
      </c>
      <c r="AK85" s="137"/>
      <c r="AL85" s="132" t="n">
        <f aca="false">CHOOSE($G$3,AC85-AD85,AD85-AC85)</f>
        <v>0</v>
      </c>
      <c r="AM85" s="132" t="n">
        <f aca="false">CHOOSE($G$3,AF85-AG85,AG85-AF85)</f>
        <v>0</v>
      </c>
      <c r="AN85" s="132" t="n">
        <f aca="false">CHOOSE($G$3,AI85-AJ85,AJ85-AI85)</f>
        <v>0</v>
      </c>
      <c r="AO85" s="148" t="n">
        <f aca="false">SUM(AL85:AN85)</f>
        <v>0</v>
      </c>
      <c r="AQ85" s="132" t="n">
        <f aca="false">CHOOSE($G$3,AB85-AC85,AC85-AB85)</f>
        <v>0</v>
      </c>
      <c r="AR85" s="132" t="n">
        <f aca="false">CHOOSE($G$3,AE85-AF85,AF85-AE85)</f>
        <v>0</v>
      </c>
      <c r="AS85" s="132" t="n">
        <f aca="false">CHOOSE($G$3,AH85-AI85,AI85-AH85)</f>
        <v>0</v>
      </c>
      <c r="AT85" s="148" t="n">
        <f aca="false">AQ85+AR85+AS85</f>
        <v>0</v>
      </c>
      <c r="AU85" s="148"/>
      <c r="AV85" s="133" t="n">
        <f aca="false">AT85+AO85</f>
        <v>0</v>
      </c>
      <c r="AX85" s="133" t="n">
        <f aca="false">AJ85+AG85+AD85</f>
        <v>0</v>
      </c>
      <c r="AY85" s="149"/>
      <c r="AZ85" s="76" t="n">
        <f aca="false">R85*E85</f>
        <v>0</v>
      </c>
    </row>
    <row r="86" customFormat="false" ht="12.75" hidden="false" customHeight="false" outlineLevel="0" collapsed="false">
      <c r="A86" s="138" t="n">
        <f aca="false">EDATE(A85,1)</f>
        <v>39295</v>
      </c>
      <c r="B86" s="139" t="n">
        <f aca="false">VLOOKUP($A86,Table2,MATCH(I$3,Curves2,0))</f>
        <v>60900</v>
      </c>
      <c r="C86" s="140"/>
      <c r="D86" s="141" t="n">
        <f aca="false">B86+C86</f>
        <v>60900</v>
      </c>
      <c r="E86" s="126" t="n">
        <f aca="false">IF(Y86=0,0,IF(AND(Y86=1,$H$3=1),D86*T86,IF($H$3=2,D86,"N/A")))</f>
        <v>0</v>
      </c>
      <c r="F86" s="126" t="n">
        <f aca="false">E86*X86</f>
        <v>0</v>
      </c>
      <c r="G86" s="142" t="n">
        <f aca="false">VLOOKUP($A86,Table,MATCH(G$4,Curves,0))</f>
        <v>3.987</v>
      </c>
      <c r="H86" s="143" t="n">
        <f aca="false">G86</f>
        <v>3.987</v>
      </c>
      <c r="I86" s="142" t="n">
        <f aca="false">VLOOKUP($A86,Table1,MATCH(I$3,Curves1,0))</f>
        <v>3.7904</v>
      </c>
      <c r="J86" s="142" t="n">
        <f aca="false">VLOOKUP($A86,Table,MATCH(J$4,Curves,0))</f>
        <v>0.011</v>
      </c>
      <c r="K86" s="143" t="n">
        <f aca="false">J86</f>
        <v>0.011</v>
      </c>
      <c r="L86" s="144" t="n">
        <v>0</v>
      </c>
      <c r="M86" s="142" t="n">
        <f aca="false">VLOOKUP($A86,Table,MATCH(M$4,Curves,0))</f>
        <v>0.015</v>
      </c>
      <c r="N86" s="143" t="n">
        <f aca="false">M86</f>
        <v>0.015</v>
      </c>
      <c r="O86" s="144" t="n">
        <v>0</v>
      </c>
      <c r="P86" s="145"/>
      <c r="Q86" s="144" t="n">
        <f aca="false">M86+J86+G86</f>
        <v>4.013</v>
      </c>
      <c r="R86" s="144" t="n">
        <f aca="false">O86+L86+I86</f>
        <v>3.7904</v>
      </c>
      <c r="S86" s="145"/>
      <c r="T86" s="71" t="n">
        <f aca="false">A87-A86</f>
        <v>31</v>
      </c>
      <c r="U86" s="146" t="n">
        <f aca="false">CHOOSE(F$3,A87+24,A86)</f>
        <v>39350</v>
      </c>
      <c r="V86" s="71" t="n">
        <f aca="false">U86-C$3</f>
        <v>2462</v>
      </c>
      <c r="W86" s="142" t="n">
        <f aca="false">VLOOKUP($A86,Table,MATCH(W$4,Curves,0))</f>
        <v>0.058966861357273</v>
      </c>
      <c r="X86" s="147" t="n">
        <f aca="false">1/(1+CHOOSE(F$3,(W87+($K$3/10000))/2,(W86+($K$3/10000))/2))^(2*V86/365.25)</f>
        <v>0.675890209342129</v>
      </c>
      <c r="Y86" s="71" t="n">
        <f aca="false">IF(AND(mthbeg&lt;=A86,mthend&gt;=A86),1,0)</f>
        <v>0</v>
      </c>
      <c r="Z86" s="71" t="n">
        <f aca="false">T86*Y86</f>
        <v>0</v>
      </c>
      <c r="AB86" s="132" t="n">
        <f aca="false">F86*G86</f>
        <v>0</v>
      </c>
      <c r="AC86" s="132" t="n">
        <f aca="false">$F86*H86</f>
        <v>0</v>
      </c>
      <c r="AD86" s="132" t="n">
        <f aca="false">$F86*I86</f>
        <v>0</v>
      </c>
      <c r="AE86" s="132" t="n">
        <f aca="false">$F86*J86</f>
        <v>0</v>
      </c>
      <c r="AF86" s="132" t="n">
        <f aca="false">$F86*K86</f>
        <v>0</v>
      </c>
      <c r="AG86" s="132" t="n">
        <f aca="false">$F86*L86</f>
        <v>0</v>
      </c>
      <c r="AH86" s="132" t="n">
        <f aca="false">$F86*M86</f>
        <v>0</v>
      </c>
      <c r="AI86" s="132" t="n">
        <f aca="false">$F86*N86</f>
        <v>0</v>
      </c>
      <c r="AJ86" s="132" t="n">
        <f aca="false">F86*O86</f>
        <v>0</v>
      </c>
      <c r="AK86" s="137"/>
      <c r="AL86" s="132" t="n">
        <f aca="false">CHOOSE($G$3,AC86-AD86,AD86-AC86)</f>
        <v>0</v>
      </c>
      <c r="AM86" s="132" t="n">
        <f aca="false">CHOOSE($G$3,AF86-AG86,AG86-AF86)</f>
        <v>0</v>
      </c>
      <c r="AN86" s="132" t="n">
        <f aca="false">CHOOSE($G$3,AI86-AJ86,AJ86-AI86)</f>
        <v>0</v>
      </c>
      <c r="AO86" s="148" t="n">
        <f aca="false">SUM(AL86:AN86)</f>
        <v>0</v>
      </c>
      <c r="AQ86" s="132" t="n">
        <f aca="false">CHOOSE($G$3,AB86-AC86,AC86-AB86)</f>
        <v>0</v>
      </c>
      <c r="AR86" s="132" t="n">
        <f aca="false">CHOOSE($G$3,AE86-AF86,AF86-AE86)</f>
        <v>0</v>
      </c>
      <c r="AS86" s="132" t="n">
        <f aca="false">CHOOSE($G$3,AH86-AI86,AI86-AH86)</f>
        <v>0</v>
      </c>
      <c r="AT86" s="148" t="n">
        <f aca="false">AQ86+AR86+AS86</f>
        <v>0</v>
      </c>
      <c r="AU86" s="148"/>
      <c r="AV86" s="133" t="n">
        <f aca="false">AT86+AO86</f>
        <v>0</v>
      </c>
      <c r="AX86" s="133" t="n">
        <f aca="false">AJ86+AG86+AD86</f>
        <v>0</v>
      </c>
      <c r="AY86" s="149"/>
      <c r="AZ86" s="76" t="n">
        <f aca="false">R86*E86</f>
        <v>0</v>
      </c>
    </row>
    <row r="87" customFormat="false" ht="12.75" hidden="false" customHeight="false" outlineLevel="0" collapsed="false">
      <c r="A87" s="138" t="n">
        <f aca="false">EDATE(A86,1)</f>
        <v>39326</v>
      </c>
      <c r="B87" s="139" t="n">
        <f aca="false">VLOOKUP($A87,Table2,MATCH(I$3,Curves2,0))</f>
        <v>60900</v>
      </c>
      <c r="C87" s="140"/>
      <c r="D87" s="141" t="n">
        <f aca="false">B87+C87</f>
        <v>60900</v>
      </c>
      <c r="E87" s="126" t="n">
        <f aca="false">IF(Y87=0,0,IF(AND(Y87=1,$H$3=1),D87*T87,IF($H$3=2,D87,"N/A")))</f>
        <v>0</v>
      </c>
      <c r="F87" s="126" t="n">
        <f aca="false">E87*X87</f>
        <v>0</v>
      </c>
      <c r="G87" s="142" t="n">
        <f aca="false">VLOOKUP($A87,Table,MATCH(G$4,Curves,0))</f>
        <v>3.987</v>
      </c>
      <c r="H87" s="143" t="n">
        <f aca="false">G87</f>
        <v>3.987</v>
      </c>
      <c r="I87" s="142" t="n">
        <f aca="false">VLOOKUP($A87,Table1,MATCH(I$3,Curves1,0))</f>
        <v>3.7904</v>
      </c>
      <c r="J87" s="142" t="n">
        <f aca="false">VLOOKUP($A87,Table,MATCH(J$4,Curves,0))</f>
        <v>0.011</v>
      </c>
      <c r="K87" s="143" t="n">
        <f aca="false">J87</f>
        <v>0.011</v>
      </c>
      <c r="L87" s="144" t="n">
        <v>0</v>
      </c>
      <c r="M87" s="142" t="n">
        <f aca="false">VLOOKUP($A87,Table,MATCH(M$4,Curves,0))</f>
        <v>0.015</v>
      </c>
      <c r="N87" s="143" t="n">
        <f aca="false">M87</f>
        <v>0.015</v>
      </c>
      <c r="O87" s="144" t="n">
        <v>0</v>
      </c>
      <c r="P87" s="145"/>
      <c r="Q87" s="144" t="n">
        <f aca="false">M87+J87+G87</f>
        <v>4.013</v>
      </c>
      <c r="R87" s="144" t="n">
        <f aca="false">O87+L87+I87</f>
        <v>3.7904</v>
      </c>
      <c r="S87" s="145"/>
      <c r="T87" s="71" t="n">
        <f aca="false">A88-A87</f>
        <v>30</v>
      </c>
      <c r="U87" s="146" t="n">
        <f aca="false">CHOOSE(F$3,A88+24,A87)</f>
        <v>39380</v>
      </c>
      <c r="V87" s="71" t="n">
        <f aca="false">U87-C$3</f>
        <v>2492</v>
      </c>
      <c r="W87" s="142" t="n">
        <f aca="false">VLOOKUP($A87,Table,MATCH(W$4,Curves,0))</f>
        <v>0.058966861357273</v>
      </c>
      <c r="X87" s="147" t="n">
        <f aca="false">1/(1+CHOOSE(F$3,(W88+($K$3/10000))/2,(W87+($K$3/10000))/2))^(2*V87/365.25)</f>
        <v>0.672671704600776</v>
      </c>
      <c r="Y87" s="71" t="n">
        <f aca="false">IF(AND(mthbeg&lt;=A87,mthend&gt;=A87),1,0)</f>
        <v>0</v>
      </c>
      <c r="Z87" s="71" t="n">
        <f aca="false">T87*Y87</f>
        <v>0</v>
      </c>
      <c r="AB87" s="132" t="n">
        <f aca="false">F87*G87</f>
        <v>0</v>
      </c>
      <c r="AC87" s="132" t="n">
        <f aca="false">$F87*H87</f>
        <v>0</v>
      </c>
      <c r="AD87" s="132" t="n">
        <f aca="false">$F87*I87</f>
        <v>0</v>
      </c>
      <c r="AE87" s="132" t="n">
        <f aca="false">$F87*J87</f>
        <v>0</v>
      </c>
      <c r="AF87" s="132" t="n">
        <f aca="false">$F87*K87</f>
        <v>0</v>
      </c>
      <c r="AG87" s="132" t="n">
        <f aca="false">$F87*L87</f>
        <v>0</v>
      </c>
      <c r="AH87" s="132" t="n">
        <f aca="false">$F87*M87</f>
        <v>0</v>
      </c>
      <c r="AI87" s="132" t="n">
        <f aca="false">$F87*N87</f>
        <v>0</v>
      </c>
      <c r="AJ87" s="132" t="n">
        <f aca="false">F87*O87</f>
        <v>0</v>
      </c>
      <c r="AK87" s="137"/>
      <c r="AL87" s="132" t="n">
        <f aca="false">CHOOSE($G$3,AC87-AD87,AD87-AC87)</f>
        <v>0</v>
      </c>
      <c r="AM87" s="132" t="n">
        <f aca="false">CHOOSE($G$3,AF87-AG87,AG87-AF87)</f>
        <v>0</v>
      </c>
      <c r="AN87" s="132" t="n">
        <f aca="false">CHOOSE($G$3,AI87-AJ87,AJ87-AI87)</f>
        <v>0</v>
      </c>
      <c r="AO87" s="148" t="n">
        <f aca="false">SUM(AL87:AN87)</f>
        <v>0</v>
      </c>
      <c r="AQ87" s="132" t="n">
        <f aca="false">CHOOSE($G$3,AB87-AC87,AC87-AB87)</f>
        <v>0</v>
      </c>
      <c r="AR87" s="132" t="n">
        <f aca="false">CHOOSE($G$3,AE87-AF87,AF87-AE87)</f>
        <v>0</v>
      </c>
      <c r="AS87" s="132" t="n">
        <f aca="false">CHOOSE($G$3,AH87-AI87,AI87-AH87)</f>
        <v>0</v>
      </c>
      <c r="AT87" s="148" t="n">
        <f aca="false">AQ87+AR87+AS87</f>
        <v>0</v>
      </c>
      <c r="AU87" s="148"/>
      <c r="AV87" s="133" t="n">
        <f aca="false">AT87+AO87</f>
        <v>0</v>
      </c>
      <c r="AX87" s="133" t="n">
        <f aca="false">AJ87+AG87+AD87</f>
        <v>0</v>
      </c>
      <c r="AY87" s="149"/>
      <c r="AZ87" s="76" t="n">
        <f aca="false">R87*E87</f>
        <v>0</v>
      </c>
    </row>
    <row r="88" customFormat="false" ht="12.75" hidden="false" customHeight="false" outlineLevel="0" collapsed="false">
      <c r="A88" s="138" t="n">
        <f aca="false">EDATE(A87,1)</f>
        <v>39356</v>
      </c>
      <c r="B88" s="139" t="n">
        <f aca="false">VLOOKUP($A88,Table2,MATCH(I$3,Curves2,0))</f>
        <v>60900</v>
      </c>
      <c r="C88" s="140"/>
      <c r="D88" s="141" t="n">
        <f aca="false">B88+C88</f>
        <v>60900</v>
      </c>
      <c r="E88" s="126" t="n">
        <f aca="false">IF(Y88=0,0,IF(AND(Y88=1,$H$3=1),D88*T88,IF($H$3=2,D88,"N/A")))</f>
        <v>0</v>
      </c>
      <c r="F88" s="126" t="n">
        <f aca="false">E88*X88</f>
        <v>0</v>
      </c>
      <c r="G88" s="142" t="n">
        <f aca="false">VLOOKUP($A88,Table,MATCH(G$4,Curves,0))</f>
        <v>3.987</v>
      </c>
      <c r="H88" s="143" t="n">
        <f aca="false">G88</f>
        <v>3.987</v>
      </c>
      <c r="I88" s="142" t="n">
        <f aca="false">VLOOKUP($A88,Table1,MATCH(I$3,Curves1,0))</f>
        <v>3.7904</v>
      </c>
      <c r="J88" s="142" t="n">
        <f aca="false">VLOOKUP($A88,Table,MATCH(J$4,Curves,0))</f>
        <v>0.011</v>
      </c>
      <c r="K88" s="143" t="n">
        <f aca="false">J88</f>
        <v>0.011</v>
      </c>
      <c r="L88" s="144" t="n">
        <v>0</v>
      </c>
      <c r="M88" s="142" t="n">
        <f aca="false">VLOOKUP($A88,Table,MATCH(M$4,Curves,0))</f>
        <v>0.015</v>
      </c>
      <c r="N88" s="143" t="n">
        <f aca="false">M88</f>
        <v>0.015</v>
      </c>
      <c r="O88" s="144" t="n">
        <v>0</v>
      </c>
      <c r="P88" s="145"/>
      <c r="Q88" s="144" t="n">
        <f aca="false">M88+J88+G88</f>
        <v>4.013</v>
      </c>
      <c r="R88" s="144" t="n">
        <f aca="false">O88+L88+I88</f>
        <v>3.7904</v>
      </c>
      <c r="S88" s="145"/>
      <c r="T88" s="71" t="n">
        <f aca="false">A89-A88</f>
        <v>31</v>
      </c>
      <c r="U88" s="146" t="n">
        <f aca="false">CHOOSE(F$3,A89+24,A88)</f>
        <v>39411</v>
      </c>
      <c r="V88" s="71" t="n">
        <f aca="false">U88-C$3</f>
        <v>2523</v>
      </c>
      <c r="W88" s="142" t="n">
        <f aca="false">VLOOKUP($A88,Table,MATCH(W$4,Curves,0))</f>
        <v>0.058966861357273</v>
      </c>
      <c r="X88" s="147" t="n">
        <f aca="false">1/(1+CHOOSE(F$3,(W89+($K$3/10000))/2,(W88+($K$3/10000))/2))^(2*V88/365.25)</f>
        <v>0.669362016453059</v>
      </c>
      <c r="Y88" s="71" t="n">
        <f aca="false">IF(AND(mthbeg&lt;=A88,mthend&gt;=A88),1,0)</f>
        <v>0</v>
      </c>
      <c r="Z88" s="71" t="n">
        <f aca="false">T88*Y88</f>
        <v>0</v>
      </c>
      <c r="AB88" s="132" t="n">
        <f aca="false">F88*G88</f>
        <v>0</v>
      </c>
      <c r="AC88" s="132" t="n">
        <f aca="false">$F88*H88</f>
        <v>0</v>
      </c>
      <c r="AD88" s="132" t="n">
        <f aca="false">$F88*I88</f>
        <v>0</v>
      </c>
      <c r="AE88" s="132" t="n">
        <f aca="false">$F88*J88</f>
        <v>0</v>
      </c>
      <c r="AF88" s="132" t="n">
        <f aca="false">$F88*K88</f>
        <v>0</v>
      </c>
      <c r="AG88" s="132" t="n">
        <f aca="false">$F88*L88</f>
        <v>0</v>
      </c>
      <c r="AH88" s="132" t="n">
        <f aca="false">$F88*M88</f>
        <v>0</v>
      </c>
      <c r="AI88" s="132" t="n">
        <f aca="false">$F88*N88</f>
        <v>0</v>
      </c>
      <c r="AJ88" s="132" t="n">
        <f aca="false">F88*O88</f>
        <v>0</v>
      </c>
      <c r="AK88" s="137"/>
      <c r="AL88" s="132" t="n">
        <f aca="false">CHOOSE($G$3,AC88-AD88,AD88-AC88)</f>
        <v>0</v>
      </c>
      <c r="AM88" s="132" t="n">
        <f aca="false">CHOOSE($G$3,AF88-AG88,AG88-AF88)</f>
        <v>0</v>
      </c>
      <c r="AN88" s="132" t="n">
        <f aca="false">CHOOSE($G$3,AI88-AJ88,AJ88-AI88)</f>
        <v>0</v>
      </c>
      <c r="AO88" s="148" t="n">
        <f aca="false">SUM(AL88:AN88)</f>
        <v>0</v>
      </c>
      <c r="AQ88" s="132" t="n">
        <f aca="false">CHOOSE($G$3,AB88-AC88,AC88-AB88)</f>
        <v>0</v>
      </c>
      <c r="AR88" s="132" t="n">
        <f aca="false">CHOOSE($G$3,AE88-AF88,AF88-AE88)</f>
        <v>0</v>
      </c>
      <c r="AS88" s="132" t="n">
        <f aca="false">CHOOSE($G$3,AH88-AI88,AI88-AH88)</f>
        <v>0</v>
      </c>
      <c r="AT88" s="148" t="n">
        <f aca="false">AQ88+AR88+AS88</f>
        <v>0</v>
      </c>
      <c r="AU88" s="148"/>
      <c r="AV88" s="133" t="n">
        <f aca="false">AT88+AO88</f>
        <v>0</v>
      </c>
      <c r="AX88" s="133" t="n">
        <f aca="false">AJ88+AG88+AD88</f>
        <v>0</v>
      </c>
      <c r="AY88" s="149"/>
      <c r="AZ88" s="76" t="n">
        <f aca="false">R88*E88</f>
        <v>0</v>
      </c>
    </row>
    <row r="89" customFormat="false" ht="12.75" hidden="false" customHeight="false" outlineLevel="0" collapsed="false">
      <c r="A89" s="138" t="n">
        <f aca="false">EDATE(A88,1)</f>
        <v>39387</v>
      </c>
      <c r="B89" s="139" t="n">
        <f aca="false">VLOOKUP($A89,Table2,MATCH(I$3,Curves2,0))</f>
        <v>60900</v>
      </c>
      <c r="C89" s="140"/>
      <c r="D89" s="141" t="n">
        <f aca="false">B89+C89</f>
        <v>60900</v>
      </c>
      <c r="E89" s="126" t="n">
        <f aca="false">IF(Y89=0,0,IF(AND(Y89=1,$H$3=1),D89*T89,IF($H$3=2,D89,"N/A")))</f>
        <v>0</v>
      </c>
      <c r="F89" s="126" t="n">
        <f aca="false">E89*X89</f>
        <v>0</v>
      </c>
      <c r="G89" s="142" t="n">
        <f aca="false">VLOOKUP($A89,Table,MATCH(G$4,Curves,0))</f>
        <v>3.987</v>
      </c>
      <c r="H89" s="143" t="n">
        <f aca="false">G89</f>
        <v>3.987</v>
      </c>
      <c r="I89" s="142" t="n">
        <f aca="false">VLOOKUP($A89,Table1,MATCH(I$3,Curves1,0))</f>
        <v>3.7904</v>
      </c>
      <c r="J89" s="142" t="n">
        <f aca="false">VLOOKUP($A89,Table,MATCH(J$4,Curves,0))</f>
        <v>0.011</v>
      </c>
      <c r="K89" s="143" t="n">
        <f aca="false">J89</f>
        <v>0.011</v>
      </c>
      <c r="L89" s="144" t="n">
        <v>0</v>
      </c>
      <c r="M89" s="142" t="n">
        <f aca="false">VLOOKUP($A89,Table,MATCH(M$4,Curves,0))</f>
        <v>0.015</v>
      </c>
      <c r="N89" s="143" t="n">
        <f aca="false">M89</f>
        <v>0.015</v>
      </c>
      <c r="O89" s="144" t="n">
        <v>0</v>
      </c>
      <c r="P89" s="145"/>
      <c r="Q89" s="144" t="n">
        <f aca="false">M89+J89+G89</f>
        <v>4.013</v>
      </c>
      <c r="R89" s="144" t="n">
        <f aca="false">O89+L89+I89</f>
        <v>3.7904</v>
      </c>
      <c r="S89" s="145"/>
      <c r="T89" s="71" t="n">
        <f aca="false">A90-A89</f>
        <v>30</v>
      </c>
      <c r="U89" s="146" t="n">
        <f aca="false">CHOOSE(F$3,A90+24,A89)</f>
        <v>39441</v>
      </c>
      <c r="V89" s="71" t="n">
        <f aca="false">U89-C$3</f>
        <v>2553</v>
      </c>
      <c r="W89" s="142" t="n">
        <f aca="false">VLOOKUP($A89,Table,MATCH(W$4,Curves,0))</f>
        <v>0.058966861357273</v>
      </c>
      <c r="X89" s="147" t="n">
        <f aca="false">1/(1+CHOOSE(F$3,(W90+($K$3/10000))/2,(W89+($K$3/10000))/2))^(2*V89/365.25)</f>
        <v>0.66617459815071</v>
      </c>
      <c r="Y89" s="71" t="n">
        <f aca="false">IF(AND(mthbeg&lt;=A89,mthend&gt;=A89),1,0)</f>
        <v>0</v>
      </c>
      <c r="Z89" s="71" t="n">
        <f aca="false">T89*Y89</f>
        <v>0</v>
      </c>
      <c r="AB89" s="132" t="n">
        <f aca="false">F89*G89</f>
        <v>0</v>
      </c>
      <c r="AC89" s="132" t="n">
        <f aca="false">$F89*H89</f>
        <v>0</v>
      </c>
      <c r="AD89" s="132" t="n">
        <f aca="false">$F89*I89</f>
        <v>0</v>
      </c>
      <c r="AE89" s="132" t="n">
        <f aca="false">$F89*J89</f>
        <v>0</v>
      </c>
      <c r="AF89" s="132" t="n">
        <f aca="false">$F89*K89</f>
        <v>0</v>
      </c>
      <c r="AG89" s="132" t="n">
        <f aca="false">$F89*L89</f>
        <v>0</v>
      </c>
      <c r="AH89" s="132" t="n">
        <f aca="false">$F89*M89</f>
        <v>0</v>
      </c>
      <c r="AI89" s="132" t="n">
        <f aca="false">$F89*N89</f>
        <v>0</v>
      </c>
      <c r="AJ89" s="132" t="n">
        <f aca="false">F89*O89</f>
        <v>0</v>
      </c>
      <c r="AK89" s="137"/>
      <c r="AL89" s="132" t="n">
        <f aca="false">CHOOSE($G$3,AC89-AD89,AD89-AC89)</f>
        <v>0</v>
      </c>
      <c r="AM89" s="132" t="n">
        <f aca="false">CHOOSE($G$3,AF89-AG89,AG89-AF89)</f>
        <v>0</v>
      </c>
      <c r="AN89" s="132" t="n">
        <f aca="false">CHOOSE($G$3,AI89-AJ89,AJ89-AI89)</f>
        <v>0</v>
      </c>
      <c r="AO89" s="148" t="n">
        <f aca="false">SUM(AL89:AN89)</f>
        <v>0</v>
      </c>
      <c r="AQ89" s="132" t="n">
        <f aca="false">CHOOSE($G$3,AB89-AC89,AC89-AB89)</f>
        <v>0</v>
      </c>
      <c r="AR89" s="132" t="n">
        <f aca="false">CHOOSE($G$3,AE89-AF89,AF89-AE89)</f>
        <v>0</v>
      </c>
      <c r="AS89" s="132" t="n">
        <f aca="false">CHOOSE($G$3,AH89-AI89,AI89-AH89)</f>
        <v>0</v>
      </c>
      <c r="AT89" s="148" t="n">
        <f aca="false">AQ89+AR89+AS89</f>
        <v>0</v>
      </c>
      <c r="AU89" s="148"/>
      <c r="AV89" s="133" t="n">
        <f aca="false">AT89+AO89</f>
        <v>0</v>
      </c>
      <c r="AX89" s="133" t="n">
        <f aca="false">AJ89+AG89+AD89</f>
        <v>0</v>
      </c>
      <c r="AY89" s="149"/>
      <c r="AZ89" s="76" t="n">
        <f aca="false">R89*E89</f>
        <v>0</v>
      </c>
    </row>
    <row r="90" customFormat="false" ht="12.75" hidden="false" customHeight="false" outlineLevel="0" collapsed="false">
      <c r="A90" s="138" t="n">
        <f aca="false">EDATE(A89,1)</f>
        <v>39417</v>
      </c>
      <c r="B90" s="139" t="n">
        <f aca="false">VLOOKUP($A90,Table2,MATCH(I$3,Curves2,0))</f>
        <v>60900</v>
      </c>
      <c r="C90" s="140"/>
      <c r="D90" s="141" t="n">
        <f aca="false">B90+C90</f>
        <v>60900</v>
      </c>
      <c r="E90" s="126" t="n">
        <f aca="false">IF(Y90=0,0,IF(AND(Y90=1,$H$3=1),D90*T90,IF($H$3=2,D90,"N/A")))</f>
        <v>0</v>
      </c>
      <c r="F90" s="126" t="n">
        <f aca="false">E90*X90</f>
        <v>0</v>
      </c>
      <c r="G90" s="142" t="n">
        <f aca="false">VLOOKUP($A90,Table,MATCH(G$4,Curves,0))</f>
        <v>3.987</v>
      </c>
      <c r="H90" s="143" t="n">
        <f aca="false">G90</f>
        <v>3.987</v>
      </c>
      <c r="I90" s="142" t="n">
        <f aca="false">VLOOKUP($A90,Table1,MATCH(I$3,Curves1,0))</f>
        <v>3.7904</v>
      </c>
      <c r="J90" s="142" t="n">
        <f aca="false">VLOOKUP($A90,Table,MATCH(J$4,Curves,0))</f>
        <v>0.011</v>
      </c>
      <c r="K90" s="143" t="n">
        <f aca="false">J90</f>
        <v>0.011</v>
      </c>
      <c r="L90" s="144" t="n">
        <v>0</v>
      </c>
      <c r="M90" s="142" t="n">
        <f aca="false">VLOOKUP($A90,Table,MATCH(M$4,Curves,0))</f>
        <v>0.015</v>
      </c>
      <c r="N90" s="143" t="n">
        <f aca="false">M90</f>
        <v>0.015</v>
      </c>
      <c r="O90" s="144" t="n">
        <v>0</v>
      </c>
      <c r="P90" s="145"/>
      <c r="Q90" s="144" t="n">
        <f aca="false">M90+J90+G90</f>
        <v>4.013</v>
      </c>
      <c r="R90" s="144" t="n">
        <f aca="false">O90+L90+I90</f>
        <v>3.7904</v>
      </c>
      <c r="S90" s="145"/>
      <c r="T90" s="71" t="n">
        <f aca="false">A91-A90</f>
        <v>31</v>
      </c>
      <c r="U90" s="146" t="n">
        <f aca="false">CHOOSE(F$3,A91+24,A90)</f>
        <v>39472</v>
      </c>
      <c r="V90" s="71" t="n">
        <f aca="false">U90-C$3</f>
        <v>2584</v>
      </c>
      <c r="W90" s="142" t="n">
        <f aca="false">VLOOKUP($A90,Table,MATCH(W$4,Curves,0))</f>
        <v>0.058966861357273</v>
      </c>
      <c r="X90" s="147" t="n">
        <f aca="false">1/(1+CHOOSE(F$3,(W91+($K$3/10000))/2,(W90+($K$3/10000))/2))^(2*V90/365.25)</f>
        <v>0.662896877151403</v>
      </c>
      <c r="Y90" s="71" t="n">
        <f aca="false">IF(AND(mthbeg&lt;=A90,mthend&gt;=A90),1,0)</f>
        <v>0</v>
      </c>
      <c r="Z90" s="71" t="n">
        <f aca="false">T90*Y90</f>
        <v>0</v>
      </c>
      <c r="AB90" s="132" t="n">
        <f aca="false">F90*G90</f>
        <v>0</v>
      </c>
      <c r="AC90" s="132" t="n">
        <f aca="false">$F90*H90</f>
        <v>0</v>
      </c>
      <c r="AD90" s="132" t="n">
        <f aca="false">$F90*I90</f>
        <v>0</v>
      </c>
      <c r="AE90" s="132" t="n">
        <f aca="false">$F90*J90</f>
        <v>0</v>
      </c>
      <c r="AF90" s="132" t="n">
        <f aca="false">$F90*K90</f>
        <v>0</v>
      </c>
      <c r="AG90" s="132" t="n">
        <f aca="false">$F90*L90</f>
        <v>0</v>
      </c>
      <c r="AH90" s="132" t="n">
        <f aca="false">$F90*M90</f>
        <v>0</v>
      </c>
      <c r="AI90" s="132" t="n">
        <f aca="false">$F90*N90</f>
        <v>0</v>
      </c>
      <c r="AJ90" s="132" t="n">
        <f aca="false">F90*O90</f>
        <v>0</v>
      </c>
      <c r="AK90" s="137"/>
      <c r="AL90" s="132" t="n">
        <f aca="false">CHOOSE($G$3,AC90-AD90,AD90-AC90)</f>
        <v>0</v>
      </c>
      <c r="AM90" s="132" t="n">
        <f aca="false">CHOOSE($G$3,AF90-AG90,AG90-AF90)</f>
        <v>0</v>
      </c>
      <c r="AN90" s="132" t="n">
        <f aca="false">CHOOSE($G$3,AI90-AJ90,AJ90-AI90)</f>
        <v>0</v>
      </c>
      <c r="AO90" s="148" t="n">
        <f aca="false">SUM(AL90:AN90)</f>
        <v>0</v>
      </c>
      <c r="AQ90" s="132" t="n">
        <f aca="false">CHOOSE($G$3,AB90-AC90,AC90-AB90)</f>
        <v>0</v>
      </c>
      <c r="AR90" s="132" t="n">
        <f aca="false">CHOOSE($G$3,AE90-AF90,AF90-AE90)</f>
        <v>0</v>
      </c>
      <c r="AS90" s="132" t="n">
        <f aca="false">CHOOSE($G$3,AH90-AI90,AI90-AH90)</f>
        <v>0</v>
      </c>
      <c r="AT90" s="148" t="n">
        <f aca="false">AQ90+AR90+AS90</f>
        <v>0</v>
      </c>
      <c r="AU90" s="148"/>
      <c r="AV90" s="133" t="n">
        <f aca="false">AT90+AO90</f>
        <v>0</v>
      </c>
      <c r="AX90" s="133" t="n">
        <f aca="false">AJ90+AG90+AD90</f>
        <v>0</v>
      </c>
      <c r="AY90" s="149"/>
      <c r="AZ90" s="76" t="n">
        <f aca="false">R90*E90</f>
        <v>0</v>
      </c>
    </row>
    <row r="91" customFormat="false" ht="12.75" hidden="false" customHeight="false" outlineLevel="0" collapsed="false">
      <c r="A91" s="138" t="n">
        <f aca="false">EDATE(A90,1)</f>
        <v>39448</v>
      </c>
      <c r="B91" s="139" t="n">
        <f aca="false">VLOOKUP($A91,Table2,MATCH(I$3,Curves2,0))</f>
        <v>60900</v>
      </c>
      <c r="C91" s="140"/>
      <c r="D91" s="141" t="n">
        <f aca="false">B91+C91</f>
        <v>60900</v>
      </c>
      <c r="E91" s="126" t="n">
        <f aca="false">IF(Y91=0,0,IF(AND(Y91=1,$H$3=1),D91*T91,IF($H$3=2,D91,"N/A")))</f>
        <v>0</v>
      </c>
      <c r="F91" s="126" t="n">
        <f aca="false">E91*X91</f>
        <v>0</v>
      </c>
      <c r="G91" s="142" t="n">
        <f aca="false">VLOOKUP($A91,Table,MATCH(G$4,Curves,0))</f>
        <v>3.987</v>
      </c>
      <c r="H91" s="143" t="n">
        <f aca="false">G91</f>
        <v>3.987</v>
      </c>
      <c r="I91" s="142" t="n">
        <f aca="false">VLOOKUP($A91,Table1,MATCH(I$3,Curves1,0))</f>
        <v>3.7904</v>
      </c>
      <c r="J91" s="142" t="n">
        <f aca="false">VLOOKUP($A91,Table,MATCH(J$4,Curves,0))</f>
        <v>0.011</v>
      </c>
      <c r="K91" s="143" t="n">
        <f aca="false">J91</f>
        <v>0.011</v>
      </c>
      <c r="L91" s="144" t="n">
        <v>0</v>
      </c>
      <c r="M91" s="142" t="n">
        <f aca="false">VLOOKUP($A91,Table,MATCH(M$4,Curves,0))</f>
        <v>0.015</v>
      </c>
      <c r="N91" s="143" t="n">
        <f aca="false">M91</f>
        <v>0.015</v>
      </c>
      <c r="O91" s="144" t="n">
        <v>0</v>
      </c>
      <c r="P91" s="145"/>
      <c r="Q91" s="144" t="n">
        <f aca="false">M91+J91+G91</f>
        <v>4.013</v>
      </c>
      <c r="R91" s="144" t="n">
        <f aca="false">O91+L91+I91</f>
        <v>3.7904</v>
      </c>
      <c r="S91" s="145"/>
      <c r="T91" s="71" t="n">
        <f aca="false">A92-A91</f>
        <v>31</v>
      </c>
      <c r="U91" s="146" t="n">
        <f aca="false">CHOOSE(F$3,A92+24,A91)</f>
        <v>39503</v>
      </c>
      <c r="V91" s="71" t="n">
        <f aca="false">U91-C$3</f>
        <v>2615</v>
      </c>
      <c r="W91" s="142" t="n">
        <f aca="false">VLOOKUP($A91,Table,MATCH(W$4,Curves,0))</f>
        <v>0.058966861357273</v>
      </c>
      <c r="X91" s="147" t="n">
        <f aca="false">1/(1+CHOOSE(F$3,(W92+($K$3/10000))/2,(W91+($K$3/10000))/2))^(2*V91/365.25)</f>
        <v>0.659635283237967</v>
      </c>
      <c r="Y91" s="71" t="n">
        <f aca="false">IF(AND(mthbeg&lt;=A91,mthend&gt;=A91),1,0)</f>
        <v>0</v>
      </c>
      <c r="Z91" s="71" t="n">
        <f aca="false">T91*Y91</f>
        <v>0</v>
      </c>
      <c r="AB91" s="132" t="n">
        <f aca="false">F91*G91</f>
        <v>0</v>
      </c>
      <c r="AC91" s="132" t="n">
        <f aca="false">$F91*H91</f>
        <v>0</v>
      </c>
      <c r="AD91" s="132" t="n">
        <f aca="false">$F91*I91</f>
        <v>0</v>
      </c>
      <c r="AE91" s="132" t="n">
        <f aca="false">$F91*J91</f>
        <v>0</v>
      </c>
      <c r="AF91" s="132" t="n">
        <f aca="false">$F91*K91</f>
        <v>0</v>
      </c>
      <c r="AG91" s="132" t="n">
        <f aca="false">$F91*L91</f>
        <v>0</v>
      </c>
      <c r="AH91" s="132" t="n">
        <f aca="false">$F91*M91</f>
        <v>0</v>
      </c>
      <c r="AI91" s="132" t="n">
        <f aca="false">$F91*N91</f>
        <v>0</v>
      </c>
      <c r="AJ91" s="132" t="n">
        <f aca="false">F91*O91</f>
        <v>0</v>
      </c>
      <c r="AK91" s="137"/>
      <c r="AL91" s="132" t="n">
        <f aca="false">CHOOSE($G$3,AC91-AD91,AD91-AC91)</f>
        <v>0</v>
      </c>
      <c r="AM91" s="132" t="n">
        <f aca="false">CHOOSE($G$3,AF91-AG91,AG91-AF91)</f>
        <v>0</v>
      </c>
      <c r="AN91" s="132" t="n">
        <f aca="false">CHOOSE($G$3,AI91-AJ91,AJ91-AI91)</f>
        <v>0</v>
      </c>
      <c r="AO91" s="148" t="n">
        <f aca="false">SUM(AL91:AN91)</f>
        <v>0</v>
      </c>
      <c r="AQ91" s="132" t="n">
        <f aca="false">CHOOSE($G$3,AB91-AC91,AC91-AB91)</f>
        <v>0</v>
      </c>
      <c r="AR91" s="132" t="n">
        <f aca="false">CHOOSE($G$3,AE91-AF91,AF91-AE91)</f>
        <v>0</v>
      </c>
      <c r="AS91" s="132" t="n">
        <f aca="false">CHOOSE($G$3,AH91-AI91,AI91-AH91)</f>
        <v>0</v>
      </c>
      <c r="AT91" s="148" t="n">
        <f aca="false">AQ91+AR91+AS91</f>
        <v>0</v>
      </c>
      <c r="AU91" s="148"/>
      <c r="AV91" s="133" t="n">
        <f aca="false">AT91+AO91</f>
        <v>0</v>
      </c>
      <c r="AX91" s="133" t="n">
        <f aca="false">AJ91+AG91+AD91</f>
        <v>0</v>
      </c>
      <c r="AY91" s="149"/>
      <c r="AZ91" s="76" t="n">
        <f aca="false">R91*E91</f>
        <v>0</v>
      </c>
    </row>
    <row r="92" customFormat="false" ht="12.75" hidden="false" customHeight="false" outlineLevel="0" collapsed="false">
      <c r="A92" s="138" t="n">
        <f aca="false">EDATE(A91,1)</f>
        <v>39479</v>
      </c>
      <c r="B92" s="139" t="n">
        <f aca="false">VLOOKUP($A92,Table2,MATCH(I$3,Curves2,0))</f>
        <v>60900</v>
      </c>
      <c r="C92" s="140"/>
      <c r="D92" s="141" t="n">
        <f aca="false">B92+C92</f>
        <v>60900</v>
      </c>
      <c r="E92" s="126" t="n">
        <f aca="false">IF(Y92=0,0,IF(AND(Y92=1,$H$3=1),D92*T92,IF($H$3=2,D92,"N/A")))</f>
        <v>0</v>
      </c>
      <c r="F92" s="126" t="n">
        <f aca="false">E92*X92</f>
        <v>0</v>
      </c>
      <c r="G92" s="142" t="n">
        <f aca="false">VLOOKUP($A92,Table,MATCH(G$4,Curves,0))</f>
        <v>3.987</v>
      </c>
      <c r="H92" s="143" t="n">
        <f aca="false">G92</f>
        <v>3.987</v>
      </c>
      <c r="I92" s="142" t="n">
        <f aca="false">VLOOKUP($A92,Table1,MATCH(I$3,Curves1,0))</f>
        <v>3.7904</v>
      </c>
      <c r="J92" s="142" t="n">
        <f aca="false">VLOOKUP($A92,Table,MATCH(J$4,Curves,0))</f>
        <v>0.011</v>
      </c>
      <c r="K92" s="143" t="n">
        <f aca="false">J92</f>
        <v>0.011</v>
      </c>
      <c r="L92" s="144" t="n">
        <v>0</v>
      </c>
      <c r="M92" s="142" t="n">
        <f aca="false">VLOOKUP($A92,Table,MATCH(M$4,Curves,0))</f>
        <v>0.015</v>
      </c>
      <c r="N92" s="143" t="n">
        <f aca="false">M92</f>
        <v>0.015</v>
      </c>
      <c r="O92" s="144" t="n">
        <v>0</v>
      </c>
      <c r="P92" s="145"/>
      <c r="Q92" s="144" t="n">
        <f aca="false">M92+J92+G92</f>
        <v>4.013</v>
      </c>
      <c r="R92" s="144" t="n">
        <f aca="false">O92+L92+I92</f>
        <v>3.7904</v>
      </c>
      <c r="S92" s="145"/>
      <c r="T92" s="71" t="n">
        <f aca="false">A93-A92</f>
        <v>29</v>
      </c>
      <c r="U92" s="146" t="n">
        <f aca="false">CHOOSE(F$3,A93+24,A92)</f>
        <v>39532</v>
      </c>
      <c r="V92" s="71" t="n">
        <f aca="false">U92-C$3</f>
        <v>2644</v>
      </c>
      <c r="W92" s="142" t="n">
        <f aca="false">VLOOKUP($A92,Table,MATCH(W$4,Curves,0))</f>
        <v>0.058966861357273</v>
      </c>
      <c r="X92" s="147" t="n">
        <f aca="false">1/(1+CHOOSE(F$3,(W93+($K$3/10000))/2,(W92+($K$3/10000))/2))^(2*V92/365.25)</f>
        <v>0.656598644405898</v>
      </c>
      <c r="Y92" s="71" t="n">
        <f aca="false">IF(AND(mthbeg&lt;=A92,mthend&gt;=A92),1,0)</f>
        <v>0</v>
      </c>
      <c r="Z92" s="71" t="n">
        <f aca="false">T92*Y92</f>
        <v>0</v>
      </c>
      <c r="AB92" s="132" t="n">
        <f aca="false">F92*G92</f>
        <v>0</v>
      </c>
      <c r="AC92" s="132" t="n">
        <f aca="false">$F92*H92</f>
        <v>0</v>
      </c>
      <c r="AD92" s="132" t="n">
        <f aca="false">$F92*I92</f>
        <v>0</v>
      </c>
      <c r="AE92" s="132" t="n">
        <f aca="false">$F92*J92</f>
        <v>0</v>
      </c>
      <c r="AF92" s="132" t="n">
        <f aca="false">$F92*K92</f>
        <v>0</v>
      </c>
      <c r="AG92" s="132" t="n">
        <f aca="false">$F92*L92</f>
        <v>0</v>
      </c>
      <c r="AH92" s="132" t="n">
        <f aca="false">$F92*M92</f>
        <v>0</v>
      </c>
      <c r="AI92" s="132" t="n">
        <f aca="false">$F92*N92</f>
        <v>0</v>
      </c>
      <c r="AJ92" s="132" t="n">
        <f aca="false">F92*O92</f>
        <v>0</v>
      </c>
      <c r="AK92" s="137"/>
      <c r="AL92" s="132" t="n">
        <f aca="false">CHOOSE($G$3,AC92-AD92,AD92-AC92)</f>
        <v>0</v>
      </c>
      <c r="AM92" s="132" t="n">
        <f aca="false">CHOOSE($G$3,AF92-AG92,AG92-AF92)</f>
        <v>0</v>
      </c>
      <c r="AN92" s="132" t="n">
        <f aca="false">CHOOSE($G$3,AI92-AJ92,AJ92-AI92)</f>
        <v>0</v>
      </c>
      <c r="AO92" s="148" t="n">
        <f aca="false">SUM(AL92:AN92)</f>
        <v>0</v>
      </c>
      <c r="AQ92" s="132" t="n">
        <f aca="false">CHOOSE($G$3,AB92-AC92,AC92-AB92)</f>
        <v>0</v>
      </c>
      <c r="AR92" s="132" t="n">
        <f aca="false">CHOOSE($G$3,AE92-AF92,AF92-AE92)</f>
        <v>0</v>
      </c>
      <c r="AS92" s="132" t="n">
        <f aca="false">CHOOSE($G$3,AH92-AI92,AI92-AH92)</f>
        <v>0</v>
      </c>
      <c r="AT92" s="148" t="n">
        <f aca="false">AQ92+AR92+AS92</f>
        <v>0</v>
      </c>
      <c r="AU92" s="148"/>
      <c r="AV92" s="133" t="n">
        <f aca="false">AT92+AO92</f>
        <v>0</v>
      </c>
      <c r="AX92" s="133" t="n">
        <f aca="false">AJ92+AG92+AD92</f>
        <v>0</v>
      </c>
      <c r="AY92" s="149"/>
      <c r="AZ92" s="76" t="n">
        <f aca="false">R92*E92</f>
        <v>0</v>
      </c>
    </row>
    <row r="93" customFormat="false" ht="12.75" hidden="false" customHeight="false" outlineLevel="0" collapsed="false">
      <c r="A93" s="138" t="n">
        <f aca="false">EDATE(A92,1)</f>
        <v>39508</v>
      </c>
      <c r="B93" s="139" t="n">
        <f aca="false">VLOOKUP($A93,Table2,MATCH(I$3,Curves2,0))</f>
        <v>60900</v>
      </c>
      <c r="C93" s="140"/>
      <c r="D93" s="141" t="n">
        <f aca="false">B93+C93</f>
        <v>60900</v>
      </c>
      <c r="E93" s="126" t="n">
        <f aca="false">IF(Y93=0,0,IF(AND(Y93=1,$H$3=1),D93*T93,IF($H$3=2,D93,"N/A")))</f>
        <v>0</v>
      </c>
      <c r="F93" s="126" t="n">
        <f aca="false">E93*X93</f>
        <v>0</v>
      </c>
      <c r="G93" s="142" t="n">
        <f aca="false">VLOOKUP($A93,Table,MATCH(G$4,Curves,0))</f>
        <v>3.987</v>
      </c>
      <c r="H93" s="143" t="n">
        <f aca="false">G93</f>
        <v>3.987</v>
      </c>
      <c r="I93" s="142" t="n">
        <f aca="false">VLOOKUP($A93,Table1,MATCH(I$3,Curves1,0))</f>
        <v>3.7904</v>
      </c>
      <c r="J93" s="142" t="n">
        <f aca="false">VLOOKUP($A93,Table,MATCH(J$4,Curves,0))</f>
        <v>0.011</v>
      </c>
      <c r="K93" s="143" t="n">
        <f aca="false">J93</f>
        <v>0.011</v>
      </c>
      <c r="L93" s="144" t="n">
        <v>0</v>
      </c>
      <c r="M93" s="142" t="n">
        <f aca="false">VLOOKUP($A93,Table,MATCH(M$4,Curves,0))</f>
        <v>0.015</v>
      </c>
      <c r="N93" s="143" t="n">
        <f aca="false">M93</f>
        <v>0.015</v>
      </c>
      <c r="O93" s="144" t="n">
        <v>0</v>
      </c>
      <c r="P93" s="145"/>
      <c r="Q93" s="144" t="n">
        <f aca="false">M93+J93+G93</f>
        <v>4.013</v>
      </c>
      <c r="R93" s="144" t="n">
        <f aca="false">O93+L93+I93</f>
        <v>3.7904</v>
      </c>
      <c r="S93" s="145"/>
      <c r="T93" s="71" t="n">
        <f aca="false">A94-A93</f>
        <v>31</v>
      </c>
      <c r="U93" s="146" t="n">
        <f aca="false">CHOOSE(F$3,A94+24,A93)</f>
        <v>39563</v>
      </c>
      <c r="V93" s="71" t="n">
        <f aca="false">U93-C$3</f>
        <v>2675</v>
      </c>
      <c r="W93" s="142" t="n">
        <f aca="false">VLOOKUP($A93,Table,MATCH(W$4,Curves,0))</f>
        <v>0.058966861357273</v>
      </c>
      <c r="X93" s="147" t="n">
        <f aca="false">1/(1+CHOOSE(F$3,(W94+($K$3/10000))/2,(W93+($K$3/10000))/2))^(2*V93/365.25)</f>
        <v>0.653368039139861</v>
      </c>
      <c r="Y93" s="71" t="n">
        <f aca="false">IF(AND(mthbeg&lt;=A93,mthend&gt;=A93),1,0)</f>
        <v>0</v>
      </c>
      <c r="Z93" s="71" t="n">
        <f aca="false">T93*Y93</f>
        <v>0</v>
      </c>
      <c r="AB93" s="132" t="n">
        <f aca="false">F93*G93</f>
        <v>0</v>
      </c>
      <c r="AC93" s="132" t="n">
        <f aca="false">$F93*H93</f>
        <v>0</v>
      </c>
      <c r="AD93" s="132" t="n">
        <f aca="false">$F93*I93</f>
        <v>0</v>
      </c>
      <c r="AE93" s="132" t="n">
        <f aca="false">$F93*J93</f>
        <v>0</v>
      </c>
      <c r="AF93" s="132" t="n">
        <f aca="false">$F93*K93</f>
        <v>0</v>
      </c>
      <c r="AG93" s="132" t="n">
        <f aca="false">$F93*L93</f>
        <v>0</v>
      </c>
      <c r="AH93" s="132" t="n">
        <f aca="false">$F93*M93</f>
        <v>0</v>
      </c>
      <c r="AI93" s="132" t="n">
        <f aca="false">$F93*N93</f>
        <v>0</v>
      </c>
      <c r="AJ93" s="132" t="n">
        <f aca="false">F93*O93</f>
        <v>0</v>
      </c>
      <c r="AK93" s="137"/>
      <c r="AL93" s="132" t="n">
        <f aca="false">CHOOSE($G$3,AC93-AD93,AD93-AC93)</f>
        <v>0</v>
      </c>
      <c r="AM93" s="132" t="n">
        <f aca="false">CHOOSE($G$3,AF93-AG93,AG93-AF93)</f>
        <v>0</v>
      </c>
      <c r="AN93" s="132" t="n">
        <f aca="false">CHOOSE($G$3,AI93-AJ93,AJ93-AI93)</f>
        <v>0</v>
      </c>
      <c r="AO93" s="148" t="n">
        <f aca="false">SUM(AL93:AN93)</f>
        <v>0</v>
      </c>
      <c r="AQ93" s="132" t="n">
        <f aca="false">CHOOSE($G$3,AB93-AC93,AC93-AB93)</f>
        <v>0</v>
      </c>
      <c r="AR93" s="132" t="n">
        <f aca="false">CHOOSE($G$3,AE93-AF93,AF93-AE93)</f>
        <v>0</v>
      </c>
      <c r="AS93" s="132" t="n">
        <f aca="false">CHOOSE($G$3,AH93-AI93,AI93-AH93)</f>
        <v>0</v>
      </c>
      <c r="AT93" s="148" t="n">
        <f aca="false">AQ93+AR93+AS93</f>
        <v>0</v>
      </c>
      <c r="AU93" s="148"/>
      <c r="AV93" s="133" t="n">
        <f aca="false">AT93+AO93</f>
        <v>0</v>
      </c>
      <c r="AX93" s="133" t="n">
        <f aca="false">AJ93+AG93+AD93</f>
        <v>0</v>
      </c>
      <c r="AY93" s="149"/>
      <c r="AZ93" s="76" t="n">
        <f aca="false">R93*E93</f>
        <v>0</v>
      </c>
    </row>
    <row r="94" customFormat="false" ht="12.75" hidden="false" customHeight="false" outlineLevel="0" collapsed="false">
      <c r="A94" s="138" t="n">
        <f aca="false">EDATE(A93,1)</f>
        <v>39539</v>
      </c>
      <c r="B94" s="139" t="n">
        <f aca="false">VLOOKUP($A94,Table2,MATCH(I$3,Curves2,0))</f>
        <v>60900</v>
      </c>
      <c r="C94" s="140"/>
      <c r="D94" s="141" t="n">
        <f aca="false">B94+C94</f>
        <v>60900</v>
      </c>
      <c r="E94" s="126" t="n">
        <f aca="false">IF(Y94=0,0,IF(AND(Y94=1,$H$3=1),D94*T94,IF($H$3=2,D94,"N/A")))</f>
        <v>0</v>
      </c>
      <c r="F94" s="126" t="n">
        <f aca="false">E94*X94</f>
        <v>0</v>
      </c>
      <c r="G94" s="142" t="n">
        <f aca="false">VLOOKUP($A94,Table,MATCH(G$4,Curves,0))</f>
        <v>3.987</v>
      </c>
      <c r="H94" s="143" t="n">
        <f aca="false">G94</f>
        <v>3.987</v>
      </c>
      <c r="I94" s="142" t="n">
        <f aca="false">VLOOKUP($A94,Table1,MATCH(I$3,Curves1,0))</f>
        <v>3.7904</v>
      </c>
      <c r="J94" s="142" t="n">
        <f aca="false">VLOOKUP($A94,Table,MATCH(J$4,Curves,0))</f>
        <v>0.011</v>
      </c>
      <c r="K94" s="143" t="n">
        <f aca="false">J94</f>
        <v>0.011</v>
      </c>
      <c r="L94" s="144" t="n">
        <v>0</v>
      </c>
      <c r="M94" s="142" t="n">
        <f aca="false">VLOOKUP($A94,Table,MATCH(M$4,Curves,0))</f>
        <v>0.015</v>
      </c>
      <c r="N94" s="143" t="n">
        <f aca="false">M94</f>
        <v>0.015</v>
      </c>
      <c r="O94" s="144" t="n">
        <v>0</v>
      </c>
      <c r="P94" s="145"/>
      <c r="Q94" s="144" t="n">
        <f aca="false">M94+J94+G94</f>
        <v>4.013</v>
      </c>
      <c r="R94" s="144" t="n">
        <f aca="false">O94+L94+I94</f>
        <v>3.7904</v>
      </c>
      <c r="S94" s="145"/>
      <c r="T94" s="71" t="n">
        <f aca="false">A95-A94</f>
        <v>30</v>
      </c>
      <c r="U94" s="146" t="n">
        <f aca="false">CHOOSE(F$3,A95+24,A94)</f>
        <v>39593</v>
      </c>
      <c r="V94" s="71" t="n">
        <f aca="false">U94-C$3</f>
        <v>2705</v>
      </c>
      <c r="W94" s="142" t="n">
        <f aca="false">VLOOKUP($A94,Table,MATCH(W$4,Curves,0))</f>
        <v>0.058966861357273</v>
      </c>
      <c r="X94" s="147" t="n">
        <f aca="false">1/(1+CHOOSE(F$3,(W95+($K$3/10000))/2,(W94+($K$3/10000))/2))^(2*V94/365.25)</f>
        <v>0.650256782159431</v>
      </c>
      <c r="Y94" s="71" t="n">
        <f aca="false">IF(AND(mthbeg&lt;=A94,mthend&gt;=A94),1,0)</f>
        <v>0</v>
      </c>
      <c r="Z94" s="71" t="n">
        <f aca="false">T94*Y94</f>
        <v>0</v>
      </c>
      <c r="AB94" s="132" t="n">
        <f aca="false">F94*G94</f>
        <v>0</v>
      </c>
      <c r="AC94" s="132" t="n">
        <f aca="false">$F94*H94</f>
        <v>0</v>
      </c>
      <c r="AD94" s="132" t="n">
        <f aca="false">$F94*I94</f>
        <v>0</v>
      </c>
      <c r="AE94" s="132" t="n">
        <f aca="false">$F94*J94</f>
        <v>0</v>
      </c>
      <c r="AF94" s="132" t="n">
        <f aca="false">$F94*K94</f>
        <v>0</v>
      </c>
      <c r="AG94" s="132" t="n">
        <f aca="false">$F94*L94</f>
        <v>0</v>
      </c>
      <c r="AH94" s="132" t="n">
        <f aca="false">$F94*M94</f>
        <v>0</v>
      </c>
      <c r="AI94" s="132" t="n">
        <f aca="false">$F94*N94</f>
        <v>0</v>
      </c>
      <c r="AJ94" s="132" t="n">
        <f aca="false">F94*O94</f>
        <v>0</v>
      </c>
      <c r="AK94" s="137"/>
      <c r="AL94" s="132" t="n">
        <f aca="false">CHOOSE($G$3,AC94-AD94,AD94-AC94)</f>
        <v>0</v>
      </c>
      <c r="AM94" s="132" t="n">
        <f aca="false">CHOOSE($G$3,AF94-AG94,AG94-AF94)</f>
        <v>0</v>
      </c>
      <c r="AN94" s="132" t="n">
        <f aca="false">CHOOSE($G$3,AI94-AJ94,AJ94-AI94)</f>
        <v>0</v>
      </c>
      <c r="AO94" s="148" t="n">
        <f aca="false">SUM(AL94:AN94)</f>
        <v>0</v>
      </c>
      <c r="AQ94" s="132" t="n">
        <f aca="false">CHOOSE($G$3,AB94-AC94,AC94-AB94)</f>
        <v>0</v>
      </c>
      <c r="AR94" s="132" t="n">
        <f aca="false">CHOOSE($G$3,AE94-AF94,AF94-AE94)</f>
        <v>0</v>
      </c>
      <c r="AS94" s="132" t="n">
        <f aca="false">CHOOSE($G$3,AH94-AI94,AI94-AH94)</f>
        <v>0</v>
      </c>
      <c r="AT94" s="148" t="n">
        <f aca="false">AQ94+AR94+AS94</f>
        <v>0</v>
      </c>
      <c r="AU94" s="148"/>
      <c r="AV94" s="133" t="n">
        <f aca="false">AT94+AO94</f>
        <v>0</v>
      </c>
      <c r="AX94" s="133" t="n">
        <f aca="false">AJ94+AG94+AD94</f>
        <v>0</v>
      </c>
      <c r="AY94" s="149"/>
      <c r="AZ94" s="76" t="n">
        <f aca="false">R94*E94</f>
        <v>0</v>
      </c>
    </row>
    <row r="95" customFormat="false" ht="12.75" hidden="false" customHeight="false" outlineLevel="0" collapsed="false">
      <c r="A95" s="138" t="n">
        <f aca="false">EDATE(A94,1)</f>
        <v>39569</v>
      </c>
      <c r="B95" s="139" t="n">
        <f aca="false">VLOOKUP($A95,Table2,MATCH(I$3,Curves2,0))</f>
        <v>60900</v>
      </c>
      <c r="C95" s="140"/>
      <c r="D95" s="141" t="n">
        <f aca="false">B95+C95</f>
        <v>60900</v>
      </c>
      <c r="E95" s="126" t="n">
        <f aca="false">IF(Y95=0,0,IF(AND(Y95=1,$H$3=1),D95*T95,IF($H$3=2,D95,"N/A")))</f>
        <v>0</v>
      </c>
      <c r="F95" s="126" t="n">
        <f aca="false">E95*X95</f>
        <v>0</v>
      </c>
      <c r="G95" s="142" t="n">
        <f aca="false">VLOOKUP($A95,Table,MATCH(G$4,Curves,0))</f>
        <v>3.987</v>
      </c>
      <c r="H95" s="143" t="n">
        <f aca="false">G95</f>
        <v>3.987</v>
      </c>
      <c r="I95" s="142" t="n">
        <f aca="false">VLOOKUP($A95,Table1,MATCH(I$3,Curves1,0))</f>
        <v>3.7904</v>
      </c>
      <c r="J95" s="142" t="n">
        <f aca="false">VLOOKUP($A95,Table,MATCH(J$4,Curves,0))</f>
        <v>0.011</v>
      </c>
      <c r="K95" s="143" t="n">
        <f aca="false">J95</f>
        <v>0.011</v>
      </c>
      <c r="L95" s="144" t="n">
        <v>0</v>
      </c>
      <c r="M95" s="142" t="n">
        <f aca="false">VLOOKUP($A95,Table,MATCH(M$4,Curves,0))</f>
        <v>0.015</v>
      </c>
      <c r="N95" s="143" t="n">
        <f aca="false">M95</f>
        <v>0.015</v>
      </c>
      <c r="O95" s="144" t="n">
        <v>0</v>
      </c>
      <c r="P95" s="145"/>
      <c r="Q95" s="144" t="n">
        <f aca="false">M95+J95+G95</f>
        <v>4.013</v>
      </c>
      <c r="R95" s="144" t="n">
        <f aca="false">O95+L95+I95</f>
        <v>3.7904</v>
      </c>
      <c r="S95" s="145"/>
      <c r="T95" s="71" t="n">
        <f aca="false">A96-A95</f>
        <v>31</v>
      </c>
      <c r="U95" s="146" t="n">
        <f aca="false">CHOOSE(F$3,A96+24,A95)</f>
        <v>39624</v>
      </c>
      <c r="V95" s="71" t="n">
        <f aca="false">U95-C$3</f>
        <v>2736</v>
      </c>
      <c r="W95" s="142" t="n">
        <f aca="false">VLOOKUP($A95,Table,MATCH(W$4,Curves,0))</f>
        <v>0.058966861357273</v>
      </c>
      <c r="X95" s="147" t="n">
        <f aca="false">1/(1+CHOOSE(F$3,(W96+($K$3/10000))/2,(W95+($K$3/10000))/2))^(2*V95/365.25)</f>
        <v>0.647057380207237</v>
      </c>
      <c r="Y95" s="71" t="n">
        <f aca="false">IF(AND(mthbeg&lt;=A95,mthend&gt;=A95),1,0)</f>
        <v>0</v>
      </c>
      <c r="Z95" s="71" t="n">
        <f aca="false">T95*Y95</f>
        <v>0</v>
      </c>
      <c r="AB95" s="132" t="n">
        <f aca="false">F95*G95</f>
        <v>0</v>
      </c>
      <c r="AC95" s="132" t="n">
        <f aca="false">$F95*H95</f>
        <v>0</v>
      </c>
      <c r="AD95" s="132" t="n">
        <f aca="false">$F95*I95</f>
        <v>0</v>
      </c>
      <c r="AE95" s="132" t="n">
        <f aca="false">$F95*J95</f>
        <v>0</v>
      </c>
      <c r="AF95" s="132" t="n">
        <f aca="false">$F95*K95</f>
        <v>0</v>
      </c>
      <c r="AG95" s="132" t="n">
        <f aca="false">$F95*L95</f>
        <v>0</v>
      </c>
      <c r="AH95" s="132" t="n">
        <f aca="false">$F95*M95</f>
        <v>0</v>
      </c>
      <c r="AI95" s="132" t="n">
        <f aca="false">$F95*N95</f>
        <v>0</v>
      </c>
      <c r="AJ95" s="132" t="n">
        <f aca="false">F95*O95</f>
        <v>0</v>
      </c>
      <c r="AK95" s="137"/>
      <c r="AL95" s="132" t="n">
        <f aca="false">CHOOSE($G$3,AC95-AD95,AD95-AC95)</f>
        <v>0</v>
      </c>
      <c r="AM95" s="132" t="n">
        <f aca="false">CHOOSE($G$3,AF95-AG95,AG95-AF95)</f>
        <v>0</v>
      </c>
      <c r="AN95" s="132" t="n">
        <f aca="false">CHOOSE($G$3,AI95-AJ95,AJ95-AI95)</f>
        <v>0</v>
      </c>
      <c r="AO95" s="148" t="n">
        <f aca="false">SUM(AL95:AN95)</f>
        <v>0</v>
      </c>
      <c r="AQ95" s="132" t="n">
        <f aca="false">CHOOSE($G$3,AB95-AC95,AC95-AB95)</f>
        <v>0</v>
      </c>
      <c r="AR95" s="132" t="n">
        <f aca="false">CHOOSE($G$3,AE95-AF95,AF95-AE95)</f>
        <v>0</v>
      </c>
      <c r="AS95" s="132" t="n">
        <f aca="false">CHOOSE($G$3,AH95-AI95,AI95-AH95)</f>
        <v>0</v>
      </c>
      <c r="AT95" s="148" t="n">
        <f aca="false">AQ95+AR95+AS95</f>
        <v>0</v>
      </c>
      <c r="AU95" s="148"/>
      <c r="AV95" s="133" t="n">
        <f aca="false">AT95+AO95</f>
        <v>0</v>
      </c>
      <c r="AX95" s="133" t="n">
        <f aca="false">AJ95+AG95+AD95</f>
        <v>0</v>
      </c>
      <c r="AY95" s="149"/>
      <c r="AZ95" s="76" t="n">
        <f aca="false">R95*E95</f>
        <v>0</v>
      </c>
    </row>
    <row r="96" customFormat="false" ht="12.75" hidden="false" customHeight="false" outlineLevel="0" collapsed="false">
      <c r="A96" s="138" t="n">
        <f aca="false">EDATE(A95,1)</f>
        <v>39600</v>
      </c>
      <c r="B96" s="139" t="n">
        <f aca="false">VLOOKUP($A96,Table2,MATCH(I$3,Curves2,0))</f>
        <v>60900</v>
      </c>
      <c r="C96" s="140"/>
      <c r="D96" s="141" t="n">
        <f aca="false">B96+C96</f>
        <v>60900</v>
      </c>
      <c r="E96" s="126" t="n">
        <f aca="false">IF(Y96=0,0,IF(AND(Y96=1,$H$3=1),D96*T96,IF($H$3=2,D96,"N/A")))</f>
        <v>0</v>
      </c>
      <c r="F96" s="126" t="n">
        <f aca="false">E96*X96</f>
        <v>0</v>
      </c>
      <c r="G96" s="142" t="n">
        <f aca="false">VLOOKUP($A96,Table,MATCH(G$4,Curves,0))</f>
        <v>3.987</v>
      </c>
      <c r="H96" s="143" t="n">
        <f aca="false">G96</f>
        <v>3.987</v>
      </c>
      <c r="I96" s="142" t="n">
        <f aca="false">VLOOKUP($A96,Table1,MATCH(I$3,Curves1,0))</f>
        <v>3.7904</v>
      </c>
      <c r="J96" s="142" t="n">
        <f aca="false">VLOOKUP($A96,Table,MATCH(J$4,Curves,0))</f>
        <v>0.011</v>
      </c>
      <c r="K96" s="143" t="n">
        <f aca="false">J96</f>
        <v>0.011</v>
      </c>
      <c r="L96" s="144" t="n">
        <v>0</v>
      </c>
      <c r="M96" s="142" t="n">
        <f aca="false">VLOOKUP($A96,Table,MATCH(M$4,Curves,0))</f>
        <v>0.015</v>
      </c>
      <c r="N96" s="143" t="n">
        <f aca="false">M96</f>
        <v>0.015</v>
      </c>
      <c r="O96" s="144" t="n">
        <v>0</v>
      </c>
      <c r="P96" s="145"/>
      <c r="Q96" s="144" t="n">
        <f aca="false">M96+J96+G96</f>
        <v>4.013</v>
      </c>
      <c r="R96" s="144" t="n">
        <f aca="false">O96+L96+I96</f>
        <v>3.7904</v>
      </c>
      <c r="S96" s="145"/>
      <c r="T96" s="71" t="n">
        <f aca="false">A97-A96</f>
        <v>30</v>
      </c>
      <c r="U96" s="146" t="n">
        <f aca="false">CHOOSE(F$3,A97+24,A96)</f>
        <v>39654</v>
      </c>
      <c r="V96" s="71" t="n">
        <f aca="false">U96-C$3</f>
        <v>2766</v>
      </c>
      <c r="W96" s="142" t="n">
        <f aca="false">VLOOKUP($A96,Table,MATCH(W$4,Curves,0))</f>
        <v>0.058966861357273</v>
      </c>
      <c r="X96" s="147" t="n">
        <f aca="false">1/(1+CHOOSE(F$3,(W97+($K$3/10000))/2,(W96+($K$3/10000))/2))^(2*V96/365.25)</f>
        <v>0.643976173796286</v>
      </c>
      <c r="Y96" s="71" t="n">
        <f aca="false">IF(AND(mthbeg&lt;=A96,mthend&gt;=A96),1,0)</f>
        <v>0</v>
      </c>
      <c r="Z96" s="71" t="n">
        <f aca="false">T96*Y96</f>
        <v>0</v>
      </c>
      <c r="AB96" s="132" t="n">
        <f aca="false">F96*G96</f>
        <v>0</v>
      </c>
      <c r="AC96" s="132" t="n">
        <f aca="false">$F96*H96</f>
        <v>0</v>
      </c>
      <c r="AD96" s="132" t="n">
        <f aca="false">$F96*I96</f>
        <v>0</v>
      </c>
      <c r="AE96" s="132" t="n">
        <f aca="false">$F96*J96</f>
        <v>0</v>
      </c>
      <c r="AF96" s="132" t="n">
        <f aca="false">$F96*K96</f>
        <v>0</v>
      </c>
      <c r="AG96" s="132" t="n">
        <f aca="false">$F96*L96</f>
        <v>0</v>
      </c>
      <c r="AH96" s="132" t="n">
        <f aca="false">$F96*M96</f>
        <v>0</v>
      </c>
      <c r="AI96" s="132" t="n">
        <f aca="false">$F96*N96</f>
        <v>0</v>
      </c>
      <c r="AJ96" s="132" t="n">
        <f aca="false">F96*O96</f>
        <v>0</v>
      </c>
      <c r="AK96" s="137"/>
      <c r="AL96" s="132" t="n">
        <f aca="false">CHOOSE($G$3,AC96-AD96,AD96-AC96)</f>
        <v>0</v>
      </c>
      <c r="AM96" s="132" t="n">
        <f aca="false">CHOOSE($G$3,AF96-AG96,AG96-AF96)</f>
        <v>0</v>
      </c>
      <c r="AN96" s="132" t="n">
        <f aca="false">CHOOSE($G$3,AI96-AJ96,AJ96-AI96)</f>
        <v>0</v>
      </c>
      <c r="AO96" s="148" t="n">
        <f aca="false">SUM(AL96:AN96)</f>
        <v>0</v>
      </c>
      <c r="AQ96" s="132" t="n">
        <f aca="false">CHOOSE($G$3,AB96-AC96,AC96-AB96)</f>
        <v>0</v>
      </c>
      <c r="AR96" s="132" t="n">
        <f aca="false">CHOOSE($G$3,AE96-AF96,AF96-AE96)</f>
        <v>0</v>
      </c>
      <c r="AS96" s="132" t="n">
        <f aca="false">CHOOSE($G$3,AH96-AI96,AI96-AH96)</f>
        <v>0</v>
      </c>
      <c r="AT96" s="148" t="n">
        <f aca="false">AQ96+AR96+AS96</f>
        <v>0</v>
      </c>
      <c r="AU96" s="148"/>
      <c r="AV96" s="133" t="n">
        <f aca="false">AT96+AO96</f>
        <v>0</v>
      </c>
      <c r="AX96" s="133" t="n">
        <f aca="false">AJ96+AG96+AD96</f>
        <v>0</v>
      </c>
      <c r="AY96" s="149"/>
      <c r="AZ96" s="76" t="n">
        <f aca="false">R96*E96</f>
        <v>0</v>
      </c>
    </row>
    <row r="97" customFormat="false" ht="12.75" hidden="false" customHeight="false" outlineLevel="0" collapsed="false">
      <c r="A97" s="138" t="n">
        <f aca="false">EDATE(A96,1)</f>
        <v>39630</v>
      </c>
      <c r="B97" s="139" t="n">
        <f aca="false">VLOOKUP($A97,Table2,MATCH(I$3,Curves2,0))</f>
        <v>60900</v>
      </c>
      <c r="C97" s="140"/>
      <c r="D97" s="141" t="n">
        <f aca="false">B97+C97</f>
        <v>60900</v>
      </c>
      <c r="E97" s="126" t="n">
        <f aca="false">IF(Y97=0,0,IF(AND(Y97=1,$H$3=1),D97*T97,IF($H$3=2,D97,"N/A")))</f>
        <v>0</v>
      </c>
      <c r="F97" s="126" t="n">
        <f aca="false">E97*X97</f>
        <v>0</v>
      </c>
      <c r="G97" s="142" t="n">
        <f aca="false">VLOOKUP($A97,Table,MATCH(G$4,Curves,0))</f>
        <v>3.987</v>
      </c>
      <c r="H97" s="143" t="n">
        <f aca="false">G97</f>
        <v>3.987</v>
      </c>
      <c r="I97" s="142" t="n">
        <f aca="false">VLOOKUP($A97,Table1,MATCH(I$3,Curves1,0))</f>
        <v>3.7904</v>
      </c>
      <c r="J97" s="142" t="n">
        <f aca="false">VLOOKUP($A97,Table,MATCH(J$4,Curves,0))</f>
        <v>0.011</v>
      </c>
      <c r="K97" s="143" t="n">
        <f aca="false">J97</f>
        <v>0.011</v>
      </c>
      <c r="L97" s="144" t="n">
        <v>0</v>
      </c>
      <c r="M97" s="142" t="n">
        <f aca="false">VLOOKUP($A97,Table,MATCH(M$4,Curves,0))</f>
        <v>0.015</v>
      </c>
      <c r="N97" s="143" t="n">
        <f aca="false">M97</f>
        <v>0.015</v>
      </c>
      <c r="O97" s="144" t="n">
        <v>0</v>
      </c>
      <c r="P97" s="145"/>
      <c r="Q97" s="144" t="n">
        <f aca="false">M97+J97+G97</f>
        <v>4.013</v>
      </c>
      <c r="R97" s="144" t="n">
        <f aca="false">O97+L97+I97</f>
        <v>3.7904</v>
      </c>
      <c r="S97" s="145"/>
      <c r="T97" s="71" t="n">
        <f aca="false">A98-A97</f>
        <v>31</v>
      </c>
      <c r="U97" s="146" t="n">
        <f aca="false">CHOOSE(F$3,A98+24,A97)</f>
        <v>39685</v>
      </c>
      <c r="V97" s="71" t="n">
        <f aca="false">U97-C$3</f>
        <v>2797</v>
      </c>
      <c r="W97" s="142" t="n">
        <f aca="false">VLOOKUP($A97,Table,MATCH(W$4,Curves,0))</f>
        <v>0.058966861357273</v>
      </c>
      <c r="X97" s="147" t="n">
        <f aca="false">1/(1+CHOOSE(F$3,(W98+($K$3/10000))/2,(W97+($K$3/10000))/2))^(2*V97/365.25)</f>
        <v>0.640807673775773</v>
      </c>
      <c r="Y97" s="71" t="n">
        <f aca="false">IF(AND(mthbeg&lt;=A97,mthend&gt;=A97),1,0)</f>
        <v>0</v>
      </c>
      <c r="Z97" s="71" t="n">
        <f aca="false">T97*Y97</f>
        <v>0</v>
      </c>
      <c r="AB97" s="132" t="n">
        <f aca="false">F97*G97</f>
        <v>0</v>
      </c>
      <c r="AC97" s="132" t="n">
        <f aca="false">$F97*H97</f>
        <v>0</v>
      </c>
      <c r="AD97" s="132" t="n">
        <f aca="false">$F97*I97</f>
        <v>0</v>
      </c>
      <c r="AE97" s="132" t="n">
        <f aca="false">$F97*J97</f>
        <v>0</v>
      </c>
      <c r="AF97" s="132" t="n">
        <f aca="false">$F97*K97</f>
        <v>0</v>
      </c>
      <c r="AG97" s="132" t="n">
        <f aca="false">$F97*L97</f>
        <v>0</v>
      </c>
      <c r="AH97" s="132" t="n">
        <f aca="false">$F97*M97</f>
        <v>0</v>
      </c>
      <c r="AI97" s="132" t="n">
        <f aca="false">$F97*N97</f>
        <v>0</v>
      </c>
      <c r="AJ97" s="132" t="n">
        <f aca="false">F97*O97</f>
        <v>0</v>
      </c>
      <c r="AK97" s="137"/>
      <c r="AL97" s="132" t="n">
        <f aca="false">CHOOSE($G$3,AC97-AD97,AD97-AC97)</f>
        <v>0</v>
      </c>
      <c r="AM97" s="132" t="n">
        <f aca="false">CHOOSE($G$3,AF97-AG97,AG97-AF97)</f>
        <v>0</v>
      </c>
      <c r="AN97" s="132" t="n">
        <f aca="false">CHOOSE($G$3,AI97-AJ97,AJ97-AI97)</f>
        <v>0</v>
      </c>
      <c r="AO97" s="148" t="n">
        <f aca="false">SUM(AL97:AN97)</f>
        <v>0</v>
      </c>
      <c r="AQ97" s="132" t="n">
        <f aca="false">CHOOSE($G$3,AB97-AC97,AC97-AB97)</f>
        <v>0</v>
      </c>
      <c r="AR97" s="132" t="n">
        <f aca="false">CHOOSE($G$3,AE97-AF97,AF97-AE97)</f>
        <v>0</v>
      </c>
      <c r="AS97" s="132" t="n">
        <f aca="false">CHOOSE($G$3,AH97-AI97,AI97-AH97)</f>
        <v>0</v>
      </c>
      <c r="AT97" s="148" t="n">
        <f aca="false">AQ97+AR97+AS97</f>
        <v>0</v>
      </c>
      <c r="AU97" s="148"/>
      <c r="AV97" s="133" t="n">
        <f aca="false">AT97+AO97</f>
        <v>0</v>
      </c>
      <c r="AX97" s="133" t="n">
        <f aca="false">AJ97+AG97+AD97</f>
        <v>0</v>
      </c>
      <c r="AY97" s="149"/>
      <c r="AZ97" s="76" t="n">
        <f aca="false">R97*E97</f>
        <v>0</v>
      </c>
    </row>
    <row r="98" customFormat="false" ht="12.75" hidden="false" customHeight="false" outlineLevel="0" collapsed="false">
      <c r="A98" s="138" t="n">
        <f aca="false">EDATE(A97,1)</f>
        <v>39661</v>
      </c>
      <c r="B98" s="139" t="n">
        <f aca="false">VLOOKUP($A98,Table2,MATCH(I$3,Curves2,0))</f>
        <v>60900</v>
      </c>
      <c r="C98" s="140"/>
      <c r="D98" s="141" t="n">
        <f aca="false">B98+C98</f>
        <v>60900</v>
      </c>
      <c r="E98" s="126" t="n">
        <f aca="false">IF(Y98=0,0,IF(AND(Y98=1,$H$3=1),D98*T98,IF($H$3=2,D98,"N/A")))</f>
        <v>0</v>
      </c>
      <c r="F98" s="126" t="n">
        <f aca="false">E98*X98</f>
        <v>0</v>
      </c>
      <c r="G98" s="142" t="n">
        <f aca="false">VLOOKUP($A98,Table,MATCH(G$4,Curves,0))</f>
        <v>3.987</v>
      </c>
      <c r="H98" s="143" t="n">
        <f aca="false">G98</f>
        <v>3.987</v>
      </c>
      <c r="I98" s="142" t="n">
        <f aca="false">VLOOKUP($A98,Table1,MATCH(I$3,Curves1,0))</f>
        <v>3.7904</v>
      </c>
      <c r="J98" s="142" t="n">
        <f aca="false">VLOOKUP($A98,Table,MATCH(J$4,Curves,0))</f>
        <v>0.011</v>
      </c>
      <c r="K98" s="143" t="n">
        <f aca="false">J98</f>
        <v>0.011</v>
      </c>
      <c r="L98" s="144" t="n">
        <v>0</v>
      </c>
      <c r="M98" s="142" t="n">
        <f aca="false">VLOOKUP($A98,Table,MATCH(M$4,Curves,0))</f>
        <v>0.015</v>
      </c>
      <c r="N98" s="143" t="n">
        <f aca="false">M98</f>
        <v>0.015</v>
      </c>
      <c r="O98" s="144" t="n">
        <v>0</v>
      </c>
      <c r="P98" s="145"/>
      <c r="Q98" s="144" t="n">
        <f aca="false">M98+J98+G98</f>
        <v>4.013</v>
      </c>
      <c r="R98" s="144" t="n">
        <f aca="false">O98+L98+I98</f>
        <v>3.7904</v>
      </c>
      <c r="S98" s="145"/>
      <c r="T98" s="71" t="n">
        <f aca="false">A99-A98</f>
        <v>31</v>
      </c>
      <c r="U98" s="146" t="n">
        <f aca="false">CHOOSE(F$3,A99+24,A98)</f>
        <v>39716</v>
      </c>
      <c r="V98" s="71" t="n">
        <f aca="false">U98-C$3</f>
        <v>2828</v>
      </c>
      <c r="W98" s="142" t="n">
        <f aca="false">VLOOKUP($A98,Table,MATCH(W$4,Curves,0))</f>
        <v>0.058966861357273</v>
      </c>
      <c r="X98" s="147" t="n">
        <f aca="false">1/(1+CHOOSE(F$3,(W99+($K$3/10000))/2,(W98+($K$3/10000))/2))^(2*V98/365.25)</f>
        <v>0.637654763450638</v>
      </c>
      <c r="Y98" s="71" t="n">
        <f aca="false">IF(AND(mthbeg&lt;=A98,mthend&gt;=A98),1,0)</f>
        <v>0</v>
      </c>
      <c r="Z98" s="71" t="n">
        <f aca="false">T98*Y98</f>
        <v>0</v>
      </c>
      <c r="AB98" s="132" t="n">
        <f aca="false">F98*G98</f>
        <v>0</v>
      </c>
      <c r="AC98" s="132" t="n">
        <f aca="false">$F98*H98</f>
        <v>0</v>
      </c>
      <c r="AD98" s="132" t="n">
        <f aca="false">$F98*I98</f>
        <v>0</v>
      </c>
      <c r="AE98" s="132" t="n">
        <f aca="false">$F98*J98</f>
        <v>0</v>
      </c>
      <c r="AF98" s="132" t="n">
        <f aca="false">$F98*K98</f>
        <v>0</v>
      </c>
      <c r="AG98" s="132" t="n">
        <f aca="false">$F98*L98</f>
        <v>0</v>
      </c>
      <c r="AH98" s="132" t="n">
        <f aca="false">$F98*M98</f>
        <v>0</v>
      </c>
      <c r="AI98" s="132" t="n">
        <f aca="false">$F98*N98</f>
        <v>0</v>
      </c>
      <c r="AJ98" s="132" t="n">
        <f aca="false">F98*O98</f>
        <v>0</v>
      </c>
      <c r="AK98" s="137"/>
      <c r="AL98" s="132" t="n">
        <f aca="false">CHOOSE($G$3,AC98-AD98,AD98-AC98)</f>
        <v>0</v>
      </c>
      <c r="AM98" s="132" t="n">
        <f aca="false">CHOOSE($G$3,AF98-AG98,AG98-AF98)</f>
        <v>0</v>
      </c>
      <c r="AN98" s="132" t="n">
        <f aca="false">CHOOSE($G$3,AI98-AJ98,AJ98-AI98)</f>
        <v>0</v>
      </c>
      <c r="AO98" s="148" t="n">
        <f aca="false">SUM(AL98:AN98)</f>
        <v>0</v>
      </c>
      <c r="AQ98" s="132" t="n">
        <f aca="false">CHOOSE($G$3,AB98-AC98,AC98-AB98)</f>
        <v>0</v>
      </c>
      <c r="AR98" s="132" t="n">
        <f aca="false">CHOOSE($G$3,AE98-AF98,AF98-AE98)</f>
        <v>0</v>
      </c>
      <c r="AS98" s="132" t="n">
        <f aca="false">CHOOSE($G$3,AH98-AI98,AI98-AH98)</f>
        <v>0</v>
      </c>
      <c r="AT98" s="148" t="n">
        <f aca="false">AQ98+AR98+AS98</f>
        <v>0</v>
      </c>
      <c r="AU98" s="148"/>
      <c r="AV98" s="133" t="n">
        <f aca="false">AT98+AO98</f>
        <v>0</v>
      </c>
      <c r="AX98" s="133" t="n">
        <f aca="false">AJ98+AG98+AD98</f>
        <v>0</v>
      </c>
      <c r="AY98" s="149"/>
      <c r="AZ98" s="76" t="n">
        <f aca="false">R98*E98</f>
        <v>0</v>
      </c>
    </row>
    <row r="99" customFormat="false" ht="12.75" hidden="false" customHeight="false" outlineLevel="0" collapsed="false">
      <c r="A99" s="138" t="n">
        <f aca="false">EDATE(A98,1)</f>
        <v>39692</v>
      </c>
      <c r="B99" s="139" t="n">
        <f aca="false">VLOOKUP($A99,Table2,MATCH(I$3,Curves2,0))</f>
        <v>60900</v>
      </c>
      <c r="C99" s="140"/>
      <c r="D99" s="141" t="n">
        <f aca="false">B99+C99</f>
        <v>60900</v>
      </c>
      <c r="E99" s="126" t="n">
        <f aca="false">IF(Y99=0,0,IF(AND(Y99=1,$H$3=1),D99*T99,IF($H$3=2,D99,"N/A")))</f>
        <v>0</v>
      </c>
      <c r="F99" s="126" t="n">
        <f aca="false">E99*X99</f>
        <v>0</v>
      </c>
      <c r="G99" s="142" t="n">
        <f aca="false">VLOOKUP($A99,Table,MATCH(G$4,Curves,0))</f>
        <v>3.987</v>
      </c>
      <c r="H99" s="143" t="n">
        <f aca="false">G99</f>
        <v>3.987</v>
      </c>
      <c r="I99" s="142" t="n">
        <f aca="false">VLOOKUP($A99,Table1,MATCH(I$3,Curves1,0))</f>
        <v>3.7904</v>
      </c>
      <c r="J99" s="142" t="n">
        <f aca="false">VLOOKUP($A99,Table,MATCH(J$4,Curves,0))</f>
        <v>0.011</v>
      </c>
      <c r="K99" s="143" t="n">
        <f aca="false">J99</f>
        <v>0.011</v>
      </c>
      <c r="L99" s="144" t="n">
        <v>0</v>
      </c>
      <c r="M99" s="142" t="n">
        <f aca="false">VLOOKUP($A99,Table,MATCH(M$4,Curves,0))</f>
        <v>0.015</v>
      </c>
      <c r="N99" s="143" t="n">
        <f aca="false">M99</f>
        <v>0.015</v>
      </c>
      <c r="O99" s="144" t="n">
        <v>0</v>
      </c>
      <c r="P99" s="145"/>
      <c r="Q99" s="144" t="n">
        <f aca="false">M99+J99+G99</f>
        <v>4.013</v>
      </c>
      <c r="R99" s="144" t="n">
        <f aca="false">O99+L99+I99</f>
        <v>3.7904</v>
      </c>
      <c r="S99" s="145"/>
      <c r="T99" s="71" t="n">
        <f aca="false">A100-A99</f>
        <v>30</v>
      </c>
      <c r="U99" s="146" t="n">
        <f aca="false">CHOOSE(F$3,A100+24,A99)</f>
        <v>39746</v>
      </c>
      <c r="V99" s="71" t="n">
        <f aca="false">U99-C$3</f>
        <v>2858</v>
      </c>
      <c r="W99" s="142" t="n">
        <f aca="false">VLOOKUP($A99,Table,MATCH(W$4,Curves,0))</f>
        <v>0.058966861357273</v>
      </c>
      <c r="X99" s="147" t="n">
        <f aca="false">1/(1+CHOOSE(F$3,(W100+($K$3/10000))/2,(W99+($K$3/10000))/2))^(2*V99/365.25)</f>
        <v>0.63461833112606</v>
      </c>
      <c r="Y99" s="71" t="n">
        <f aca="false">IF(AND(mthbeg&lt;=A99,mthend&gt;=A99),1,0)</f>
        <v>0</v>
      </c>
      <c r="Z99" s="71" t="n">
        <f aca="false">T99*Y99</f>
        <v>0</v>
      </c>
      <c r="AB99" s="132" t="n">
        <f aca="false">F99*G99</f>
        <v>0</v>
      </c>
      <c r="AC99" s="132" t="n">
        <f aca="false">$F99*H99</f>
        <v>0</v>
      </c>
      <c r="AD99" s="132" t="n">
        <f aca="false">$F99*I99</f>
        <v>0</v>
      </c>
      <c r="AE99" s="132" t="n">
        <f aca="false">$F99*J99</f>
        <v>0</v>
      </c>
      <c r="AF99" s="132" t="n">
        <f aca="false">$F99*K99</f>
        <v>0</v>
      </c>
      <c r="AG99" s="132" t="n">
        <f aca="false">$F99*L99</f>
        <v>0</v>
      </c>
      <c r="AH99" s="132" t="n">
        <f aca="false">$F99*M99</f>
        <v>0</v>
      </c>
      <c r="AI99" s="132" t="n">
        <f aca="false">$F99*N99</f>
        <v>0</v>
      </c>
      <c r="AJ99" s="132" t="n">
        <f aca="false">F99*O99</f>
        <v>0</v>
      </c>
      <c r="AK99" s="137"/>
      <c r="AL99" s="132" t="n">
        <f aca="false">CHOOSE($G$3,AC99-AD99,AD99-AC99)</f>
        <v>0</v>
      </c>
      <c r="AM99" s="132" t="n">
        <f aca="false">CHOOSE($G$3,AF99-AG99,AG99-AF99)</f>
        <v>0</v>
      </c>
      <c r="AN99" s="132" t="n">
        <f aca="false">CHOOSE($G$3,AI99-AJ99,AJ99-AI99)</f>
        <v>0</v>
      </c>
      <c r="AO99" s="148" t="n">
        <f aca="false">SUM(AL99:AN99)</f>
        <v>0</v>
      </c>
      <c r="AQ99" s="132" t="n">
        <f aca="false">CHOOSE($G$3,AB99-AC99,AC99-AB99)</f>
        <v>0</v>
      </c>
      <c r="AR99" s="132" t="n">
        <f aca="false">CHOOSE($G$3,AE99-AF99,AF99-AE99)</f>
        <v>0</v>
      </c>
      <c r="AS99" s="132" t="n">
        <f aca="false">CHOOSE($G$3,AH99-AI99,AI99-AH99)</f>
        <v>0</v>
      </c>
      <c r="AT99" s="148" t="n">
        <f aca="false">AQ99+AR99+AS99</f>
        <v>0</v>
      </c>
      <c r="AU99" s="148"/>
      <c r="AV99" s="133" t="n">
        <f aca="false">AT99+AO99</f>
        <v>0</v>
      </c>
      <c r="AX99" s="133" t="n">
        <f aca="false">AJ99+AG99+AD99</f>
        <v>0</v>
      </c>
      <c r="AY99" s="149"/>
      <c r="AZ99" s="76" t="n">
        <f aca="false">R99*E99</f>
        <v>0</v>
      </c>
    </row>
    <row r="100" customFormat="false" ht="12.75" hidden="false" customHeight="false" outlineLevel="0" collapsed="false">
      <c r="A100" s="138" t="n">
        <f aca="false">EDATE(A99,1)</f>
        <v>39722</v>
      </c>
      <c r="B100" s="139" t="n">
        <f aca="false">VLOOKUP($A100,Table2,MATCH(I$3,Curves2,0))</f>
        <v>60900</v>
      </c>
      <c r="C100" s="140"/>
      <c r="D100" s="141" t="n">
        <f aca="false">B100+C100</f>
        <v>60900</v>
      </c>
      <c r="E100" s="126" t="n">
        <f aca="false">IF(Y100=0,0,IF(AND(Y100=1,$H$3=1),D100*T100,IF($H$3=2,D100,"N/A")))</f>
        <v>0</v>
      </c>
      <c r="F100" s="126" t="n">
        <f aca="false">E100*X100</f>
        <v>0</v>
      </c>
      <c r="G100" s="142" t="n">
        <f aca="false">VLOOKUP($A100,Table,MATCH(G$4,Curves,0))</f>
        <v>3.987</v>
      </c>
      <c r="H100" s="143" t="n">
        <f aca="false">G100</f>
        <v>3.987</v>
      </c>
      <c r="I100" s="142" t="n">
        <f aca="false">VLOOKUP($A100,Table1,MATCH(I$3,Curves1,0))</f>
        <v>3.7904</v>
      </c>
      <c r="J100" s="142" t="n">
        <f aca="false">VLOOKUP($A100,Table,MATCH(J$4,Curves,0))</f>
        <v>0.011</v>
      </c>
      <c r="K100" s="143" t="n">
        <f aca="false">J100</f>
        <v>0.011</v>
      </c>
      <c r="L100" s="144" t="n">
        <v>0</v>
      </c>
      <c r="M100" s="142" t="n">
        <f aca="false">VLOOKUP($A100,Table,MATCH(M$4,Curves,0))</f>
        <v>0.015</v>
      </c>
      <c r="N100" s="143" t="n">
        <f aca="false">M100</f>
        <v>0.015</v>
      </c>
      <c r="O100" s="144" t="n">
        <v>0</v>
      </c>
      <c r="P100" s="145"/>
      <c r="Q100" s="144" t="n">
        <f aca="false">M100+J100+G100</f>
        <v>4.013</v>
      </c>
      <c r="R100" s="144" t="n">
        <f aca="false">O100+L100+I100</f>
        <v>3.7904</v>
      </c>
      <c r="S100" s="145"/>
      <c r="T100" s="71" t="n">
        <f aca="false">A101-A100</f>
        <v>31</v>
      </c>
      <c r="U100" s="146" t="n">
        <f aca="false">CHOOSE(F$3,A101+24,A100)</f>
        <v>39777</v>
      </c>
      <c r="V100" s="71" t="n">
        <f aca="false">U100-C$3</f>
        <v>2889</v>
      </c>
      <c r="W100" s="142" t="n">
        <f aca="false">VLOOKUP($A100,Table,MATCH(W$4,Curves,0))</f>
        <v>0.058966861357273</v>
      </c>
      <c r="X100" s="147" t="n">
        <f aca="false">1/(1+CHOOSE(F$3,(W101+($K$3/10000))/2,(W100+($K$3/10000))/2))^(2*V100/365.25)</f>
        <v>0.631495873685846</v>
      </c>
      <c r="Y100" s="71" t="n">
        <f aca="false">IF(AND(mthbeg&lt;=A100,mthend&gt;=A100),1,0)</f>
        <v>0</v>
      </c>
      <c r="Z100" s="71" t="n">
        <f aca="false">T100*Y100</f>
        <v>0</v>
      </c>
      <c r="AB100" s="132" t="n">
        <f aca="false">F100*G100</f>
        <v>0</v>
      </c>
      <c r="AC100" s="132" t="n">
        <f aca="false">$F100*H100</f>
        <v>0</v>
      </c>
      <c r="AD100" s="132" t="n">
        <f aca="false">$F100*I100</f>
        <v>0</v>
      </c>
      <c r="AE100" s="132" t="n">
        <f aca="false">$F100*J100</f>
        <v>0</v>
      </c>
      <c r="AF100" s="132" t="n">
        <f aca="false">$F100*K100</f>
        <v>0</v>
      </c>
      <c r="AG100" s="132" t="n">
        <f aca="false">$F100*L100</f>
        <v>0</v>
      </c>
      <c r="AH100" s="132" t="n">
        <f aca="false">$F100*M100</f>
        <v>0</v>
      </c>
      <c r="AI100" s="132" t="n">
        <f aca="false">$F100*N100</f>
        <v>0</v>
      </c>
      <c r="AJ100" s="132" t="n">
        <f aca="false">F100*O100</f>
        <v>0</v>
      </c>
      <c r="AK100" s="137"/>
      <c r="AL100" s="132" t="n">
        <f aca="false">CHOOSE($G$3,AC100-AD100,AD100-AC100)</f>
        <v>0</v>
      </c>
      <c r="AM100" s="132" t="n">
        <f aca="false">CHOOSE($G$3,AF100-AG100,AG100-AF100)</f>
        <v>0</v>
      </c>
      <c r="AN100" s="132" t="n">
        <f aca="false">CHOOSE($G$3,AI100-AJ100,AJ100-AI100)</f>
        <v>0</v>
      </c>
      <c r="AO100" s="148" t="n">
        <f aca="false">SUM(AL100:AN100)</f>
        <v>0</v>
      </c>
      <c r="AQ100" s="132" t="n">
        <f aca="false">CHOOSE($G$3,AB100-AC100,AC100-AB100)</f>
        <v>0</v>
      </c>
      <c r="AR100" s="132" t="n">
        <f aca="false">CHOOSE($G$3,AE100-AF100,AF100-AE100)</f>
        <v>0</v>
      </c>
      <c r="AS100" s="132" t="n">
        <f aca="false">CHOOSE($G$3,AH100-AI100,AI100-AH100)</f>
        <v>0</v>
      </c>
      <c r="AT100" s="148" t="n">
        <f aca="false">AQ100+AR100+AS100</f>
        <v>0</v>
      </c>
      <c r="AU100" s="148"/>
      <c r="AV100" s="133" t="n">
        <f aca="false">AT100+AO100</f>
        <v>0</v>
      </c>
      <c r="AX100" s="133" t="n">
        <f aca="false">AJ100+AG100+AD100</f>
        <v>0</v>
      </c>
      <c r="AY100" s="149"/>
      <c r="AZ100" s="76" t="n">
        <f aca="false">R100*E100</f>
        <v>0</v>
      </c>
    </row>
    <row r="101" customFormat="false" ht="12.75" hidden="false" customHeight="false" outlineLevel="0" collapsed="false">
      <c r="A101" s="138" t="n">
        <f aca="false">EDATE(A100,1)</f>
        <v>39753</v>
      </c>
      <c r="B101" s="139" t="n">
        <f aca="false">VLOOKUP($A101,Table2,MATCH(I$3,Curves2,0))</f>
        <v>60900</v>
      </c>
      <c r="C101" s="140"/>
      <c r="D101" s="141" t="n">
        <f aca="false">B101+C101</f>
        <v>60900</v>
      </c>
      <c r="E101" s="126" t="n">
        <f aca="false">IF(Y101=0,0,IF(AND(Y101=1,$H$3=1),D101*T101,IF($H$3=2,D101,"N/A")))</f>
        <v>0</v>
      </c>
      <c r="F101" s="126" t="n">
        <f aca="false">E101*X101</f>
        <v>0</v>
      </c>
      <c r="G101" s="142" t="n">
        <f aca="false">VLOOKUP($A101,Table,MATCH(G$4,Curves,0))</f>
        <v>3.987</v>
      </c>
      <c r="H101" s="143" t="n">
        <f aca="false">G101</f>
        <v>3.987</v>
      </c>
      <c r="I101" s="142" t="n">
        <f aca="false">VLOOKUP($A101,Table1,MATCH(I$3,Curves1,0))</f>
        <v>3.7904</v>
      </c>
      <c r="J101" s="142" t="n">
        <f aca="false">VLOOKUP($A101,Table,MATCH(J$4,Curves,0))</f>
        <v>0.011</v>
      </c>
      <c r="K101" s="143" t="n">
        <f aca="false">J101</f>
        <v>0.011</v>
      </c>
      <c r="L101" s="144" t="n">
        <v>0</v>
      </c>
      <c r="M101" s="142" t="n">
        <f aca="false">VLOOKUP($A101,Table,MATCH(M$4,Curves,0))</f>
        <v>0.015</v>
      </c>
      <c r="N101" s="143" t="n">
        <f aca="false">M101</f>
        <v>0.015</v>
      </c>
      <c r="O101" s="144" t="n">
        <v>0</v>
      </c>
      <c r="P101" s="145"/>
      <c r="Q101" s="144" t="n">
        <f aca="false">M101+J101+G101</f>
        <v>4.013</v>
      </c>
      <c r="R101" s="144" t="n">
        <f aca="false">O101+L101+I101</f>
        <v>3.7904</v>
      </c>
      <c r="S101" s="145"/>
      <c r="T101" s="71" t="n">
        <f aca="false">A102-A101</f>
        <v>30</v>
      </c>
      <c r="U101" s="146" t="n">
        <f aca="false">CHOOSE(F$3,A102+24,A101)</f>
        <v>39807</v>
      </c>
      <c r="V101" s="71" t="n">
        <f aca="false">U101-C$3</f>
        <v>2919</v>
      </c>
      <c r="W101" s="142" t="n">
        <f aca="false">VLOOKUP($A101,Table,MATCH(W$4,Curves,0))</f>
        <v>0.058966861357273</v>
      </c>
      <c r="X101" s="147" t="n">
        <f aca="false">1/(1+CHOOSE(F$3,(W102+($K$3/10000))/2,(W101+($K$3/10000))/2))^(2*V101/365.25)</f>
        <v>0.62848876922493</v>
      </c>
      <c r="Y101" s="71" t="n">
        <f aca="false">IF(AND(mthbeg&lt;=A101,mthend&gt;=A101),1,0)</f>
        <v>0</v>
      </c>
      <c r="Z101" s="71" t="n">
        <f aca="false">T101*Y101</f>
        <v>0</v>
      </c>
      <c r="AB101" s="132" t="n">
        <f aca="false">F101*G101</f>
        <v>0</v>
      </c>
      <c r="AC101" s="132" t="n">
        <f aca="false">$F101*H101</f>
        <v>0</v>
      </c>
      <c r="AD101" s="132" t="n">
        <f aca="false">$F101*I101</f>
        <v>0</v>
      </c>
      <c r="AE101" s="132" t="n">
        <f aca="false">$F101*J101</f>
        <v>0</v>
      </c>
      <c r="AF101" s="132" t="n">
        <f aca="false">$F101*K101</f>
        <v>0</v>
      </c>
      <c r="AG101" s="132" t="n">
        <f aca="false">$F101*L101</f>
        <v>0</v>
      </c>
      <c r="AH101" s="132" t="n">
        <f aca="false">$F101*M101</f>
        <v>0</v>
      </c>
      <c r="AI101" s="132" t="n">
        <f aca="false">$F101*N101</f>
        <v>0</v>
      </c>
      <c r="AJ101" s="132" t="n">
        <f aca="false">F101*O101</f>
        <v>0</v>
      </c>
      <c r="AK101" s="137"/>
      <c r="AL101" s="132" t="n">
        <f aca="false">CHOOSE($G$3,AC101-AD101,AD101-AC101)</f>
        <v>0</v>
      </c>
      <c r="AM101" s="132" t="n">
        <f aca="false">CHOOSE($G$3,AF101-AG101,AG101-AF101)</f>
        <v>0</v>
      </c>
      <c r="AN101" s="132" t="n">
        <f aca="false">CHOOSE($G$3,AI101-AJ101,AJ101-AI101)</f>
        <v>0</v>
      </c>
      <c r="AO101" s="148" t="n">
        <f aca="false">SUM(AL101:AN101)</f>
        <v>0</v>
      </c>
      <c r="AQ101" s="132" t="n">
        <f aca="false">CHOOSE($G$3,AB101-AC101,AC101-AB101)</f>
        <v>0</v>
      </c>
      <c r="AR101" s="132" t="n">
        <f aca="false">CHOOSE($G$3,AE101-AF101,AF101-AE101)</f>
        <v>0</v>
      </c>
      <c r="AS101" s="132" t="n">
        <f aca="false">CHOOSE($G$3,AH101-AI101,AI101-AH101)</f>
        <v>0</v>
      </c>
      <c r="AT101" s="148" t="n">
        <f aca="false">AQ101+AR101+AS101</f>
        <v>0</v>
      </c>
      <c r="AU101" s="148"/>
      <c r="AV101" s="133" t="n">
        <f aca="false">AT101+AO101</f>
        <v>0</v>
      </c>
      <c r="AX101" s="133" t="n">
        <f aca="false">AJ101+AG101+AD101</f>
        <v>0</v>
      </c>
      <c r="AY101" s="149"/>
      <c r="AZ101" s="76" t="n">
        <f aca="false">R101*E101</f>
        <v>0</v>
      </c>
    </row>
    <row r="102" customFormat="false" ht="12.75" hidden="false" customHeight="false" outlineLevel="0" collapsed="false">
      <c r="A102" s="138" t="n">
        <f aca="false">EDATE(A101,1)</f>
        <v>39783</v>
      </c>
      <c r="B102" s="139" t="n">
        <f aca="false">VLOOKUP($A102,Table2,MATCH(I$3,Curves2,0))</f>
        <v>60900</v>
      </c>
      <c r="C102" s="140"/>
      <c r="D102" s="141" t="n">
        <f aca="false">B102+C102</f>
        <v>60900</v>
      </c>
      <c r="E102" s="126" t="n">
        <f aca="false">IF(Y102=0,0,IF(AND(Y102=1,$H$3=1),D102*T102,IF($H$3=2,D102,"N/A")))</f>
        <v>0</v>
      </c>
      <c r="F102" s="126" t="n">
        <f aca="false">E102*X102</f>
        <v>0</v>
      </c>
      <c r="G102" s="142" t="n">
        <f aca="false">VLOOKUP($A102,Table,MATCH(G$4,Curves,0))</f>
        <v>3.987</v>
      </c>
      <c r="H102" s="143" t="n">
        <f aca="false">G102</f>
        <v>3.987</v>
      </c>
      <c r="I102" s="142" t="n">
        <f aca="false">VLOOKUP($A102,Table1,MATCH(I$3,Curves1,0))</f>
        <v>3.7904</v>
      </c>
      <c r="J102" s="142" t="n">
        <f aca="false">VLOOKUP($A102,Table,MATCH(J$4,Curves,0))</f>
        <v>0.011</v>
      </c>
      <c r="K102" s="143" t="n">
        <f aca="false">J102</f>
        <v>0.011</v>
      </c>
      <c r="L102" s="144" t="n">
        <v>0</v>
      </c>
      <c r="M102" s="142" t="n">
        <f aca="false">VLOOKUP($A102,Table,MATCH(M$4,Curves,0))</f>
        <v>0.015</v>
      </c>
      <c r="N102" s="143" t="n">
        <f aca="false">M102</f>
        <v>0.015</v>
      </c>
      <c r="O102" s="144" t="n">
        <v>0</v>
      </c>
      <c r="P102" s="145"/>
      <c r="Q102" s="144" t="n">
        <f aca="false">M102+J102+G102</f>
        <v>4.013</v>
      </c>
      <c r="R102" s="144" t="n">
        <f aca="false">O102+L102+I102</f>
        <v>3.7904</v>
      </c>
      <c r="S102" s="145"/>
      <c r="T102" s="71" t="n">
        <f aca="false">A103-A102</f>
        <v>31</v>
      </c>
      <c r="U102" s="146" t="n">
        <f aca="false">CHOOSE(F$3,A103+24,A102)</f>
        <v>39838</v>
      </c>
      <c r="V102" s="71" t="n">
        <f aca="false">U102-C$3</f>
        <v>2950</v>
      </c>
      <c r="W102" s="142" t="n">
        <f aca="false">VLOOKUP($A102,Table,MATCH(W$4,Curves,0))</f>
        <v>0.058966861357273</v>
      </c>
      <c r="X102" s="147" t="n">
        <f aca="false">1/(1+CHOOSE(F$3,(W103+($K$3/10000))/2,(W102+($K$3/10000))/2))^(2*V102/365.25)</f>
        <v>0.625396470535614</v>
      </c>
      <c r="Y102" s="71" t="n">
        <f aca="false">IF(AND(mthbeg&lt;=A102,mthend&gt;=A102),1,0)</f>
        <v>0</v>
      </c>
      <c r="Z102" s="71" t="n">
        <f aca="false">T102*Y102</f>
        <v>0</v>
      </c>
      <c r="AB102" s="132" t="n">
        <f aca="false">F102*G102</f>
        <v>0</v>
      </c>
      <c r="AC102" s="132" t="n">
        <f aca="false">$F102*H102</f>
        <v>0</v>
      </c>
      <c r="AD102" s="132" t="n">
        <f aca="false">$F102*I102</f>
        <v>0</v>
      </c>
      <c r="AE102" s="132" t="n">
        <f aca="false">$F102*J102</f>
        <v>0</v>
      </c>
      <c r="AF102" s="132" t="n">
        <f aca="false">$F102*K102</f>
        <v>0</v>
      </c>
      <c r="AG102" s="132" t="n">
        <f aca="false">$F102*L102</f>
        <v>0</v>
      </c>
      <c r="AH102" s="132" t="n">
        <f aca="false">$F102*M102</f>
        <v>0</v>
      </c>
      <c r="AI102" s="132" t="n">
        <f aca="false">$F102*N102</f>
        <v>0</v>
      </c>
      <c r="AJ102" s="132" t="n">
        <f aca="false">F102*O102</f>
        <v>0</v>
      </c>
      <c r="AK102" s="137"/>
      <c r="AL102" s="132" t="n">
        <f aca="false">CHOOSE($G$3,AC102-AD102,AD102-AC102)</f>
        <v>0</v>
      </c>
      <c r="AM102" s="132" t="n">
        <f aca="false">CHOOSE($G$3,AF102-AG102,AG102-AF102)</f>
        <v>0</v>
      </c>
      <c r="AN102" s="132" t="n">
        <f aca="false">CHOOSE($G$3,AI102-AJ102,AJ102-AI102)</f>
        <v>0</v>
      </c>
      <c r="AO102" s="148" t="n">
        <f aca="false">SUM(AL102:AN102)</f>
        <v>0</v>
      </c>
      <c r="AQ102" s="132" t="n">
        <f aca="false">CHOOSE($G$3,AB102-AC102,AC102-AB102)</f>
        <v>0</v>
      </c>
      <c r="AR102" s="132" t="n">
        <f aca="false">CHOOSE($G$3,AE102-AF102,AF102-AE102)</f>
        <v>0</v>
      </c>
      <c r="AS102" s="132" t="n">
        <f aca="false">CHOOSE($G$3,AH102-AI102,AI102-AH102)</f>
        <v>0</v>
      </c>
      <c r="AT102" s="148" t="n">
        <f aca="false">AQ102+AR102+AS102</f>
        <v>0</v>
      </c>
      <c r="AU102" s="148"/>
      <c r="AV102" s="133" t="n">
        <f aca="false">AT102+AO102</f>
        <v>0</v>
      </c>
      <c r="AX102" s="133" t="n">
        <f aca="false">AJ102+AG102+AD102</f>
        <v>0</v>
      </c>
      <c r="AY102" s="149"/>
      <c r="AZ102" s="76" t="n">
        <f aca="false">R102*E102</f>
        <v>0</v>
      </c>
    </row>
    <row r="103" customFormat="false" ht="12.75" hidden="false" customHeight="false" outlineLevel="0" collapsed="false">
      <c r="A103" s="138" t="n">
        <f aca="false">EDATE(A102,1)</f>
        <v>39814</v>
      </c>
      <c r="B103" s="139" t="n">
        <f aca="false">VLOOKUP($A103,Table2,MATCH(I$3,Curves2,0))</f>
        <v>60900</v>
      </c>
      <c r="C103" s="140"/>
      <c r="D103" s="141" t="n">
        <f aca="false">B103+C103</f>
        <v>60900</v>
      </c>
      <c r="E103" s="126" t="n">
        <f aca="false">IF(Y103=0,0,IF(AND(Y103=1,$H$3=1),D103*T103,IF($H$3=2,D103,"N/A")))</f>
        <v>0</v>
      </c>
      <c r="F103" s="126" t="n">
        <f aca="false">E103*X103</f>
        <v>0</v>
      </c>
      <c r="G103" s="142" t="n">
        <f aca="false">VLOOKUP($A103,Table,MATCH(G$4,Curves,0))</f>
        <v>3.987</v>
      </c>
      <c r="H103" s="143" t="n">
        <f aca="false">G103</f>
        <v>3.987</v>
      </c>
      <c r="I103" s="142" t="n">
        <f aca="false">VLOOKUP($A103,Table1,MATCH(I$3,Curves1,0))</f>
        <v>3.7904</v>
      </c>
      <c r="J103" s="142" t="n">
        <f aca="false">VLOOKUP($A103,Table,MATCH(J$4,Curves,0))</f>
        <v>0.011</v>
      </c>
      <c r="K103" s="143" t="n">
        <f aca="false">J103</f>
        <v>0.011</v>
      </c>
      <c r="L103" s="144" t="n">
        <v>0</v>
      </c>
      <c r="M103" s="142" t="n">
        <f aca="false">VLOOKUP($A103,Table,MATCH(M$4,Curves,0))</f>
        <v>0.015</v>
      </c>
      <c r="N103" s="143" t="n">
        <f aca="false">M103</f>
        <v>0.015</v>
      </c>
      <c r="O103" s="144" t="n">
        <v>0</v>
      </c>
      <c r="P103" s="145"/>
      <c r="Q103" s="144" t="n">
        <f aca="false">M103+J103+G103</f>
        <v>4.013</v>
      </c>
      <c r="R103" s="144" t="n">
        <f aca="false">O103+L103+I103</f>
        <v>3.7904</v>
      </c>
      <c r="S103" s="145"/>
      <c r="T103" s="71" t="n">
        <f aca="false">A104-A103</f>
        <v>31</v>
      </c>
      <c r="U103" s="146" t="n">
        <f aca="false">CHOOSE(F$3,A104+24,A103)</f>
        <v>39869</v>
      </c>
      <c r="V103" s="71" t="n">
        <f aca="false">U103-C$3</f>
        <v>2981</v>
      </c>
      <c r="W103" s="142" t="n">
        <f aca="false">VLOOKUP($A103,Table,MATCH(W$4,Curves,0))</f>
        <v>0.058966861357273</v>
      </c>
      <c r="X103" s="147" t="n">
        <f aca="false">1/(1+CHOOSE(F$3,(W104+($K$3/10000))/2,(W103+($K$3/10000))/2))^(2*V103/365.25)</f>
        <v>0.622319386614885</v>
      </c>
      <c r="Y103" s="71" t="n">
        <f aca="false">IF(AND(mthbeg&lt;=A103,mthend&gt;=A103),1,0)</f>
        <v>0</v>
      </c>
      <c r="Z103" s="71" t="n">
        <f aca="false">T103*Y103</f>
        <v>0</v>
      </c>
      <c r="AB103" s="132" t="n">
        <f aca="false">F103*G103</f>
        <v>0</v>
      </c>
      <c r="AC103" s="132" t="n">
        <f aca="false">$F103*H103</f>
        <v>0</v>
      </c>
      <c r="AD103" s="132" t="n">
        <f aca="false">$F103*I103</f>
        <v>0</v>
      </c>
      <c r="AE103" s="132" t="n">
        <f aca="false">$F103*J103</f>
        <v>0</v>
      </c>
      <c r="AF103" s="132" t="n">
        <f aca="false">$F103*K103</f>
        <v>0</v>
      </c>
      <c r="AG103" s="132" t="n">
        <f aca="false">$F103*L103</f>
        <v>0</v>
      </c>
      <c r="AH103" s="132" t="n">
        <f aca="false">$F103*M103</f>
        <v>0</v>
      </c>
      <c r="AI103" s="132" t="n">
        <f aca="false">$F103*N103</f>
        <v>0</v>
      </c>
      <c r="AJ103" s="132" t="n">
        <f aca="false">F103*O103</f>
        <v>0</v>
      </c>
      <c r="AK103" s="137"/>
      <c r="AL103" s="132" t="n">
        <f aca="false">CHOOSE($G$3,AC103-AD103,AD103-AC103)</f>
        <v>0</v>
      </c>
      <c r="AM103" s="132" t="n">
        <f aca="false">CHOOSE($G$3,AF103-AG103,AG103-AF103)</f>
        <v>0</v>
      </c>
      <c r="AN103" s="132" t="n">
        <f aca="false">CHOOSE($G$3,AI103-AJ103,AJ103-AI103)</f>
        <v>0</v>
      </c>
      <c r="AO103" s="148" t="n">
        <f aca="false">SUM(AL103:AN103)</f>
        <v>0</v>
      </c>
      <c r="AQ103" s="132" t="n">
        <f aca="false">CHOOSE($G$3,AB103-AC103,AC103-AB103)</f>
        <v>0</v>
      </c>
      <c r="AR103" s="132" t="n">
        <f aca="false">CHOOSE($G$3,AE103-AF103,AF103-AE103)</f>
        <v>0</v>
      </c>
      <c r="AS103" s="132" t="n">
        <f aca="false">CHOOSE($G$3,AH103-AI103,AI103-AH103)</f>
        <v>0</v>
      </c>
      <c r="AT103" s="148" t="n">
        <f aca="false">AQ103+AR103+AS103</f>
        <v>0</v>
      </c>
      <c r="AU103" s="148"/>
      <c r="AV103" s="133" t="n">
        <f aca="false">AT103+AO103</f>
        <v>0</v>
      </c>
      <c r="AX103" s="133" t="n">
        <f aca="false">AJ103+AG103+AD103</f>
        <v>0</v>
      </c>
      <c r="AY103" s="149"/>
      <c r="AZ103" s="76" t="n">
        <f aca="false">R103*E103</f>
        <v>0</v>
      </c>
    </row>
    <row r="104" customFormat="false" ht="12.75" hidden="false" customHeight="false" outlineLevel="0" collapsed="false">
      <c r="A104" s="138" t="n">
        <f aca="false">EDATE(A103,1)</f>
        <v>39845</v>
      </c>
      <c r="B104" s="139" t="n">
        <f aca="false">VLOOKUP($A104,Table2,MATCH(I$3,Curves2,0))</f>
        <v>60900</v>
      </c>
      <c r="C104" s="140"/>
      <c r="D104" s="141" t="n">
        <f aca="false">B104+C104</f>
        <v>60900</v>
      </c>
      <c r="E104" s="126" t="n">
        <f aca="false">IF(Y104=0,0,IF(AND(Y104=1,$H$3=1),D104*T104,IF($H$3=2,D104,"N/A")))</f>
        <v>0</v>
      </c>
      <c r="F104" s="126" t="n">
        <f aca="false">E104*X104</f>
        <v>0</v>
      </c>
      <c r="G104" s="142" t="n">
        <f aca="false">VLOOKUP($A104,Table,MATCH(G$4,Curves,0))</f>
        <v>3.987</v>
      </c>
      <c r="H104" s="143" t="n">
        <f aca="false">G104</f>
        <v>3.987</v>
      </c>
      <c r="I104" s="142" t="n">
        <f aca="false">VLOOKUP($A104,Table1,MATCH(I$3,Curves1,0))</f>
        <v>3.7904</v>
      </c>
      <c r="J104" s="142" t="n">
        <f aca="false">VLOOKUP($A104,Table,MATCH(J$4,Curves,0))</f>
        <v>0.011</v>
      </c>
      <c r="K104" s="143" t="n">
        <f aca="false">J104</f>
        <v>0.011</v>
      </c>
      <c r="L104" s="144" t="n">
        <v>0</v>
      </c>
      <c r="M104" s="142" t="n">
        <f aca="false">VLOOKUP($A104,Table,MATCH(M$4,Curves,0))</f>
        <v>0.015</v>
      </c>
      <c r="N104" s="143" t="n">
        <f aca="false">M104</f>
        <v>0.015</v>
      </c>
      <c r="O104" s="144" t="n">
        <v>0</v>
      </c>
      <c r="P104" s="145"/>
      <c r="Q104" s="144" t="n">
        <f aca="false">M104+J104+G104</f>
        <v>4.013</v>
      </c>
      <c r="R104" s="144" t="n">
        <f aca="false">O104+L104+I104</f>
        <v>3.7904</v>
      </c>
      <c r="S104" s="145"/>
      <c r="T104" s="71" t="n">
        <f aca="false">A105-A104</f>
        <v>28</v>
      </c>
      <c r="U104" s="146" t="n">
        <f aca="false">CHOOSE(F$3,A105+24,A104)</f>
        <v>39897</v>
      </c>
      <c r="V104" s="71" t="n">
        <f aca="false">U104-C$3</f>
        <v>3009</v>
      </c>
      <c r="W104" s="142" t="n">
        <f aca="false">VLOOKUP($A104,Table,MATCH(W$4,Curves,0))</f>
        <v>0.058966861357273</v>
      </c>
      <c r="X104" s="147" t="n">
        <f aca="false">1/(1+CHOOSE(F$3,(W105+($K$3/10000))/2,(W104+($K$3/10000))/2))^(2*V104/365.25)</f>
        <v>0.619553100151726</v>
      </c>
      <c r="Y104" s="71" t="n">
        <f aca="false">IF(AND(mthbeg&lt;=A104,mthend&gt;=A104),1,0)</f>
        <v>0</v>
      </c>
      <c r="Z104" s="71" t="n">
        <f aca="false">T104*Y104</f>
        <v>0</v>
      </c>
      <c r="AB104" s="132" t="n">
        <f aca="false">F104*G104</f>
        <v>0</v>
      </c>
      <c r="AC104" s="132" t="n">
        <f aca="false">$F104*H104</f>
        <v>0</v>
      </c>
      <c r="AD104" s="132" t="n">
        <f aca="false">$F104*I104</f>
        <v>0</v>
      </c>
      <c r="AE104" s="132" t="n">
        <f aca="false">$F104*J104</f>
        <v>0</v>
      </c>
      <c r="AF104" s="132" t="n">
        <f aca="false">$F104*K104</f>
        <v>0</v>
      </c>
      <c r="AG104" s="132" t="n">
        <f aca="false">$F104*L104</f>
        <v>0</v>
      </c>
      <c r="AH104" s="132" t="n">
        <f aca="false">$F104*M104</f>
        <v>0</v>
      </c>
      <c r="AI104" s="132" t="n">
        <f aca="false">$F104*N104</f>
        <v>0</v>
      </c>
      <c r="AJ104" s="132" t="n">
        <f aca="false">F104*O104</f>
        <v>0</v>
      </c>
      <c r="AK104" s="137"/>
      <c r="AL104" s="132" t="n">
        <f aca="false">CHOOSE($G$3,AC104-AD104,AD104-AC104)</f>
        <v>0</v>
      </c>
      <c r="AM104" s="132" t="n">
        <f aca="false">CHOOSE($G$3,AF104-AG104,AG104-AF104)</f>
        <v>0</v>
      </c>
      <c r="AN104" s="132" t="n">
        <f aca="false">CHOOSE($G$3,AI104-AJ104,AJ104-AI104)</f>
        <v>0</v>
      </c>
      <c r="AO104" s="148" t="n">
        <f aca="false">SUM(AL104:AN104)</f>
        <v>0</v>
      </c>
      <c r="AQ104" s="132" t="n">
        <f aca="false">CHOOSE($G$3,AB104-AC104,AC104-AB104)</f>
        <v>0</v>
      </c>
      <c r="AR104" s="132" t="n">
        <f aca="false">CHOOSE($G$3,AE104-AF104,AF104-AE104)</f>
        <v>0</v>
      </c>
      <c r="AS104" s="132" t="n">
        <f aca="false">CHOOSE($G$3,AH104-AI104,AI104-AH104)</f>
        <v>0</v>
      </c>
      <c r="AT104" s="148" t="n">
        <f aca="false">AQ104+AR104+AS104</f>
        <v>0</v>
      </c>
      <c r="AU104" s="148"/>
      <c r="AV104" s="133" t="n">
        <f aca="false">AT104+AO104</f>
        <v>0</v>
      </c>
      <c r="AX104" s="133" t="n">
        <f aca="false">AJ104+AG104+AD104</f>
        <v>0</v>
      </c>
      <c r="AY104" s="149"/>
      <c r="AZ104" s="76" t="n">
        <f aca="false">R104*E104</f>
        <v>0</v>
      </c>
    </row>
    <row r="105" customFormat="false" ht="12.75" hidden="false" customHeight="false" outlineLevel="0" collapsed="false">
      <c r="A105" s="138" t="n">
        <f aca="false">EDATE(A104,1)</f>
        <v>39873</v>
      </c>
      <c r="B105" s="139" t="n">
        <f aca="false">VLOOKUP($A105,Table2,MATCH(I$3,Curves2,0))</f>
        <v>60900</v>
      </c>
      <c r="C105" s="140"/>
      <c r="D105" s="141" t="n">
        <f aca="false">B105+C105</f>
        <v>60900</v>
      </c>
      <c r="E105" s="126" t="n">
        <f aca="false">IF(Y105=0,0,IF(AND(Y105=1,$H$3=1),D105*T105,IF($H$3=2,D105,"N/A")))</f>
        <v>0</v>
      </c>
      <c r="F105" s="126" t="n">
        <f aca="false">E105*X105</f>
        <v>0</v>
      </c>
      <c r="G105" s="142" t="n">
        <f aca="false">VLOOKUP($A105,Table,MATCH(G$4,Curves,0))</f>
        <v>3.987</v>
      </c>
      <c r="H105" s="143" t="n">
        <f aca="false">G105</f>
        <v>3.987</v>
      </c>
      <c r="I105" s="142" t="n">
        <f aca="false">VLOOKUP($A105,Table1,MATCH(I$3,Curves1,0))</f>
        <v>3.7904</v>
      </c>
      <c r="J105" s="142" t="n">
        <f aca="false">VLOOKUP($A105,Table,MATCH(J$4,Curves,0))</f>
        <v>0.011</v>
      </c>
      <c r="K105" s="143" t="n">
        <f aca="false">J105</f>
        <v>0.011</v>
      </c>
      <c r="L105" s="144" t="n">
        <v>0</v>
      </c>
      <c r="M105" s="142" t="n">
        <f aca="false">VLOOKUP($A105,Table,MATCH(M$4,Curves,0))</f>
        <v>0.015</v>
      </c>
      <c r="N105" s="143" t="n">
        <f aca="false">M105</f>
        <v>0.015</v>
      </c>
      <c r="O105" s="144" t="n">
        <v>0</v>
      </c>
      <c r="P105" s="145"/>
      <c r="Q105" s="144" t="n">
        <f aca="false">M105+J105+G105</f>
        <v>4.013</v>
      </c>
      <c r="R105" s="144" t="n">
        <f aca="false">O105+L105+I105</f>
        <v>3.7904</v>
      </c>
      <c r="S105" s="145"/>
      <c r="T105" s="71" t="n">
        <f aca="false">A106-A105</f>
        <v>31</v>
      </c>
      <c r="U105" s="146" t="n">
        <f aca="false">CHOOSE(F$3,A106+24,A105)</f>
        <v>39928</v>
      </c>
      <c r="V105" s="71" t="n">
        <f aca="false">U105-C$3</f>
        <v>3040</v>
      </c>
      <c r="W105" s="142" t="n">
        <f aca="false">VLOOKUP($A105,Table,MATCH(W$4,Curves,0))</f>
        <v>0.058966861357273</v>
      </c>
      <c r="X105" s="147" t="n">
        <f aca="false">1/(1+CHOOSE(F$3,(W106+($K$3/10000))/2,(W105+($K$3/10000))/2))^(2*V105/365.25)</f>
        <v>0.616504766858637</v>
      </c>
      <c r="Y105" s="71" t="n">
        <f aca="false">IF(AND(mthbeg&lt;=A105,mthend&gt;=A105),1,0)</f>
        <v>0</v>
      </c>
      <c r="Z105" s="71" t="n">
        <f aca="false">T105*Y105</f>
        <v>0</v>
      </c>
      <c r="AB105" s="132" t="n">
        <f aca="false">F105*G105</f>
        <v>0</v>
      </c>
      <c r="AC105" s="132" t="n">
        <f aca="false">$F105*H105</f>
        <v>0</v>
      </c>
      <c r="AD105" s="132" t="n">
        <f aca="false">$F105*I105</f>
        <v>0</v>
      </c>
      <c r="AE105" s="132" t="n">
        <f aca="false">$F105*J105</f>
        <v>0</v>
      </c>
      <c r="AF105" s="132" t="n">
        <f aca="false">$F105*K105</f>
        <v>0</v>
      </c>
      <c r="AG105" s="132" t="n">
        <f aca="false">$F105*L105</f>
        <v>0</v>
      </c>
      <c r="AH105" s="132" t="n">
        <f aca="false">$F105*M105</f>
        <v>0</v>
      </c>
      <c r="AI105" s="132" t="n">
        <f aca="false">$F105*N105</f>
        <v>0</v>
      </c>
      <c r="AJ105" s="132" t="n">
        <f aca="false">F105*O105</f>
        <v>0</v>
      </c>
      <c r="AK105" s="137"/>
      <c r="AL105" s="132" t="n">
        <f aca="false">CHOOSE($G$3,AC105-AD105,AD105-AC105)</f>
        <v>0</v>
      </c>
      <c r="AM105" s="132" t="n">
        <f aca="false">CHOOSE($G$3,AF105-AG105,AG105-AF105)</f>
        <v>0</v>
      </c>
      <c r="AN105" s="132" t="n">
        <f aca="false">CHOOSE($G$3,AI105-AJ105,AJ105-AI105)</f>
        <v>0</v>
      </c>
      <c r="AO105" s="148" t="n">
        <f aca="false">SUM(AL105:AN105)</f>
        <v>0</v>
      </c>
      <c r="AQ105" s="132" t="n">
        <f aca="false">CHOOSE($G$3,AB105-AC105,AC105-AB105)</f>
        <v>0</v>
      </c>
      <c r="AR105" s="132" t="n">
        <f aca="false">CHOOSE($G$3,AE105-AF105,AF105-AE105)</f>
        <v>0</v>
      </c>
      <c r="AS105" s="132" t="n">
        <f aca="false">CHOOSE($G$3,AH105-AI105,AI105-AH105)</f>
        <v>0</v>
      </c>
      <c r="AT105" s="148" t="n">
        <f aca="false">AQ105+AR105+AS105</f>
        <v>0</v>
      </c>
      <c r="AU105" s="148"/>
      <c r="AV105" s="133" t="n">
        <f aca="false">AT105+AO105</f>
        <v>0</v>
      </c>
      <c r="AX105" s="133" t="n">
        <f aca="false">AJ105+AG105+AD105</f>
        <v>0</v>
      </c>
      <c r="AY105" s="149"/>
      <c r="AZ105" s="76" t="n">
        <f aca="false">R105*E105</f>
        <v>0</v>
      </c>
    </row>
    <row r="106" customFormat="false" ht="12.75" hidden="false" customHeight="false" outlineLevel="0" collapsed="false">
      <c r="A106" s="138" t="n">
        <f aca="false">EDATE(A105,1)</f>
        <v>39904</v>
      </c>
      <c r="B106" s="139" t="n">
        <f aca="false">VLOOKUP($A106,Table2,MATCH(I$3,Curves2,0))</f>
        <v>60900</v>
      </c>
      <c r="C106" s="140"/>
      <c r="D106" s="141" t="n">
        <f aca="false">B106+C106</f>
        <v>60900</v>
      </c>
      <c r="E106" s="126" t="n">
        <f aca="false">IF(Y106=0,0,IF(AND(Y106=1,$H$3=1),D106*T106,IF($H$3=2,D106,"N/A")))</f>
        <v>0</v>
      </c>
      <c r="F106" s="126" t="n">
        <f aca="false">E106*X106</f>
        <v>0</v>
      </c>
      <c r="G106" s="142" t="n">
        <f aca="false">VLOOKUP($A106,Table,MATCH(G$4,Curves,0))</f>
        <v>3.987</v>
      </c>
      <c r="H106" s="143" t="n">
        <f aca="false">G106</f>
        <v>3.987</v>
      </c>
      <c r="I106" s="142" t="n">
        <f aca="false">VLOOKUP($A106,Table1,MATCH(I$3,Curves1,0))</f>
        <v>3.7904</v>
      </c>
      <c r="J106" s="142" t="n">
        <f aca="false">VLOOKUP($A106,Table,MATCH(J$4,Curves,0))</f>
        <v>0.011</v>
      </c>
      <c r="K106" s="143" t="n">
        <f aca="false">J106</f>
        <v>0.011</v>
      </c>
      <c r="L106" s="144" t="n">
        <v>0</v>
      </c>
      <c r="M106" s="142" t="n">
        <f aca="false">VLOOKUP($A106,Table,MATCH(M$4,Curves,0))</f>
        <v>0.015</v>
      </c>
      <c r="N106" s="143" t="n">
        <f aca="false">M106</f>
        <v>0.015</v>
      </c>
      <c r="O106" s="144" t="n">
        <v>0</v>
      </c>
      <c r="P106" s="145"/>
      <c r="Q106" s="144" t="n">
        <f aca="false">M106+J106+G106</f>
        <v>4.013</v>
      </c>
      <c r="R106" s="144" t="n">
        <f aca="false">O106+L106+I106</f>
        <v>3.7904</v>
      </c>
      <c r="S106" s="145"/>
      <c r="T106" s="71" t="n">
        <f aca="false">A107-A106</f>
        <v>30</v>
      </c>
      <c r="U106" s="146" t="n">
        <f aca="false">CHOOSE(F$3,A107+24,A106)</f>
        <v>39958</v>
      </c>
      <c r="V106" s="71" t="n">
        <f aca="false">U106-C$3</f>
        <v>3070</v>
      </c>
      <c r="W106" s="142" t="n">
        <f aca="false">VLOOKUP($A106,Table,MATCH(W$4,Curves,0))</f>
        <v>0.058966861357273</v>
      </c>
      <c r="X106" s="147" t="n">
        <f aca="false">1/(1+CHOOSE(F$3,(W107+($K$3/10000))/2,(W106+($K$3/10000))/2))^(2*V106/365.25)</f>
        <v>0.613569048175669</v>
      </c>
      <c r="Y106" s="71" t="n">
        <f aca="false">IF(AND(mthbeg&lt;=A106,mthend&gt;=A106),1,0)</f>
        <v>0</v>
      </c>
      <c r="Z106" s="71" t="n">
        <f aca="false">T106*Y106</f>
        <v>0</v>
      </c>
      <c r="AB106" s="132" t="n">
        <f aca="false">F106*G106</f>
        <v>0</v>
      </c>
      <c r="AC106" s="132" t="n">
        <f aca="false">$F106*H106</f>
        <v>0</v>
      </c>
      <c r="AD106" s="132" t="n">
        <f aca="false">$F106*I106</f>
        <v>0</v>
      </c>
      <c r="AE106" s="132" t="n">
        <f aca="false">$F106*J106</f>
        <v>0</v>
      </c>
      <c r="AF106" s="132" t="n">
        <f aca="false">$F106*K106</f>
        <v>0</v>
      </c>
      <c r="AG106" s="132" t="n">
        <f aca="false">$F106*L106</f>
        <v>0</v>
      </c>
      <c r="AH106" s="132" t="n">
        <f aca="false">$F106*M106</f>
        <v>0</v>
      </c>
      <c r="AI106" s="132" t="n">
        <f aca="false">$F106*N106</f>
        <v>0</v>
      </c>
      <c r="AJ106" s="132" t="n">
        <f aca="false">F106*O106</f>
        <v>0</v>
      </c>
      <c r="AK106" s="137"/>
      <c r="AL106" s="132" t="n">
        <f aca="false">CHOOSE($G$3,AC106-AD106,AD106-AC106)</f>
        <v>0</v>
      </c>
      <c r="AM106" s="132" t="n">
        <f aca="false">CHOOSE($G$3,AF106-AG106,AG106-AF106)</f>
        <v>0</v>
      </c>
      <c r="AN106" s="132" t="n">
        <f aca="false">CHOOSE($G$3,AI106-AJ106,AJ106-AI106)</f>
        <v>0</v>
      </c>
      <c r="AO106" s="148" t="n">
        <f aca="false">SUM(AL106:AN106)</f>
        <v>0</v>
      </c>
      <c r="AQ106" s="132" t="n">
        <f aca="false">CHOOSE($G$3,AB106-AC106,AC106-AB106)</f>
        <v>0</v>
      </c>
      <c r="AR106" s="132" t="n">
        <f aca="false">CHOOSE($G$3,AE106-AF106,AF106-AE106)</f>
        <v>0</v>
      </c>
      <c r="AS106" s="132" t="n">
        <f aca="false">CHOOSE($G$3,AH106-AI106,AI106-AH106)</f>
        <v>0</v>
      </c>
      <c r="AT106" s="148" t="n">
        <f aca="false">AQ106+AR106+AS106</f>
        <v>0</v>
      </c>
      <c r="AU106" s="148"/>
      <c r="AV106" s="133" t="n">
        <f aca="false">AT106+AO106</f>
        <v>0</v>
      </c>
      <c r="AX106" s="133" t="n">
        <f aca="false">AJ106+AG106+AD106</f>
        <v>0</v>
      </c>
      <c r="AY106" s="149"/>
      <c r="AZ106" s="76" t="n">
        <f aca="false">R106*E106</f>
        <v>0</v>
      </c>
    </row>
    <row r="107" customFormat="false" ht="12.75" hidden="false" customHeight="false" outlineLevel="0" collapsed="false">
      <c r="A107" s="138" t="n">
        <f aca="false">EDATE(A106,1)</f>
        <v>39934</v>
      </c>
      <c r="B107" s="139" t="n">
        <f aca="false">VLOOKUP($A107,Table2,MATCH(I$3,Curves2,0))</f>
        <v>60900</v>
      </c>
      <c r="C107" s="140"/>
      <c r="D107" s="141" t="n">
        <f aca="false">B107+C107</f>
        <v>60900</v>
      </c>
      <c r="E107" s="126" t="n">
        <f aca="false">IF(Y107=0,0,IF(AND(Y107=1,$H$3=1),D107*T107,IF($H$3=2,D107,"N/A")))</f>
        <v>0</v>
      </c>
      <c r="F107" s="126" t="n">
        <f aca="false">E107*X107</f>
        <v>0</v>
      </c>
      <c r="G107" s="142" t="n">
        <f aca="false">VLOOKUP($A107,Table,MATCH(G$4,Curves,0))</f>
        <v>3.987</v>
      </c>
      <c r="H107" s="143" t="n">
        <f aca="false">G107</f>
        <v>3.987</v>
      </c>
      <c r="I107" s="142" t="n">
        <f aca="false">VLOOKUP($A107,Table1,MATCH(I$3,Curves1,0))</f>
        <v>3.7904</v>
      </c>
      <c r="J107" s="142" t="n">
        <f aca="false">VLOOKUP($A107,Table,MATCH(J$4,Curves,0))</f>
        <v>0.011</v>
      </c>
      <c r="K107" s="143" t="n">
        <f aca="false">J107</f>
        <v>0.011</v>
      </c>
      <c r="L107" s="144" t="n">
        <v>0</v>
      </c>
      <c r="M107" s="142" t="n">
        <f aca="false">VLOOKUP($A107,Table,MATCH(M$4,Curves,0))</f>
        <v>0.015</v>
      </c>
      <c r="N107" s="143" t="n">
        <f aca="false">M107</f>
        <v>0.015</v>
      </c>
      <c r="O107" s="144" t="n">
        <v>0</v>
      </c>
      <c r="P107" s="145"/>
      <c r="Q107" s="144" t="n">
        <f aca="false">M107+J107+G107</f>
        <v>4.013</v>
      </c>
      <c r="R107" s="144" t="n">
        <f aca="false">O107+L107+I107</f>
        <v>3.7904</v>
      </c>
      <c r="S107" s="145"/>
      <c r="T107" s="71" t="n">
        <f aca="false">A108-A107</f>
        <v>31</v>
      </c>
      <c r="U107" s="146" t="n">
        <f aca="false">CHOOSE(F$3,A108+24,A107)</f>
        <v>39989</v>
      </c>
      <c r="V107" s="71" t="n">
        <f aca="false">U107-C$3</f>
        <v>3101</v>
      </c>
      <c r="W107" s="142" t="n">
        <f aca="false">VLOOKUP($A107,Table,MATCH(W$4,Curves,0))</f>
        <v>0.058966861357273</v>
      </c>
      <c r="X107" s="147" t="n">
        <f aca="false">1/(1+CHOOSE(F$3,(W108+($K$3/10000))/2,(W107+($K$3/10000))/2))^(2*V107/365.25)</f>
        <v>0.610550157693634</v>
      </c>
      <c r="Y107" s="71" t="n">
        <f aca="false">IF(AND(mthbeg&lt;=A107,mthend&gt;=A107),1,0)</f>
        <v>0</v>
      </c>
      <c r="Z107" s="71" t="n">
        <f aca="false">T107*Y107</f>
        <v>0</v>
      </c>
      <c r="AB107" s="132" t="n">
        <f aca="false">F107*G107</f>
        <v>0</v>
      </c>
      <c r="AC107" s="132" t="n">
        <f aca="false">$F107*H107</f>
        <v>0</v>
      </c>
      <c r="AD107" s="132" t="n">
        <f aca="false">$F107*I107</f>
        <v>0</v>
      </c>
      <c r="AE107" s="132" t="n">
        <f aca="false">$F107*J107</f>
        <v>0</v>
      </c>
      <c r="AF107" s="132" t="n">
        <f aca="false">$F107*K107</f>
        <v>0</v>
      </c>
      <c r="AG107" s="132" t="n">
        <f aca="false">$F107*L107</f>
        <v>0</v>
      </c>
      <c r="AH107" s="132" t="n">
        <f aca="false">$F107*M107</f>
        <v>0</v>
      </c>
      <c r="AI107" s="132" t="n">
        <f aca="false">$F107*N107</f>
        <v>0</v>
      </c>
      <c r="AJ107" s="132" t="n">
        <f aca="false">F107*O107</f>
        <v>0</v>
      </c>
      <c r="AK107" s="137"/>
      <c r="AL107" s="132" t="n">
        <f aca="false">CHOOSE($G$3,AC107-AD107,AD107-AC107)</f>
        <v>0</v>
      </c>
      <c r="AM107" s="132" t="n">
        <f aca="false">CHOOSE($G$3,AF107-AG107,AG107-AF107)</f>
        <v>0</v>
      </c>
      <c r="AN107" s="132" t="n">
        <f aca="false">CHOOSE($G$3,AI107-AJ107,AJ107-AI107)</f>
        <v>0</v>
      </c>
      <c r="AO107" s="148" t="n">
        <f aca="false">SUM(AL107:AN107)</f>
        <v>0</v>
      </c>
      <c r="AQ107" s="132" t="n">
        <f aca="false">CHOOSE($G$3,AB107-AC107,AC107-AB107)</f>
        <v>0</v>
      </c>
      <c r="AR107" s="132" t="n">
        <f aca="false">CHOOSE($G$3,AE107-AF107,AF107-AE107)</f>
        <v>0</v>
      </c>
      <c r="AS107" s="132" t="n">
        <f aca="false">CHOOSE($G$3,AH107-AI107,AI107-AH107)</f>
        <v>0</v>
      </c>
      <c r="AT107" s="148" t="n">
        <f aca="false">AQ107+AR107+AS107</f>
        <v>0</v>
      </c>
      <c r="AU107" s="148"/>
      <c r="AV107" s="133" t="n">
        <f aca="false">AT107+AO107</f>
        <v>0</v>
      </c>
      <c r="AX107" s="133" t="n">
        <f aca="false">AJ107+AG107+AD107</f>
        <v>0</v>
      </c>
      <c r="AY107" s="149"/>
      <c r="AZ107" s="76" t="n">
        <f aca="false">R107*E107</f>
        <v>0</v>
      </c>
    </row>
    <row r="108" customFormat="false" ht="12.75" hidden="false" customHeight="false" outlineLevel="0" collapsed="false">
      <c r="A108" s="138" t="n">
        <f aca="false">EDATE(A107,1)</f>
        <v>39965</v>
      </c>
      <c r="B108" s="139" t="n">
        <f aca="false">VLOOKUP($A108,Table2,MATCH(I$3,Curves2,0))</f>
        <v>60900</v>
      </c>
      <c r="C108" s="140"/>
      <c r="D108" s="141" t="n">
        <f aca="false">B108+C108</f>
        <v>60900</v>
      </c>
      <c r="E108" s="126" t="n">
        <f aca="false">IF(Y108=0,0,IF(AND(Y108=1,$H$3=1),D108*T108,IF($H$3=2,D108,"N/A")))</f>
        <v>0</v>
      </c>
      <c r="F108" s="126" t="n">
        <f aca="false">E108*X108</f>
        <v>0</v>
      </c>
      <c r="G108" s="142" t="n">
        <f aca="false">VLOOKUP($A108,Table,MATCH(G$4,Curves,0))</f>
        <v>3.987</v>
      </c>
      <c r="H108" s="143" t="n">
        <f aca="false">G108</f>
        <v>3.987</v>
      </c>
      <c r="I108" s="142" t="n">
        <f aca="false">VLOOKUP($A108,Table1,MATCH(I$3,Curves1,0))</f>
        <v>3.7904</v>
      </c>
      <c r="J108" s="142" t="n">
        <f aca="false">VLOOKUP($A108,Table,MATCH(J$4,Curves,0))</f>
        <v>0.011</v>
      </c>
      <c r="K108" s="143" t="n">
        <f aca="false">J108</f>
        <v>0.011</v>
      </c>
      <c r="L108" s="144" t="n">
        <v>0</v>
      </c>
      <c r="M108" s="142" t="n">
        <f aca="false">VLOOKUP($A108,Table,MATCH(M$4,Curves,0))</f>
        <v>0.015</v>
      </c>
      <c r="N108" s="143" t="n">
        <f aca="false">M108</f>
        <v>0.015</v>
      </c>
      <c r="O108" s="144" t="n">
        <v>0</v>
      </c>
      <c r="P108" s="145"/>
      <c r="Q108" s="144" t="n">
        <f aca="false">M108+J108+G108</f>
        <v>4.013</v>
      </c>
      <c r="R108" s="144" t="n">
        <f aca="false">O108+L108+I108</f>
        <v>3.7904</v>
      </c>
      <c r="S108" s="145"/>
      <c r="T108" s="71" t="n">
        <f aca="false">A109-A108</f>
        <v>30</v>
      </c>
      <c r="U108" s="146" t="n">
        <f aca="false">CHOOSE(F$3,A109+24,A108)</f>
        <v>40019</v>
      </c>
      <c r="V108" s="71" t="n">
        <f aca="false">U108-C$3</f>
        <v>3131</v>
      </c>
      <c r="W108" s="142" t="n">
        <f aca="false">VLOOKUP($A108,Table,MATCH(W$4,Curves,0))</f>
        <v>0.058966861357273</v>
      </c>
      <c r="X108" s="147" t="n">
        <f aca="false">1/(1+CHOOSE(F$3,(W109+($K$3/10000))/2,(W108+($K$3/10000))/2))^(2*V108/365.25)</f>
        <v>0.607642794115631</v>
      </c>
      <c r="Y108" s="71" t="n">
        <f aca="false">IF(AND(mthbeg&lt;=A108,mthend&gt;=A108),1,0)</f>
        <v>0</v>
      </c>
      <c r="Z108" s="71" t="n">
        <f aca="false">T108*Y108</f>
        <v>0</v>
      </c>
      <c r="AB108" s="132" t="n">
        <f aca="false">F108*G108</f>
        <v>0</v>
      </c>
      <c r="AC108" s="132" t="n">
        <f aca="false">$F108*H108</f>
        <v>0</v>
      </c>
      <c r="AD108" s="132" t="n">
        <f aca="false">$F108*I108</f>
        <v>0</v>
      </c>
      <c r="AE108" s="132" t="n">
        <f aca="false">$F108*J108</f>
        <v>0</v>
      </c>
      <c r="AF108" s="132" t="n">
        <f aca="false">$F108*K108</f>
        <v>0</v>
      </c>
      <c r="AG108" s="132" t="n">
        <f aca="false">$F108*L108</f>
        <v>0</v>
      </c>
      <c r="AH108" s="132" t="n">
        <f aca="false">$F108*M108</f>
        <v>0</v>
      </c>
      <c r="AI108" s="132" t="n">
        <f aca="false">$F108*N108</f>
        <v>0</v>
      </c>
      <c r="AJ108" s="132" t="n">
        <f aca="false">F108*O108</f>
        <v>0</v>
      </c>
      <c r="AK108" s="137"/>
      <c r="AL108" s="132" t="n">
        <f aca="false">CHOOSE($G$3,AC108-AD108,AD108-AC108)</f>
        <v>0</v>
      </c>
      <c r="AM108" s="132" t="n">
        <f aca="false">CHOOSE($G$3,AF108-AG108,AG108-AF108)</f>
        <v>0</v>
      </c>
      <c r="AN108" s="132" t="n">
        <f aca="false">CHOOSE($G$3,AI108-AJ108,AJ108-AI108)</f>
        <v>0</v>
      </c>
      <c r="AO108" s="148" t="n">
        <f aca="false">SUM(AL108:AN108)</f>
        <v>0</v>
      </c>
      <c r="AQ108" s="132" t="n">
        <f aca="false">CHOOSE($G$3,AB108-AC108,AC108-AB108)</f>
        <v>0</v>
      </c>
      <c r="AR108" s="132" t="n">
        <f aca="false">CHOOSE($G$3,AE108-AF108,AF108-AE108)</f>
        <v>0</v>
      </c>
      <c r="AS108" s="132" t="n">
        <f aca="false">CHOOSE($G$3,AH108-AI108,AI108-AH108)</f>
        <v>0</v>
      </c>
      <c r="AT108" s="148" t="n">
        <f aca="false">AQ108+AR108+AS108</f>
        <v>0</v>
      </c>
      <c r="AU108" s="148"/>
      <c r="AV108" s="133" t="n">
        <f aca="false">AT108+AO108</f>
        <v>0</v>
      </c>
      <c r="AX108" s="133" t="n">
        <f aca="false">AJ108+AG108+AD108</f>
        <v>0</v>
      </c>
      <c r="AY108" s="149"/>
      <c r="AZ108" s="76" t="n">
        <f aca="false">R108*E108</f>
        <v>0</v>
      </c>
    </row>
    <row r="109" customFormat="false" ht="12.75" hidden="false" customHeight="false" outlineLevel="0" collapsed="false">
      <c r="A109" s="138" t="n">
        <f aca="false">EDATE(A108,1)</f>
        <v>39995</v>
      </c>
      <c r="B109" s="139" t="n">
        <f aca="false">VLOOKUP($A109,Table2,MATCH(I$3,Curves2,0))</f>
        <v>60900</v>
      </c>
      <c r="C109" s="140"/>
      <c r="D109" s="141" t="n">
        <f aca="false">B109+C109</f>
        <v>60900</v>
      </c>
      <c r="E109" s="126" t="n">
        <f aca="false">IF(Y109=0,0,IF(AND(Y109=1,$H$3=1),D109*T109,IF($H$3=2,D109,"N/A")))</f>
        <v>0</v>
      </c>
      <c r="F109" s="126" t="n">
        <f aca="false">E109*X109</f>
        <v>0</v>
      </c>
      <c r="G109" s="142" t="n">
        <f aca="false">VLOOKUP($A109,Table,MATCH(G$4,Curves,0))</f>
        <v>3.987</v>
      </c>
      <c r="H109" s="143" t="n">
        <f aca="false">G109</f>
        <v>3.987</v>
      </c>
      <c r="I109" s="142" t="n">
        <f aca="false">VLOOKUP($A109,Table1,MATCH(I$3,Curves1,0))</f>
        <v>3.7904</v>
      </c>
      <c r="J109" s="142" t="n">
        <f aca="false">VLOOKUP($A109,Table,MATCH(J$4,Curves,0))</f>
        <v>0.011</v>
      </c>
      <c r="K109" s="143" t="n">
        <f aca="false">J109</f>
        <v>0.011</v>
      </c>
      <c r="L109" s="144" t="n">
        <v>0</v>
      </c>
      <c r="M109" s="142" t="n">
        <f aca="false">VLOOKUP($A109,Table,MATCH(M$4,Curves,0))</f>
        <v>0.015</v>
      </c>
      <c r="N109" s="143" t="n">
        <f aca="false">M109</f>
        <v>0.015</v>
      </c>
      <c r="O109" s="144" t="n">
        <v>0</v>
      </c>
      <c r="P109" s="145"/>
      <c r="Q109" s="144" t="n">
        <f aca="false">M109+J109+G109</f>
        <v>4.013</v>
      </c>
      <c r="R109" s="144" t="n">
        <f aca="false">O109+L109+I109</f>
        <v>3.7904</v>
      </c>
      <c r="S109" s="145"/>
      <c r="T109" s="71" t="n">
        <f aca="false">A110-A109</f>
        <v>31</v>
      </c>
      <c r="U109" s="146" t="n">
        <f aca="false">CHOOSE(F$3,A110+24,A109)</f>
        <v>40050</v>
      </c>
      <c r="V109" s="71" t="n">
        <f aca="false">U109-C$3</f>
        <v>3162</v>
      </c>
      <c r="W109" s="142" t="n">
        <f aca="false">VLOOKUP($A109,Table,MATCH(W$4,Curves,0))</f>
        <v>0.058966861357273</v>
      </c>
      <c r="X109" s="147" t="n">
        <f aca="false">1/(1+CHOOSE(F$3,(W110+($K$3/10000))/2,(W109+($K$3/10000))/2))^(2*V109/365.25)</f>
        <v>0.604653062066586</v>
      </c>
      <c r="Y109" s="71" t="n">
        <f aca="false">IF(AND(mthbeg&lt;=A109,mthend&gt;=A109),1,0)</f>
        <v>0</v>
      </c>
      <c r="Z109" s="71" t="n">
        <f aca="false">T109*Y109</f>
        <v>0</v>
      </c>
      <c r="AB109" s="132" t="n">
        <f aca="false">F109*G109</f>
        <v>0</v>
      </c>
      <c r="AC109" s="132" t="n">
        <f aca="false">$F109*H109</f>
        <v>0</v>
      </c>
      <c r="AD109" s="132" t="n">
        <f aca="false">$F109*I109</f>
        <v>0</v>
      </c>
      <c r="AE109" s="132" t="n">
        <f aca="false">$F109*J109</f>
        <v>0</v>
      </c>
      <c r="AF109" s="132" t="n">
        <f aca="false">$F109*K109</f>
        <v>0</v>
      </c>
      <c r="AG109" s="132" t="n">
        <f aca="false">$F109*L109</f>
        <v>0</v>
      </c>
      <c r="AH109" s="132" t="n">
        <f aca="false">$F109*M109</f>
        <v>0</v>
      </c>
      <c r="AI109" s="132" t="n">
        <f aca="false">$F109*N109</f>
        <v>0</v>
      </c>
      <c r="AJ109" s="132" t="n">
        <f aca="false">F109*O109</f>
        <v>0</v>
      </c>
      <c r="AK109" s="137"/>
      <c r="AL109" s="132" t="n">
        <f aca="false">CHOOSE($G$3,AC109-AD109,AD109-AC109)</f>
        <v>0</v>
      </c>
      <c r="AM109" s="132" t="n">
        <f aca="false">CHOOSE($G$3,AF109-AG109,AG109-AF109)</f>
        <v>0</v>
      </c>
      <c r="AN109" s="132" t="n">
        <f aca="false">CHOOSE($G$3,AI109-AJ109,AJ109-AI109)</f>
        <v>0</v>
      </c>
      <c r="AO109" s="148" t="n">
        <f aca="false">SUM(AL109:AN109)</f>
        <v>0</v>
      </c>
      <c r="AQ109" s="132" t="n">
        <f aca="false">CHOOSE($G$3,AB109-AC109,AC109-AB109)</f>
        <v>0</v>
      </c>
      <c r="AR109" s="132" t="n">
        <f aca="false">CHOOSE($G$3,AE109-AF109,AF109-AE109)</f>
        <v>0</v>
      </c>
      <c r="AS109" s="132" t="n">
        <f aca="false">CHOOSE($G$3,AH109-AI109,AI109-AH109)</f>
        <v>0</v>
      </c>
      <c r="AT109" s="148" t="n">
        <f aca="false">AQ109+AR109+AS109</f>
        <v>0</v>
      </c>
      <c r="AU109" s="148"/>
      <c r="AV109" s="133" t="n">
        <f aca="false">AT109+AO109</f>
        <v>0</v>
      </c>
      <c r="AX109" s="133" t="n">
        <f aca="false">AJ109+AG109+AD109</f>
        <v>0</v>
      </c>
      <c r="AY109" s="149"/>
      <c r="AZ109" s="76" t="n">
        <f aca="false">R109*E109</f>
        <v>0</v>
      </c>
    </row>
    <row r="110" customFormat="false" ht="12.75" hidden="false" customHeight="false" outlineLevel="0" collapsed="false">
      <c r="A110" s="138" t="n">
        <f aca="false">EDATE(A109,1)</f>
        <v>40026</v>
      </c>
      <c r="B110" s="139" t="n">
        <f aca="false">VLOOKUP($A110,Table2,MATCH(I$3,Curves2,0))</f>
        <v>60900</v>
      </c>
      <c r="C110" s="140"/>
      <c r="D110" s="141" t="n">
        <f aca="false">B110+C110</f>
        <v>60900</v>
      </c>
      <c r="E110" s="126" t="n">
        <f aca="false">IF(Y110=0,0,IF(AND(Y110=1,$H$3=1),D110*T110,IF($H$3=2,D110,"N/A")))</f>
        <v>0</v>
      </c>
      <c r="F110" s="126" t="n">
        <f aca="false">E110*X110</f>
        <v>0</v>
      </c>
      <c r="G110" s="142" t="n">
        <f aca="false">VLOOKUP($A110,Table,MATCH(G$4,Curves,0))</f>
        <v>3.987</v>
      </c>
      <c r="H110" s="143" t="n">
        <f aca="false">G110</f>
        <v>3.987</v>
      </c>
      <c r="I110" s="142" t="n">
        <f aca="false">VLOOKUP($A110,Table1,MATCH(I$3,Curves1,0))</f>
        <v>3.7904</v>
      </c>
      <c r="J110" s="142" t="n">
        <f aca="false">VLOOKUP($A110,Table,MATCH(J$4,Curves,0))</f>
        <v>0.011</v>
      </c>
      <c r="K110" s="143" t="n">
        <f aca="false">J110</f>
        <v>0.011</v>
      </c>
      <c r="L110" s="144" t="n">
        <v>0</v>
      </c>
      <c r="M110" s="142" t="n">
        <f aca="false">VLOOKUP($A110,Table,MATCH(M$4,Curves,0))</f>
        <v>0.015</v>
      </c>
      <c r="N110" s="143" t="n">
        <f aca="false">M110</f>
        <v>0.015</v>
      </c>
      <c r="O110" s="144" t="n">
        <v>0</v>
      </c>
      <c r="P110" s="145"/>
      <c r="Q110" s="144" t="n">
        <f aca="false">M110+J110+G110</f>
        <v>4.013</v>
      </c>
      <c r="R110" s="144" t="n">
        <f aca="false">O110+L110+I110</f>
        <v>3.7904</v>
      </c>
      <c r="S110" s="145"/>
      <c r="T110" s="71" t="n">
        <f aca="false">A111-A110</f>
        <v>31</v>
      </c>
      <c r="U110" s="146" t="n">
        <f aca="false">CHOOSE(F$3,A111+24,A110)</f>
        <v>40081</v>
      </c>
      <c r="V110" s="71" t="n">
        <f aca="false">U110-C$3</f>
        <v>3193</v>
      </c>
      <c r="W110" s="142" t="n">
        <f aca="false">VLOOKUP($A110,Table,MATCH(W$4,Curves,0))</f>
        <v>0.058966861357273</v>
      </c>
      <c r="X110" s="147" t="n">
        <f aca="false">1/(1+CHOOSE(F$3,(W111+($K$3/10000))/2,(W110+($K$3/10000))/2))^(2*V110/365.25)</f>
        <v>0.601678040136401</v>
      </c>
      <c r="Y110" s="71" t="n">
        <f aca="false">IF(AND(mthbeg&lt;=A110,mthend&gt;=A110),1,0)</f>
        <v>0</v>
      </c>
      <c r="Z110" s="71" t="n">
        <f aca="false">T110*Y110</f>
        <v>0</v>
      </c>
      <c r="AB110" s="132" t="n">
        <f aca="false">F110*G110</f>
        <v>0</v>
      </c>
      <c r="AC110" s="132" t="n">
        <f aca="false">$F110*H110</f>
        <v>0</v>
      </c>
      <c r="AD110" s="132" t="n">
        <f aca="false">$F110*I110</f>
        <v>0</v>
      </c>
      <c r="AE110" s="132" t="n">
        <f aca="false">$F110*J110</f>
        <v>0</v>
      </c>
      <c r="AF110" s="132" t="n">
        <f aca="false">$F110*K110</f>
        <v>0</v>
      </c>
      <c r="AG110" s="132" t="n">
        <f aca="false">$F110*L110</f>
        <v>0</v>
      </c>
      <c r="AH110" s="132" t="n">
        <f aca="false">$F110*M110</f>
        <v>0</v>
      </c>
      <c r="AI110" s="132" t="n">
        <f aca="false">$F110*N110</f>
        <v>0</v>
      </c>
      <c r="AJ110" s="132" t="n">
        <f aca="false">F110*O110</f>
        <v>0</v>
      </c>
      <c r="AK110" s="137"/>
      <c r="AL110" s="132" t="n">
        <f aca="false">CHOOSE($G$3,AC110-AD110,AD110-AC110)</f>
        <v>0</v>
      </c>
      <c r="AM110" s="132" t="n">
        <f aca="false">CHOOSE($G$3,AF110-AG110,AG110-AF110)</f>
        <v>0</v>
      </c>
      <c r="AN110" s="132" t="n">
        <f aca="false">CHOOSE($G$3,AI110-AJ110,AJ110-AI110)</f>
        <v>0</v>
      </c>
      <c r="AO110" s="148" t="n">
        <f aca="false">SUM(AL110:AN110)</f>
        <v>0</v>
      </c>
      <c r="AQ110" s="132" t="n">
        <f aca="false">CHOOSE($G$3,AB110-AC110,AC110-AB110)</f>
        <v>0</v>
      </c>
      <c r="AR110" s="132" t="n">
        <f aca="false">CHOOSE($G$3,AE110-AF110,AF110-AE110)</f>
        <v>0</v>
      </c>
      <c r="AS110" s="132" t="n">
        <f aca="false">CHOOSE($G$3,AH110-AI110,AI110-AH110)</f>
        <v>0</v>
      </c>
      <c r="AT110" s="148" t="n">
        <f aca="false">AQ110+AR110+AS110</f>
        <v>0</v>
      </c>
      <c r="AU110" s="148"/>
      <c r="AV110" s="133" t="n">
        <f aca="false">AT110+AO110</f>
        <v>0</v>
      </c>
      <c r="AX110" s="133" t="n">
        <f aca="false">AJ110+AG110+AD110</f>
        <v>0</v>
      </c>
      <c r="AY110" s="149"/>
      <c r="AZ110" s="76" t="n">
        <f aca="false">R110*E110</f>
        <v>0</v>
      </c>
    </row>
    <row r="111" customFormat="false" ht="12.75" hidden="false" customHeight="false" outlineLevel="0" collapsed="false">
      <c r="A111" s="138" t="n">
        <f aca="false">EDATE(A110,1)</f>
        <v>40057</v>
      </c>
      <c r="B111" s="139" t="n">
        <f aca="false">VLOOKUP($A111,Table2,MATCH(I$3,Curves2,0))</f>
        <v>60900</v>
      </c>
      <c r="C111" s="140"/>
      <c r="D111" s="141" t="n">
        <f aca="false">B111+C111</f>
        <v>60900</v>
      </c>
      <c r="E111" s="126" t="n">
        <f aca="false">IF(Y111=0,0,IF(AND(Y111=1,$H$3=1),D111*T111,IF($H$3=2,D111,"N/A")))</f>
        <v>0</v>
      </c>
      <c r="F111" s="126" t="n">
        <f aca="false">E111*X111</f>
        <v>0</v>
      </c>
      <c r="G111" s="142" t="n">
        <f aca="false">VLOOKUP($A111,Table,MATCH(G$4,Curves,0))</f>
        <v>3.987</v>
      </c>
      <c r="H111" s="143" t="n">
        <f aca="false">G111</f>
        <v>3.987</v>
      </c>
      <c r="I111" s="142" t="n">
        <f aca="false">VLOOKUP($A111,Table1,MATCH(I$3,Curves1,0))</f>
        <v>3.7904</v>
      </c>
      <c r="J111" s="142" t="n">
        <f aca="false">VLOOKUP($A111,Table,MATCH(J$4,Curves,0))</f>
        <v>0.011</v>
      </c>
      <c r="K111" s="143" t="n">
        <f aca="false">J111</f>
        <v>0.011</v>
      </c>
      <c r="L111" s="144" t="n">
        <v>0</v>
      </c>
      <c r="M111" s="142" t="n">
        <f aca="false">VLOOKUP($A111,Table,MATCH(M$4,Curves,0))</f>
        <v>0.015</v>
      </c>
      <c r="N111" s="143" t="n">
        <f aca="false">M111</f>
        <v>0.015</v>
      </c>
      <c r="O111" s="144" t="n">
        <v>0</v>
      </c>
      <c r="P111" s="145"/>
      <c r="Q111" s="144" t="n">
        <f aca="false">M111+J111+G111</f>
        <v>4.013</v>
      </c>
      <c r="R111" s="144" t="n">
        <f aca="false">O111+L111+I111</f>
        <v>3.7904</v>
      </c>
      <c r="S111" s="145"/>
      <c r="T111" s="71" t="n">
        <f aca="false">A112-A111</f>
        <v>30</v>
      </c>
      <c r="U111" s="146" t="n">
        <f aca="false">CHOOSE(F$3,A112+24,A111)</f>
        <v>40111</v>
      </c>
      <c r="V111" s="71" t="n">
        <f aca="false">U111-C$3</f>
        <v>3223</v>
      </c>
      <c r="W111" s="142" t="n">
        <f aca="false">VLOOKUP($A111,Table,MATCH(W$4,Curves,0))</f>
        <v>0.058966861357273</v>
      </c>
      <c r="X111" s="147" t="n">
        <f aca="false">1/(1+CHOOSE(F$3,(W112+($K$3/10000))/2,(W111+($K$3/10000))/2))^(2*V111/365.25)</f>
        <v>0.598812924473856</v>
      </c>
      <c r="Y111" s="71" t="n">
        <f aca="false">IF(AND(mthbeg&lt;=A111,mthend&gt;=A111),1,0)</f>
        <v>0</v>
      </c>
      <c r="Z111" s="71" t="n">
        <f aca="false">T111*Y111</f>
        <v>0</v>
      </c>
      <c r="AB111" s="132" t="n">
        <f aca="false">F111*G111</f>
        <v>0</v>
      </c>
      <c r="AC111" s="132" t="n">
        <f aca="false">$F111*H111</f>
        <v>0</v>
      </c>
      <c r="AD111" s="132" t="n">
        <f aca="false">$F111*I111</f>
        <v>0</v>
      </c>
      <c r="AE111" s="132" t="n">
        <f aca="false">$F111*J111</f>
        <v>0</v>
      </c>
      <c r="AF111" s="132" t="n">
        <f aca="false">$F111*K111</f>
        <v>0</v>
      </c>
      <c r="AG111" s="132" t="n">
        <f aca="false">$F111*L111</f>
        <v>0</v>
      </c>
      <c r="AH111" s="132" t="n">
        <f aca="false">$F111*M111</f>
        <v>0</v>
      </c>
      <c r="AI111" s="132" t="n">
        <f aca="false">$F111*N111</f>
        <v>0</v>
      </c>
      <c r="AJ111" s="132" t="n">
        <f aca="false">F111*O111</f>
        <v>0</v>
      </c>
      <c r="AK111" s="137"/>
      <c r="AL111" s="132" t="n">
        <f aca="false">CHOOSE($G$3,AC111-AD111,AD111-AC111)</f>
        <v>0</v>
      </c>
      <c r="AM111" s="132" t="n">
        <f aca="false">CHOOSE($G$3,AF111-AG111,AG111-AF111)</f>
        <v>0</v>
      </c>
      <c r="AN111" s="132" t="n">
        <f aca="false">CHOOSE($G$3,AI111-AJ111,AJ111-AI111)</f>
        <v>0</v>
      </c>
      <c r="AO111" s="148" t="n">
        <f aca="false">SUM(AL111:AN111)</f>
        <v>0</v>
      </c>
      <c r="AQ111" s="132" t="n">
        <f aca="false">CHOOSE($G$3,AB111-AC111,AC111-AB111)</f>
        <v>0</v>
      </c>
      <c r="AR111" s="132" t="n">
        <f aca="false">CHOOSE($G$3,AE111-AF111,AF111-AE111)</f>
        <v>0</v>
      </c>
      <c r="AS111" s="132" t="n">
        <f aca="false">CHOOSE($G$3,AH111-AI111,AI111-AH111)</f>
        <v>0</v>
      </c>
      <c r="AT111" s="148" t="n">
        <f aca="false">AQ111+AR111+AS111</f>
        <v>0</v>
      </c>
      <c r="AU111" s="148"/>
      <c r="AV111" s="133" t="n">
        <f aca="false">AT111+AO111</f>
        <v>0</v>
      </c>
      <c r="AX111" s="133" t="n">
        <f aca="false">AJ111+AG111+AD111</f>
        <v>0</v>
      </c>
      <c r="AY111" s="149"/>
      <c r="AZ111" s="76" t="n">
        <f aca="false">R111*E111</f>
        <v>0</v>
      </c>
    </row>
    <row r="112" customFormat="false" ht="12.75" hidden="false" customHeight="false" outlineLevel="0" collapsed="false">
      <c r="A112" s="138" t="n">
        <f aca="false">EDATE(A111,1)</f>
        <v>40087</v>
      </c>
      <c r="B112" s="139" t="n">
        <f aca="false">VLOOKUP($A112,Table2,MATCH(I$3,Curves2,0))</f>
        <v>60900</v>
      </c>
      <c r="C112" s="140"/>
      <c r="D112" s="141" t="n">
        <f aca="false">B112+C112</f>
        <v>60900</v>
      </c>
      <c r="E112" s="126" t="n">
        <f aca="false">IF(Y112=0,0,IF(AND(Y112=1,$H$3=1),D112*T112,IF($H$3=2,D112,"N/A")))</f>
        <v>0</v>
      </c>
      <c r="F112" s="126" t="n">
        <f aca="false">E112*X112</f>
        <v>0</v>
      </c>
      <c r="G112" s="142" t="n">
        <f aca="false">VLOOKUP($A112,Table,MATCH(G$4,Curves,0))</f>
        <v>3.987</v>
      </c>
      <c r="H112" s="143" t="n">
        <f aca="false">G112</f>
        <v>3.987</v>
      </c>
      <c r="I112" s="142" t="n">
        <f aca="false">VLOOKUP($A112,Table1,MATCH(I$3,Curves1,0))</f>
        <v>3.7904</v>
      </c>
      <c r="J112" s="142" t="n">
        <f aca="false">VLOOKUP($A112,Table,MATCH(J$4,Curves,0))</f>
        <v>0.011</v>
      </c>
      <c r="K112" s="143" t="n">
        <f aca="false">J112</f>
        <v>0.011</v>
      </c>
      <c r="L112" s="144" t="n">
        <v>0</v>
      </c>
      <c r="M112" s="142" t="n">
        <f aca="false">VLOOKUP($A112,Table,MATCH(M$4,Curves,0))</f>
        <v>0.015</v>
      </c>
      <c r="N112" s="143" t="n">
        <f aca="false">M112</f>
        <v>0.015</v>
      </c>
      <c r="O112" s="144" t="n">
        <v>0</v>
      </c>
      <c r="P112" s="145"/>
      <c r="Q112" s="144" t="n">
        <f aca="false">M112+J112+G112</f>
        <v>4.013</v>
      </c>
      <c r="R112" s="144" t="n">
        <f aca="false">O112+L112+I112</f>
        <v>3.7904</v>
      </c>
      <c r="S112" s="145"/>
      <c r="T112" s="71" t="n">
        <f aca="false">A113-A112</f>
        <v>31</v>
      </c>
      <c r="U112" s="146" t="n">
        <f aca="false">CHOOSE(F$3,A113+24,A112)</f>
        <v>40142</v>
      </c>
      <c r="V112" s="71" t="n">
        <f aca="false">U112-C$3</f>
        <v>3254</v>
      </c>
      <c r="W112" s="142" t="n">
        <f aca="false">VLOOKUP($A112,Table,MATCH(W$4,Curves,0))</f>
        <v>0.058966861357273</v>
      </c>
      <c r="X112" s="147" t="n">
        <f aca="false">1/(1+CHOOSE(F$3,(W113+($K$3/10000))/2,(W112+($K$3/10000))/2))^(2*V112/365.25)</f>
        <v>0.595866637265288</v>
      </c>
      <c r="Y112" s="71" t="n">
        <f aca="false">IF(AND(mthbeg&lt;=A112,mthend&gt;=A112),1,0)</f>
        <v>0</v>
      </c>
      <c r="Z112" s="71" t="n">
        <f aca="false">T112*Y112</f>
        <v>0</v>
      </c>
      <c r="AB112" s="132" t="n">
        <f aca="false">F112*G112</f>
        <v>0</v>
      </c>
      <c r="AC112" s="132" t="n">
        <f aca="false">$F112*H112</f>
        <v>0</v>
      </c>
      <c r="AD112" s="132" t="n">
        <f aca="false">$F112*I112</f>
        <v>0</v>
      </c>
      <c r="AE112" s="132" t="n">
        <f aca="false">$F112*J112</f>
        <v>0</v>
      </c>
      <c r="AF112" s="132" t="n">
        <f aca="false">$F112*K112</f>
        <v>0</v>
      </c>
      <c r="AG112" s="132" t="n">
        <f aca="false">$F112*L112</f>
        <v>0</v>
      </c>
      <c r="AH112" s="132" t="n">
        <f aca="false">$F112*M112</f>
        <v>0</v>
      </c>
      <c r="AI112" s="132" t="n">
        <f aca="false">$F112*N112</f>
        <v>0</v>
      </c>
      <c r="AJ112" s="132" t="n">
        <f aca="false">F112*O112</f>
        <v>0</v>
      </c>
      <c r="AK112" s="137"/>
      <c r="AL112" s="132" t="n">
        <f aca="false">CHOOSE($G$3,AC112-AD112,AD112-AC112)</f>
        <v>0</v>
      </c>
      <c r="AM112" s="132" t="n">
        <f aca="false">CHOOSE($G$3,AF112-AG112,AG112-AF112)</f>
        <v>0</v>
      </c>
      <c r="AN112" s="132" t="n">
        <f aca="false">CHOOSE($G$3,AI112-AJ112,AJ112-AI112)</f>
        <v>0</v>
      </c>
      <c r="AO112" s="148" t="n">
        <f aca="false">SUM(AL112:AN112)</f>
        <v>0</v>
      </c>
      <c r="AQ112" s="132" t="n">
        <f aca="false">CHOOSE($G$3,AB112-AC112,AC112-AB112)</f>
        <v>0</v>
      </c>
      <c r="AR112" s="132" t="n">
        <f aca="false">CHOOSE($G$3,AE112-AF112,AF112-AE112)</f>
        <v>0</v>
      </c>
      <c r="AS112" s="132" t="n">
        <f aca="false">CHOOSE($G$3,AH112-AI112,AI112-AH112)</f>
        <v>0</v>
      </c>
      <c r="AT112" s="148" t="n">
        <f aca="false">AQ112+AR112+AS112</f>
        <v>0</v>
      </c>
      <c r="AU112" s="148"/>
      <c r="AV112" s="133" t="n">
        <f aca="false">AT112+AO112</f>
        <v>0</v>
      </c>
      <c r="AX112" s="133" t="n">
        <f aca="false">AJ112+AG112+AD112</f>
        <v>0</v>
      </c>
      <c r="AY112" s="149"/>
      <c r="AZ112" s="76" t="n">
        <f aca="false">R112*E112</f>
        <v>0</v>
      </c>
    </row>
    <row r="113" customFormat="false" ht="12.75" hidden="false" customHeight="false" outlineLevel="0" collapsed="false">
      <c r="A113" s="138" t="n">
        <f aca="false">EDATE(A112,1)</f>
        <v>40118</v>
      </c>
      <c r="B113" s="139" t="n">
        <f aca="false">VLOOKUP($A113,Table2,MATCH(I$3,Curves2,0))</f>
        <v>60900</v>
      </c>
      <c r="C113" s="140"/>
      <c r="D113" s="141" t="n">
        <f aca="false">B113+C113</f>
        <v>60900</v>
      </c>
      <c r="E113" s="126" t="n">
        <f aca="false">IF(Y113=0,0,IF(AND(Y113=1,$H$3=1),D113*T113,IF($H$3=2,D113,"N/A")))</f>
        <v>0</v>
      </c>
      <c r="F113" s="126" t="n">
        <f aca="false">E113*X113</f>
        <v>0</v>
      </c>
      <c r="G113" s="142" t="n">
        <f aca="false">VLOOKUP($A113,Table,MATCH(G$4,Curves,0))</f>
        <v>3.987</v>
      </c>
      <c r="H113" s="143" t="n">
        <f aca="false">G113</f>
        <v>3.987</v>
      </c>
      <c r="I113" s="142" t="n">
        <f aca="false">VLOOKUP($A113,Table1,MATCH(I$3,Curves1,0))</f>
        <v>3.7904</v>
      </c>
      <c r="J113" s="142" t="n">
        <f aca="false">VLOOKUP($A113,Table,MATCH(J$4,Curves,0))</f>
        <v>0.011</v>
      </c>
      <c r="K113" s="143" t="n">
        <f aca="false">J113</f>
        <v>0.011</v>
      </c>
      <c r="L113" s="144" t="n">
        <v>0</v>
      </c>
      <c r="M113" s="142" t="n">
        <f aca="false">VLOOKUP($A113,Table,MATCH(M$4,Curves,0))</f>
        <v>0.015</v>
      </c>
      <c r="N113" s="143" t="n">
        <f aca="false">M113</f>
        <v>0.015</v>
      </c>
      <c r="O113" s="144" t="n">
        <v>0</v>
      </c>
      <c r="P113" s="145"/>
      <c r="Q113" s="144" t="n">
        <f aca="false">M113+J113+G113</f>
        <v>4.013</v>
      </c>
      <c r="R113" s="144" t="n">
        <f aca="false">O113+L113+I113</f>
        <v>3.7904</v>
      </c>
      <c r="S113" s="145"/>
      <c r="T113" s="71" t="n">
        <f aca="false">A114-A113</f>
        <v>30</v>
      </c>
      <c r="U113" s="146" t="n">
        <f aca="false">CHOOSE(F$3,A114+24,A113)</f>
        <v>40172</v>
      </c>
      <c r="V113" s="71" t="n">
        <f aca="false">U113-C$3</f>
        <v>3284</v>
      </c>
      <c r="W113" s="142" t="n">
        <f aca="false">VLOOKUP($A113,Table,MATCH(W$4,Curves,0))</f>
        <v>0.058966861357273</v>
      </c>
      <c r="X113" s="147" t="n">
        <f aca="false">1/(1+CHOOSE(F$3,(W114+($K$3/10000))/2,(W113+($K$3/10000))/2))^(2*V113/365.25)</f>
        <v>0.593029194777227</v>
      </c>
      <c r="Y113" s="71" t="n">
        <f aca="false">IF(AND(mthbeg&lt;=A113,mthend&gt;=A113),1,0)</f>
        <v>0</v>
      </c>
      <c r="Z113" s="71" t="n">
        <f aca="false">T113*Y113</f>
        <v>0</v>
      </c>
      <c r="AB113" s="132" t="n">
        <f aca="false">F113*G113</f>
        <v>0</v>
      </c>
      <c r="AC113" s="132" t="n">
        <f aca="false">$F113*H113</f>
        <v>0</v>
      </c>
      <c r="AD113" s="132" t="n">
        <f aca="false">$F113*I113</f>
        <v>0</v>
      </c>
      <c r="AE113" s="132" t="n">
        <f aca="false">$F113*J113</f>
        <v>0</v>
      </c>
      <c r="AF113" s="132" t="n">
        <f aca="false">$F113*K113</f>
        <v>0</v>
      </c>
      <c r="AG113" s="132" t="n">
        <f aca="false">$F113*L113</f>
        <v>0</v>
      </c>
      <c r="AH113" s="132" t="n">
        <f aca="false">$F113*M113</f>
        <v>0</v>
      </c>
      <c r="AI113" s="132" t="n">
        <f aca="false">$F113*N113</f>
        <v>0</v>
      </c>
      <c r="AJ113" s="132" t="n">
        <f aca="false">F113*O113</f>
        <v>0</v>
      </c>
      <c r="AK113" s="137"/>
      <c r="AL113" s="132" t="n">
        <f aca="false">CHOOSE($G$3,AC113-AD113,AD113-AC113)</f>
        <v>0</v>
      </c>
      <c r="AM113" s="132" t="n">
        <f aca="false">CHOOSE($G$3,AF113-AG113,AG113-AF113)</f>
        <v>0</v>
      </c>
      <c r="AN113" s="132" t="n">
        <f aca="false">CHOOSE($G$3,AI113-AJ113,AJ113-AI113)</f>
        <v>0</v>
      </c>
      <c r="AO113" s="148" t="n">
        <f aca="false">SUM(AL113:AN113)</f>
        <v>0</v>
      </c>
      <c r="AQ113" s="132" t="n">
        <f aca="false">CHOOSE($G$3,AB113-AC113,AC113-AB113)</f>
        <v>0</v>
      </c>
      <c r="AR113" s="132" t="n">
        <f aca="false">CHOOSE($G$3,AE113-AF113,AF113-AE113)</f>
        <v>0</v>
      </c>
      <c r="AS113" s="132" t="n">
        <f aca="false">CHOOSE($G$3,AH113-AI113,AI113-AH113)</f>
        <v>0</v>
      </c>
      <c r="AT113" s="148" t="n">
        <f aca="false">AQ113+AR113+AS113</f>
        <v>0</v>
      </c>
      <c r="AU113" s="148"/>
      <c r="AV113" s="133" t="n">
        <f aca="false">AT113+AO113</f>
        <v>0</v>
      </c>
      <c r="AX113" s="133" t="n">
        <f aca="false">AJ113+AG113+AD113</f>
        <v>0</v>
      </c>
      <c r="AY113" s="149"/>
      <c r="AZ113" s="76" t="n">
        <f aca="false">R113*E113</f>
        <v>0</v>
      </c>
    </row>
    <row r="114" customFormat="false" ht="12.75" hidden="false" customHeight="false" outlineLevel="0" collapsed="false">
      <c r="A114" s="138" t="n">
        <f aca="false">EDATE(A113,1)</f>
        <v>40148</v>
      </c>
      <c r="B114" s="139" t="n">
        <f aca="false">VLOOKUP($A114,Table2,MATCH(I$3,Curves2,0))</f>
        <v>60900</v>
      </c>
      <c r="C114" s="140"/>
      <c r="D114" s="141" t="n">
        <f aca="false">B114+C114</f>
        <v>60900</v>
      </c>
      <c r="E114" s="126" t="n">
        <f aca="false">IF(Y114=0,0,IF(AND(Y114=1,$H$3=1),D114*T114,IF($H$3=2,D114,"N/A")))</f>
        <v>0</v>
      </c>
      <c r="F114" s="126" t="n">
        <f aca="false">E114*X114</f>
        <v>0</v>
      </c>
      <c r="G114" s="142" t="n">
        <f aca="false">VLOOKUP($A114,Table,MATCH(G$4,Curves,0))</f>
        <v>3.987</v>
      </c>
      <c r="H114" s="143" t="n">
        <f aca="false">G114</f>
        <v>3.987</v>
      </c>
      <c r="I114" s="142" t="n">
        <f aca="false">VLOOKUP($A114,Table1,MATCH(I$3,Curves1,0))</f>
        <v>3.7904</v>
      </c>
      <c r="J114" s="142" t="n">
        <f aca="false">VLOOKUP($A114,Table,MATCH(J$4,Curves,0))</f>
        <v>0.011</v>
      </c>
      <c r="K114" s="143" t="n">
        <f aca="false">J114</f>
        <v>0.011</v>
      </c>
      <c r="L114" s="144" t="n">
        <v>0</v>
      </c>
      <c r="M114" s="142" t="n">
        <f aca="false">VLOOKUP($A114,Table,MATCH(M$4,Curves,0))</f>
        <v>0.015</v>
      </c>
      <c r="N114" s="143" t="n">
        <f aca="false">M114</f>
        <v>0.015</v>
      </c>
      <c r="O114" s="144" t="n">
        <v>0</v>
      </c>
      <c r="P114" s="145"/>
      <c r="Q114" s="144" t="n">
        <f aca="false">M114+J114+G114</f>
        <v>4.013</v>
      </c>
      <c r="R114" s="144" t="n">
        <f aca="false">O114+L114+I114</f>
        <v>3.7904</v>
      </c>
      <c r="S114" s="145"/>
      <c r="T114" s="71" t="n">
        <f aca="false">A115-A114</f>
        <v>31</v>
      </c>
      <c r="U114" s="146" t="n">
        <f aca="false">CHOOSE(F$3,A115+24,A114)</f>
        <v>40203</v>
      </c>
      <c r="V114" s="71" t="n">
        <f aca="false">U114-C$3</f>
        <v>3315</v>
      </c>
      <c r="W114" s="142" t="n">
        <f aca="false">VLOOKUP($A114,Table,MATCH(W$4,Curves,0))</f>
        <v>0.058966861357273</v>
      </c>
      <c r="X114" s="147" t="n">
        <f aca="false">1/(1+CHOOSE(F$3,(W115+($K$3/10000))/2,(W114+($K$3/10000))/2))^(2*V114/365.25)</f>
        <v>0.590111364751405</v>
      </c>
      <c r="Y114" s="71" t="n">
        <f aca="false">IF(AND(mthbeg&lt;=A114,mthend&gt;=A114),1,0)</f>
        <v>0</v>
      </c>
      <c r="Z114" s="71" t="n">
        <f aca="false">T114*Y114</f>
        <v>0</v>
      </c>
      <c r="AB114" s="132" t="n">
        <f aca="false">F114*G114</f>
        <v>0</v>
      </c>
      <c r="AC114" s="132" t="n">
        <f aca="false">$F114*H114</f>
        <v>0</v>
      </c>
      <c r="AD114" s="132" t="n">
        <f aca="false">$F114*I114</f>
        <v>0</v>
      </c>
      <c r="AE114" s="132" t="n">
        <f aca="false">$F114*J114</f>
        <v>0</v>
      </c>
      <c r="AF114" s="132" t="n">
        <f aca="false">$F114*K114</f>
        <v>0</v>
      </c>
      <c r="AG114" s="132" t="n">
        <f aca="false">$F114*L114</f>
        <v>0</v>
      </c>
      <c r="AH114" s="132" t="n">
        <f aca="false">$F114*M114</f>
        <v>0</v>
      </c>
      <c r="AI114" s="132" t="n">
        <f aca="false">$F114*N114</f>
        <v>0</v>
      </c>
      <c r="AJ114" s="132" t="n">
        <f aca="false">F114*O114</f>
        <v>0</v>
      </c>
      <c r="AK114" s="137"/>
      <c r="AL114" s="132" t="n">
        <f aca="false">CHOOSE($G$3,AC114-AD114,AD114-AC114)</f>
        <v>0</v>
      </c>
      <c r="AM114" s="132" t="n">
        <f aca="false">CHOOSE($G$3,AF114-AG114,AG114-AF114)</f>
        <v>0</v>
      </c>
      <c r="AN114" s="132" t="n">
        <f aca="false">CHOOSE($G$3,AI114-AJ114,AJ114-AI114)</f>
        <v>0</v>
      </c>
      <c r="AO114" s="148" t="n">
        <f aca="false">SUM(AL114:AN114)</f>
        <v>0</v>
      </c>
      <c r="AQ114" s="132" t="n">
        <f aca="false">CHOOSE($G$3,AB114-AC114,AC114-AB114)</f>
        <v>0</v>
      </c>
      <c r="AR114" s="132" t="n">
        <f aca="false">CHOOSE($G$3,AE114-AF114,AF114-AE114)</f>
        <v>0</v>
      </c>
      <c r="AS114" s="132" t="n">
        <f aca="false">CHOOSE($G$3,AH114-AI114,AI114-AH114)</f>
        <v>0</v>
      </c>
      <c r="AT114" s="148" t="n">
        <f aca="false">AQ114+AR114+AS114</f>
        <v>0</v>
      </c>
      <c r="AU114" s="148"/>
      <c r="AV114" s="133" t="n">
        <f aca="false">AT114+AO114</f>
        <v>0</v>
      </c>
      <c r="AX114" s="133" t="n">
        <f aca="false">AJ114+AG114+AD114</f>
        <v>0</v>
      </c>
      <c r="AY114" s="149"/>
      <c r="AZ114" s="76" t="n">
        <f aca="false">R114*E114</f>
        <v>0</v>
      </c>
    </row>
    <row r="115" customFormat="false" ht="12.75" hidden="false" customHeight="false" outlineLevel="0" collapsed="false">
      <c r="A115" s="138" t="n">
        <f aca="false">EDATE(A114,1)</f>
        <v>40179</v>
      </c>
      <c r="B115" s="139" t="n">
        <f aca="false">VLOOKUP($A115,Table2,MATCH(I$3,Curves2,0))</f>
        <v>60900</v>
      </c>
      <c r="C115" s="140"/>
      <c r="D115" s="141" t="n">
        <f aca="false">B115+C115</f>
        <v>60900</v>
      </c>
      <c r="E115" s="126" t="n">
        <f aca="false">IF(Y115=0,0,IF(AND(Y115=1,$H$3=1),D115*T115,IF($H$3=2,D115,"N/A")))</f>
        <v>0</v>
      </c>
      <c r="F115" s="126" t="n">
        <f aca="false">E115*X115</f>
        <v>0</v>
      </c>
      <c r="G115" s="142" t="n">
        <f aca="false">VLOOKUP($A115,Table,MATCH(G$4,Curves,0))</f>
        <v>3.987</v>
      </c>
      <c r="H115" s="143" t="n">
        <f aca="false">G115</f>
        <v>3.987</v>
      </c>
      <c r="I115" s="142" t="n">
        <f aca="false">VLOOKUP($A115,Table1,MATCH(I$3,Curves1,0))</f>
        <v>3.7904</v>
      </c>
      <c r="J115" s="142" t="n">
        <f aca="false">VLOOKUP($A115,Table,MATCH(J$4,Curves,0))</f>
        <v>0.011</v>
      </c>
      <c r="K115" s="143" t="n">
        <f aca="false">J115</f>
        <v>0.011</v>
      </c>
      <c r="L115" s="144" t="n">
        <v>0</v>
      </c>
      <c r="M115" s="142" t="n">
        <f aca="false">VLOOKUP($A115,Table,MATCH(M$4,Curves,0))</f>
        <v>0.015</v>
      </c>
      <c r="N115" s="143" t="n">
        <f aca="false">M115</f>
        <v>0.015</v>
      </c>
      <c r="O115" s="144" t="n">
        <v>0</v>
      </c>
      <c r="P115" s="145"/>
      <c r="Q115" s="144" t="n">
        <f aca="false">M115+J115+G115</f>
        <v>4.013</v>
      </c>
      <c r="R115" s="144" t="n">
        <f aca="false">O115+L115+I115</f>
        <v>3.7904</v>
      </c>
      <c r="S115" s="145"/>
      <c r="T115" s="71" t="n">
        <f aca="false">A116-A115</f>
        <v>31</v>
      </c>
      <c r="U115" s="146" t="n">
        <f aca="false">CHOOSE(F$3,A116+24,A115)</f>
        <v>40234</v>
      </c>
      <c r="V115" s="71" t="n">
        <f aca="false">U115-C$3</f>
        <v>3346</v>
      </c>
      <c r="W115" s="142" t="n">
        <f aca="false">VLOOKUP($A115,Table,MATCH(W$4,Curves,0))</f>
        <v>0.058966861357273</v>
      </c>
      <c r="X115" s="147" t="n">
        <f aca="false">1/(1+CHOOSE(F$3,(W116+($K$3/10000))/2,(W115+($K$3/10000))/2))^(2*V115/365.25)</f>
        <v>0.587207891071165</v>
      </c>
      <c r="Y115" s="71" t="n">
        <f aca="false">IF(AND(mthbeg&lt;=A115,mthend&gt;=A115),1,0)</f>
        <v>0</v>
      </c>
      <c r="Z115" s="71" t="n">
        <f aca="false">T115*Y115</f>
        <v>0</v>
      </c>
      <c r="AB115" s="132" t="n">
        <f aca="false">F115*G115</f>
        <v>0</v>
      </c>
      <c r="AC115" s="132" t="n">
        <f aca="false">$F115*H115</f>
        <v>0</v>
      </c>
      <c r="AD115" s="132" t="n">
        <f aca="false">$F115*I115</f>
        <v>0</v>
      </c>
      <c r="AE115" s="132" t="n">
        <f aca="false">$F115*J115</f>
        <v>0</v>
      </c>
      <c r="AF115" s="132" t="n">
        <f aca="false">$F115*K115</f>
        <v>0</v>
      </c>
      <c r="AG115" s="132" t="n">
        <f aca="false">$F115*L115</f>
        <v>0</v>
      </c>
      <c r="AH115" s="132" t="n">
        <f aca="false">$F115*M115</f>
        <v>0</v>
      </c>
      <c r="AI115" s="132" t="n">
        <f aca="false">$F115*N115</f>
        <v>0</v>
      </c>
      <c r="AJ115" s="132" t="n">
        <f aca="false">F115*O115</f>
        <v>0</v>
      </c>
      <c r="AK115" s="137"/>
      <c r="AL115" s="132" t="n">
        <f aca="false">CHOOSE($G$3,AC115-AD115,AD115-AC115)</f>
        <v>0</v>
      </c>
      <c r="AM115" s="132" t="n">
        <f aca="false">CHOOSE($G$3,AF115-AG115,AG115-AF115)</f>
        <v>0</v>
      </c>
      <c r="AN115" s="132" t="n">
        <f aca="false">CHOOSE($G$3,AI115-AJ115,AJ115-AI115)</f>
        <v>0</v>
      </c>
      <c r="AO115" s="148" t="n">
        <f aca="false">SUM(AL115:AN115)</f>
        <v>0</v>
      </c>
      <c r="AQ115" s="132" t="n">
        <f aca="false">CHOOSE($G$3,AB115-AC115,AC115-AB115)</f>
        <v>0</v>
      </c>
      <c r="AR115" s="132" t="n">
        <f aca="false">CHOOSE($G$3,AE115-AF115,AF115-AE115)</f>
        <v>0</v>
      </c>
      <c r="AS115" s="132" t="n">
        <f aca="false">CHOOSE($G$3,AH115-AI115,AI115-AH115)</f>
        <v>0</v>
      </c>
      <c r="AT115" s="148" t="n">
        <f aca="false">AQ115+AR115+AS115</f>
        <v>0</v>
      </c>
      <c r="AU115" s="148"/>
      <c r="AV115" s="133" t="n">
        <f aca="false">AT115+AO115</f>
        <v>0</v>
      </c>
      <c r="AX115" s="133" t="n">
        <f aca="false">AJ115+AG115+AD115</f>
        <v>0</v>
      </c>
      <c r="AY115" s="149"/>
      <c r="AZ115" s="76" t="n">
        <f aca="false">R115*E115</f>
        <v>0</v>
      </c>
    </row>
    <row r="116" customFormat="false" ht="12.75" hidden="false" customHeight="false" outlineLevel="0" collapsed="false">
      <c r="A116" s="138" t="n">
        <f aca="false">EDATE(A115,1)</f>
        <v>40210</v>
      </c>
      <c r="B116" s="139" t="n">
        <f aca="false">VLOOKUP($A116,Table2,MATCH(I$3,Curves2,0))</f>
        <v>60900</v>
      </c>
      <c r="C116" s="140"/>
      <c r="D116" s="141" t="n">
        <f aca="false">B116+C116</f>
        <v>60900</v>
      </c>
      <c r="E116" s="126" t="n">
        <f aca="false">IF(Y116=0,0,IF(AND(Y116=1,$H$3=1),D116*T116,IF($H$3=2,D116,"N/A")))</f>
        <v>0</v>
      </c>
      <c r="F116" s="126" t="n">
        <f aca="false">E116*X116</f>
        <v>0</v>
      </c>
      <c r="G116" s="142" t="n">
        <f aca="false">VLOOKUP($A116,Table,MATCH(G$4,Curves,0))</f>
        <v>3.987</v>
      </c>
      <c r="H116" s="143" t="n">
        <f aca="false">G116</f>
        <v>3.987</v>
      </c>
      <c r="I116" s="142" t="n">
        <f aca="false">VLOOKUP($A116,Table1,MATCH(I$3,Curves1,0))</f>
        <v>3.7904</v>
      </c>
      <c r="J116" s="142" t="n">
        <f aca="false">VLOOKUP($A116,Table,MATCH(J$4,Curves,0))</f>
        <v>0.011</v>
      </c>
      <c r="K116" s="143" t="n">
        <f aca="false">J116</f>
        <v>0.011</v>
      </c>
      <c r="L116" s="144" t="n">
        <v>0</v>
      </c>
      <c r="M116" s="142" t="n">
        <f aca="false">VLOOKUP($A116,Table,MATCH(M$4,Curves,0))</f>
        <v>0.015</v>
      </c>
      <c r="N116" s="143" t="n">
        <f aca="false">M116</f>
        <v>0.015</v>
      </c>
      <c r="O116" s="144" t="n">
        <v>0</v>
      </c>
      <c r="P116" s="145"/>
      <c r="Q116" s="144" t="n">
        <f aca="false">M116+J116+G116</f>
        <v>4.013</v>
      </c>
      <c r="R116" s="144" t="n">
        <f aca="false">O116+L116+I116</f>
        <v>3.7904</v>
      </c>
      <c r="S116" s="145"/>
      <c r="T116" s="71" t="n">
        <f aca="false">A117-A116</f>
        <v>28</v>
      </c>
      <c r="U116" s="146" t="n">
        <f aca="false">CHOOSE(F$3,A117+24,A116)</f>
        <v>40262</v>
      </c>
      <c r="V116" s="71" t="n">
        <f aca="false">U116-C$3</f>
        <v>3374</v>
      </c>
      <c r="W116" s="142" t="n">
        <f aca="false">VLOOKUP($A116,Table,MATCH(W$4,Curves,0))</f>
        <v>0.058966861357273</v>
      </c>
      <c r="X116" s="147" t="n">
        <f aca="false">1/(1+CHOOSE(F$3,(W117+($K$3/10000))/2,(W116+($K$3/10000))/2))^(2*V116/365.25)</f>
        <v>0.584597679538199</v>
      </c>
      <c r="Y116" s="71" t="n">
        <f aca="false">IF(AND(mthbeg&lt;=A116,mthend&gt;=A116),1,0)</f>
        <v>0</v>
      </c>
      <c r="Z116" s="71" t="n">
        <f aca="false">T116*Y116</f>
        <v>0</v>
      </c>
      <c r="AB116" s="132" t="n">
        <f aca="false">F116*G116</f>
        <v>0</v>
      </c>
      <c r="AC116" s="132" t="n">
        <f aca="false">$F116*H116</f>
        <v>0</v>
      </c>
      <c r="AD116" s="132" t="n">
        <f aca="false">$F116*I116</f>
        <v>0</v>
      </c>
      <c r="AE116" s="132" t="n">
        <f aca="false">$F116*J116</f>
        <v>0</v>
      </c>
      <c r="AF116" s="132" t="n">
        <f aca="false">$F116*K116</f>
        <v>0</v>
      </c>
      <c r="AG116" s="132" t="n">
        <f aca="false">$F116*L116</f>
        <v>0</v>
      </c>
      <c r="AH116" s="132" t="n">
        <f aca="false">$F116*M116</f>
        <v>0</v>
      </c>
      <c r="AI116" s="132" t="n">
        <f aca="false">$F116*N116</f>
        <v>0</v>
      </c>
      <c r="AJ116" s="132" t="n">
        <f aca="false">F116*O116</f>
        <v>0</v>
      </c>
      <c r="AK116" s="137"/>
      <c r="AL116" s="132" t="n">
        <f aca="false">CHOOSE($G$3,AC116-AD116,AD116-AC116)</f>
        <v>0</v>
      </c>
      <c r="AM116" s="132" t="n">
        <f aca="false">CHOOSE($G$3,AF116-AG116,AG116-AF116)</f>
        <v>0</v>
      </c>
      <c r="AN116" s="132" t="n">
        <f aca="false">CHOOSE($G$3,AI116-AJ116,AJ116-AI116)</f>
        <v>0</v>
      </c>
      <c r="AO116" s="148" t="n">
        <f aca="false">SUM(AL116:AN116)</f>
        <v>0</v>
      </c>
      <c r="AQ116" s="132" t="n">
        <f aca="false">CHOOSE($G$3,AB116-AC116,AC116-AB116)</f>
        <v>0</v>
      </c>
      <c r="AR116" s="132" t="n">
        <f aca="false">CHOOSE($G$3,AE116-AF116,AF116-AE116)</f>
        <v>0</v>
      </c>
      <c r="AS116" s="132" t="n">
        <f aca="false">CHOOSE($G$3,AH116-AI116,AI116-AH116)</f>
        <v>0</v>
      </c>
      <c r="AT116" s="148" t="n">
        <f aca="false">AQ116+AR116+AS116</f>
        <v>0</v>
      </c>
      <c r="AU116" s="148"/>
      <c r="AV116" s="133" t="n">
        <f aca="false">AT116+AO116</f>
        <v>0</v>
      </c>
      <c r="AX116" s="133" t="n">
        <f aca="false">AJ116+AG116+AD116</f>
        <v>0</v>
      </c>
      <c r="AY116" s="149"/>
      <c r="AZ116" s="76" t="n">
        <f aca="false">R116*E116</f>
        <v>0</v>
      </c>
    </row>
    <row r="117" customFormat="false" ht="12.75" hidden="false" customHeight="false" outlineLevel="0" collapsed="false">
      <c r="A117" s="138" t="n">
        <f aca="false">EDATE(A116,1)</f>
        <v>40238</v>
      </c>
      <c r="B117" s="139" t="n">
        <f aca="false">VLOOKUP($A117,Table2,MATCH(I$3,Curves2,0))</f>
        <v>60900</v>
      </c>
      <c r="C117" s="140"/>
      <c r="D117" s="141" t="n">
        <f aca="false">B117+C117</f>
        <v>60900</v>
      </c>
      <c r="E117" s="126" t="n">
        <f aca="false">IF(Y117=0,0,IF(AND(Y117=1,$H$3=1),D117*T117,IF($H$3=2,D117,"N/A")))</f>
        <v>0</v>
      </c>
      <c r="F117" s="126" t="n">
        <f aca="false">E117*X117</f>
        <v>0</v>
      </c>
      <c r="G117" s="142" t="n">
        <f aca="false">VLOOKUP($A117,Table,MATCH(G$4,Curves,0))</f>
        <v>3.987</v>
      </c>
      <c r="H117" s="143" t="n">
        <f aca="false">G117</f>
        <v>3.987</v>
      </c>
      <c r="I117" s="142" t="n">
        <f aca="false">VLOOKUP($A117,Table1,MATCH(I$3,Curves1,0))</f>
        <v>3.7904</v>
      </c>
      <c r="J117" s="142" t="n">
        <f aca="false">VLOOKUP($A117,Table,MATCH(J$4,Curves,0))</f>
        <v>0.011</v>
      </c>
      <c r="K117" s="143" t="n">
        <f aca="false">J117</f>
        <v>0.011</v>
      </c>
      <c r="L117" s="144" t="n">
        <v>0</v>
      </c>
      <c r="M117" s="142" t="n">
        <f aca="false">VLOOKUP($A117,Table,MATCH(M$4,Curves,0))</f>
        <v>0.015</v>
      </c>
      <c r="N117" s="143" t="n">
        <f aca="false">M117</f>
        <v>0.015</v>
      </c>
      <c r="O117" s="144" t="n">
        <v>0</v>
      </c>
      <c r="P117" s="145"/>
      <c r="Q117" s="144" t="n">
        <f aca="false">M117+J117+G117</f>
        <v>4.013</v>
      </c>
      <c r="R117" s="144" t="n">
        <f aca="false">O117+L117+I117</f>
        <v>3.7904</v>
      </c>
      <c r="S117" s="145"/>
      <c r="T117" s="71" t="n">
        <f aca="false">A118-A117</f>
        <v>31</v>
      </c>
      <c r="U117" s="146" t="n">
        <f aca="false">CHOOSE(F$3,A118+24,A117)</f>
        <v>40293</v>
      </c>
      <c r="V117" s="71" t="n">
        <f aca="false">U117-C$3</f>
        <v>3405</v>
      </c>
      <c r="W117" s="142" t="n">
        <f aca="false">VLOOKUP($A117,Table,MATCH(W$4,Curves,0))</f>
        <v>0.058966861357273</v>
      </c>
      <c r="X117" s="147" t="n">
        <f aca="false">1/(1+CHOOSE(F$3,(W118+($K$3/10000))/2,(W117+($K$3/10000))/2))^(2*V117/365.25)</f>
        <v>0.581721334364294</v>
      </c>
      <c r="Y117" s="71" t="n">
        <f aca="false">IF(AND(mthbeg&lt;=A117,mthend&gt;=A117),1,0)</f>
        <v>0</v>
      </c>
      <c r="Z117" s="71" t="n">
        <f aca="false">T117*Y117</f>
        <v>0</v>
      </c>
      <c r="AB117" s="132" t="n">
        <f aca="false">F117*G117</f>
        <v>0</v>
      </c>
      <c r="AC117" s="132" t="n">
        <f aca="false">$F117*H117</f>
        <v>0</v>
      </c>
      <c r="AD117" s="132" t="n">
        <f aca="false">$F117*I117</f>
        <v>0</v>
      </c>
      <c r="AE117" s="132" t="n">
        <f aca="false">$F117*J117</f>
        <v>0</v>
      </c>
      <c r="AF117" s="132" t="n">
        <f aca="false">$F117*K117</f>
        <v>0</v>
      </c>
      <c r="AG117" s="132" t="n">
        <f aca="false">$F117*L117</f>
        <v>0</v>
      </c>
      <c r="AH117" s="132" t="n">
        <f aca="false">$F117*M117</f>
        <v>0</v>
      </c>
      <c r="AI117" s="132" t="n">
        <f aca="false">$F117*N117</f>
        <v>0</v>
      </c>
      <c r="AJ117" s="132" t="n">
        <f aca="false">F117*O117</f>
        <v>0</v>
      </c>
      <c r="AK117" s="137"/>
      <c r="AL117" s="132" t="n">
        <f aca="false">CHOOSE($G$3,AC117-AD117,AD117-AC117)</f>
        <v>0</v>
      </c>
      <c r="AM117" s="132" t="n">
        <f aca="false">CHOOSE($G$3,AF117-AG117,AG117-AF117)</f>
        <v>0</v>
      </c>
      <c r="AN117" s="132" t="n">
        <f aca="false">CHOOSE($G$3,AI117-AJ117,AJ117-AI117)</f>
        <v>0</v>
      </c>
      <c r="AO117" s="148" t="n">
        <f aca="false">SUM(AL117:AN117)</f>
        <v>0</v>
      </c>
      <c r="AQ117" s="132" t="n">
        <f aca="false">CHOOSE($G$3,AB117-AC117,AC117-AB117)</f>
        <v>0</v>
      </c>
      <c r="AR117" s="132" t="n">
        <f aca="false">CHOOSE($G$3,AE117-AF117,AF117-AE117)</f>
        <v>0</v>
      </c>
      <c r="AS117" s="132" t="n">
        <f aca="false">CHOOSE($G$3,AH117-AI117,AI117-AH117)</f>
        <v>0</v>
      </c>
      <c r="AT117" s="148" t="n">
        <f aca="false">AQ117+AR117+AS117</f>
        <v>0</v>
      </c>
      <c r="AU117" s="148"/>
      <c r="AV117" s="133" t="n">
        <f aca="false">AT117+AO117</f>
        <v>0</v>
      </c>
      <c r="AX117" s="133" t="n">
        <f aca="false">AJ117+AG117+AD117</f>
        <v>0</v>
      </c>
      <c r="AY117" s="149"/>
      <c r="AZ117" s="76" t="n">
        <f aca="false">R117*E117</f>
        <v>0</v>
      </c>
    </row>
    <row r="118" customFormat="false" ht="12.75" hidden="false" customHeight="false" outlineLevel="0" collapsed="false">
      <c r="A118" s="138" t="n">
        <f aca="false">EDATE(A117,1)</f>
        <v>40269</v>
      </c>
      <c r="B118" s="139" t="n">
        <f aca="false">VLOOKUP($A118,Table2,MATCH(I$3,Curves2,0))</f>
        <v>60900</v>
      </c>
      <c r="C118" s="140"/>
      <c r="D118" s="141" t="n">
        <f aca="false">B118+C118</f>
        <v>60900</v>
      </c>
      <c r="E118" s="126" t="n">
        <f aca="false">IF(Y118=0,0,IF(AND(Y118=1,$H$3=1),D118*T118,IF($H$3=2,D118,"N/A")))</f>
        <v>0</v>
      </c>
      <c r="F118" s="126" t="n">
        <f aca="false">E118*X118</f>
        <v>0</v>
      </c>
      <c r="G118" s="142" t="n">
        <f aca="false">VLOOKUP($A118,Table,MATCH(G$4,Curves,0))</f>
        <v>3.987</v>
      </c>
      <c r="H118" s="143" t="n">
        <f aca="false">G118</f>
        <v>3.987</v>
      </c>
      <c r="I118" s="142" t="n">
        <f aca="false">VLOOKUP($A118,Table1,MATCH(I$3,Curves1,0))</f>
        <v>3.7904</v>
      </c>
      <c r="J118" s="142" t="n">
        <f aca="false">VLOOKUP($A118,Table,MATCH(J$4,Curves,0))</f>
        <v>0.011</v>
      </c>
      <c r="K118" s="143" t="n">
        <f aca="false">J118</f>
        <v>0.011</v>
      </c>
      <c r="L118" s="144" t="n">
        <v>0</v>
      </c>
      <c r="M118" s="142" t="n">
        <f aca="false">VLOOKUP($A118,Table,MATCH(M$4,Curves,0))</f>
        <v>0.015</v>
      </c>
      <c r="N118" s="143" t="n">
        <f aca="false">M118</f>
        <v>0.015</v>
      </c>
      <c r="O118" s="144" t="n">
        <v>0</v>
      </c>
      <c r="P118" s="145"/>
      <c r="Q118" s="144" t="n">
        <f aca="false">M118+J118+G118</f>
        <v>4.013</v>
      </c>
      <c r="R118" s="144" t="n">
        <f aca="false">O118+L118+I118</f>
        <v>3.7904</v>
      </c>
      <c r="S118" s="145"/>
      <c r="T118" s="71" t="n">
        <f aca="false">A119-A118</f>
        <v>30</v>
      </c>
      <c r="U118" s="146" t="n">
        <f aca="false">CHOOSE(F$3,A119+24,A118)</f>
        <v>40323</v>
      </c>
      <c r="V118" s="71" t="n">
        <f aca="false">U118-C$3</f>
        <v>3435</v>
      </c>
      <c r="W118" s="142" t="n">
        <f aca="false">VLOOKUP($A118,Table,MATCH(W$4,Curves,0))</f>
        <v>0.058966861357273</v>
      </c>
      <c r="X118" s="147" t="n">
        <f aca="false">1/(1+CHOOSE(F$3,(W119+($K$3/10000))/2,(W118+($K$3/10000))/2))^(2*V118/365.25)</f>
        <v>0.578951250041547</v>
      </c>
      <c r="Y118" s="71" t="n">
        <f aca="false">IF(AND(mthbeg&lt;=A118,mthend&gt;=A118),1,0)</f>
        <v>0</v>
      </c>
      <c r="Z118" s="71" t="n">
        <f aca="false">T118*Y118</f>
        <v>0</v>
      </c>
      <c r="AB118" s="132" t="n">
        <f aca="false">F118*G118</f>
        <v>0</v>
      </c>
      <c r="AC118" s="132" t="n">
        <f aca="false">$F118*H118</f>
        <v>0</v>
      </c>
      <c r="AD118" s="132" t="n">
        <f aca="false">$F118*I118</f>
        <v>0</v>
      </c>
      <c r="AE118" s="132" t="n">
        <f aca="false">$F118*J118</f>
        <v>0</v>
      </c>
      <c r="AF118" s="132" t="n">
        <f aca="false">$F118*K118</f>
        <v>0</v>
      </c>
      <c r="AG118" s="132" t="n">
        <f aca="false">$F118*L118</f>
        <v>0</v>
      </c>
      <c r="AH118" s="132" t="n">
        <f aca="false">$F118*M118</f>
        <v>0</v>
      </c>
      <c r="AI118" s="132" t="n">
        <f aca="false">$F118*N118</f>
        <v>0</v>
      </c>
      <c r="AJ118" s="132" t="n">
        <f aca="false">F118*O118</f>
        <v>0</v>
      </c>
      <c r="AK118" s="137"/>
      <c r="AL118" s="132" t="n">
        <f aca="false">CHOOSE($G$3,AC118-AD118,AD118-AC118)</f>
        <v>0</v>
      </c>
      <c r="AM118" s="132" t="n">
        <f aca="false">CHOOSE($G$3,AF118-AG118,AG118-AF118)</f>
        <v>0</v>
      </c>
      <c r="AN118" s="132" t="n">
        <f aca="false">CHOOSE($G$3,AI118-AJ118,AJ118-AI118)</f>
        <v>0</v>
      </c>
      <c r="AO118" s="148" t="n">
        <f aca="false">SUM(AL118:AN118)</f>
        <v>0</v>
      </c>
      <c r="AQ118" s="132" t="n">
        <f aca="false">CHOOSE($G$3,AB118-AC118,AC118-AB118)</f>
        <v>0</v>
      </c>
      <c r="AR118" s="132" t="n">
        <f aca="false">CHOOSE($G$3,AE118-AF118,AF118-AE118)</f>
        <v>0</v>
      </c>
      <c r="AS118" s="132" t="n">
        <f aca="false">CHOOSE($G$3,AH118-AI118,AI118-AH118)</f>
        <v>0</v>
      </c>
      <c r="AT118" s="148" t="n">
        <f aca="false">AQ118+AR118+AS118</f>
        <v>0</v>
      </c>
      <c r="AU118" s="148"/>
      <c r="AV118" s="133" t="n">
        <f aca="false">AT118+AO118</f>
        <v>0</v>
      </c>
      <c r="AX118" s="133" t="n">
        <f aca="false">AJ118+AG118+AD118</f>
        <v>0</v>
      </c>
      <c r="AY118" s="149"/>
      <c r="AZ118" s="76" t="n">
        <f aca="false">R118*E118</f>
        <v>0</v>
      </c>
    </row>
    <row r="119" customFormat="false" ht="12.75" hidden="false" customHeight="false" outlineLevel="0" collapsed="false">
      <c r="A119" s="138" t="n">
        <f aca="false">EDATE(A118,1)</f>
        <v>40299</v>
      </c>
      <c r="B119" s="139" t="n">
        <f aca="false">VLOOKUP($A119,Table2,MATCH(I$3,Curves2,0))</f>
        <v>60900</v>
      </c>
      <c r="C119" s="140"/>
      <c r="D119" s="141" t="n">
        <f aca="false">B119+C119</f>
        <v>60900</v>
      </c>
      <c r="E119" s="126" t="n">
        <f aca="false">IF(Y119=0,0,IF(AND(Y119=1,$H$3=1),D119*T119,IF($H$3=2,D119,"N/A")))</f>
        <v>0</v>
      </c>
      <c r="F119" s="126" t="n">
        <f aca="false">E119*X119</f>
        <v>0</v>
      </c>
      <c r="G119" s="142" t="n">
        <f aca="false">VLOOKUP($A119,Table,MATCH(G$4,Curves,0))</f>
        <v>3.987</v>
      </c>
      <c r="H119" s="143" t="n">
        <f aca="false">G119</f>
        <v>3.987</v>
      </c>
      <c r="I119" s="142" t="n">
        <f aca="false">VLOOKUP($A119,Table1,MATCH(I$3,Curves1,0))</f>
        <v>3.7904</v>
      </c>
      <c r="J119" s="142" t="n">
        <f aca="false">VLOOKUP($A119,Table,MATCH(J$4,Curves,0))</f>
        <v>0.011</v>
      </c>
      <c r="K119" s="143" t="n">
        <f aca="false">J119</f>
        <v>0.011</v>
      </c>
      <c r="L119" s="144" t="n">
        <v>0</v>
      </c>
      <c r="M119" s="142" t="n">
        <f aca="false">VLOOKUP($A119,Table,MATCH(M$4,Curves,0))</f>
        <v>0.015</v>
      </c>
      <c r="N119" s="143" t="n">
        <f aca="false">M119</f>
        <v>0.015</v>
      </c>
      <c r="O119" s="144" t="n">
        <v>0</v>
      </c>
      <c r="P119" s="145"/>
      <c r="Q119" s="144" t="n">
        <f aca="false">M119+J119+G119</f>
        <v>4.013</v>
      </c>
      <c r="R119" s="144" t="n">
        <f aca="false">O119+L119+I119</f>
        <v>3.7904</v>
      </c>
      <c r="S119" s="145"/>
      <c r="T119" s="71" t="n">
        <f aca="false">A120-A119</f>
        <v>31</v>
      </c>
      <c r="U119" s="146" t="n">
        <f aca="false">CHOOSE(F$3,A120+24,A119)</f>
        <v>40354</v>
      </c>
      <c r="V119" s="71" t="n">
        <f aca="false">U119-C$3</f>
        <v>3466</v>
      </c>
      <c r="W119" s="142" t="n">
        <f aca="false">VLOOKUP($A119,Table,MATCH(W$4,Curves,0))</f>
        <v>0.058966861357273</v>
      </c>
      <c r="X119" s="147" t="n">
        <f aca="false">1/(1+CHOOSE(F$3,(W120+($K$3/10000))/2,(W119+($K$3/10000))/2))^(2*V119/365.25)</f>
        <v>0.576102686504143</v>
      </c>
      <c r="Y119" s="71" t="n">
        <f aca="false">IF(AND(mthbeg&lt;=A119,mthend&gt;=A119),1,0)</f>
        <v>0</v>
      </c>
      <c r="Z119" s="71" t="n">
        <f aca="false">T119*Y119</f>
        <v>0</v>
      </c>
      <c r="AB119" s="132" t="n">
        <f aca="false">F119*G119</f>
        <v>0</v>
      </c>
      <c r="AC119" s="132" t="n">
        <f aca="false">$F119*H119</f>
        <v>0</v>
      </c>
      <c r="AD119" s="132" t="n">
        <f aca="false">$F119*I119</f>
        <v>0</v>
      </c>
      <c r="AE119" s="132" t="n">
        <f aca="false">$F119*J119</f>
        <v>0</v>
      </c>
      <c r="AF119" s="132" t="n">
        <f aca="false">$F119*K119</f>
        <v>0</v>
      </c>
      <c r="AG119" s="132" t="n">
        <f aca="false">$F119*L119</f>
        <v>0</v>
      </c>
      <c r="AH119" s="132" t="n">
        <f aca="false">$F119*M119</f>
        <v>0</v>
      </c>
      <c r="AI119" s="132" t="n">
        <f aca="false">$F119*N119</f>
        <v>0</v>
      </c>
      <c r="AJ119" s="132" t="n">
        <f aca="false">F119*O119</f>
        <v>0</v>
      </c>
      <c r="AK119" s="137"/>
      <c r="AL119" s="132" t="n">
        <f aca="false">CHOOSE($G$3,AC119-AD119,AD119-AC119)</f>
        <v>0</v>
      </c>
      <c r="AM119" s="132" t="n">
        <f aca="false">CHOOSE($G$3,AF119-AG119,AG119-AF119)</f>
        <v>0</v>
      </c>
      <c r="AN119" s="132" t="n">
        <f aca="false">CHOOSE($G$3,AI119-AJ119,AJ119-AI119)</f>
        <v>0</v>
      </c>
      <c r="AO119" s="148" t="n">
        <f aca="false">SUM(AL119:AN119)</f>
        <v>0</v>
      </c>
      <c r="AQ119" s="132" t="n">
        <f aca="false">CHOOSE($G$3,AB119-AC119,AC119-AB119)</f>
        <v>0</v>
      </c>
      <c r="AR119" s="132" t="n">
        <f aca="false">CHOOSE($G$3,AE119-AF119,AF119-AE119)</f>
        <v>0</v>
      </c>
      <c r="AS119" s="132" t="n">
        <f aca="false">CHOOSE($G$3,AH119-AI119,AI119-AH119)</f>
        <v>0</v>
      </c>
      <c r="AT119" s="148" t="n">
        <f aca="false">AQ119+AR119+AS119</f>
        <v>0</v>
      </c>
      <c r="AU119" s="148"/>
      <c r="AV119" s="133" t="n">
        <f aca="false">AT119+AO119</f>
        <v>0</v>
      </c>
      <c r="AX119" s="133" t="n">
        <f aca="false">AJ119+AG119+AD119</f>
        <v>0</v>
      </c>
      <c r="AY119" s="149"/>
      <c r="AZ119" s="76" t="n">
        <f aca="false">R119*E119</f>
        <v>0</v>
      </c>
    </row>
    <row r="120" customFormat="false" ht="12.75" hidden="false" customHeight="false" outlineLevel="0" collapsed="false">
      <c r="A120" s="138" t="n">
        <f aca="false">EDATE(A119,1)</f>
        <v>40330</v>
      </c>
      <c r="B120" s="139" t="n">
        <f aca="false">VLOOKUP($A120,Table2,MATCH(I$3,Curves2,0))</f>
        <v>60900</v>
      </c>
      <c r="C120" s="140"/>
      <c r="D120" s="141" t="n">
        <f aca="false">B120+C120</f>
        <v>60900</v>
      </c>
      <c r="E120" s="126" t="n">
        <f aca="false">IF(Y120=0,0,IF(AND(Y120=1,$H$3=1),D120*T120,IF($H$3=2,D120,"N/A")))</f>
        <v>0</v>
      </c>
      <c r="F120" s="126" t="n">
        <f aca="false">E120*X120</f>
        <v>0</v>
      </c>
      <c r="G120" s="142" t="n">
        <f aca="false">VLOOKUP($A120,Table,MATCH(G$4,Curves,0))</f>
        <v>3.987</v>
      </c>
      <c r="H120" s="143" t="n">
        <f aca="false">G120</f>
        <v>3.987</v>
      </c>
      <c r="I120" s="142" t="n">
        <f aca="false">VLOOKUP($A120,Table1,MATCH(I$3,Curves1,0))</f>
        <v>3.7904</v>
      </c>
      <c r="J120" s="142" t="n">
        <f aca="false">VLOOKUP($A120,Table,MATCH(J$4,Curves,0))</f>
        <v>0.011</v>
      </c>
      <c r="K120" s="143" t="n">
        <f aca="false">J120</f>
        <v>0.011</v>
      </c>
      <c r="L120" s="144" t="n">
        <v>0</v>
      </c>
      <c r="M120" s="142" t="n">
        <f aca="false">VLOOKUP($A120,Table,MATCH(M$4,Curves,0))</f>
        <v>0.015</v>
      </c>
      <c r="N120" s="143" t="n">
        <f aca="false">M120</f>
        <v>0.015</v>
      </c>
      <c r="O120" s="144" t="n">
        <v>0</v>
      </c>
      <c r="P120" s="145"/>
      <c r="Q120" s="144" t="n">
        <f aca="false">M120+J120+G120</f>
        <v>4.013</v>
      </c>
      <c r="R120" s="144" t="n">
        <f aca="false">O120+L120+I120</f>
        <v>3.7904</v>
      </c>
      <c r="S120" s="145"/>
      <c r="T120" s="71" t="n">
        <f aca="false">A121-A120</f>
        <v>30</v>
      </c>
      <c r="U120" s="146" t="n">
        <f aca="false">CHOOSE(F$3,A121+24,A120)</f>
        <v>40384</v>
      </c>
      <c r="V120" s="71" t="n">
        <f aca="false">U120-C$3</f>
        <v>3496</v>
      </c>
      <c r="W120" s="142" t="n">
        <f aca="false">VLOOKUP($A120,Table,MATCH(W$4,Curves,0))</f>
        <v>0.058966861357273</v>
      </c>
      <c r="X120" s="147" t="n">
        <f aca="false">1/(1+CHOOSE(F$3,(W121+($K$3/10000))/2,(W120+($K$3/10000))/2))^(2*V120/365.25)</f>
        <v>0.573359357480596</v>
      </c>
      <c r="Y120" s="71" t="n">
        <f aca="false">IF(AND(mthbeg&lt;=A120,mthend&gt;=A120),1,0)</f>
        <v>0</v>
      </c>
      <c r="Z120" s="71" t="n">
        <f aca="false">T120*Y120</f>
        <v>0</v>
      </c>
      <c r="AB120" s="132" t="n">
        <f aca="false">F120*G120</f>
        <v>0</v>
      </c>
      <c r="AC120" s="132" t="n">
        <f aca="false">$F120*H120</f>
        <v>0</v>
      </c>
      <c r="AD120" s="132" t="n">
        <f aca="false">$F120*I120</f>
        <v>0</v>
      </c>
      <c r="AE120" s="132" t="n">
        <f aca="false">$F120*J120</f>
        <v>0</v>
      </c>
      <c r="AF120" s="132" t="n">
        <f aca="false">$F120*K120</f>
        <v>0</v>
      </c>
      <c r="AG120" s="132" t="n">
        <f aca="false">$F120*L120</f>
        <v>0</v>
      </c>
      <c r="AH120" s="132" t="n">
        <f aca="false">$F120*M120</f>
        <v>0</v>
      </c>
      <c r="AI120" s="132" t="n">
        <f aca="false">$F120*N120</f>
        <v>0</v>
      </c>
      <c r="AJ120" s="132" t="n">
        <f aca="false">F120*O120</f>
        <v>0</v>
      </c>
      <c r="AK120" s="137"/>
      <c r="AL120" s="132" t="n">
        <f aca="false">CHOOSE($G$3,AC120-AD120,AD120-AC120)</f>
        <v>0</v>
      </c>
      <c r="AM120" s="132" t="n">
        <f aca="false">CHOOSE($G$3,AF120-AG120,AG120-AF120)</f>
        <v>0</v>
      </c>
      <c r="AN120" s="132" t="n">
        <f aca="false">CHOOSE($G$3,AI120-AJ120,AJ120-AI120)</f>
        <v>0</v>
      </c>
      <c r="AO120" s="148" t="n">
        <f aca="false">SUM(AL120:AN120)</f>
        <v>0</v>
      </c>
      <c r="AQ120" s="132" t="n">
        <f aca="false">CHOOSE($G$3,AB120-AC120,AC120-AB120)</f>
        <v>0</v>
      </c>
      <c r="AR120" s="132" t="n">
        <f aca="false">CHOOSE($G$3,AE120-AF120,AF120-AE120)</f>
        <v>0</v>
      </c>
      <c r="AS120" s="132" t="n">
        <f aca="false">CHOOSE($G$3,AH120-AI120,AI120-AH120)</f>
        <v>0</v>
      </c>
      <c r="AT120" s="148" t="n">
        <f aca="false">AQ120+AR120+AS120</f>
        <v>0</v>
      </c>
      <c r="AU120" s="148"/>
      <c r="AV120" s="133" t="n">
        <f aca="false">AT120+AO120</f>
        <v>0</v>
      </c>
      <c r="AX120" s="133" t="n">
        <f aca="false">AJ120+AG120+AD120</f>
        <v>0</v>
      </c>
      <c r="AY120" s="149"/>
      <c r="AZ120" s="76" t="n">
        <f aca="false">R120*E120</f>
        <v>0</v>
      </c>
    </row>
    <row r="121" customFormat="false" ht="12.75" hidden="false" customHeight="false" outlineLevel="0" collapsed="false">
      <c r="A121" s="138" t="n">
        <f aca="false">EDATE(A120,1)</f>
        <v>40360</v>
      </c>
      <c r="B121" s="139" t="n">
        <f aca="false">VLOOKUP($A121,Table2,MATCH(I$3,Curves2,0))</f>
        <v>60900</v>
      </c>
      <c r="C121" s="140"/>
      <c r="D121" s="141" t="n">
        <f aca="false">B121+C121</f>
        <v>60900</v>
      </c>
      <c r="E121" s="126" t="n">
        <f aca="false">IF(Y121=0,0,IF(AND(Y121=1,$H$3=1),D121*T121,IF($H$3=2,D121,"N/A")))</f>
        <v>0</v>
      </c>
      <c r="F121" s="126" t="n">
        <f aca="false">E121*X121</f>
        <v>0</v>
      </c>
      <c r="G121" s="142" t="n">
        <f aca="false">VLOOKUP($A121,Table,MATCH(G$4,Curves,0))</f>
        <v>3.987</v>
      </c>
      <c r="H121" s="143" t="n">
        <f aca="false">G121</f>
        <v>3.987</v>
      </c>
      <c r="I121" s="142" t="n">
        <f aca="false">VLOOKUP($A121,Table1,MATCH(I$3,Curves1,0))</f>
        <v>3.7904</v>
      </c>
      <c r="J121" s="142" t="n">
        <f aca="false">VLOOKUP($A121,Table,MATCH(J$4,Curves,0))</f>
        <v>0.011</v>
      </c>
      <c r="K121" s="143" t="n">
        <f aca="false">J121</f>
        <v>0.011</v>
      </c>
      <c r="L121" s="144" t="n">
        <v>0</v>
      </c>
      <c r="M121" s="142" t="n">
        <f aca="false">VLOOKUP($A121,Table,MATCH(M$4,Curves,0))</f>
        <v>0.015</v>
      </c>
      <c r="N121" s="143" t="n">
        <f aca="false">M121</f>
        <v>0.015</v>
      </c>
      <c r="O121" s="144" t="n">
        <v>0</v>
      </c>
      <c r="P121" s="145"/>
      <c r="Q121" s="144" t="n">
        <f aca="false">M121+J121+G121</f>
        <v>4.013</v>
      </c>
      <c r="R121" s="144" t="n">
        <f aca="false">O121+L121+I121</f>
        <v>3.7904</v>
      </c>
      <c r="S121" s="145"/>
      <c r="T121" s="71" t="n">
        <f aca="false">A122-A121</f>
        <v>31</v>
      </c>
      <c r="U121" s="146" t="n">
        <f aca="false">CHOOSE(F$3,A122+24,A121)</f>
        <v>40415</v>
      </c>
      <c r="V121" s="71" t="n">
        <f aca="false">U121-C$3</f>
        <v>3527</v>
      </c>
      <c r="W121" s="142" t="n">
        <f aca="false">VLOOKUP($A121,Table,MATCH(W$4,Curves,0))</f>
        <v>0.058966861357273</v>
      </c>
      <c r="X121" s="147" t="n">
        <f aca="false">1/(1+CHOOSE(F$3,(W122+($K$3/10000))/2,(W121+($K$3/10000))/2))^(2*V121/365.25)</f>
        <v>0.570538307246348</v>
      </c>
      <c r="Y121" s="71" t="n">
        <f aca="false">IF(AND(mthbeg&lt;=A121,mthend&gt;=A121),1,0)</f>
        <v>0</v>
      </c>
      <c r="Z121" s="71" t="n">
        <f aca="false">T121*Y121</f>
        <v>0</v>
      </c>
      <c r="AB121" s="132" t="n">
        <f aca="false">F121*G121</f>
        <v>0</v>
      </c>
      <c r="AC121" s="132" t="n">
        <f aca="false">$F121*H121</f>
        <v>0</v>
      </c>
      <c r="AD121" s="132" t="n">
        <f aca="false">$F121*I121</f>
        <v>0</v>
      </c>
      <c r="AE121" s="132" t="n">
        <f aca="false">$F121*J121</f>
        <v>0</v>
      </c>
      <c r="AF121" s="132" t="n">
        <f aca="false">$F121*K121</f>
        <v>0</v>
      </c>
      <c r="AG121" s="132" t="n">
        <f aca="false">$F121*L121</f>
        <v>0</v>
      </c>
      <c r="AH121" s="132" t="n">
        <f aca="false">$F121*M121</f>
        <v>0</v>
      </c>
      <c r="AI121" s="132" t="n">
        <f aca="false">$F121*N121</f>
        <v>0</v>
      </c>
      <c r="AJ121" s="132" t="n">
        <f aca="false">F121*O121</f>
        <v>0</v>
      </c>
      <c r="AK121" s="137"/>
      <c r="AL121" s="132" t="n">
        <f aca="false">CHOOSE($G$3,AC121-AD121,AD121-AC121)</f>
        <v>0</v>
      </c>
      <c r="AM121" s="132" t="n">
        <f aca="false">CHOOSE($G$3,AF121-AG121,AG121-AF121)</f>
        <v>0</v>
      </c>
      <c r="AN121" s="132" t="n">
        <f aca="false">CHOOSE($G$3,AI121-AJ121,AJ121-AI121)</f>
        <v>0</v>
      </c>
      <c r="AO121" s="148" t="n">
        <f aca="false">SUM(AL121:AN121)</f>
        <v>0</v>
      </c>
      <c r="AQ121" s="132" t="n">
        <f aca="false">CHOOSE($G$3,AB121-AC121,AC121-AB121)</f>
        <v>0</v>
      </c>
      <c r="AR121" s="132" t="n">
        <f aca="false">CHOOSE($G$3,AE121-AF121,AF121-AE121)</f>
        <v>0</v>
      </c>
      <c r="AS121" s="132" t="n">
        <f aca="false">CHOOSE($G$3,AH121-AI121,AI121-AH121)</f>
        <v>0</v>
      </c>
      <c r="AT121" s="148" t="n">
        <f aca="false">AQ121+AR121+AS121</f>
        <v>0</v>
      </c>
      <c r="AU121" s="148"/>
      <c r="AV121" s="133" t="n">
        <f aca="false">AT121+AO121</f>
        <v>0</v>
      </c>
      <c r="AX121" s="133" t="n">
        <f aca="false">AJ121+AG121+AD121</f>
        <v>0</v>
      </c>
      <c r="AY121" s="149"/>
      <c r="AZ121" s="76" t="n">
        <f aca="false">R121*E121</f>
        <v>0</v>
      </c>
    </row>
    <row r="122" customFormat="false" ht="12.75" hidden="false" customHeight="false" outlineLevel="0" collapsed="false">
      <c r="A122" s="138" t="n">
        <f aca="false">EDATE(A121,1)</f>
        <v>40391</v>
      </c>
      <c r="B122" s="139" t="n">
        <f aca="false">VLOOKUP($A122,Table2,MATCH(I$3,Curves2,0))</f>
        <v>60900</v>
      </c>
      <c r="C122" s="140"/>
      <c r="D122" s="141" t="n">
        <f aca="false">B122+C122</f>
        <v>60900</v>
      </c>
      <c r="E122" s="126" t="n">
        <f aca="false">IF(Y122=0,0,IF(AND(Y122=1,$H$3=1),D122*T122,IF($H$3=2,D122,"N/A")))</f>
        <v>0</v>
      </c>
      <c r="F122" s="126" t="n">
        <f aca="false">E122*X122</f>
        <v>0</v>
      </c>
      <c r="G122" s="142" t="n">
        <f aca="false">VLOOKUP($A122,Table,MATCH(G$4,Curves,0))</f>
        <v>3.987</v>
      </c>
      <c r="H122" s="143" t="n">
        <f aca="false">G122</f>
        <v>3.987</v>
      </c>
      <c r="I122" s="142" t="n">
        <f aca="false">VLOOKUP($A122,Table1,MATCH(I$3,Curves1,0))</f>
        <v>3.7904</v>
      </c>
      <c r="J122" s="142" t="n">
        <f aca="false">VLOOKUP($A122,Table,MATCH(J$4,Curves,0))</f>
        <v>0.011</v>
      </c>
      <c r="K122" s="143" t="n">
        <f aca="false">J122</f>
        <v>0.011</v>
      </c>
      <c r="L122" s="144" t="n">
        <v>0</v>
      </c>
      <c r="M122" s="142" t="n">
        <f aca="false">VLOOKUP($A122,Table,MATCH(M$4,Curves,0))</f>
        <v>0.015</v>
      </c>
      <c r="N122" s="143" t="n">
        <f aca="false">M122</f>
        <v>0.015</v>
      </c>
      <c r="O122" s="144" t="n">
        <v>0</v>
      </c>
      <c r="P122" s="145"/>
      <c r="Q122" s="144" t="n">
        <f aca="false">M122+J122+G122</f>
        <v>4.013</v>
      </c>
      <c r="R122" s="144" t="n">
        <f aca="false">O122+L122+I122</f>
        <v>3.7904</v>
      </c>
      <c r="S122" s="145"/>
      <c r="T122" s="71" t="n">
        <f aca="false">A123-A122</f>
        <v>31</v>
      </c>
      <c r="U122" s="146" t="n">
        <f aca="false">CHOOSE(F$3,A123+24,A122)</f>
        <v>40446</v>
      </c>
      <c r="V122" s="71" t="n">
        <f aca="false">U122-C$3</f>
        <v>3558</v>
      </c>
      <c r="W122" s="142" t="n">
        <f aca="false">VLOOKUP($A122,Table,MATCH(W$4,Curves,0))</f>
        <v>0.058966861357273</v>
      </c>
      <c r="X122" s="147" t="n">
        <f aca="false">1/(1+CHOOSE(F$3,(W123+($K$3/10000))/2,(W122+($K$3/10000))/2))^(2*V122/365.25)</f>
        <v>0.56773113718048</v>
      </c>
      <c r="Y122" s="71" t="n">
        <f aca="false">IF(AND(mthbeg&lt;=A122,mthend&gt;=A122),1,0)</f>
        <v>0</v>
      </c>
      <c r="Z122" s="71" t="n">
        <f aca="false">T122*Y122</f>
        <v>0</v>
      </c>
      <c r="AB122" s="132" t="n">
        <f aca="false">F122*G122</f>
        <v>0</v>
      </c>
      <c r="AC122" s="132" t="n">
        <f aca="false">$F122*H122</f>
        <v>0</v>
      </c>
      <c r="AD122" s="132" t="n">
        <f aca="false">$F122*I122</f>
        <v>0</v>
      </c>
      <c r="AE122" s="132" t="n">
        <f aca="false">$F122*J122</f>
        <v>0</v>
      </c>
      <c r="AF122" s="132" t="n">
        <f aca="false">$F122*K122</f>
        <v>0</v>
      </c>
      <c r="AG122" s="132" t="n">
        <f aca="false">$F122*L122</f>
        <v>0</v>
      </c>
      <c r="AH122" s="132" t="n">
        <f aca="false">$F122*M122</f>
        <v>0</v>
      </c>
      <c r="AI122" s="132" t="n">
        <f aca="false">$F122*N122</f>
        <v>0</v>
      </c>
      <c r="AJ122" s="132" t="n">
        <f aca="false">F122*O122</f>
        <v>0</v>
      </c>
      <c r="AK122" s="137"/>
      <c r="AL122" s="132" t="n">
        <f aca="false">CHOOSE($G$3,AC122-AD122,AD122-AC122)</f>
        <v>0</v>
      </c>
      <c r="AM122" s="132" t="n">
        <f aca="false">CHOOSE($G$3,AF122-AG122,AG122-AF122)</f>
        <v>0</v>
      </c>
      <c r="AN122" s="132" t="n">
        <f aca="false">CHOOSE($G$3,AI122-AJ122,AJ122-AI122)</f>
        <v>0</v>
      </c>
      <c r="AO122" s="148" t="n">
        <f aca="false">SUM(AL122:AN122)</f>
        <v>0</v>
      </c>
      <c r="AQ122" s="132" t="n">
        <f aca="false">CHOOSE($G$3,AB122-AC122,AC122-AB122)</f>
        <v>0</v>
      </c>
      <c r="AR122" s="132" t="n">
        <f aca="false">CHOOSE($G$3,AE122-AF122,AF122-AE122)</f>
        <v>0</v>
      </c>
      <c r="AS122" s="132" t="n">
        <f aca="false">CHOOSE($G$3,AH122-AI122,AI122-AH122)</f>
        <v>0</v>
      </c>
      <c r="AT122" s="148" t="n">
        <f aca="false">AQ122+AR122+AS122</f>
        <v>0</v>
      </c>
      <c r="AU122" s="148"/>
      <c r="AV122" s="133" t="n">
        <f aca="false">AT122+AO122</f>
        <v>0</v>
      </c>
      <c r="AX122" s="133" t="n">
        <f aca="false">AJ122+AG122+AD122</f>
        <v>0</v>
      </c>
      <c r="AY122" s="149"/>
      <c r="AZ122" s="76" t="n">
        <f aca="false">R122*E122</f>
        <v>0</v>
      </c>
    </row>
    <row r="123" customFormat="false" ht="12.75" hidden="false" customHeight="false" outlineLevel="0" collapsed="false">
      <c r="A123" s="138" t="n">
        <f aca="false">EDATE(A122,1)</f>
        <v>40422</v>
      </c>
      <c r="B123" s="139" t="n">
        <f aca="false">VLOOKUP($A123,Table2,MATCH(I$3,Curves2,0))</f>
        <v>60900</v>
      </c>
      <c r="C123" s="140"/>
      <c r="D123" s="141" t="n">
        <f aca="false">B123+C123</f>
        <v>60900</v>
      </c>
      <c r="E123" s="126" t="n">
        <f aca="false">IF(Y123=0,0,IF(AND(Y123=1,$H$3=1),D123*T123,IF($H$3=2,D123,"N/A")))</f>
        <v>0</v>
      </c>
      <c r="F123" s="126" t="n">
        <f aca="false">E123*X123</f>
        <v>0</v>
      </c>
      <c r="G123" s="142" t="n">
        <f aca="false">VLOOKUP($A123,Table,MATCH(G$4,Curves,0))</f>
        <v>3.987</v>
      </c>
      <c r="H123" s="143" t="n">
        <f aca="false">G123</f>
        <v>3.987</v>
      </c>
      <c r="I123" s="142" t="n">
        <f aca="false">VLOOKUP($A123,Table1,MATCH(I$3,Curves1,0))</f>
        <v>3.7904</v>
      </c>
      <c r="J123" s="142" t="n">
        <f aca="false">VLOOKUP($A123,Table,MATCH(J$4,Curves,0))</f>
        <v>0.011</v>
      </c>
      <c r="K123" s="143" t="n">
        <f aca="false">J123</f>
        <v>0.011</v>
      </c>
      <c r="L123" s="144" t="n">
        <v>0</v>
      </c>
      <c r="M123" s="142" t="n">
        <f aca="false">VLOOKUP($A123,Table,MATCH(M$4,Curves,0))</f>
        <v>0.015</v>
      </c>
      <c r="N123" s="143" t="n">
        <f aca="false">M123</f>
        <v>0.015</v>
      </c>
      <c r="O123" s="144" t="n">
        <v>0</v>
      </c>
      <c r="P123" s="145"/>
      <c r="Q123" s="144" t="n">
        <f aca="false">M123+J123+G123</f>
        <v>4.013</v>
      </c>
      <c r="R123" s="144" t="n">
        <f aca="false">O123+L123+I123</f>
        <v>3.7904</v>
      </c>
      <c r="S123" s="145"/>
      <c r="T123" s="71" t="n">
        <f aca="false">A124-A123</f>
        <v>30</v>
      </c>
      <c r="U123" s="146" t="n">
        <f aca="false">CHOOSE(F$3,A124+24,A123)</f>
        <v>40476</v>
      </c>
      <c r="V123" s="71" t="n">
        <f aca="false">U123-C$3</f>
        <v>3588</v>
      </c>
      <c r="W123" s="142" t="n">
        <f aca="false">VLOOKUP($A123,Table,MATCH(W$4,Curves,0))</f>
        <v>0.058966861357273</v>
      </c>
      <c r="X123" s="147" t="n">
        <f aca="false">1/(1+CHOOSE(F$3,(W124+($K$3/10000))/2,(W123+($K$3/10000))/2))^(2*V123/365.25)</f>
        <v>0.565027672428997</v>
      </c>
      <c r="Y123" s="71" t="n">
        <f aca="false">IF(AND(mthbeg&lt;=A123,mthend&gt;=A123),1,0)</f>
        <v>0</v>
      </c>
      <c r="Z123" s="71" t="n">
        <f aca="false">T123*Y123</f>
        <v>0</v>
      </c>
      <c r="AB123" s="132" t="n">
        <f aca="false">F123*G123</f>
        <v>0</v>
      </c>
      <c r="AC123" s="132" t="n">
        <f aca="false">$F123*H123</f>
        <v>0</v>
      </c>
      <c r="AD123" s="132" t="n">
        <f aca="false">$F123*I123</f>
        <v>0</v>
      </c>
      <c r="AE123" s="132" t="n">
        <f aca="false">$F123*J123</f>
        <v>0</v>
      </c>
      <c r="AF123" s="132" t="n">
        <f aca="false">$F123*K123</f>
        <v>0</v>
      </c>
      <c r="AG123" s="132" t="n">
        <f aca="false">$F123*L123</f>
        <v>0</v>
      </c>
      <c r="AH123" s="132" t="n">
        <f aca="false">$F123*M123</f>
        <v>0</v>
      </c>
      <c r="AI123" s="132" t="n">
        <f aca="false">$F123*N123</f>
        <v>0</v>
      </c>
      <c r="AJ123" s="132" t="n">
        <f aca="false">F123*O123</f>
        <v>0</v>
      </c>
      <c r="AK123" s="137"/>
      <c r="AL123" s="132" t="n">
        <f aca="false">CHOOSE($G$3,AC123-AD123,AD123-AC123)</f>
        <v>0</v>
      </c>
      <c r="AM123" s="132" t="n">
        <f aca="false">CHOOSE($G$3,AF123-AG123,AG123-AF123)</f>
        <v>0</v>
      </c>
      <c r="AN123" s="132" t="n">
        <f aca="false">CHOOSE($G$3,AI123-AJ123,AJ123-AI123)</f>
        <v>0</v>
      </c>
      <c r="AO123" s="148" t="n">
        <f aca="false">SUM(AL123:AN123)</f>
        <v>0</v>
      </c>
      <c r="AQ123" s="132" t="n">
        <f aca="false">CHOOSE($G$3,AB123-AC123,AC123-AB123)</f>
        <v>0</v>
      </c>
      <c r="AR123" s="132" t="n">
        <f aca="false">CHOOSE($G$3,AE123-AF123,AF123-AE123)</f>
        <v>0</v>
      </c>
      <c r="AS123" s="132" t="n">
        <f aca="false">CHOOSE($G$3,AH123-AI123,AI123-AH123)</f>
        <v>0</v>
      </c>
      <c r="AT123" s="148" t="n">
        <f aca="false">AQ123+AR123+AS123</f>
        <v>0</v>
      </c>
      <c r="AU123" s="148"/>
      <c r="AV123" s="133" t="n">
        <f aca="false">AT123+AO123</f>
        <v>0</v>
      </c>
      <c r="AX123" s="133" t="n">
        <f aca="false">AJ123+AG123+AD123</f>
        <v>0</v>
      </c>
      <c r="AY123" s="149"/>
      <c r="AZ123" s="76" t="n">
        <f aca="false">R123*E123</f>
        <v>0</v>
      </c>
    </row>
    <row r="124" customFormat="false" ht="12.75" hidden="false" customHeight="false" outlineLevel="0" collapsed="false">
      <c r="A124" s="138" t="n">
        <f aca="false">EDATE(A123,1)</f>
        <v>40452</v>
      </c>
      <c r="B124" s="139" t="n">
        <f aca="false">VLOOKUP($A124,Table2,MATCH(I$3,Curves2,0))</f>
        <v>60900</v>
      </c>
      <c r="C124" s="140"/>
      <c r="D124" s="141" t="n">
        <f aca="false">B124+C124</f>
        <v>60900</v>
      </c>
      <c r="E124" s="126" t="n">
        <f aca="false">IF(Y124=0,0,IF(AND(Y124=1,$H$3=1),D124*T124,IF($H$3=2,D124,"N/A")))</f>
        <v>0</v>
      </c>
      <c r="F124" s="126" t="n">
        <f aca="false">E124*X124</f>
        <v>0</v>
      </c>
      <c r="G124" s="142" t="n">
        <f aca="false">VLOOKUP($A124,Table,MATCH(G$4,Curves,0))</f>
        <v>3.987</v>
      </c>
      <c r="H124" s="143" t="n">
        <f aca="false">G124</f>
        <v>3.987</v>
      </c>
      <c r="I124" s="142" t="n">
        <f aca="false">VLOOKUP($A124,Table1,MATCH(I$3,Curves1,0))</f>
        <v>3.7904</v>
      </c>
      <c r="J124" s="142" t="n">
        <f aca="false">VLOOKUP($A124,Table,MATCH(J$4,Curves,0))</f>
        <v>0.011</v>
      </c>
      <c r="K124" s="143" t="n">
        <f aca="false">J124</f>
        <v>0.011</v>
      </c>
      <c r="L124" s="144" t="n">
        <v>0</v>
      </c>
      <c r="M124" s="142" t="n">
        <f aca="false">VLOOKUP($A124,Table,MATCH(M$4,Curves,0))</f>
        <v>0.015</v>
      </c>
      <c r="N124" s="143" t="n">
        <f aca="false">M124</f>
        <v>0.015</v>
      </c>
      <c r="O124" s="144" t="n">
        <v>0</v>
      </c>
      <c r="P124" s="145"/>
      <c r="Q124" s="144" t="n">
        <f aca="false">M124+J124+G124</f>
        <v>4.013</v>
      </c>
      <c r="R124" s="144" t="n">
        <f aca="false">O124+L124+I124</f>
        <v>3.7904</v>
      </c>
      <c r="S124" s="145"/>
      <c r="T124" s="71" t="n">
        <f aca="false">A125-A124</f>
        <v>31</v>
      </c>
      <c r="U124" s="146" t="n">
        <f aca="false">CHOOSE(F$3,A125+24,A124)</f>
        <v>40507</v>
      </c>
      <c r="V124" s="71" t="n">
        <f aca="false">U124-C$3</f>
        <v>3619</v>
      </c>
      <c r="W124" s="142" t="n">
        <f aca="false">VLOOKUP($A124,Table,MATCH(W$4,Curves,0))</f>
        <v>0.058966861357273</v>
      </c>
      <c r="X124" s="147" t="n">
        <f aca="false">1/(1+CHOOSE(F$3,(W125+($K$3/10000))/2,(W124+($K$3/10000))/2))^(2*V124/365.25)</f>
        <v>0.562247615860867</v>
      </c>
      <c r="Y124" s="71" t="n">
        <f aca="false">IF(AND(mthbeg&lt;=A124,mthend&gt;=A124),1,0)</f>
        <v>0</v>
      </c>
      <c r="Z124" s="71" t="n">
        <f aca="false">T124*Y124</f>
        <v>0</v>
      </c>
      <c r="AB124" s="132" t="n">
        <f aca="false">F124*G124</f>
        <v>0</v>
      </c>
      <c r="AC124" s="132" t="n">
        <f aca="false">$F124*H124</f>
        <v>0</v>
      </c>
      <c r="AD124" s="132" t="n">
        <f aca="false">$F124*I124</f>
        <v>0</v>
      </c>
      <c r="AE124" s="132" t="n">
        <f aca="false">$F124*J124</f>
        <v>0</v>
      </c>
      <c r="AF124" s="132" t="n">
        <f aca="false">$F124*K124</f>
        <v>0</v>
      </c>
      <c r="AG124" s="132" t="n">
        <f aca="false">$F124*L124</f>
        <v>0</v>
      </c>
      <c r="AH124" s="132" t="n">
        <f aca="false">$F124*M124</f>
        <v>0</v>
      </c>
      <c r="AI124" s="132" t="n">
        <f aca="false">$F124*N124</f>
        <v>0</v>
      </c>
      <c r="AJ124" s="132" t="n">
        <f aca="false">F124*O124</f>
        <v>0</v>
      </c>
      <c r="AK124" s="137"/>
      <c r="AL124" s="132" t="n">
        <f aca="false">CHOOSE($G$3,AC124-AD124,AD124-AC124)</f>
        <v>0</v>
      </c>
      <c r="AM124" s="132" t="n">
        <f aca="false">CHOOSE($G$3,AF124-AG124,AG124-AF124)</f>
        <v>0</v>
      </c>
      <c r="AN124" s="132" t="n">
        <f aca="false">CHOOSE($G$3,AI124-AJ124,AJ124-AI124)</f>
        <v>0</v>
      </c>
      <c r="AO124" s="148" t="n">
        <f aca="false">SUM(AL124:AN124)</f>
        <v>0</v>
      </c>
      <c r="AQ124" s="132" t="n">
        <f aca="false">CHOOSE($G$3,AB124-AC124,AC124-AB124)</f>
        <v>0</v>
      </c>
      <c r="AR124" s="132" t="n">
        <f aca="false">CHOOSE($G$3,AE124-AF124,AF124-AE124)</f>
        <v>0</v>
      </c>
      <c r="AS124" s="132" t="n">
        <f aca="false">CHOOSE($G$3,AH124-AI124,AI124-AH124)</f>
        <v>0</v>
      </c>
      <c r="AT124" s="148" t="n">
        <f aca="false">AQ124+AR124+AS124</f>
        <v>0</v>
      </c>
      <c r="AU124" s="148"/>
      <c r="AV124" s="133" t="n">
        <f aca="false">AT124+AO124</f>
        <v>0</v>
      </c>
      <c r="AX124" s="133" t="n">
        <f aca="false">AJ124+AG124+AD124</f>
        <v>0</v>
      </c>
      <c r="AY124" s="149"/>
      <c r="AZ124" s="76" t="n">
        <f aca="false">R124*E124</f>
        <v>0</v>
      </c>
    </row>
    <row r="125" customFormat="false" ht="12.75" hidden="false" customHeight="false" outlineLevel="0" collapsed="false">
      <c r="A125" s="138" t="n">
        <f aca="false">EDATE(A124,1)</f>
        <v>40483</v>
      </c>
      <c r="B125" s="139" t="n">
        <f aca="false">VLOOKUP($A125,Table2,MATCH(I$3,Curves2,0))</f>
        <v>60900</v>
      </c>
      <c r="C125" s="140"/>
      <c r="D125" s="141" t="n">
        <f aca="false">B125+C125</f>
        <v>60900</v>
      </c>
      <c r="E125" s="126" t="n">
        <f aca="false">IF(Y125=0,0,IF(AND(Y125=1,$H$3=1),D125*T125,IF($H$3=2,D125,"N/A")))</f>
        <v>0</v>
      </c>
      <c r="F125" s="126" t="n">
        <f aca="false">E125*X125</f>
        <v>0</v>
      </c>
      <c r="G125" s="142" t="n">
        <f aca="false">VLOOKUP($A125,Table,MATCH(G$4,Curves,0))</f>
        <v>3.987</v>
      </c>
      <c r="H125" s="143" t="n">
        <f aca="false">G125</f>
        <v>3.987</v>
      </c>
      <c r="I125" s="142" t="n">
        <f aca="false">VLOOKUP($A125,Table1,MATCH(I$3,Curves1,0))</f>
        <v>3.7904</v>
      </c>
      <c r="J125" s="142" t="n">
        <f aca="false">VLOOKUP($A125,Table,MATCH(J$4,Curves,0))</f>
        <v>0.011</v>
      </c>
      <c r="K125" s="143" t="n">
        <f aca="false">J125</f>
        <v>0.011</v>
      </c>
      <c r="L125" s="144" t="n">
        <v>0</v>
      </c>
      <c r="M125" s="142" t="n">
        <f aca="false">VLOOKUP($A125,Table,MATCH(M$4,Curves,0))</f>
        <v>0.015</v>
      </c>
      <c r="N125" s="143" t="n">
        <f aca="false">M125</f>
        <v>0.015</v>
      </c>
      <c r="O125" s="144" t="n">
        <v>0</v>
      </c>
      <c r="P125" s="145"/>
      <c r="Q125" s="144" t="n">
        <f aca="false">M125+J125+G125</f>
        <v>4.013</v>
      </c>
      <c r="R125" s="144" t="n">
        <f aca="false">O125+L125+I125</f>
        <v>3.7904</v>
      </c>
      <c r="S125" s="145"/>
      <c r="T125" s="71" t="n">
        <f aca="false">A126-A125</f>
        <v>30</v>
      </c>
      <c r="U125" s="146" t="n">
        <f aca="false">CHOOSE(F$3,A126+24,A125)</f>
        <v>40537</v>
      </c>
      <c r="V125" s="71" t="n">
        <f aca="false">U125-C$3</f>
        <v>3649</v>
      </c>
      <c r="W125" s="142" t="n">
        <f aca="false">VLOOKUP($A125,Table,MATCH(W$4,Curves,0))</f>
        <v>0.058966861357273</v>
      </c>
      <c r="X125" s="147" t="n">
        <f aca="false">1/(1+CHOOSE(F$3,(W126+($K$3/10000))/2,(W125+($K$3/10000))/2))^(2*V125/365.25)</f>
        <v>0.55957026295288</v>
      </c>
      <c r="Y125" s="71" t="n">
        <f aca="false">IF(AND(mthbeg&lt;=A125,mthend&gt;=A125),1,0)</f>
        <v>0</v>
      </c>
      <c r="Z125" s="71" t="n">
        <f aca="false">T125*Y125</f>
        <v>0</v>
      </c>
      <c r="AB125" s="132" t="n">
        <f aca="false">F125*G125</f>
        <v>0</v>
      </c>
      <c r="AC125" s="132" t="n">
        <f aca="false">$F125*H125</f>
        <v>0</v>
      </c>
      <c r="AD125" s="132" t="n">
        <f aca="false">$F125*I125</f>
        <v>0</v>
      </c>
      <c r="AE125" s="132" t="n">
        <f aca="false">$F125*J125</f>
        <v>0</v>
      </c>
      <c r="AF125" s="132" t="n">
        <f aca="false">$F125*K125</f>
        <v>0</v>
      </c>
      <c r="AG125" s="132" t="n">
        <f aca="false">$F125*L125</f>
        <v>0</v>
      </c>
      <c r="AH125" s="132" t="n">
        <f aca="false">$F125*M125</f>
        <v>0</v>
      </c>
      <c r="AI125" s="132" t="n">
        <f aca="false">$F125*N125</f>
        <v>0</v>
      </c>
      <c r="AJ125" s="132" t="n">
        <f aca="false">F125*O125</f>
        <v>0</v>
      </c>
      <c r="AK125" s="137"/>
      <c r="AL125" s="132" t="n">
        <f aca="false">CHOOSE($G$3,AC125-AD125,AD125-AC125)</f>
        <v>0</v>
      </c>
      <c r="AM125" s="132" t="n">
        <f aca="false">CHOOSE($G$3,AF125-AG125,AG125-AF125)</f>
        <v>0</v>
      </c>
      <c r="AN125" s="132" t="n">
        <f aca="false">CHOOSE($G$3,AI125-AJ125,AJ125-AI125)</f>
        <v>0</v>
      </c>
      <c r="AO125" s="148" t="n">
        <f aca="false">SUM(AL125:AN125)</f>
        <v>0</v>
      </c>
      <c r="AQ125" s="132" t="n">
        <f aca="false">CHOOSE($G$3,AB125-AC125,AC125-AB125)</f>
        <v>0</v>
      </c>
      <c r="AR125" s="132" t="n">
        <f aca="false">CHOOSE($G$3,AE125-AF125,AF125-AE125)</f>
        <v>0</v>
      </c>
      <c r="AS125" s="132" t="n">
        <f aca="false">CHOOSE($G$3,AH125-AI125,AI125-AH125)</f>
        <v>0</v>
      </c>
      <c r="AT125" s="148" t="n">
        <f aca="false">AQ125+AR125+AS125</f>
        <v>0</v>
      </c>
      <c r="AU125" s="148"/>
      <c r="AV125" s="133" t="n">
        <f aca="false">AT125+AO125</f>
        <v>0</v>
      </c>
      <c r="AX125" s="133" t="n">
        <f aca="false">AJ125+AG125+AD125</f>
        <v>0</v>
      </c>
      <c r="AY125" s="149"/>
      <c r="AZ125" s="76" t="n">
        <f aca="false">R125*E125</f>
        <v>0</v>
      </c>
    </row>
    <row r="126" customFormat="false" ht="12.75" hidden="false" customHeight="false" outlineLevel="0" collapsed="false">
      <c r="A126" s="138" t="n">
        <f aca="false">EDATE(A125,1)</f>
        <v>40513</v>
      </c>
      <c r="B126" s="139" t="n">
        <f aca="false">VLOOKUP($A126,Table2,MATCH(I$3,Curves2,0))</f>
        <v>60900</v>
      </c>
      <c r="C126" s="140"/>
      <c r="D126" s="141" t="n">
        <f aca="false">B126+C126</f>
        <v>60900</v>
      </c>
      <c r="E126" s="126" t="n">
        <f aca="false">IF(Y126=0,0,IF(AND(Y126=1,$H$3=1),D126*T126,IF($H$3=2,D126,"N/A")))</f>
        <v>0</v>
      </c>
      <c r="F126" s="126" t="n">
        <f aca="false">E126*X126</f>
        <v>0</v>
      </c>
      <c r="G126" s="142" t="n">
        <f aca="false">VLOOKUP($A126,Table,MATCH(G$4,Curves,0))</f>
        <v>3.987</v>
      </c>
      <c r="H126" s="143" t="n">
        <f aca="false">G126</f>
        <v>3.987</v>
      </c>
      <c r="I126" s="142" t="n">
        <f aca="false">VLOOKUP($A126,Table1,MATCH(I$3,Curves1,0))</f>
        <v>3.7904</v>
      </c>
      <c r="J126" s="142" t="n">
        <f aca="false">VLOOKUP($A126,Table,MATCH(J$4,Curves,0))</f>
        <v>0.011</v>
      </c>
      <c r="K126" s="143" t="n">
        <f aca="false">J126</f>
        <v>0.011</v>
      </c>
      <c r="L126" s="144" t="n">
        <v>0</v>
      </c>
      <c r="M126" s="142" t="n">
        <f aca="false">VLOOKUP($A126,Table,MATCH(M$4,Curves,0))</f>
        <v>0.015</v>
      </c>
      <c r="N126" s="143" t="n">
        <f aca="false">M126</f>
        <v>0.015</v>
      </c>
      <c r="O126" s="144" t="n">
        <v>0</v>
      </c>
      <c r="P126" s="145"/>
      <c r="Q126" s="144" t="n">
        <f aca="false">M126+J126+G126</f>
        <v>4.013</v>
      </c>
      <c r="R126" s="144" t="n">
        <f aca="false">O126+L126+I126</f>
        <v>3.7904</v>
      </c>
      <c r="S126" s="145"/>
      <c r="T126" s="71" t="n">
        <f aca="false">A127-A126</f>
        <v>31</v>
      </c>
      <c r="U126" s="146" t="n">
        <f aca="false">CHOOSE(F$3,A127+24,A126)</f>
        <v>40568</v>
      </c>
      <c r="V126" s="71" t="n">
        <f aca="false">U126-C$3</f>
        <v>3680</v>
      </c>
      <c r="W126" s="142" t="n">
        <f aca="false">VLOOKUP($A126,Table,MATCH(W$4,Curves,0))</f>
        <v>0.058966861357273</v>
      </c>
      <c r="X126" s="147" t="n">
        <f aca="false">1/(1+CHOOSE(F$3,(W127+($K$3/10000))/2,(W126+($K$3/10000))/2))^(2*V126/365.25)</f>
        <v>0.556817058002466</v>
      </c>
      <c r="Y126" s="71" t="n">
        <f aca="false">IF(AND(mthbeg&lt;=A126,mthend&gt;=A126),1,0)</f>
        <v>0</v>
      </c>
      <c r="Z126" s="71" t="n">
        <f aca="false">T126*Y126</f>
        <v>0</v>
      </c>
      <c r="AB126" s="132" t="n">
        <f aca="false">F126*G126</f>
        <v>0</v>
      </c>
      <c r="AC126" s="132" t="n">
        <f aca="false">$F126*H126</f>
        <v>0</v>
      </c>
      <c r="AD126" s="132" t="n">
        <f aca="false">$F126*I126</f>
        <v>0</v>
      </c>
      <c r="AE126" s="132" t="n">
        <f aca="false">$F126*J126</f>
        <v>0</v>
      </c>
      <c r="AF126" s="132" t="n">
        <f aca="false">$F126*K126</f>
        <v>0</v>
      </c>
      <c r="AG126" s="132" t="n">
        <f aca="false">$F126*L126</f>
        <v>0</v>
      </c>
      <c r="AH126" s="132" t="n">
        <f aca="false">$F126*M126</f>
        <v>0</v>
      </c>
      <c r="AI126" s="132" t="n">
        <f aca="false">$F126*N126</f>
        <v>0</v>
      </c>
      <c r="AJ126" s="132" t="n">
        <f aca="false">F126*O126</f>
        <v>0</v>
      </c>
      <c r="AK126" s="137"/>
      <c r="AL126" s="132" t="n">
        <f aca="false">CHOOSE($G$3,AC126-AD126,AD126-AC126)</f>
        <v>0</v>
      </c>
      <c r="AM126" s="132" t="n">
        <f aca="false">CHOOSE($G$3,AF126-AG126,AG126-AF126)</f>
        <v>0</v>
      </c>
      <c r="AN126" s="132" t="n">
        <f aca="false">CHOOSE($G$3,AI126-AJ126,AJ126-AI126)</f>
        <v>0</v>
      </c>
      <c r="AO126" s="148" t="n">
        <f aca="false">SUM(AL126:AN126)</f>
        <v>0</v>
      </c>
      <c r="AQ126" s="132" t="n">
        <f aca="false">CHOOSE($G$3,AB126-AC126,AC126-AB126)</f>
        <v>0</v>
      </c>
      <c r="AR126" s="132" t="n">
        <f aca="false">CHOOSE($G$3,AE126-AF126,AF126-AE126)</f>
        <v>0</v>
      </c>
      <c r="AS126" s="132" t="n">
        <f aca="false">CHOOSE($G$3,AH126-AI126,AI126-AH126)</f>
        <v>0</v>
      </c>
      <c r="AT126" s="148" t="n">
        <f aca="false">AQ126+AR126+AS126</f>
        <v>0</v>
      </c>
      <c r="AU126" s="148"/>
      <c r="AV126" s="133" t="n">
        <f aca="false">AT126+AO126</f>
        <v>0</v>
      </c>
      <c r="AX126" s="133" t="n">
        <f aca="false">AJ126+AG126+AD126</f>
        <v>0</v>
      </c>
      <c r="AY126" s="149"/>
      <c r="AZ126" s="76" t="n">
        <f aca="false">R126*E126</f>
        <v>0</v>
      </c>
    </row>
    <row r="127" customFormat="false" ht="12.75" hidden="false" customHeight="false" outlineLevel="0" collapsed="false">
      <c r="A127" s="138" t="n">
        <f aca="false">EDATE(A126,1)</f>
        <v>40544</v>
      </c>
      <c r="B127" s="139" t="n">
        <f aca="false">VLOOKUP($A127,Table2,MATCH(I$3,Curves2,0))</f>
        <v>60900</v>
      </c>
      <c r="C127" s="140"/>
      <c r="D127" s="141" t="n">
        <f aca="false">B127+C127</f>
        <v>60900</v>
      </c>
      <c r="E127" s="126" t="n">
        <f aca="false">IF(Y127=0,0,IF(AND(Y127=1,$H$3=1),D127*T127,IF($H$3=2,D127,"N/A")))</f>
        <v>0</v>
      </c>
      <c r="F127" s="126" t="n">
        <f aca="false">E127*X127</f>
        <v>0</v>
      </c>
      <c r="G127" s="142" t="n">
        <f aca="false">VLOOKUP($A127,Table,MATCH(G$4,Curves,0))</f>
        <v>3.987</v>
      </c>
      <c r="H127" s="143" t="n">
        <f aca="false">G127</f>
        <v>3.987</v>
      </c>
      <c r="I127" s="142" t="n">
        <f aca="false">VLOOKUP($A127,Table1,MATCH(I$3,Curves1,0))</f>
        <v>3.7904</v>
      </c>
      <c r="J127" s="142" t="n">
        <f aca="false">VLOOKUP($A127,Table,MATCH(J$4,Curves,0))</f>
        <v>0.011</v>
      </c>
      <c r="K127" s="143" t="n">
        <f aca="false">J127</f>
        <v>0.011</v>
      </c>
      <c r="L127" s="144" t="n">
        <v>0</v>
      </c>
      <c r="M127" s="142" t="n">
        <f aca="false">VLOOKUP($A127,Table,MATCH(M$4,Curves,0))</f>
        <v>0.015</v>
      </c>
      <c r="N127" s="143" t="n">
        <f aca="false">M127</f>
        <v>0.015</v>
      </c>
      <c r="O127" s="144" t="n">
        <v>0</v>
      </c>
      <c r="P127" s="145"/>
      <c r="Q127" s="144" t="n">
        <f aca="false">M127+J127+G127</f>
        <v>4.013</v>
      </c>
      <c r="R127" s="144" t="n">
        <f aca="false">O127+L127+I127</f>
        <v>3.7904</v>
      </c>
      <c r="S127" s="145"/>
      <c r="T127" s="71" t="n">
        <f aca="false">A128-A127</f>
        <v>31</v>
      </c>
      <c r="U127" s="146" t="n">
        <f aca="false">CHOOSE(F$3,A128+24,A127)</f>
        <v>40599</v>
      </c>
      <c r="V127" s="71" t="n">
        <f aca="false">U127-C$3</f>
        <v>3711</v>
      </c>
      <c r="W127" s="142" t="n">
        <f aca="false">VLOOKUP($A127,Table,MATCH(W$4,Curves,0))</f>
        <v>0.058966861357273</v>
      </c>
      <c r="X127" s="147" t="n">
        <f aca="false">1/(1+CHOOSE(F$3,(W128+($K$3/10000))/2,(W127+($K$3/10000))/2))^(2*V127/365.25)</f>
        <v>0.554077399407176</v>
      </c>
      <c r="Y127" s="71" t="n">
        <f aca="false">IF(AND(mthbeg&lt;=A127,mthend&gt;=A127),1,0)</f>
        <v>0</v>
      </c>
      <c r="Z127" s="71" t="n">
        <f aca="false">T127*Y127</f>
        <v>0</v>
      </c>
      <c r="AB127" s="132" t="n">
        <f aca="false">F127*G127</f>
        <v>0</v>
      </c>
      <c r="AC127" s="132" t="n">
        <f aca="false">$F127*H127</f>
        <v>0</v>
      </c>
      <c r="AD127" s="132" t="n">
        <f aca="false">$F127*I127</f>
        <v>0</v>
      </c>
      <c r="AE127" s="132" t="n">
        <f aca="false">$F127*J127</f>
        <v>0</v>
      </c>
      <c r="AF127" s="132" t="n">
        <f aca="false">$F127*K127</f>
        <v>0</v>
      </c>
      <c r="AG127" s="132" t="n">
        <f aca="false">$F127*L127</f>
        <v>0</v>
      </c>
      <c r="AH127" s="132" t="n">
        <f aca="false">$F127*M127</f>
        <v>0</v>
      </c>
      <c r="AI127" s="132" t="n">
        <f aca="false">$F127*N127</f>
        <v>0</v>
      </c>
      <c r="AJ127" s="132" t="n">
        <f aca="false">F127*O127</f>
        <v>0</v>
      </c>
      <c r="AK127" s="137"/>
      <c r="AL127" s="132" t="n">
        <f aca="false">CHOOSE($G$3,AC127-AD127,AD127-AC127)</f>
        <v>0</v>
      </c>
      <c r="AM127" s="132" t="n">
        <f aca="false">CHOOSE($G$3,AF127-AG127,AG127-AF127)</f>
        <v>0</v>
      </c>
      <c r="AN127" s="132" t="n">
        <f aca="false">CHOOSE($G$3,AI127-AJ127,AJ127-AI127)</f>
        <v>0</v>
      </c>
      <c r="AO127" s="148" t="n">
        <f aca="false">SUM(AL127:AN127)</f>
        <v>0</v>
      </c>
      <c r="AQ127" s="132" t="n">
        <f aca="false">CHOOSE($G$3,AB127-AC127,AC127-AB127)</f>
        <v>0</v>
      </c>
      <c r="AR127" s="132" t="n">
        <f aca="false">CHOOSE($G$3,AE127-AF127,AF127-AE127)</f>
        <v>0</v>
      </c>
      <c r="AS127" s="132" t="n">
        <f aca="false">CHOOSE($G$3,AH127-AI127,AI127-AH127)</f>
        <v>0</v>
      </c>
      <c r="AT127" s="148" t="n">
        <f aca="false">AQ127+AR127+AS127</f>
        <v>0</v>
      </c>
      <c r="AU127" s="148"/>
      <c r="AV127" s="133" t="n">
        <f aca="false">AT127+AO127</f>
        <v>0</v>
      </c>
      <c r="AX127" s="133" t="n">
        <f aca="false">AJ127+AG127+AD127</f>
        <v>0</v>
      </c>
      <c r="AY127" s="149"/>
      <c r="AZ127" s="76" t="n">
        <f aca="false">R127*E127</f>
        <v>0</v>
      </c>
    </row>
    <row r="128" customFormat="false" ht="12.75" hidden="false" customHeight="false" outlineLevel="0" collapsed="false">
      <c r="A128" s="138" t="n">
        <f aca="false">EDATE(A127,1)</f>
        <v>40575</v>
      </c>
      <c r="B128" s="139" t="n">
        <f aca="false">VLOOKUP($A128,Table2,MATCH(I$3,Curves2,0))</f>
        <v>60900</v>
      </c>
      <c r="C128" s="140"/>
      <c r="D128" s="141" t="n">
        <f aca="false">B128+C128</f>
        <v>60900</v>
      </c>
      <c r="E128" s="126" t="n">
        <f aca="false">IF(Y128=0,0,IF(AND(Y128=1,$H$3=1),D128*T128,IF($H$3=2,D128,"N/A")))</f>
        <v>0</v>
      </c>
      <c r="F128" s="126" t="n">
        <f aca="false">E128*X128</f>
        <v>0</v>
      </c>
      <c r="G128" s="142" t="n">
        <f aca="false">VLOOKUP($A128,Table,MATCH(G$4,Curves,0))</f>
        <v>3.987</v>
      </c>
      <c r="H128" s="143" t="n">
        <f aca="false">G128</f>
        <v>3.987</v>
      </c>
      <c r="I128" s="142" t="n">
        <f aca="false">VLOOKUP($A128,Table1,MATCH(I$3,Curves1,0))</f>
        <v>3.7904</v>
      </c>
      <c r="J128" s="142" t="n">
        <f aca="false">VLOOKUP($A128,Table,MATCH(J$4,Curves,0))</f>
        <v>0.011</v>
      </c>
      <c r="K128" s="143" t="n">
        <f aca="false">J128</f>
        <v>0.011</v>
      </c>
      <c r="L128" s="144" t="n">
        <v>0</v>
      </c>
      <c r="M128" s="142" t="n">
        <f aca="false">VLOOKUP($A128,Table,MATCH(M$4,Curves,0))</f>
        <v>0.015</v>
      </c>
      <c r="N128" s="143" t="n">
        <f aca="false">M128</f>
        <v>0.015</v>
      </c>
      <c r="O128" s="144" t="n">
        <v>0</v>
      </c>
      <c r="P128" s="145"/>
      <c r="Q128" s="144" t="n">
        <f aca="false">M128+J128+G128</f>
        <v>4.013</v>
      </c>
      <c r="R128" s="144" t="n">
        <f aca="false">O128+L128+I128</f>
        <v>3.7904</v>
      </c>
      <c r="S128" s="145"/>
      <c r="T128" s="71" t="n">
        <f aca="false">A129-A128</f>
        <v>28</v>
      </c>
      <c r="U128" s="146" t="n">
        <f aca="false">CHOOSE(F$3,A129+24,A128)</f>
        <v>40627</v>
      </c>
      <c r="V128" s="71" t="n">
        <f aca="false">U128-C$3</f>
        <v>3739</v>
      </c>
      <c r="W128" s="142" t="n">
        <f aca="false">VLOOKUP($A128,Table,MATCH(W$4,Curves,0))</f>
        <v>0.058966861357273</v>
      </c>
      <c r="X128" s="147" t="n">
        <f aca="false">1/(1+CHOOSE(F$3,(W129+($K$3/10000))/2,(W128+($K$3/10000))/2))^(2*V128/365.25)</f>
        <v>0.551614456997717</v>
      </c>
      <c r="Y128" s="71" t="n">
        <f aca="false">IF(AND(mthbeg&lt;=A128,mthend&gt;=A128),1,0)</f>
        <v>0</v>
      </c>
      <c r="Z128" s="71" t="n">
        <f aca="false">T128*Y128</f>
        <v>0</v>
      </c>
      <c r="AB128" s="132" t="n">
        <f aca="false">F128*G128</f>
        <v>0</v>
      </c>
      <c r="AC128" s="132" t="n">
        <f aca="false">$F128*H128</f>
        <v>0</v>
      </c>
      <c r="AD128" s="132" t="n">
        <f aca="false">$F128*I128</f>
        <v>0</v>
      </c>
      <c r="AE128" s="132" t="n">
        <f aca="false">$F128*J128</f>
        <v>0</v>
      </c>
      <c r="AF128" s="132" t="n">
        <f aca="false">$F128*K128</f>
        <v>0</v>
      </c>
      <c r="AG128" s="132" t="n">
        <f aca="false">$F128*L128</f>
        <v>0</v>
      </c>
      <c r="AH128" s="132" t="n">
        <f aca="false">$F128*M128</f>
        <v>0</v>
      </c>
      <c r="AI128" s="132" t="n">
        <f aca="false">$F128*N128</f>
        <v>0</v>
      </c>
      <c r="AJ128" s="132" t="n">
        <f aca="false">F128*O128</f>
        <v>0</v>
      </c>
      <c r="AK128" s="137"/>
      <c r="AL128" s="132" t="n">
        <f aca="false">CHOOSE($G$3,AC128-AD128,AD128-AC128)</f>
        <v>0</v>
      </c>
      <c r="AM128" s="132" t="n">
        <f aca="false">CHOOSE($G$3,AF128-AG128,AG128-AF128)</f>
        <v>0</v>
      </c>
      <c r="AN128" s="132" t="n">
        <f aca="false">CHOOSE($G$3,AI128-AJ128,AJ128-AI128)</f>
        <v>0</v>
      </c>
      <c r="AO128" s="148" t="n">
        <f aca="false">SUM(AL128:AN128)</f>
        <v>0</v>
      </c>
      <c r="AQ128" s="132" t="n">
        <f aca="false">CHOOSE($G$3,AB128-AC128,AC128-AB128)</f>
        <v>0</v>
      </c>
      <c r="AR128" s="132" t="n">
        <f aca="false">CHOOSE($G$3,AE128-AF128,AF128-AE128)</f>
        <v>0</v>
      </c>
      <c r="AS128" s="132" t="n">
        <f aca="false">CHOOSE($G$3,AH128-AI128,AI128-AH128)</f>
        <v>0</v>
      </c>
      <c r="AT128" s="148" t="n">
        <f aca="false">AQ128+AR128+AS128</f>
        <v>0</v>
      </c>
      <c r="AU128" s="148"/>
      <c r="AV128" s="133" t="n">
        <f aca="false">AT128+AO128</f>
        <v>0</v>
      </c>
      <c r="AX128" s="133" t="n">
        <f aca="false">AJ128+AG128+AD128</f>
        <v>0</v>
      </c>
      <c r="AY128" s="149"/>
      <c r="AZ128" s="76" t="n">
        <f aca="false">R128*E128</f>
        <v>0</v>
      </c>
    </row>
    <row r="129" customFormat="false" ht="12.75" hidden="false" customHeight="false" outlineLevel="0" collapsed="false">
      <c r="A129" s="138" t="n">
        <f aca="false">EDATE(A128,1)</f>
        <v>40603</v>
      </c>
      <c r="B129" s="139" t="n">
        <f aca="false">VLOOKUP($A129,Table2,MATCH(I$3,Curves2,0))</f>
        <v>60900</v>
      </c>
      <c r="C129" s="140"/>
      <c r="D129" s="141" t="n">
        <f aca="false">B129+C129</f>
        <v>60900</v>
      </c>
      <c r="E129" s="126" t="n">
        <f aca="false">IF(Y129=0,0,IF(AND(Y129=1,$H$3=1),D129*T129,IF($H$3=2,D129,"N/A")))</f>
        <v>0</v>
      </c>
      <c r="F129" s="126" t="n">
        <f aca="false">E129*X129</f>
        <v>0</v>
      </c>
      <c r="G129" s="142" t="n">
        <f aca="false">VLOOKUP($A129,Table,MATCH(G$4,Curves,0))</f>
        <v>3.987</v>
      </c>
      <c r="H129" s="143" t="n">
        <f aca="false">G129</f>
        <v>3.987</v>
      </c>
      <c r="I129" s="142" t="n">
        <f aca="false">VLOOKUP($A129,Table1,MATCH(I$3,Curves1,0))</f>
        <v>3.7904</v>
      </c>
      <c r="J129" s="142" t="n">
        <f aca="false">VLOOKUP($A129,Table,MATCH(J$4,Curves,0))</f>
        <v>0.011</v>
      </c>
      <c r="K129" s="143" t="n">
        <f aca="false">J129</f>
        <v>0.011</v>
      </c>
      <c r="L129" s="144" t="n">
        <v>0</v>
      </c>
      <c r="M129" s="142" t="n">
        <f aca="false">VLOOKUP($A129,Table,MATCH(M$4,Curves,0))</f>
        <v>0.015</v>
      </c>
      <c r="N129" s="143" t="n">
        <f aca="false">M129</f>
        <v>0.015</v>
      </c>
      <c r="O129" s="144" t="n">
        <v>0</v>
      </c>
      <c r="P129" s="145"/>
      <c r="Q129" s="144" t="n">
        <f aca="false">M129+J129+G129</f>
        <v>4.013</v>
      </c>
      <c r="R129" s="144" t="n">
        <f aca="false">O129+L129+I129</f>
        <v>3.7904</v>
      </c>
      <c r="S129" s="145"/>
      <c r="T129" s="71" t="n">
        <f aca="false">A130-A129</f>
        <v>31</v>
      </c>
      <c r="U129" s="146" t="n">
        <f aca="false">CHOOSE(F$3,A130+24,A129)</f>
        <v>40658</v>
      </c>
      <c r="V129" s="71" t="n">
        <f aca="false">U129-C$3</f>
        <v>3770</v>
      </c>
      <c r="W129" s="142" t="n">
        <f aca="false">VLOOKUP($A129,Table,MATCH(W$4,Curves,0))</f>
        <v>0.058966861357273</v>
      </c>
      <c r="X129" s="147" t="n">
        <f aca="false">1/(1+CHOOSE(F$3,(W130+($K$3/10000))/2,(W129+($K$3/10000))/2))^(2*V129/365.25)</f>
        <v>0.548900396308159</v>
      </c>
      <c r="Y129" s="71" t="n">
        <f aca="false">IF(AND(mthbeg&lt;=A129,mthend&gt;=A129),1,0)</f>
        <v>0</v>
      </c>
      <c r="Z129" s="71" t="n">
        <f aca="false">T129*Y129</f>
        <v>0</v>
      </c>
      <c r="AB129" s="132" t="n">
        <f aca="false">F129*G129</f>
        <v>0</v>
      </c>
      <c r="AC129" s="132" t="n">
        <f aca="false">$F129*H129</f>
        <v>0</v>
      </c>
      <c r="AD129" s="132" t="n">
        <f aca="false">$F129*I129</f>
        <v>0</v>
      </c>
      <c r="AE129" s="132" t="n">
        <f aca="false">$F129*J129</f>
        <v>0</v>
      </c>
      <c r="AF129" s="132" t="n">
        <f aca="false">$F129*K129</f>
        <v>0</v>
      </c>
      <c r="AG129" s="132" t="n">
        <f aca="false">$F129*L129</f>
        <v>0</v>
      </c>
      <c r="AH129" s="132" t="n">
        <f aca="false">$F129*M129</f>
        <v>0</v>
      </c>
      <c r="AI129" s="132" t="n">
        <f aca="false">$F129*N129</f>
        <v>0</v>
      </c>
      <c r="AJ129" s="132" t="n">
        <f aca="false">F129*O129</f>
        <v>0</v>
      </c>
      <c r="AK129" s="137"/>
      <c r="AL129" s="132" t="n">
        <f aca="false">CHOOSE($G$3,AC129-AD129,AD129-AC129)</f>
        <v>0</v>
      </c>
      <c r="AM129" s="132" t="n">
        <f aca="false">CHOOSE($G$3,AF129-AG129,AG129-AF129)</f>
        <v>0</v>
      </c>
      <c r="AN129" s="132" t="n">
        <f aca="false">CHOOSE($G$3,AI129-AJ129,AJ129-AI129)</f>
        <v>0</v>
      </c>
      <c r="AO129" s="148" t="n">
        <f aca="false">SUM(AL129:AN129)</f>
        <v>0</v>
      </c>
      <c r="AQ129" s="132" t="n">
        <f aca="false">CHOOSE($G$3,AB129-AC129,AC129-AB129)</f>
        <v>0</v>
      </c>
      <c r="AR129" s="132" t="n">
        <f aca="false">CHOOSE($G$3,AE129-AF129,AF129-AE129)</f>
        <v>0</v>
      </c>
      <c r="AS129" s="132" t="n">
        <f aca="false">CHOOSE($G$3,AH129-AI129,AI129-AH129)</f>
        <v>0</v>
      </c>
      <c r="AT129" s="148" t="n">
        <f aca="false">AQ129+AR129+AS129</f>
        <v>0</v>
      </c>
      <c r="AU129" s="148"/>
      <c r="AV129" s="133" t="n">
        <f aca="false">AT129+AO129</f>
        <v>0</v>
      </c>
      <c r="AX129" s="133" t="n">
        <f aca="false">AJ129+AG129+AD129</f>
        <v>0</v>
      </c>
      <c r="AY129" s="149"/>
      <c r="AZ129" s="76" t="n">
        <f aca="false">R129*E129</f>
        <v>0</v>
      </c>
    </row>
    <row r="130" customFormat="false" ht="12.75" hidden="false" customHeight="false" outlineLevel="0" collapsed="false">
      <c r="A130" s="138" t="n">
        <f aca="false">EDATE(A129,1)</f>
        <v>40634</v>
      </c>
      <c r="B130" s="139" t="n">
        <f aca="false">VLOOKUP($A130,Table2,MATCH(I$3,Curves2,0))</f>
        <v>60900</v>
      </c>
      <c r="C130" s="140"/>
      <c r="D130" s="141" t="n">
        <f aca="false">B130+C130</f>
        <v>60900</v>
      </c>
      <c r="E130" s="126" t="n">
        <f aca="false">IF(Y130=0,0,IF(AND(Y130=1,$H$3=1),D130*T130,IF($H$3=2,D130,"N/A")))</f>
        <v>0</v>
      </c>
      <c r="F130" s="126" t="n">
        <f aca="false">E130*X130</f>
        <v>0</v>
      </c>
      <c r="G130" s="142" t="n">
        <f aca="false">VLOOKUP($A130,Table,MATCH(G$4,Curves,0))</f>
        <v>3.987</v>
      </c>
      <c r="H130" s="143" t="n">
        <f aca="false">G130</f>
        <v>3.987</v>
      </c>
      <c r="I130" s="142" t="n">
        <f aca="false">VLOOKUP($A130,Table1,MATCH(I$3,Curves1,0))</f>
        <v>3.7904</v>
      </c>
      <c r="J130" s="142" t="n">
        <f aca="false">VLOOKUP($A130,Table,MATCH(J$4,Curves,0))</f>
        <v>0.011</v>
      </c>
      <c r="K130" s="143" t="n">
        <f aca="false">J130</f>
        <v>0.011</v>
      </c>
      <c r="L130" s="144" t="n">
        <v>0</v>
      </c>
      <c r="M130" s="142" t="n">
        <f aca="false">VLOOKUP($A130,Table,MATCH(M$4,Curves,0))</f>
        <v>0.015</v>
      </c>
      <c r="N130" s="143" t="n">
        <f aca="false">M130</f>
        <v>0.015</v>
      </c>
      <c r="O130" s="144" t="n">
        <v>0</v>
      </c>
      <c r="P130" s="145"/>
      <c r="Q130" s="144" t="n">
        <f aca="false">M130+J130+G130</f>
        <v>4.013</v>
      </c>
      <c r="R130" s="144" t="n">
        <f aca="false">O130+L130+I130</f>
        <v>3.7904</v>
      </c>
      <c r="S130" s="145"/>
      <c r="T130" s="71" t="n">
        <f aca="false">A131-A130</f>
        <v>30</v>
      </c>
      <c r="U130" s="146" t="n">
        <f aca="false">CHOOSE(F$3,A131+24,A130)</f>
        <v>40688</v>
      </c>
      <c r="V130" s="71" t="n">
        <f aca="false">U130-C$3</f>
        <v>3800</v>
      </c>
      <c r="W130" s="142" t="n">
        <f aca="false">VLOOKUP($A130,Table,MATCH(W$4,Curves,0))</f>
        <v>0.058966861357273</v>
      </c>
      <c r="X130" s="147" t="n">
        <f aca="false">1/(1+CHOOSE(F$3,(W131+($K$3/10000))/2,(W130+($K$3/10000))/2))^(2*V130/365.25)</f>
        <v>0.546286601192281</v>
      </c>
      <c r="Y130" s="71" t="n">
        <f aca="false">IF(AND(mthbeg&lt;=A130,mthend&gt;=A130),1,0)</f>
        <v>0</v>
      </c>
      <c r="Z130" s="71" t="n">
        <f aca="false">T130*Y130</f>
        <v>0</v>
      </c>
      <c r="AB130" s="132" t="n">
        <f aca="false">F130*G130</f>
        <v>0</v>
      </c>
      <c r="AC130" s="132" t="n">
        <f aca="false">$F130*H130</f>
        <v>0</v>
      </c>
      <c r="AD130" s="132" t="n">
        <f aca="false">$F130*I130</f>
        <v>0</v>
      </c>
      <c r="AE130" s="132" t="n">
        <f aca="false">$F130*J130</f>
        <v>0</v>
      </c>
      <c r="AF130" s="132" t="n">
        <f aca="false">$F130*K130</f>
        <v>0</v>
      </c>
      <c r="AG130" s="132" t="n">
        <f aca="false">$F130*L130</f>
        <v>0</v>
      </c>
      <c r="AH130" s="132" t="n">
        <f aca="false">$F130*M130</f>
        <v>0</v>
      </c>
      <c r="AI130" s="132" t="n">
        <f aca="false">$F130*N130</f>
        <v>0</v>
      </c>
      <c r="AJ130" s="132" t="n">
        <f aca="false">F130*O130</f>
        <v>0</v>
      </c>
      <c r="AK130" s="137"/>
      <c r="AL130" s="132" t="n">
        <f aca="false">CHOOSE($G$3,AC130-AD130,AD130-AC130)</f>
        <v>0</v>
      </c>
      <c r="AM130" s="132" t="n">
        <f aca="false">CHOOSE($G$3,AF130-AG130,AG130-AF130)</f>
        <v>0</v>
      </c>
      <c r="AN130" s="132" t="n">
        <f aca="false">CHOOSE($G$3,AI130-AJ130,AJ130-AI130)</f>
        <v>0</v>
      </c>
      <c r="AO130" s="148" t="n">
        <f aca="false">SUM(AL130:AN130)</f>
        <v>0</v>
      </c>
      <c r="AQ130" s="132" t="n">
        <f aca="false">CHOOSE($G$3,AB130-AC130,AC130-AB130)</f>
        <v>0</v>
      </c>
      <c r="AR130" s="132" t="n">
        <f aca="false">CHOOSE($G$3,AE130-AF130,AF130-AE130)</f>
        <v>0</v>
      </c>
      <c r="AS130" s="132" t="n">
        <f aca="false">CHOOSE($G$3,AH130-AI130,AI130-AH130)</f>
        <v>0</v>
      </c>
      <c r="AT130" s="148" t="n">
        <f aca="false">AQ130+AR130+AS130</f>
        <v>0</v>
      </c>
      <c r="AU130" s="148"/>
      <c r="AV130" s="133" t="n">
        <f aca="false">AT130+AO130</f>
        <v>0</v>
      </c>
      <c r="AX130" s="133" t="n">
        <f aca="false">AJ130+AG130+AD130</f>
        <v>0</v>
      </c>
      <c r="AY130" s="149"/>
      <c r="AZ130" s="76" t="n">
        <f aca="false">R130*E130</f>
        <v>0</v>
      </c>
    </row>
    <row r="131" customFormat="false" ht="12.75" hidden="false" customHeight="false" outlineLevel="0" collapsed="false">
      <c r="A131" s="138" t="n">
        <f aca="false">EDATE(A130,1)</f>
        <v>40664</v>
      </c>
      <c r="B131" s="139" t="n">
        <f aca="false">VLOOKUP($A131,Table2,MATCH(I$3,Curves2,0))</f>
        <v>60900</v>
      </c>
      <c r="C131" s="140"/>
      <c r="D131" s="141" t="n">
        <f aca="false">B131+C131</f>
        <v>60900</v>
      </c>
      <c r="E131" s="126" t="n">
        <f aca="false">IF(Y131=0,0,IF(AND(Y131=1,$H$3=1),D131*T131,IF($H$3=2,D131,"N/A")))</f>
        <v>0</v>
      </c>
      <c r="F131" s="126" t="n">
        <f aca="false">E131*X131</f>
        <v>0</v>
      </c>
      <c r="G131" s="142" t="n">
        <f aca="false">VLOOKUP($A131,Table,MATCH(G$4,Curves,0))</f>
        <v>3.987</v>
      </c>
      <c r="H131" s="143" t="n">
        <f aca="false">G131</f>
        <v>3.987</v>
      </c>
      <c r="I131" s="142" t="n">
        <f aca="false">VLOOKUP($A131,Table1,MATCH(I$3,Curves1,0))</f>
        <v>3.7904</v>
      </c>
      <c r="J131" s="142" t="n">
        <f aca="false">VLOOKUP($A131,Table,MATCH(J$4,Curves,0))</f>
        <v>0.011</v>
      </c>
      <c r="K131" s="143" t="n">
        <f aca="false">J131</f>
        <v>0.011</v>
      </c>
      <c r="L131" s="144" t="n">
        <v>0</v>
      </c>
      <c r="M131" s="142" t="n">
        <f aca="false">VLOOKUP($A131,Table,MATCH(M$4,Curves,0))</f>
        <v>0.015</v>
      </c>
      <c r="N131" s="143" t="n">
        <f aca="false">M131</f>
        <v>0.015</v>
      </c>
      <c r="O131" s="144" t="n">
        <v>0</v>
      </c>
      <c r="P131" s="145"/>
      <c r="Q131" s="144" t="n">
        <f aca="false">M131+J131+G131</f>
        <v>4.013</v>
      </c>
      <c r="R131" s="144" t="n">
        <f aca="false">O131+L131+I131</f>
        <v>3.7904</v>
      </c>
      <c r="S131" s="145"/>
      <c r="T131" s="71" t="n">
        <f aca="false">A132-A131</f>
        <v>31</v>
      </c>
      <c r="U131" s="146" t="n">
        <f aca="false">CHOOSE(F$3,A132+24,A131)</f>
        <v>40719</v>
      </c>
      <c r="V131" s="71" t="n">
        <f aca="false">U131-C$3</f>
        <v>3831</v>
      </c>
      <c r="W131" s="142" t="n">
        <f aca="false">VLOOKUP($A131,Table,MATCH(W$4,Curves,0))</f>
        <v>0.058966861357273</v>
      </c>
      <c r="X131" s="147" t="n">
        <f aca="false">1/(1+CHOOSE(F$3,(W132+($K$3/10000))/2,(W131+($K$3/10000))/2))^(2*V131/365.25)</f>
        <v>0.543598754688769</v>
      </c>
      <c r="Y131" s="71" t="n">
        <f aca="false">IF(AND(mthbeg&lt;=A131,mthend&gt;=A131),1,0)</f>
        <v>0</v>
      </c>
      <c r="Z131" s="71" t="n">
        <f aca="false">T131*Y131</f>
        <v>0</v>
      </c>
      <c r="AB131" s="132" t="n">
        <f aca="false">F131*G131</f>
        <v>0</v>
      </c>
      <c r="AC131" s="132" t="n">
        <f aca="false">$F131*H131</f>
        <v>0</v>
      </c>
      <c r="AD131" s="132" t="n">
        <f aca="false">$F131*I131</f>
        <v>0</v>
      </c>
      <c r="AE131" s="132" t="n">
        <f aca="false">$F131*J131</f>
        <v>0</v>
      </c>
      <c r="AF131" s="132" t="n">
        <f aca="false">$F131*K131</f>
        <v>0</v>
      </c>
      <c r="AG131" s="132" t="n">
        <f aca="false">$F131*L131</f>
        <v>0</v>
      </c>
      <c r="AH131" s="132" t="n">
        <f aca="false">$F131*M131</f>
        <v>0</v>
      </c>
      <c r="AI131" s="132" t="n">
        <f aca="false">$F131*N131</f>
        <v>0</v>
      </c>
      <c r="AJ131" s="132" t="n">
        <f aca="false">F131*O131</f>
        <v>0</v>
      </c>
      <c r="AK131" s="137"/>
      <c r="AL131" s="132" t="n">
        <f aca="false">CHOOSE($G$3,AC131-AD131,AD131-AC131)</f>
        <v>0</v>
      </c>
      <c r="AM131" s="132" t="n">
        <f aca="false">CHOOSE($G$3,AF131-AG131,AG131-AF131)</f>
        <v>0</v>
      </c>
      <c r="AN131" s="132" t="n">
        <f aca="false">CHOOSE($G$3,AI131-AJ131,AJ131-AI131)</f>
        <v>0</v>
      </c>
      <c r="AO131" s="148" t="n">
        <f aca="false">SUM(AL131:AN131)</f>
        <v>0</v>
      </c>
      <c r="AQ131" s="132" t="n">
        <f aca="false">CHOOSE($G$3,AB131-AC131,AC131-AB131)</f>
        <v>0</v>
      </c>
      <c r="AR131" s="132" t="n">
        <f aca="false">CHOOSE($G$3,AE131-AF131,AF131-AE131)</f>
        <v>0</v>
      </c>
      <c r="AS131" s="132" t="n">
        <f aca="false">CHOOSE($G$3,AH131-AI131,AI131-AH131)</f>
        <v>0</v>
      </c>
      <c r="AT131" s="148" t="n">
        <f aca="false">AQ131+AR131+AS131</f>
        <v>0</v>
      </c>
      <c r="AU131" s="148"/>
      <c r="AV131" s="133" t="n">
        <f aca="false">AT131+AO131</f>
        <v>0</v>
      </c>
      <c r="AX131" s="133" t="n">
        <f aca="false">AJ131+AG131+AD131</f>
        <v>0</v>
      </c>
      <c r="AY131" s="149"/>
      <c r="AZ131" s="76" t="n">
        <f aca="false">R131*E131</f>
        <v>0</v>
      </c>
    </row>
    <row r="132" customFormat="false" ht="12.75" hidden="false" customHeight="false" outlineLevel="0" collapsed="false">
      <c r="A132" s="138" t="n">
        <f aca="false">EDATE(A131,1)</f>
        <v>40695</v>
      </c>
      <c r="B132" s="139" t="n">
        <f aca="false">VLOOKUP($A132,Table2,MATCH(I$3,Curves2,0))</f>
        <v>60900</v>
      </c>
      <c r="C132" s="140"/>
      <c r="D132" s="141" t="n">
        <f aca="false">B132+C132</f>
        <v>60900</v>
      </c>
      <c r="E132" s="126" t="n">
        <f aca="false">IF(Y132=0,0,IF(AND(Y132=1,$H$3=1),D132*T132,IF($H$3=2,D132,"N/A")))</f>
        <v>0</v>
      </c>
      <c r="F132" s="126" t="n">
        <f aca="false">E132*X132</f>
        <v>0</v>
      </c>
      <c r="G132" s="142" t="n">
        <f aca="false">VLOOKUP($A132,Table,MATCH(G$4,Curves,0))</f>
        <v>3.987</v>
      </c>
      <c r="H132" s="143" t="n">
        <f aca="false">G132</f>
        <v>3.987</v>
      </c>
      <c r="I132" s="142" t="n">
        <f aca="false">VLOOKUP($A132,Table1,MATCH(I$3,Curves1,0))</f>
        <v>3.7904</v>
      </c>
      <c r="J132" s="142" t="n">
        <f aca="false">VLOOKUP($A132,Table,MATCH(J$4,Curves,0))</f>
        <v>0.011</v>
      </c>
      <c r="K132" s="143" t="n">
        <f aca="false">J132</f>
        <v>0.011</v>
      </c>
      <c r="L132" s="144" t="n">
        <v>0</v>
      </c>
      <c r="M132" s="142" t="n">
        <f aca="false">VLOOKUP($A132,Table,MATCH(M$4,Curves,0))</f>
        <v>0.015</v>
      </c>
      <c r="N132" s="143" t="n">
        <f aca="false">M132</f>
        <v>0.015</v>
      </c>
      <c r="O132" s="144" t="n">
        <v>0</v>
      </c>
      <c r="P132" s="145"/>
      <c r="Q132" s="144" t="n">
        <f aca="false">M132+J132+G132</f>
        <v>4.013</v>
      </c>
      <c r="R132" s="144" t="n">
        <f aca="false">O132+L132+I132</f>
        <v>3.7904</v>
      </c>
      <c r="S132" s="145"/>
      <c r="T132" s="71" t="n">
        <f aca="false">A133-A132</f>
        <v>30</v>
      </c>
      <c r="U132" s="146" t="n">
        <f aca="false">CHOOSE(F$3,A133+24,A132)</f>
        <v>40749</v>
      </c>
      <c r="V132" s="71" t="n">
        <f aca="false">U132-C$3</f>
        <v>3861</v>
      </c>
      <c r="W132" s="142" t="n">
        <f aca="false">VLOOKUP($A132,Table,MATCH(W$4,Curves,0))</f>
        <v>0.058966861357273</v>
      </c>
      <c r="X132" s="147" t="n">
        <f aca="false">1/(1+CHOOSE(F$3,(W133+($K$3/10000))/2,(W132+($K$3/10000))/2))^(2*V132/365.25)</f>
        <v>0.541010205327976</v>
      </c>
      <c r="Y132" s="71" t="n">
        <f aca="false">IF(AND(mthbeg&lt;=A132,mthend&gt;=A132),1,0)</f>
        <v>0</v>
      </c>
      <c r="Z132" s="71" t="n">
        <f aca="false">T132*Y132</f>
        <v>0</v>
      </c>
      <c r="AB132" s="132" t="n">
        <f aca="false">F132*G132</f>
        <v>0</v>
      </c>
      <c r="AC132" s="132" t="n">
        <f aca="false">$F132*H132</f>
        <v>0</v>
      </c>
      <c r="AD132" s="132" t="n">
        <f aca="false">$F132*I132</f>
        <v>0</v>
      </c>
      <c r="AE132" s="132" t="n">
        <f aca="false">$F132*J132</f>
        <v>0</v>
      </c>
      <c r="AF132" s="132" t="n">
        <f aca="false">$F132*K132</f>
        <v>0</v>
      </c>
      <c r="AG132" s="132" t="n">
        <f aca="false">$F132*L132</f>
        <v>0</v>
      </c>
      <c r="AH132" s="132" t="n">
        <f aca="false">$F132*M132</f>
        <v>0</v>
      </c>
      <c r="AI132" s="132" t="n">
        <f aca="false">$F132*N132</f>
        <v>0</v>
      </c>
      <c r="AJ132" s="132" t="n">
        <f aca="false">F132*O132</f>
        <v>0</v>
      </c>
      <c r="AK132" s="137"/>
      <c r="AL132" s="132" t="n">
        <f aca="false">CHOOSE($G$3,AC132-AD132,AD132-AC132)</f>
        <v>0</v>
      </c>
      <c r="AM132" s="132" t="n">
        <f aca="false">CHOOSE($G$3,AF132-AG132,AG132-AF132)</f>
        <v>0</v>
      </c>
      <c r="AN132" s="132" t="n">
        <f aca="false">CHOOSE($G$3,AI132-AJ132,AJ132-AI132)</f>
        <v>0</v>
      </c>
      <c r="AO132" s="148" t="n">
        <f aca="false">SUM(AL132:AN132)</f>
        <v>0</v>
      </c>
      <c r="AQ132" s="132" t="n">
        <f aca="false">CHOOSE($G$3,AB132-AC132,AC132-AB132)</f>
        <v>0</v>
      </c>
      <c r="AR132" s="132" t="n">
        <f aca="false">CHOOSE($G$3,AE132-AF132,AF132-AE132)</f>
        <v>0</v>
      </c>
      <c r="AS132" s="132" t="n">
        <f aca="false">CHOOSE($G$3,AH132-AI132,AI132-AH132)</f>
        <v>0</v>
      </c>
      <c r="AT132" s="148" t="n">
        <f aca="false">AQ132+AR132+AS132</f>
        <v>0</v>
      </c>
      <c r="AU132" s="148"/>
      <c r="AV132" s="133" t="n">
        <f aca="false">AT132+AO132</f>
        <v>0</v>
      </c>
      <c r="AX132" s="133" t="n">
        <f aca="false">AJ132+AG132+AD132</f>
        <v>0</v>
      </c>
      <c r="AY132" s="149"/>
      <c r="AZ132" s="76" t="n">
        <f aca="false">R132*E132</f>
        <v>0</v>
      </c>
    </row>
    <row r="133" customFormat="false" ht="12.75" hidden="false" customHeight="false" outlineLevel="0" collapsed="false">
      <c r="A133" s="138" t="n">
        <f aca="false">EDATE(A132,1)</f>
        <v>40725</v>
      </c>
      <c r="B133" s="139" t="n">
        <f aca="false">VLOOKUP($A133,Table2,MATCH(I$3,Curves2,0))</f>
        <v>60900</v>
      </c>
      <c r="C133" s="140"/>
      <c r="D133" s="141" t="n">
        <f aca="false">B133+C133</f>
        <v>60900</v>
      </c>
      <c r="E133" s="126" t="n">
        <f aca="false">IF(Y133=0,0,IF(AND(Y133=1,$H$3=1),D133*T133,IF($H$3=2,D133,"N/A")))</f>
        <v>0</v>
      </c>
      <c r="F133" s="126" t="n">
        <f aca="false">E133*X133</f>
        <v>0</v>
      </c>
      <c r="G133" s="142" t="n">
        <f aca="false">VLOOKUP($A133,Table,MATCH(G$4,Curves,0))</f>
        <v>3.987</v>
      </c>
      <c r="H133" s="143" t="n">
        <f aca="false">G133</f>
        <v>3.987</v>
      </c>
      <c r="I133" s="142" t="n">
        <f aca="false">VLOOKUP($A133,Table1,MATCH(I$3,Curves1,0))</f>
        <v>3.7904</v>
      </c>
      <c r="J133" s="142" t="n">
        <f aca="false">VLOOKUP($A133,Table,MATCH(J$4,Curves,0))</f>
        <v>0.011</v>
      </c>
      <c r="K133" s="143" t="n">
        <f aca="false">J133</f>
        <v>0.011</v>
      </c>
      <c r="L133" s="144" t="n">
        <v>0</v>
      </c>
      <c r="M133" s="142" t="n">
        <f aca="false">VLOOKUP($A133,Table,MATCH(M$4,Curves,0))</f>
        <v>0.015</v>
      </c>
      <c r="N133" s="143" t="n">
        <f aca="false">M133</f>
        <v>0.015</v>
      </c>
      <c r="O133" s="144" t="n">
        <v>0</v>
      </c>
      <c r="P133" s="145"/>
      <c r="Q133" s="144" t="n">
        <f aca="false">M133+J133+G133</f>
        <v>4.013</v>
      </c>
      <c r="R133" s="144" t="n">
        <f aca="false">O133+L133+I133</f>
        <v>3.7904</v>
      </c>
      <c r="S133" s="145"/>
      <c r="T133" s="71" t="n">
        <f aca="false">A134-A133</f>
        <v>31</v>
      </c>
      <c r="U133" s="146" t="n">
        <f aca="false">CHOOSE(F$3,A134+24,A133)</f>
        <v>40780</v>
      </c>
      <c r="V133" s="71" t="n">
        <f aca="false">U133-C$3</f>
        <v>3892</v>
      </c>
      <c r="W133" s="142" t="n">
        <f aca="false">VLOOKUP($A133,Table,MATCH(W$4,Curves,0))</f>
        <v>0.058966861357273</v>
      </c>
      <c r="X133" s="147" t="n">
        <f aca="false">1/(1+CHOOSE(F$3,(W134+($K$3/10000))/2,(W133+($K$3/10000))/2))^(2*V133/365.25)</f>
        <v>0.538348319816631</v>
      </c>
      <c r="Y133" s="71" t="n">
        <f aca="false">IF(AND(mthbeg&lt;=A133,mthend&gt;=A133),1,0)</f>
        <v>0</v>
      </c>
      <c r="Z133" s="71" t="n">
        <f aca="false">T133*Y133</f>
        <v>0</v>
      </c>
      <c r="AB133" s="132" t="n">
        <f aca="false">F133*G133</f>
        <v>0</v>
      </c>
      <c r="AC133" s="132" t="n">
        <f aca="false">$F133*H133</f>
        <v>0</v>
      </c>
      <c r="AD133" s="132" t="n">
        <f aca="false">$F133*I133</f>
        <v>0</v>
      </c>
      <c r="AE133" s="132" t="n">
        <f aca="false">$F133*J133</f>
        <v>0</v>
      </c>
      <c r="AF133" s="132" t="n">
        <f aca="false">$F133*K133</f>
        <v>0</v>
      </c>
      <c r="AG133" s="132" t="n">
        <f aca="false">$F133*L133</f>
        <v>0</v>
      </c>
      <c r="AH133" s="132" t="n">
        <f aca="false">$F133*M133</f>
        <v>0</v>
      </c>
      <c r="AI133" s="132" t="n">
        <f aca="false">$F133*N133</f>
        <v>0</v>
      </c>
      <c r="AJ133" s="132" t="n">
        <f aca="false">F133*O133</f>
        <v>0</v>
      </c>
      <c r="AK133" s="137"/>
      <c r="AL133" s="132" t="n">
        <f aca="false">CHOOSE($G$3,AC133-AD133,AD133-AC133)</f>
        <v>0</v>
      </c>
      <c r="AM133" s="132" t="n">
        <f aca="false">CHOOSE($G$3,AF133-AG133,AG133-AF133)</f>
        <v>0</v>
      </c>
      <c r="AN133" s="132" t="n">
        <f aca="false">CHOOSE($G$3,AI133-AJ133,AJ133-AI133)</f>
        <v>0</v>
      </c>
      <c r="AO133" s="148" t="n">
        <f aca="false">SUM(AL133:AN133)</f>
        <v>0</v>
      </c>
      <c r="AQ133" s="132" t="n">
        <f aca="false">CHOOSE($G$3,AB133-AC133,AC133-AB133)</f>
        <v>0</v>
      </c>
      <c r="AR133" s="132" t="n">
        <f aca="false">CHOOSE($G$3,AE133-AF133,AF133-AE133)</f>
        <v>0</v>
      </c>
      <c r="AS133" s="132" t="n">
        <f aca="false">CHOOSE($G$3,AH133-AI133,AI133-AH133)</f>
        <v>0</v>
      </c>
      <c r="AT133" s="148" t="n">
        <f aca="false">AQ133+AR133+AS133</f>
        <v>0</v>
      </c>
      <c r="AU133" s="148"/>
      <c r="AV133" s="133" t="n">
        <f aca="false">AT133+AO133</f>
        <v>0</v>
      </c>
      <c r="AX133" s="133" t="n">
        <f aca="false">AJ133+AG133+AD133</f>
        <v>0</v>
      </c>
      <c r="AY133" s="149"/>
      <c r="AZ133" s="76" t="n">
        <f aca="false">R133*E133</f>
        <v>0</v>
      </c>
    </row>
    <row r="134" customFormat="false" ht="12.75" hidden="false" customHeight="false" outlineLevel="0" collapsed="false">
      <c r="A134" s="138" t="n">
        <f aca="false">EDATE(A133,1)</f>
        <v>40756</v>
      </c>
      <c r="B134" s="139" t="n">
        <f aca="false">VLOOKUP($A134,Table2,MATCH(I$3,Curves2,0))</f>
        <v>60900</v>
      </c>
      <c r="C134" s="140"/>
      <c r="D134" s="141" t="n">
        <f aca="false">B134+C134</f>
        <v>60900</v>
      </c>
      <c r="E134" s="126" t="n">
        <f aca="false">IF(Y134=0,0,IF(AND(Y134=1,$H$3=1),D134*T134,IF($H$3=2,D134,"N/A")))</f>
        <v>0</v>
      </c>
      <c r="F134" s="126" t="n">
        <f aca="false">E134*X134</f>
        <v>0</v>
      </c>
      <c r="G134" s="142" t="n">
        <f aca="false">VLOOKUP($A134,Table,MATCH(G$4,Curves,0))</f>
        <v>3.987</v>
      </c>
      <c r="H134" s="143" t="n">
        <f aca="false">G134</f>
        <v>3.987</v>
      </c>
      <c r="I134" s="142" t="n">
        <f aca="false">VLOOKUP($A134,Table1,MATCH(I$3,Curves1,0))</f>
        <v>3.7904</v>
      </c>
      <c r="J134" s="142" t="n">
        <f aca="false">VLOOKUP($A134,Table,MATCH(J$4,Curves,0))</f>
        <v>0.011</v>
      </c>
      <c r="K134" s="143" t="n">
        <f aca="false">J134</f>
        <v>0.011</v>
      </c>
      <c r="L134" s="144" t="n">
        <v>0</v>
      </c>
      <c r="M134" s="142" t="n">
        <f aca="false">VLOOKUP($A134,Table,MATCH(M$4,Curves,0))</f>
        <v>0.015</v>
      </c>
      <c r="N134" s="143" t="n">
        <f aca="false">M134</f>
        <v>0.015</v>
      </c>
      <c r="O134" s="144" t="n">
        <v>0</v>
      </c>
      <c r="P134" s="145"/>
      <c r="Q134" s="144" t="n">
        <f aca="false">M134+J134+G134</f>
        <v>4.013</v>
      </c>
      <c r="R134" s="144" t="n">
        <f aca="false">O134+L134+I134</f>
        <v>3.7904</v>
      </c>
      <c r="S134" s="145"/>
      <c r="T134" s="71" t="n">
        <f aca="false">A135-A134</f>
        <v>31</v>
      </c>
      <c r="U134" s="146" t="n">
        <f aca="false">CHOOSE(F$3,A135+24,A134)</f>
        <v>40811</v>
      </c>
      <c r="V134" s="71" t="n">
        <f aca="false">U134-C$3</f>
        <v>3923</v>
      </c>
      <c r="W134" s="142" t="n">
        <f aca="false">VLOOKUP($A134,Table,MATCH(W$4,Curves,0))</f>
        <v>0.058966861357273</v>
      </c>
      <c r="X134" s="147" t="n">
        <f aca="false">1/(1+CHOOSE(F$3,(W135+($K$3/10000))/2,(W134+($K$3/10000))/2))^(2*V134/365.25)</f>
        <v>0.535699531349309</v>
      </c>
      <c r="Y134" s="71" t="n">
        <f aca="false">IF(AND(mthbeg&lt;=A134,mthend&gt;=A134),1,0)</f>
        <v>0</v>
      </c>
      <c r="Z134" s="71" t="n">
        <f aca="false">T134*Y134</f>
        <v>0</v>
      </c>
      <c r="AB134" s="132" t="n">
        <f aca="false">F134*G134</f>
        <v>0</v>
      </c>
      <c r="AC134" s="132" t="n">
        <f aca="false">$F134*H134</f>
        <v>0</v>
      </c>
      <c r="AD134" s="132" t="n">
        <f aca="false">$F134*I134</f>
        <v>0</v>
      </c>
      <c r="AE134" s="132" t="n">
        <f aca="false">$F134*J134</f>
        <v>0</v>
      </c>
      <c r="AF134" s="132" t="n">
        <f aca="false">$F134*K134</f>
        <v>0</v>
      </c>
      <c r="AG134" s="132" t="n">
        <f aca="false">$F134*L134</f>
        <v>0</v>
      </c>
      <c r="AH134" s="132" t="n">
        <f aca="false">$F134*M134</f>
        <v>0</v>
      </c>
      <c r="AI134" s="132" t="n">
        <f aca="false">$F134*N134</f>
        <v>0</v>
      </c>
      <c r="AJ134" s="132" t="n">
        <f aca="false">F134*O134</f>
        <v>0</v>
      </c>
      <c r="AK134" s="137"/>
      <c r="AL134" s="132" t="n">
        <f aca="false">CHOOSE($G$3,AC134-AD134,AD134-AC134)</f>
        <v>0</v>
      </c>
      <c r="AM134" s="132" t="n">
        <f aca="false">CHOOSE($G$3,AF134-AG134,AG134-AF134)</f>
        <v>0</v>
      </c>
      <c r="AN134" s="132" t="n">
        <f aca="false">CHOOSE($G$3,AI134-AJ134,AJ134-AI134)</f>
        <v>0</v>
      </c>
      <c r="AO134" s="148" t="n">
        <f aca="false">SUM(AL134:AN134)</f>
        <v>0</v>
      </c>
      <c r="AQ134" s="132" t="n">
        <f aca="false">CHOOSE($G$3,AB134-AC134,AC134-AB134)</f>
        <v>0</v>
      </c>
      <c r="AR134" s="132" t="n">
        <f aca="false">CHOOSE($G$3,AE134-AF134,AF134-AE134)</f>
        <v>0</v>
      </c>
      <c r="AS134" s="132" t="n">
        <f aca="false">CHOOSE($G$3,AH134-AI134,AI134-AH134)</f>
        <v>0</v>
      </c>
      <c r="AT134" s="148" t="n">
        <f aca="false">AQ134+AR134+AS134</f>
        <v>0</v>
      </c>
      <c r="AU134" s="148"/>
      <c r="AV134" s="133" t="n">
        <f aca="false">AT134+AO134</f>
        <v>0</v>
      </c>
      <c r="AX134" s="133" t="n">
        <f aca="false">AJ134+AG134+AD134</f>
        <v>0</v>
      </c>
      <c r="AY134" s="149"/>
      <c r="AZ134" s="76" t="n">
        <f aca="false">R134*E134</f>
        <v>0</v>
      </c>
    </row>
    <row r="135" customFormat="false" ht="12.75" hidden="false" customHeight="false" outlineLevel="0" collapsed="false">
      <c r="A135" s="138" t="n">
        <f aca="false">EDATE(A134,1)</f>
        <v>40787</v>
      </c>
      <c r="B135" s="139" t="n">
        <f aca="false">VLOOKUP($A135,Table2,MATCH(I$3,Curves2,0))</f>
        <v>60900</v>
      </c>
      <c r="C135" s="140"/>
      <c r="D135" s="141" t="n">
        <f aca="false">B135+C135</f>
        <v>60900</v>
      </c>
      <c r="E135" s="126" t="n">
        <f aca="false">IF(Y135=0,0,IF(AND(Y135=1,$H$3=1),D135*T135,IF($H$3=2,D135,"N/A")))</f>
        <v>0</v>
      </c>
      <c r="F135" s="126" t="n">
        <f aca="false">E135*X135</f>
        <v>0</v>
      </c>
      <c r="G135" s="142" t="n">
        <f aca="false">VLOOKUP($A135,Table,MATCH(G$4,Curves,0))</f>
        <v>3.987</v>
      </c>
      <c r="H135" s="143" t="n">
        <f aca="false">G135</f>
        <v>3.987</v>
      </c>
      <c r="I135" s="142" t="n">
        <f aca="false">VLOOKUP($A135,Table1,MATCH(I$3,Curves1,0))</f>
        <v>3.7904</v>
      </c>
      <c r="J135" s="142" t="n">
        <f aca="false">VLOOKUP($A135,Table,MATCH(J$4,Curves,0))</f>
        <v>0.011</v>
      </c>
      <c r="K135" s="143" t="n">
        <f aca="false">J135</f>
        <v>0.011</v>
      </c>
      <c r="L135" s="144" t="n">
        <v>0</v>
      </c>
      <c r="M135" s="142" t="n">
        <f aca="false">VLOOKUP($A135,Table,MATCH(M$4,Curves,0))</f>
        <v>0.015</v>
      </c>
      <c r="N135" s="143" t="n">
        <f aca="false">M135</f>
        <v>0.015</v>
      </c>
      <c r="O135" s="144" t="n">
        <v>0</v>
      </c>
      <c r="P135" s="145"/>
      <c r="Q135" s="144" t="n">
        <f aca="false">M135+J135+G135</f>
        <v>4.013</v>
      </c>
      <c r="R135" s="144" t="n">
        <f aca="false">O135+L135+I135</f>
        <v>3.7904</v>
      </c>
      <c r="S135" s="145"/>
      <c r="T135" s="71" t="n">
        <f aca="false">A136-A135</f>
        <v>30</v>
      </c>
      <c r="U135" s="146" t="n">
        <f aca="false">CHOOSE(F$3,A136+24,A135)</f>
        <v>40841</v>
      </c>
      <c r="V135" s="71" t="n">
        <f aca="false">U135-C$3</f>
        <v>3953</v>
      </c>
      <c r="W135" s="142" t="n">
        <f aca="false">VLOOKUP($A135,Table,MATCH(W$4,Curves,0))</f>
        <v>0.058966861357273</v>
      </c>
      <c r="X135" s="147" t="n">
        <f aca="false">1/(1+CHOOSE(F$3,(W136+($K$3/10000))/2,(W135+($K$3/10000))/2))^(2*V135/365.25)</f>
        <v>0.533148597103248</v>
      </c>
      <c r="Y135" s="71" t="n">
        <f aca="false">IF(AND(mthbeg&lt;=A135,mthend&gt;=A135),1,0)</f>
        <v>0</v>
      </c>
      <c r="Z135" s="71" t="n">
        <f aca="false">T135*Y135</f>
        <v>0</v>
      </c>
      <c r="AB135" s="132" t="n">
        <f aca="false">F135*G135</f>
        <v>0</v>
      </c>
      <c r="AC135" s="132" t="n">
        <f aca="false">$F135*H135</f>
        <v>0</v>
      </c>
      <c r="AD135" s="132" t="n">
        <f aca="false">$F135*I135</f>
        <v>0</v>
      </c>
      <c r="AE135" s="132" t="n">
        <f aca="false">$F135*J135</f>
        <v>0</v>
      </c>
      <c r="AF135" s="132" t="n">
        <f aca="false">$F135*K135</f>
        <v>0</v>
      </c>
      <c r="AG135" s="132" t="n">
        <f aca="false">$F135*L135</f>
        <v>0</v>
      </c>
      <c r="AH135" s="132" t="n">
        <f aca="false">$F135*M135</f>
        <v>0</v>
      </c>
      <c r="AI135" s="132" t="n">
        <f aca="false">$F135*N135</f>
        <v>0</v>
      </c>
      <c r="AJ135" s="132" t="n">
        <f aca="false">F135*O135</f>
        <v>0</v>
      </c>
      <c r="AK135" s="137"/>
      <c r="AL135" s="132" t="n">
        <f aca="false">CHOOSE($G$3,AC135-AD135,AD135-AC135)</f>
        <v>0</v>
      </c>
      <c r="AM135" s="132" t="n">
        <f aca="false">CHOOSE($G$3,AF135-AG135,AG135-AF135)</f>
        <v>0</v>
      </c>
      <c r="AN135" s="132" t="n">
        <f aca="false">CHOOSE($G$3,AI135-AJ135,AJ135-AI135)</f>
        <v>0</v>
      </c>
      <c r="AO135" s="148" t="n">
        <f aca="false">SUM(AL135:AN135)</f>
        <v>0</v>
      </c>
      <c r="AQ135" s="132" t="n">
        <f aca="false">CHOOSE($G$3,AB135-AC135,AC135-AB135)</f>
        <v>0</v>
      </c>
      <c r="AR135" s="132" t="n">
        <f aca="false">CHOOSE($G$3,AE135-AF135,AF135-AE135)</f>
        <v>0</v>
      </c>
      <c r="AS135" s="132" t="n">
        <f aca="false">CHOOSE($G$3,AH135-AI135,AI135-AH135)</f>
        <v>0</v>
      </c>
      <c r="AT135" s="148" t="n">
        <f aca="false">AQ135+AR135+AS135</f>
        <v>0</v>
      </c>
      <c r="AU135" s="148"/>
      <c r="AV135" s="133" t="n">
        <f aca="false">AT135+AO135</f>
        <v>0</v>
      </c>
      <c r="AX135" s="133" t="n">
        <f aca="false">AJ135+AG135+AD135</f>
        <v>0</v>
      </c>
      <c r="AY135" s="149"/>
      <c r="AZ135" s="76" t="n">
        <f aca="false">R135*E135</f>
        <v>0</v>
      </c>
    </row>
    <row r="136" customFormat="false" ht="12.75" hidden="false" customHeight="false" outlineLevel="0" collapsed="false">
      <c r="A136" s="138" t="n">
        <f aca="false">EDATE(A135,1)</f>
        <v>40817</v>
      </c>
      <c r="B136" s="139" t="n">
        <f aca="false">VLOOKUP($A136,Table2,MATCH(I$3,Curves2,0))</f>
        <v>60900</v>
      </c>
      <c r="C136" s="140"/>
      <c r="D136" s="141" t="n">
        <f aca="false">B136+C136</f>
        <v>60900</v>
      </c>
      <c r="E136" s="126" t="n">
        <f aca="false">IF(Y136=0,0,IF(AND(Y136=1,$H$3=1),D136*T136,IF($H$3=2,D136,"N/A")))</f>
        <v>0</v>
      </c>
      <c r="F136" s="126" t="n">
        <f aca="false">E136*X136</f>
        <v>0</v>
      </c>
      <c r="G136" s="142" t="n">
        <f aca="false">VLOOKUP($A136,Table,MATCH(G$4,Curves,0))</f>
        <v>3.987</v>
      </c>
      <c r="H136" s="143" t="n">
        <f aca="false">G136</f>
        <v>3.987</v>
      </c>
      <c r="I136" s="142" t="n">
        <f aca="false">VLOOKUP($A136,Table1,MATCH(I$3,Curves1,0))</f>
        <v>3.7904</v>
      </c>
      <c r="J136" s="142" t="n">
        <f aca="false">VLOOKUP($A136,Table,MATCH(J$4,Curves,0))</f>
        <v>0.011</v>
      </c>
      <c r="K136" s="143" t="n">
        <f aca="false">J136</f>
        <v>0.011</v>
      </c>
      <c r="L136" s="144" t="n">
        <v>0</v>
      </c>
      <c r="M136" s="142" t="n">
        <f aca="false">VLOOKUP($A136,Table,MATCH(M$4,Curves,0))</f>
        <v>0.015</v>
      </c>
      <c r="N136" s="143" t="n">
        <f aca="false">M136</f>
        <v>0.015</v>
      </c>
      <c r="O136" s="144" t="n">
        <v>0</v>
      </c>
      <c r="P136" s="145"/>
      <c r="Q136" s="144" t="n">
        <f aca="false">M136+J136+G136</f>
        <v>4.013</v>
      </c>
      <c r="R136" s="144" t="n">
        <f aca="false">O136+L136+I136</f>
        <v>3.7904</v>
      </c>
      <c r="S136" s="145"/>
      <c r="T136" s="71" t="n">
        <f aca="false">A137-A136</f>
        <v>31</v>
      </c>
      <c r="U136" s="146" t="n">
        <f aca="false">CHOOSE(F$3,A137+24,A136)</f>
        <v>40872</v>
      </c>
      <c r="V136" s="71" t="n">
        <f aca="false">U136-C$3</f>
        <v>3984</v>
      </c>
      <c r="W136" s="142" t="n">
        <f aca="false">VLOOKUP($A136,Table,MATCH(W$4,Curves,0))</f>
        <v>0.058966861357273</v>
      </c>
      <c r="X136" s="147" t="n">
        <f aca="false">1/(1+CHOOSE(F$3,(W137+($K$3/10000))/2,(W136+($K$3/10000))/2))^(2*V136/365.25)</f>
        <v>0.53052539237985</v>
      </c>
      <c r="Y136" s="71" t="n">
        <f aca="false">IF(AND(mthbeg&lt;=A136,mthend&gt;=A136),1,0)</f>
        <v>0</v>
      </c>
      <c r="Z136" s="71" t="n">
        <f aca="false">T136*Y136</f>
        <v>0</v>
      </c>
      <c r="AB136" s="132" t="n">
        <f aca="false">F136*G136</f>
        <v>0</v>
      </c>
      <c r="AC136" s="132" t="n">
        <f aca="false">$F136*H136</f>
        <v>0</v>
      </c>
      <c r="AD136" s="132" t="n">
        <f aca="false">$F136*I136</f>
        <v>0</v>
      </c>
      <c r="AE136" s="132" t="n">
        <f aca="false">$F136*J136</f>
        <v>0</v>
      </c>
      <c r="AF136" s="132" t="n">
        <f aca="false">$F136*K136</f>
        <v>0</v>
      </c>
      <c r="AG136" s="132" t="n">
        <f aca="false">$F136*L136</f>
        <v>0</v>
      </c>
      <c r="AH136" s="132" t="n">
        <f aca="false">$F136*M136</f>
        <v>0</v>
      </c>
      <c r="AI136" s="132" t="n">
        <f aca="false">$F136*N136</f>
        <v>0</v>
      </c>
      <c r="AJ136" s="132" t="n">
        <f aca="false">F136*O136</f>
        <v>0</v>
      </c>
      <c r="AK136" s="137"/>
      <c r="AL136" s="132" t="n">
        <f aca="false">CHOOSE($G$3,AC136-AD136,AD136-AC136)</f>
        <v>0</v>
      </c>
      <c r="AM136" s="132" t="n">
        <f aca="false">CHOOSE($G$3,AF136-AG136,AG136-AF136)</f>
        <v>0</v>
      </c>
      <c r="AN136" s="132" t="n">
        <f aca="false">CHOOSE($G$3,AI136-AJ136,AJ136-AI136)</f>
        <v>0</v>
      </c>
      <c r="AO136" s="148" t="n">
        <f aca="false">SUM(AL136:AN136)</f>
        <v>0</v>
      </c>
      <c r="AQ136" s="132" t="n">
        <f aca="false">CHOOSE($G$3,AB136-AC136,AC136-AB136)</f>
        <v>0</v>
      </c>
      <c r="AR136" s="132" t="n">
        <f aca="false">CHOOSE($G$3,AE136-AF136,AF136-AE136)</f>
        <v>0</v>
      </c>
      <c r="AS136" s="132" t="n">
        <f aca="false">CHOOSE($G$3,AH136-AI136,AI136-AH136)</f>
        <v>0</v>
      </c>
      <c r="AT136" s="148" t="n">
        <f aca="false">AQ136+AR136+AS136</f>
        <v>0</v>
      </c>
      <c r="AU136" s="148"/>
      <c r="AV136" s="133" t="n">
        <f aca="false">AT136+AO136</f>
        <v>0</v>
      </c>
      <c r="AX136" s="133" t="n">
        <f aca="false">AJ136+AG136+AD136</f>
        <v>0</v>
      </c>
      <c r="AY136" s="149"/>
      <c r="AZ136" s="76" t="n">
        <f aca="false">R136*E136</f>
        <v>0</v>
      </c>
    </row>
    <row r="137" customFormat="false" ht="12.75" hidden="false" customHeight="false" outlineLevel="0" collapsed="false">
      <c r="A137" s="138" t="n">
        <f aca="false">EDATE(A136,1)</f>
        <v>40848</v>
      </c>
      <c r="B137" s="139" t="n">
        <f aca="false">VLOOKUP($A137,Table2,MATCH(I$3,Curves2,0))</f>
        <v>60900</v>
      </c>
      <c r="C137" s="140"/>
      <c r="D137" s="141" t="n">
        <f aca="false">B137+C137</f>
        <v>60900</v>
      </c>
      <c r="E137" s="126" t="n">
        <f aca="false">IF(Y137=0,0,IF(AND(Y137=1,$H$3=1),D137*T137,IF($H$3=2,D137,"N/A")))</f>
        <v>0</v>
      </c>
      <c r="F137" s="126" t="n">
        <f aca="false">E137*X137</f>
        <v>0</v>
      </c>
      <c r="G137" s="142" t="n">
        <f aca="false">VLOOKUP($A137,Table,MATCH(G$4,Curves,0))</f>
        <v>3.987</v>
      </c>
      <c r="H137" s="143" t="n">
        <f aca="false">G137</f>
        <v>3.987</v>
      </c>
      <c r="I137" s="142" t="n">
        <f aca="false">VLOOKUP($A137,Table1,MATCH(I$3,Curves1,0))</f>
        <v>3.7904</v>
      </c>
      <c r="J137" s="142" t="n">
        <f aca="false">VLOOKUP($A137,Table,MATCH(J$4,Curves,0))</f>
        <v>0.011</v>
      </c>
      <c r="K137" s="143" t="n">
        <f aca="false">J137</f>
        <v>0.011</v>
      </c>
      <c r="L137" s="144" t="n">
        <v>0</v>
      </c>
      <c r="M137" s="142" t="n">
        <f aca="false">VLOOKUP($A137,Table,MATCH(M$4,Curves,0))</f>
        <v>0.015</v>
      </c>
      <c r="N137" s="143" t="n">
        <f aca="false">M137</f>
        <v>0.015</v>
      </c>
      <c r="O137" s="144" t="n">
        <v>0</v>
      </c>
      <c r="P137" s="145"/>
      <c r="Q137" s="144" t="n">
        <f aca="false">M137+J137+G137</f>
        <v>4.013</v>
      </c>
      <c r="R137" s="144" t="n">
        <f aca="false">O137+L137+I137</f>
        <v>3.7904</v>
      </c>
      <c r="S137" s="145"/>
      <c r="T137" s="71" t="n">
        <f aca="false">A138-A137</f>
        <v>30</v>
      </c>
      <c r="U137" s="146" t="n">
        <f aca="false">CHOOSE(F$3,A138+24,A137)</f>
        <v>40902</v>
      </c>
      <c r="V137" s="71" t="n">
        <f aca="false">U137-C$3</f>
        <v>4014</v>
      </c>
      <c r="W137" s="142" t="n">
        <f aca="false">VLOOKUP($A137,Table,MATCH(W$4,Curves,0))</f>
        <v>0.058966861357273</v>
      </c>
      <c r="X137" s="147" t="n">
        <f aca="false">1/(1+CHOOSE(F$3,(W138+($K$3/10000))/2,(W137+($K$3/10000))/2))^(2*V137/365.25)</f>
        <v>0.527999096737183</v>
      </c>
      <c r="Y137" s="71" t="n">
        <f aca="false">IF(AND(mthbeg&lt;=A137,mthend&gt;=A137),1,0)</f>
        <v>0</v>
      </c>
      <c r="Z137" s="71" t="n">
        <f aca="false">T137*Y137</f>
        <v>0</v>
      </c>
      <c r="AB137" s="132" t="n">
        <f aca="false">F137*G137</f>
        <v>0</v>
      </c>
      <c r="AC137" s="132" t="n">
        <f aca="false">$F137*H137</f>
        <v>0</v>
      </c>
      <c r="AD137" s="132" t="n">
        <f aca="false">$F137*I137</f>
        <v>0</v>
      </c>
      <c r="AE137" s="132" t="n">
        <f aca="false">$F137*J137</f>
        <v>0</v>
      </c>
      <c r="AF137" s="132" t="n">
        <f aca="false">$F137*K137</f>
        <v>0</v>
      </c>
      <c r="AG137" s="132" t="n">
        <f aca="false">$F137*L137</f>
        <v>0</v>
      </c>
      <c r="AH137" s="132" t="n">
        <f aca="false">$F137*M137</f>
        <v>0</v>
      </c>
      <c r="AI137" s="132" t="n">
        <f aca="false">$F137*N137</f>
        <v>0</v>
      </c>
      <c r="AJ137" s="132" t="n">
        <f aca="false">F137*O137</f>
        <v>0</v>
      </c>
      <c r="AK137" s="137"/>
      <c r="AL137" s="132" t="n">
        <f aca="false">CHOOSE($G$3,AC137-AD137,AD137-AC137)</f>
        <v>0</v>
      </c>
      <c r="AM137" s="132" t="n">
        <f aca="false">CHOOSE($G$3,AF137-AG137,AG137-AF137)</f>
        <v>0</v>
      </c>
      <c r="AN137" s="132" t="n">
        <f aca="false">CHOOSE($G$3,AI137-AJ137,AJ137-AI137)</f>
        <v>0</v>
      </c>
      <c r="AO137" s="148" t="n">
        <f aca="false">SUM(AL137:AN137)</f>
        <v>0</v>
      </c>
      <c r="AQ137" s="132" t="n">
        <f aca="false">CHOOSE($G$3,AB137-AC137,AC137-AB137)</f>
        <v>0</v>
      </c>
      <c r="AR137" s="132" t="n">
        <f aca="false">CHOOSE($G$3,AE137-AF137,AF137-AE137)</f>
        <v>0</v>
      </c>
      <c r="AS137" s="132" t="n">
        <f aca="false">CHOOSE($G$3,AH137-AI137,AI137-AH137)</f>
        <v>0</v>
      </c>
      <c r="AT137" s="148" t="n">
        <f aca="false">AQ137+AR137+AS137</f>
        <v>0</v>
      </c>
      <c r="AU137" s="148"/>
      <c r="AV137" s="133" t="n">
        <f aca="false">AT137+AO137</f>
        <v>0</v>
      </c>
      <c r="AX137" s="133" t="n">
        <f aca="false">AJ137+AG137+AD137</f>
        <v>0</v>
      </c>
      <c r="AY137" s="149"/>
      <c r="AZ137" s="76" t="n">
        <f aca="false">R137*E137</f>
        <v>0</v>
      </c>
    </row>
    <row r="138" customFormat="false" ht="12.75" hidden="false" customHeight="false" outlineLevel="0" collapsed="false">
      <c r="A138" s="138" t="n">
        <f aca="false">EDATE(A137,1)</f>
        <v>40878</v>
      </c>
      <c r="B138" s="139" t="n">
        <f aca="false">VLOOKUP($A138,Table2,MATCH(I$3,Curves2,0))</f>
        <v>60900</v>
      </c>
      <c r="C138" s="140"/>
      <c r="D138" s="141" t="n">
        <f aca="false">B138+C138</f>
        <v>60900</v>
      </c>
      <c r="E138" s="126" t="n">
        <f aca="false">IF(Y138=0,0,IF(AND(Y138=1,$H$3=1),D138*T138,IF($H$3=2,D138,"N/A")))</f>
        <v>0</v>
      </c>
      <c r="F138" s="126" t="n">
        <f aca="false">E138*X138</f>
        <v>0</v>
      </c>
      <c r="G138" s="142" t="n">
        <f aca="false">VLOOKUP($A138,Table,MATCH(G$4,Curves,0))</f>
        <v>3.987</v>
      </c>
      <c r="H138" s="143" t="n">
        <f aca="false">G138</f>
        <v>3.987</v>
      </c>
      <c r="I138" s="142" t="n">
        <f aca="false">VLOOKUP($A138,Table1,MATCH(I$3,Curves1,0))</f>
        <v>3.7904</v>
      </c>
      <c r="J138" s="142" t="n">
        <f aca="false">VLOOKUP($A138,Table,MATCH(J$4,Curves,0))</f>
        <v>0.011</v>
      </c>
      <c r="K138" s="143" t="n">
        <f aca="false">J138</f>
        <v>0.011</v>
      </c>
      <c r="L138" s="144" t="n">
        <v>0</v>
      </c>
      <c r="M138" s="142" t="n">
        <f aca="false">VLOOKUP($A138,Table,MATCH(M$4,Curves,0))</f>
        <v>0.015</v>
      </c>
      <c r="N138" s="143" t="n">
        <f aca="false">M138</f>
        <v>0.015</v>
      </c>
      <c r="O138" s="144" t="n">
        <v>0</v>
      </c>
      <c r="P138" s="145"/>
      <c r="Q138" s="144" t="n">
        <f aca="false">M138+J138+G138</f>
        <v>4.013</v>
      </c>
      <c r="R138" s="144" t="n">
        <f aca="false">O138+L138+I138</f>
        <v>3.7904</v>
      </c>
      <c r="S138" s="145"/>
      <c r="T138" s="71" t="n">
        <f aca="false">A139-A138</f>
        <v>31</v>
      </c>
      <c r="U138" s="146" t="n">
        <f aca="false">CHOOSE(F$3,A139+24,A138)</f>
        <v>40933</v>
      </c>
      <c r="V138" s="71" t="n">
        <f aca="false">U138-C$3</f>
        <v>4045</v>
      </c>
      <c r="W138" s="142" t="n">
        <f aca="false">VLOOKUP($A138,Table,MATCH(W$4,Curves,0))</f>
        <v>0.058966861357273</v>
      </c>
      <c r="X138" s="147" t="n">
        <f aca="false">1/(1+CHOOSE(F$3,(W139+($K$3/10000))/2,(W138+($K$3/10000))/2))^(2*V138/365.25)</f>
        <v>0.525401228653058</v>
      </c>
      <c r="Y138" s="71" t="n">
        <f aca="false">IF(AND(mthbeg&lt;=A138,mthend&gt;=A138),1,0)</f>
        <v>0</v>
      </c>
      <c r="Z138" s="71" t="n">
        <f aca="false">T138*Y138</f>
        <v>0</v>
      </c>
      <c r="AB138" s="132" t="n">
        <f aca="false">F138*G138</f>
        <v>0</v>
      </c>
      <c r="AC138" s="132" t="n">
        <f aca="false">$F138*H138</f>
        <v>0</v>
      </c>
      <c r="AD138" s="132" t="n">
        <f aca="false">$F138*I138</f>
        <v>0</v>
      </c>
      <c r="AE138" s="132" t="n">
        <f aca="false">$F138*J138</f>
        <v>0</v>
      </c>
      <c r="AF138" s="132" t="n">
        <f aca="false">$F138*K138</f>
        <v>0</v>
      </c>
      <c r="AG138" s="132" t="n">
        <f aca="false">$F138*L138</f>
        <v>0</v>
      </c>
      <c r="AH138" s="132" t="n">
        <f aca="false">$F138*M138</f>
        <v>0</v>
      </c>
      <c r="AI138" s="132" t="n">
        <f aca="false">$F138*N138</f>
        <v>0</v>
      </c>
      <c r="AJ138" s="132" t="n">
        <f aca="false">F138*O138</f>
        <v>0</v>
      </c>
      <c r="AK138" s="137"/>
      <c r="AL138" s="132" t="n">
        <f aca="false">CHOOSE($G$3,AC138-AD138,AD138-AC138)</f>
        <v>0</v>
      </c>
      <c r="AM138" s="132" t="n">
        <f aca="false">CHOOSE($G$3,AF138-AG138,AG138-AF138)</f>
        <v>0</v>
      </c>
      <c r="AN138" s="132" t="n">
        <f aca="false">CHOOSE($G$3,AI138-AJ138,AJ138-AI138)</f>
        <v>0</v>
      </c>
      <c r="AO138" s="148" t="n">
        <f aca="false">SUM(AL138:AN138)</f>
        <v>0</v>
      </c>
      <c r="AQ138" s="132" t="n">
        <f aca="false">CHOOSE($G$3,AB138-AC138,AC138-AB138)</f>
        <v>0</v>
      </c>
      <c r="AR138" s="132" t="n">
        <f aca="false">CHOOSE($G$3,AE138-AF138,AF138-AE138)</f>
        <v>0</v>
      </c>
      <c r="AS138" s="132" t="n">
        <f aca="false">CHOOSE($G$3,AH138-AI138,AI138-AH138)</f>
        <v>0</v>
      </c>
      <c r="AT138" s="148" t="n">
        <f aca="false">AQ138+AR138+AS138</f>
        <v>0</v>
      </c>
      <c r="AU138" s="148"/>
      <c r="AV138" s="133" t="n">
        <f aca="false">AT138+AO138</f>
        <v>0</v>
      </c>
      <c r="AX138" s="133" t="n">
        <f aca="false">AJ138+AG138+AD138</f>
        <v>0</v>
      </c>
      <c r="AY138" s="149"/>
      <c r="AZ138" s="76" t="n">
        <f aca="false">R138*E138</f>
        <v>0</v>
      </c>
    </row>
    <row r="139" customFormat="false" ht="12.75" hidden="false" customHeight="false" outlineLevel="0" collapsed="false">
      <c r="A139" s="138" t="n">
        <f aca="false">EDATE(A138,1)</f>
        <v>40909</v>
      </c>
      <c r="B139" s="139" t="n">
        <f aca="false">VLOOKUP($A139,Table2,MATCH(I$3,Curves2,0))</f>
        <v>60900</v>
      </c>
      <c r="C139" s="140"/>
      <c r="D139" s="141" t="n">
        <f aca="false">B139+C139</f>
        <v>60900</v>
      </c>
      <c r="E139" s="126" t="n">
        <f aca="false">IF(Y139=0,0,IF(AND(Y139=1,$H$3=1),D139*T139,IF($H$3=2,D139,"N/A")))</f>
        <v>0</v>
      </c>
      <c r="F139" s="126" t="n">
        <f aca="false">E139*X139</f>
        <v>0</v>
      </c>
      <c r="G139" s="142" t="n">
        <f aca="false">VLOOKUP($A139,Table,MATCH(G$4,Curves,0))</f>
        <v>3.987</v>
      </c>
      <c r="H139" s="143" t="n">
        <f aca="false">G139</f>
        <v>3.987</v>
      </c>
      <c r="I139" s="142" t="n">
        <f aca="false">VLOOKUP($A139,Table1,MATCH(I$3,Curves1,0))</f>
        <v>3.7904</v>
      </c>
      <c r="J139" s="142" t="n">
        <f aca="false">VLOOKUP($A139,Table,MATCH(J$4,Curves,0))</f>
        <v>0.011</v>
      </c>
      <c r="K139" s="143" t="n">
        <f aca="false">J139</f>
        <v>0.011</v>
      </c>
      <c r="L139" s="144" t="n">
        <v>0</v>
      </c>
      <c r="M139" s="142" t="n">
        <f aca="false">VLOOKUP($A139,Table,MATCH(M$4,Curves,0))</f>
        <v>0.015</v>
      </c>
      <c r="N139" s="143" t="n">
        <f aca="false">M139</f>
        <v>0.015</v>
      </c>
      <c r="O139" s="144" t="n">
        <v>0</v>
      </c>
      <c r="P139" s="145"/>
      <c r="Q139" s="144" t="n">
        <f aca="false">M139+J139+G139</f>
        <v>4.013</v>
      </c>
      <c r="R139" s="144" t="n">
        <f aca="false">O139+L139+I139</f>
        <v>3.7904</v>
      </c>
      <c r="S139" s="145"/>
      <c r="T139" s="71" t="n">
        <f aca="false">A140-A139</f>
        <v>31</v>
      </c>
      <c r="U139" s="146" t="n">
        <f aca="false">CHOOSE(F$3,A140+24,A139)</f>
        <v>40964</v>
      </c>
      <c r="V139" s="71" t="n">
        <f aca="false">U139-C$3</f>
        <v>4076</v>
      </c>
      <c r="W139" s="142" t="n">
        <f aca="false">VLOOKUP($A139,Table,MATCH(W$4,Curves,0))</f>
        <v>0.058966861357273</v>
      </c>
      <c r="X139" s="147" t="n">
        <f aca="false">1/(1+CHOOSE(F$3,(W140+($K$3/10000))/2,(W139+($K$3/10000))/2))^(2*V139/365.25)</f>
        <v>0.522816142633569</v>
      </c>
      <c r="Y139" s="71" t="n">
        <f aca="false">IF(AND(mthbeg&lt;=A139,mthend&gt;=A139),1,0)</f>
        <v>0</v>
      </c>
      <c r="Z139" s="71" t="n">
        <f aca="false">T139*Y139</f>
        <v>0</v>
      </c>
      <c r="AB139" s="132" t="n">
        <f aca="false">F139*G139</f>
        <v>0</v>
      </c>
      <c r="AC139" s="132" t="n">
        <f aca="false">$F139*H139</f>
        <v>0</v>
      </c>
      <c r="AD139" s="132" t="n">
        <f aca="false">$F139*I139</f>
        <v>0</v>
      </c>
      <c r="AE139" s="132" t="n">
        <f aca="false">$F139*J139</f>
        <v>0</v>
      </c>
      <c r="AF139" s="132" t="n">
        <f aca="false">$F139*K139</f>
        <v>0</v>
      </c>
      <c r="AG139" s="132" t="n">
        <f aca="false">$F139*L139</f>
        <v>0</v>
      </c>
      <c r="AH139" s="132" t="n">
        <f aca="false">$F139*M139</f>
        <v>0</v>
      </c>
      <c r="AI139" s="132" t="n">
        <f aca="false">$F139*N139</f>
        <v>0</v>
      </c>
      <c r="AJ139" s="132" t="n">
        <f aca="false">F139*O139</f>
        <v>0</v>
      </c>
      <c r="AK139" s="137"/>
      <c r="AL139" s="132" t="n">
        <f aca="false">CHOOSE($G$3,AC139-AD139,AD139-AC139)</f>
        <v>0</v>
      </c>
      <c r="AM139" s="132" t="n">
        <f aca="false">CHOOSE($G$3,AF139-AG139,AG139-AF139)</f>
        <v>0</v>
      </c>
      <c r="AN139" s="132" t="n">
        <f aca="false">CHOOSE($G$3,AI139-AJ139,AJ139-AI139)</f>
        <v>0</v>
      </c>
      <c r="AO139" s="148" t="n">
        <f aca="false">SUM(AL139:AN139)</f>
        <v>0</v>
      </c>
      <c r="AQ139" s="132" t="n">
        <f aca="false">CHOOSE($G$3,AB139-AC139,AC139-AB139)</f>
        <v>0</v>
      </c>
      <c r="AR139" s="132" t="n">
        <f aca="false">CHOOSE($G$3,AE139-AF139,AF139-AE139)</f>
        <v>0</v>
      </c>
      <c r="AS139" s="132" t="n">
        <f aca="false">CHOOSE($G$3,AH139-AI139,AI139-AH139)</f>
        <v>0</v>
      </c>
      <c r="AT139" s="148" t="n">
        <f aca="false">AQ139+AR139+AS139</f>
        <v>0</v>
      </c>
      <c r="AU139" s="148"/>
      <c r="AV139" s="133" t="n">
        <f aca="false">AT139+AO139</f>
        <v>0</v>
      </c>
      <c r="AX139" s="133" t="n">
        <f aca="false">AJ139+AG139+AD139</f>
        <v>0</v>
      </c>
      <c r="AY139" s="149"/>
      <c r="AZ139" s="76" t="n">
        <f aca="false">R139*E139</f>
        <v>0</v>
      </c>
    </row>
    <row r="140" customFormat="false" ht="12.75" hidden="false" customHeight="false" outlineLevel="0" collapsed="false">
      <c r="A140" s="138" t="n">
        <f aca="false">EDATE(A139,1)</f>
        <v>40940</v>
      </c>
      <c r="B140" s="139" t="n">
        <f aca="false">VLOOKUP($A140,Table2,MATCH(I$3,Curves2,0))</f>
        <v>60900</v>
      </c>
      <c r="C140" s="140"/>
      <c r="D140" s="141" t="n">
        <f aca="false">B140+C140</f>
        <v>60900</v>
      </c>
      <c r="E140" s="126" t="n">
        <f aca="false">IF(Y140=0,0,IF(AND(Y140=1,$H$3=1),D140*T140,IF($H$3=2,D140,"N/A")))</f>
        <v>0</v>
      </c>
      <c r="F140" s="126" t="n">
        <f aca="false">E140*X140</f>
        <v>0</v>
      </c>
      <c r="G140" s="142" t="n">
        <f aca="false">VLOOKUP($A140,Table,MATCH(G$4,Curves,0))</f>
        <v>3.987</v>
      </c>
      <c r="H140" s="143" t="n">
        <f aca="false">G140</f>
        <v>3.987</v>
      </c>
      <c r="I140" s="142" t="n">
        <f aca="false">VLOOKUP($A140,Table1,MATCH(I$3,Curves1,0))</f>
        <v>3.7904</v>
      </c>
      <c r="J140" s="142" t="n">
        <f aca="false">VLOOKUP($A140,Table,MATCH(J$4,Curves,0))</f>
        <v>0.011</v>
      </c>
      <c r="K140" s="143" t="n">
        <f aca="false">J140</f>
        <v>0.011</v>
      </c>
      <c r="L140" s="144" t="n">
        <v>0</v>
      </c>
      <c r="M140" s="142" t="n">
        <f aca="false">VLOOKUP($A140,Table,MATCH(M$4,Curves,0))</f>
        <v>0.015</v>
      </c>
      <c r="N140" s="143" t="n">
        <f aca="false">M140</f>
        <v>0.015</v>
      </c>
      <c r="O140" s="144" t="n">
        <v>0</v>
      </c>
      <c r="P140" s="145"/>
      <c r="Q140" s="144" t="n">
        <f aca="false">M140+J140+G140</f>
        <v>4.013</v>
      </c>
      <c r="R140" s="144" t="n">
        <f aca="false">O140+L140+I140</f>
        <v>3.7904</v>
      </c>
      <c r="S140" s="145"/>
      <c r="T140" s="71" t="n">
        <f aca="false">A141-A140</f>
        <v>29</v>
      </c>
      <c r="U140" s="146" t="n">
        <f aca="false">CHOOSE(F$3,A141+24,A140)</f>
        <v>40993</v>
      </c>
      <c r="V140" s="71" t="n">
        <f aca="false">U140-C$3</f>
        <v>4105</v>
      </c>
      <c r="W140" s="142" t="n">
        <f aca="false">VLOOKUP($A140,Table,MATCH(W$4,Curves,0))</f>
        <v>0.058966861357273</v>
      </c>
      <c r="X140" s="147" t="n">
        <f aca="false">1/(1+CHOOSE(F$3,(W141+($K$3/10000))/2,(W140+($K$3/10000))/2))^(2*V140/365.25)</f>
        <v>0.520409352334299</v>
      </c>
      <c r="Y140" s="71" t="n">
        <f aca="false">IF(AND(mthbeg&lt;=A140,mthend&gt;=A140),1,0)</f>
        <v>0</v>
      </c>
      <c r="Z140" s="71" t="n">
        <f aca="false">T140*Y140</f>
        <v>0</v>
      </c>
      <c r="AB140" s="132" t="n">
        <f aca="false">F140*G140</f>
        <v>0</v>
      </c>
      <c r="AC140" s="132" t="n">
        <f aca="false">$F140*H140</f>
        <v>0</v>
      </c>
      <c r="AD140" s="132" t="n">
        <f aca="false">$F140*I140</f>
        <v>0</v>
      </c>
      <c r="AE140" s="132" t="n">
        <f aca="false">$F140*J140</f>
        <v>0</v>
      </c>
      <c r="AF140" s="132" t="n">
        <f aca="false">$F140*K140</f>
        <v>0</v>
      </c>
      <c r="AG140" s="132" t="n">
        <f aca="false">$F140*L140</f>
        <v>0</v>
      </c>
      <c r="AH140" s="132" t="n">
        <f aca="false">$F140*M140</f>
        <v>0</v>
      </c>
      <c r="AI140" s="132" t="n">
        <f aca="false">$F140*N140</f>
        <v>0</v>
      </c>
      <c r="AJ140" s="132" t="n">
        <f aca="false">F140*O140</f>
        <v>0</v>
      </c>
      <c r="AK140" s="137"/>
      <c r="AL140" s="132" t="n">
        <f aca="false">CHOOSE($G$3,AC140-AD140,AD140-AC140)</f>
        <v>0</v>
      </c>
      <c r="AM140" s="132" t="n">
        <f aca="false">CHOOSE($G$3,AF140-AG140,AG140-AF140)</f>
        <v>0</v>
      </c>
      <c r="AN140" s="132" t="n">
        <f aca="false">CHOOSE($G$3,AI140-AJ140,AJ140-AI140)</f>
        <v>0</v>
      </c>
      <c r="AO140" s="148" t="n">
        <f aca="false">SUM(AL140:AN140)</f>
        <v>0</v>
      </c>
      <c r="AQ140" s="132" t="n">
        <f aca="false">CHOOSE($G$3,AB140-AC140,AC140-AB140)</f>
        <v>0</v>
      </c>
      <c r="AR140" s="132" t="n">
        <f aca="false">CHOOSE($G$3,AE140-AF140,AF140-AE140)</f>
        <v>0</v>
      </c>
      <c r="AS140" s="132" t="n">
        <f aca="false">CHOOSE($G$3,AH140-AI140,AI140-AH140)</f>
        <v>0</v>
      </c>
      <c r="AT140" s="148" t="n">
        <f aca="false">AQ140+AR140+AS140</f>
        <v>0</v>
      </c>
      <c r="AU140" s="148"/>
      <c r="AV140" s="133" t="n">
        <f aca="false">AT140+AO140</f>
        <v>0</v>
      </c>
      <c r="AX140" s="133" t="n">
        <f aca="false">AJ140+AG140+AD140</f>
        <v>0</v>
      </c>
      <c r="AY140" s="149"/>
      <c r="AZ140" s="76" t="n">
        <f aca="false">R140*E140</f>
        <v>0</v>
      </c>
    </row>
    <row r="141" customFormat="false" ht="12.75" hidden="false" customHeight="false" outlineLevel="0" collapsed="false">
      <c r="A141" s="138" t="n">
        <f aca="false">EDATE(A140,1)</f>
        <v>40969</v>
      </c>
      <c r="B141" s="139" t="n">
        <f aca="false">VLOOKUP($A141,Table2,MATCH(I$3,Curves2,0))</f>
        <v>60900</v>
      </c>
      <c r="C141" s="140"/>
      <c r="D141" s="141" t="n">
        <f aca="false">B141+C141</f>
        <v>60900</v>
      </c>
      <c r="E141" s="126" t="n">
        <f aca="false">IF(Y141=0,0,IF(AND(Y141=1,$H$3=1),D141*T141,IF($H$3=2,D141,"N/A")))</f>
        <v>0</v>
      </c>
      <c r="F141" s="126" t="n">
        <f aca="false">E141*X141</f>
        <v>0</v>
      </c>
      <c r="G141" s="142" t="n">
        <f aca="false">VLOOKUP($A141,Table,MATCH(G$4,Curves,0))</f>
        <v>3.987</v>
      </c>
      <c r="H141" s="143" t="n">
        <f aca="false">G141</f>
        <v>3.987</v>
      </c>
      <c r="I141" s="142" t="n">
        <f aca="false">VLOOKUP($A141,Table1,MATCH(I$3,Curves1,0))</f>
        <v>3.7904</v>
      </c>
      <c r="J141" s="142" t="n">
        <f aca="false">VLOOKUP($A141,Table,MATCH(J$4,Curves,0))</f>
        <v>0.011</v>
      </c>
      <c r="K141" s="143" t="n">
        <f aca="false">J141</f>
        <v>0.011</v>
      </c>
      <c r="L141" s="144" t="n">
        <v>0</v>
      </c>
      <c r="M141" s="142" t="n">
        <f aca="false">VLOOKUP($A141,Table,MATCH(M$4,Curves,0))</f>
        <v>0.015</v>
      </c>
      <c r="N141" s="143" t="n">
        <f aca="false">M141</f>
        <v>0.015</v>
      </c>
      <c r="O141" s="144" t="n">
        <v>0</v>
      </c>
      <c r="P141" s="145"/>
      <c r="Q141" s="144" t="n">
        <f aca="false">M141+J141+G141</f>
        <v>4.013</v>
      </c>
      <c r="R141" s="144" t="n">
        <f aca="false">O141+L141+I141</f>
        <v>3.7904</v>
      </c>
      <c r="S141" s="145"/>
      <c r="T141" s="71" t="n">
        <f aca="false">A142-A141</f>
        <v>31</v>
      </c>
      <c r="U141" s="146" t="n">
        <f aca="false">CHOOSE(F$3,A142+24,A141)</f>
        <v>41024</v>
      </c>
      <c r="V141" s="71" t="n">
        <f aca="false">U141-C$3</f>
        <v>4136</v>
      </c>
      <c r="W141" s="142" t="n">
        <f aca="false">VLOOKUP($A141,Table,MATCH(W$4,Curves,0))</f>
        <v>0.058966861357273</v>
      </c>
      <c r="X141" s="147" t="n">
        <f aca="false">1/(1+CHOOSE(F$3,(W142+($K$3/10000))/2,(W141+($K$3/10000))/2))^(2*V141/365.25)</f>
        <v>0.517848827410177</v>
      </c>
      <c r="Y141" s="71" t="n">
        <f aca="false">IF(AND(mthbeg&lt;=A141,mthend&gt;=A141),1,0)</f>
        <v>0</v>
      </c>
      <c r="Z141" s="71" t="n">
        <f aca="false">T141*Y141</f>
        <v>0</v>
      </c>
      <c r="AB141" s="132" t="n">
        <f aca="false">F141*G141</f>
        <v>0</v>
      </c>
      <c r="AC141" s="132" t="n">
        <f aca="false">$F141*H141</f>
        <v>0</v>
      </c>
      <c r="AD141" s="132" t="n">
        <f aca="false">$F141*I141</f>
        <v>0</v>
      </c>
      <c r="AE141" s="132" t="n">
        <f aca="false">$F141*J141</f>
        <v>0</v>
      </c>
      <c r="AF141" s="132" t="n">
        <f aca="false">$F141*K141</f>
        <v>0</v>
      </c>
      <c r="AG141" s="132" t="n">
        <f aca="false">$F141*L141</f>
        <v>0</v>
      </c>
      <c r="AH141" s="132" t="n">
        <f aca="false">$F141*M141</f>
        <v>0</v>
      </c>
      <c r="AI141" s="132" t="n">
        <f aca="false">$F141*N141</f>
        <v>0</v>
      </c>
      <c r="AJ141" s="132" t="n">
        <f aca="false">F141*O141</f>
        <v>0</v>
      </c>
      <c r="AK141" s="137"/>
      <c r="AL141" s="132" t="n">
        <f aca="false">CHOOSE($G$3,AC141-AD141,AD141-AC141)</f>
        <v>0</v>
      </c>
      <c r="AM141" s="132" t="n">
        <f aca="false">CHOOSE($G$3,AF141-AG141,AG141-AF141)</f>
        <v>0</v>
      </c>
      <c r="AN141" s="132" t="n">
        <f aca="false">CHOOSE($G$3,AI141-AJ141,AJ141-AI141)</f>
        <v>0</v>
      </c>
      <c r="AO141" s="148" t="n">
        <f aca="false">SUM(AL141:AN141)</f>
        <v>0</v>
      </c>
      <c r="AQ141" s="132" t="n">
        <f aca="false">CHOOSE($G$3,AB141-AC141,AC141-AB141)</f>
        <v>0</v>
      </c>
      <c r="AR141" s="132" t="n">
        <f aca="false">CHOOSE($G$3,AE141-AF141,AF141-AE141)</f>
        <v>0</v>
      </c>
      <c r="AS141" s="132" t="n">
        <f aca="false">CHOOSE($G$3,AH141-AI141,AI141-AH141)</f>
        <v>0</v>
      </c>
      <c r="AT141" s="148" t="n">
        <f aca="false">AQ141+AR141+AS141</f>
        <v>0</v>
      </c>
      <c r="AU141" s="148"/>
      <c r="AV141" s="133" t="n">
        <f aca="false">AT141+AO141</f>
        <v>0</v>
      </c>
      <c r="AX141" s="133" t="n">
        <f aca="false">AJ141+AG141+AD141</f>
        <v>0</v>
      </c>
      <c r="AY141" s="149"/>
      <c r="AZ141" s="76" t="n">
        <f aca="false">R141*E141</f>
        <v>0</v>
      </c>
    </row>
    <row r="142" customFormat="false" ht="12.75" hidden="false" customHeight="false" outlineLevel="0" collapsed="false">
      <c r="A142" s="138" t="n">
        <f aca="false">EDATE(A141,1)</f>
        <v>41000</v>
      </c>
      <c r="B142" s="139" t="n">
        <f aca="false">VLOOKUP($A142,Table2,MATCH(I$3,Curves2,0))</f>
        <v>60900</v>
      </c>
      <c r="C142" s="140"/>
      <c r="D142" s="141" t="n">
        <f aca="false">B142+C142</f>
        <v>60900</v>
      </c>
      <c r="E142" s="126" t="n">
        <f aca="false">IF(Y142=0,0,IF(AND(Y142=1,$H$3=1),D142*T142,IF($H$3=2,D142,"N/A")))</f>
        <v>0</v>
      </c>
      <c r="F142" s="126" t="n">
        <f aca="false">E142*X142</f>
        <v>0</v>
      </c>
      <c r="G142" s="142" t="n">
        <f aca="false">VLOOKUP($A142,Table,MATCH(G$4,Curves,0))</f>
        <v>3.987</v>
      </c>
      <c r="H142" s="143" t="n">
        <f aca="false">G142</f>
        <v>3.987</v>
      </c>
      <c r="I142" s="142" t="n">
        <f aca="false">VLOOKUP($A142,Table1,MATCH(I$3,Curves1,0))</f>
        <v>3.7904</v>
      </c>
      <c r="J142" s="142" t="n">
        <f aca="false">VLOOKUP($A142,Table,MATCH(J$4,Curves,0))</f>
        <v>0.011</v>
      </c>
      <c r="K142" s="143" t="n">
        <f aca="false">J142</f>
        <v>0.011</v>
      </c>
      <c r="L142" s="144" t="n">
        <v>0</v>
      </c>
      <c r="M142" s="142" t="n">
        <f aca="false">VLOOKUP($A142,Table,MATCH(M$4,Curves,0))</f>
        <v>0.015</v>
      </c>
      <c r="N142" s="143" t="n">
        <f aca="false">M142</f>
        <v>0.015</v>
      </c>
      <c r="O142" s="144" t="n">
        <v>0</v>
      </c>
      <c r="P142" s="145"/>
      <c r="Q142" s="144" t="n">
        <f aca="false">M142+J142+G142</f>
        <v>4.013</v>
      </c>
      <c r="R142" s="144" t="n">
        <f aca="false">O142+L142+I142</f>
        <v>3.7904</v>
      </c>
      <c r="S142" s="145"/>
      <c r="T142" s="71" t="n">
        <f aca="false">A143-A142</f>
        <v>30</v>
      </c>
      <c r="U142" s="146" t="n">
        <f aca="false">CHOOSE(F$3,A143+24,A142)</f>
        <v>41054</v>
      </c>
      <c r="V142" s="71" t="n">
        <f aca="false">U142-C$3</f>
        <v>4166</v>
      </c>
      <c r="W142" s="142" t="n">
        <f aca="false">VLOOKUP($A142,Table,MATCH(W$4,Curves,0))</f>
        <v>0.058966861357273</v>
      </c>
      <c r="X142" s="147" t="n">
        <f aca="false">1/(1+CHOOSE(F$3,(W143+($K$3/10000))/2,(W142+($K$3/10000))/2))^(2*V142/365.25)</f>
        <v>0.515382895986276</v>
      </c>
      <c r="Y142" s="71" t="n">
        <f aca="false">IF(AND(mthbeg&lt;=A142,mthend&gt;=A142),1,0)</f>
        <v>0</v>
      </c>
      <c r="Z142" s="71" t="n">
        <f aca="false">T142*Y142</f>
        <v>0</v>
      </c>
      <c r="AB142" s="132" t="n">
        <f aca="false">F142*G142</f>
        <v>0</v>
      </c>
      <c r="AC142" s="132" t="n">
        <f aca="false">$F142*H142</f>
        <v>0</v>
      </c>
      <c r="AD142" s="132" t="n">
        <f aca="false">$F142*I142</f>
        <v>0</v>
      </c>
      <c r="AE142" s="132" t="n">
        <f aca="false">$F142*J142</f>
        <v>0</v>
      </c>
      <c r="AF142" s="132" t="n">
        <f aca="false">$F142*K142</f>
        <v>0</v>
      </c>
      <c r="AG142" s="132" t="n">
        <f aca="false">$F142*L142</f>
        <v>0</v>
      </c>
      <c r="AH142" s="132" t="n">
        <f aca="false">$F142*M142</f>
        <v>0</v>
      </c>
      <c r="AI142" s="132" t="n">
        <f aca="false">$F142*N142</f>
        <v>0</v>
      </c>
      <c r="AJ142" s="132" t="n">
        <f aca="false">F142*O142</f>
        <v>0</v>
      </c>
      <c r="AK142" s="137"/>
      <c r="AL142" s="132" t="n">
        <f aca="false">CHOOSE($G$3,AC142-AD142,AD142-AC142)</f>
        <v>0</v>
      </c>
      <c r="AM142" s="132" t="n">
        <f aca="false">CHOOSE($G$3,AF142-AG142,AG142-AF142)</f>
        <v>0</v>
      </c>
      <c r="AN142" s="132" t="n">
        <f aca="false">CHOOSE($G$3,AI142-AJ142,AJ142-AI142)</f>
        <v>0</v>
      </c>
      <c r="AO142" s="148" t="n">
        <f aca="false">SUM(AL142:AN142)</f>
        <v>0</v>
      </c>
      <c r="AQ142" s="132" t="n">
        <f aca="false">CHOOSE($G$3,AB142-AC142,AC142-AB142)</f>
        <v>0</v>
      </c>
      <c r="AR142" s="132" t="n">
        <f aca="false">CHOOSE($G$3,AE142-AF142,AF142-AE142)</f>
        <v>0</v>
      </c>
      <c r="AS142" s="132" t="n">
        <f aca="false">CHOOSE($G$3,AH142-AI142,AI142-AH142)</f>
        <v>0</v>
      </c>
      <c r="AT142" s="148" t="n">
        <f aca="false">AQ142+AR142+AS142</f>
        <v>0</v>
      </c>
      <c r="AU142" s="148"/>
      <c r="AV142" s="133" t="n">
        <f aca="false">AT142+AO142</f>
        <v>0</v>
      </c>
      <c r="AX142" s="133" t="n">
        <f aca="false">AJ142+AG142+AD142</f>
        <v>0</v>
      </c>
      <c r="AY142" s="149"/>
      <c r="AZ142" s="76" t="n">
        <f aca="false">R142*E142</f>
        <v>0</v>
      </c>
    </row>
    <row r="143" customFormat="false" ht="12.75" hidden="false" customHeight="false" outlineLevel="0" collapsed="false">
      <c r="A143" s="138" t="n">
        <f aca="false">EDATE(A142,1)</f>
        <v>41030</v>
      </c>
      <c r="B143" s="139" t="n">
        <f aca="false">VLOOKUP($A143,Table2,MATCH(I$3,Curves2,0))</f>
        <v>60900</v>
      </c>
      <c r="C143" s="140"/>
      <c r="D143" s="141" t="n">
        <f aca="false">B143+C143</f>
        <v>60900</v>
      </c>
      <c r="E143" s="126" t="n">
        <f aca="false">IF(Y143=0,0,IF(AND(Y143=1,$H$3=1),D143*T143,IF($H$3=2,D143,"N/A")))</f>
        <v>0</v>
      </c>
      <c r="F143" s="126" t="n">
        <f aca="false">E143*X143</f>
        <v>0</v>
      </c>
      <c r="G143" s="142" t="n">
        <f aca="false">VLOOKUP($A143,Table,MATCH(G$4,Curves,0))</f>
        <v>3.987</v>
      </c>
      <c r="H143" s="143" t="n">
        <f aca="false">G143</f>
        <v>3.987</v>
      </c>
      <c r="I143" s="142" t="n">
        <f aca="false">VLOOKUP($A143,Table1,MATCH(I$3,Curves1,0))</f>
        <v>3.7904</v>
      </c>
      <c r="J143" s="142" t="n">
        <f aca="false">VLOOKUP($A143,Table,MATCH(J$4,Curves,0))</f>
        <v>0.011</v>
      </c>
      <c r="K143" s="143" t="n">
        <f aca="false">J143</f>
        <v>0.011</v>
      </c>
      <c r="L143" s="144" t="n">
        <v>0</v>
      </c>
      <c r="M143" s="142" t="n">
        <f aca="false">VLOOKUP($A143,Table,MATCH(M$4,Curves,0))</f>
        <v>0.015</v>
      </c>
      <c r="N143" s="143" t="n">
        <f aca="false">M143</f>
        <v>0.015</v>
      </c>
      <c r="O143" s="144" t="n">
        <v>0</v>
      </c>
      <c r="P143" s="145"/>
      <c r="Q143" s="144" t="n">
        <f aca="false">M143+J143+G143</f>
        <v>4.013</v>
      </c>
      <c r="R143" s="144" t="n">
        <f aca="false">O143+L143+I143</f>
        <v>3.7904</v>
      </c>
      <c r="S143" s="145"/>
      <c r="T143" s="71" t="n">
        <f aca="false">A144-A143</f>
        <v>31</v>
      </c>
      <c r="U143" s="146" t="n">
        <f aca="false">CHOOSE(F$3,A144+24,A143)</f>
        <v>41085</v>
      </c>
      <c r="V143" s="71" t="n">
        <f aca="false">U143-C$3</f>
        <v>4197</v>
      </c>
      <c r="W143" s="142" t="n">
        <f aca="false">VLOOKUP($A143,Table,MATCH(W$4,Curves,0))</f>
        <v>0.058966861357273</v>
      </c>
      <c r="X143" s="147" t="n">
        <f aca="false">1/(1+CHOOSE(F$3,(W144+($K$3/10000))/2,(W143+($K$3/10000))/2))^(2*V143/365.25)</f>
        <v>0.512847102298634</v>
      </c>
      <c r="Y143" s="71" t="n">
        <f aca="false">IF(AND(mthbeg&lt;=A143,mthend&gt;=A143),1,0)</f>
        <v>0</v>
      </c>
      <c r="Z143" s="71" t="n">
        <f aca="false">T143*Y143</f>
        <v>0</v>
      </c>
      <c r="AB143" s="132" t="n">
        <f aca="false">F143*G143</f>
        <v>0</v>
      </c>
      <c r="AC143" s="132" t="n">
        <f aca="false">$F143*H143</f>
        <v>0</v>
      </c>
      <c r="AD143" s="132" t="n">
        <f aca="false">$F143*I143</f>
        <v>0</v>
      </c>
      <c r="AE143" s="132" t="n">
        <f aca="false">$F143*J143</f>
        <v>0</v>
      </c>
      <c r="AF143" s="132" t="n">
        <f aca="false">$F143*K143</f>
        <v>0</v>
      </c>
      <c r="AG143" s="132" t="n">
        <f aca="false">$F143*L143</f>
        <v>0</v>
      </c>
      <c r="AH143" s="132" t="n">
        <f aca="false">$F143*M143</f>
        <v>0</v>
      </c>
      <c r="AI143" s="132" t="n">
        <f aca="false">$F143*N143</f>
        <v>0</v>
      </c>
      <c r="AJ143" s="132" t="n">
        <f aca="false">F143*O143</f>
        <v>0</v>
      </c>
      <c r="AK143" s="137"/>
      <c r="AL143" s="132" t="n">
        <f aca="false">CHOOSE($G$3,AC143-AD143,AD143-AC143)</f>
        <v>0</v>
      </c>
      <c r="AM143" s="132" t="n">
        <f aca="false">CHOOSE($G$3,AF143-AG143,AG143-AF143)</f>
        <v>0</v>
      </c>
      <c r="AN143" s="132" t="n">
        <f aca="false">CHOOSE($G$3,AI143-AJ143,AJ143-AI143)</f>
        <v>0</v>
      </c>
      <c r="AO143" s="148" t="n">
        <f aca="false">SUM(AL143:AN143)</f>
        <v>0</v>
      </c>
      <c r="AQ143" s="132" t="n">
        <f aca="false">CHOOSE($G$3,AB143-AC143,AC143-AB143)</f>
        <v>0</v>
      </c>
      <c r="AR143" s="132" t="n">
        <f aca="false">CHOOSE($G$3,AE143-AF143,AF143-AE143)</f>
        <v>0</v>
      </c>
      <c r="AS143" s="132" t="n">
        <f aca="false">CHOOSE($G$3,AH143-AI143,AI143-AH143)</f>
        <v>0</v>
      </c>
      <c r="AT143" s="148" t="n">
        <f aca="false">AQ143+AR143+AS143</f>
        <v>0</v>
      </c>
      <c r="AU143" s="148"/>
      <c r="AV143" s="133" t="n">
        <f aca="false">AT143+AO143</f>
        <v>0</v>
      </c>
      <c r="AX143" s="133" t="n">
        <f aca="false">AJ143+AG143+AD143</f>
        <v>0</v>
      </c>
      <c r="AY143" s="149"/>
      <c r="AZ143" s="76" t="n">
        <f aca="false">R143*E143</f>
        <v>0</v>
      </c>
    </row>
    <row r="144" customFormat="false" ht="12.75" hidden="false" customHeight="false" outlineLevel="0" collapsed="false">
      <c r="A144" s="138" t="n">
        <f aca="false">EDATE(A143,1)</f>
        <v>41061</v>
      </c>
      <c r="B144" s="139" t="n">
        <f aca="false">VLOOKUP($A144,Table2,MATCH(I$3,Curves2,0))</f>
        <v>60900</v>
      </c>
      <c r="C144" s="140"/>
      <c r="D144" s="141" t="n">
        <f aca="false">B144+C144</f>
        <v>60900</v>
      </c>
      <c r="E144" s="126" t="n">
        <f aca="false">IF(Y144=0,0,IF(AND(Y144=1,$H$3=1),D144*T144,IF($H$3=2,D144,"N/A")))</f>
        <v>0</v>
      </c>
      <c r="F144" s="126" t="n">
        <f aca="false">E144*X144</f>
        <v>0</v>
      </c>
      <c r="G144" s="142" t="n">
        <f aca="false">VLOOKUP($A144,Table,MATCH(G$4,Curves,0))</f>
        <v>3.987</v>
      </c>
      <c r="H144" s="143" t="n">
        <f aca="false">G144</f>
        <v>3.987</v>
      </c>
      <c r="I144" s="142" t="n">
        <f aca="false">VLOOKUP($A144,Table1,MATCH(I$3,Curves1,0))</f>
        <v>3.7904</v>
      </c>
      <c r="J144" s="142" t="n">
        <f aca="false">VLOOKUP($A144,Table,MATCH(J$4,Curves,0))</f>
        <v>0.011</v>
      </c>
      <c r="K144" s="143" t="n">
        <f aca="false">J144</f>
        <v>0.011</v>
      </c>
      <c r="L144" s="144" t="n">
        <v>0</v>
      </c>
      <c r="M144" s="142" t="n">
        <f aca="false">VLOOKUP($A144,Table,MATCH(M$4,Curves,0))</f>
        <v>0.015</v>
      </c>
      <c r="N144" s="143" t="n">
        <f aca="false">M144</f>
        <v>0.015</v>
      </c>
      <c r="O144" s="144" t="n">
        <v>0</v>
      </c>
      <c r="P144" s="145"/>
      <c r="Q144" s="144" t="n">
        <f aca="false">M144+J144+G144</f>
        <v>4.013</v>
      </c>
      <c r="R144" s="144" t="n">
        <f aca="false">O144+L144+I144</f>
        <v>3.7904</v>
      </c>
      <c r="S144" s="145"/>
      <c r="T144" s="71" t="n">
        <f aca="false">A145-A144</f>
        <v>30</v>
      </c>
      <c r="U144" s="146" t="n">
        <f aca="false">CHOOSE(F$3,A145+24,A144)</f>
        <v>41115</v>
      </c>
      <c r="V144" s="71" t="n">
        <f aca="false">U144-C$3</f>
        <v>4227</v>
      </c>
      <c r="W144" s="142" t="n">
        <f aca="false">VLOOKUP($A144,Table,MATCH(W$4,Curves,0))</f>
        <v>0.058966861357273</v>
      </c>
      <c r="X144" s="147" t="n">
        <f aca="false">1/(1+CHOOSE(F$3,(W145+($K$3/10000))/2,(W144+($K$3/10000))/2))^(2*V144/365.25)</f>
        <v>0.510404988464875</v>
      </c>
      <c r="Y144" s="71" t="n">
        <f aca="false">IF(AND(mthbeg&lt;=A144,mthend&gt;=A144),1,0)</f>
        <v>0</v>
      </c>
      <c r="Z144" s="71" t="n">
        <f aca="false">T144*Y144</f>
        <v>0</v>
      </c>
      <c r="AB144" s="132" t="n">
        <f aca="false">F144*G144</f>
        <v>0</v>
      </c>
      <c r="AC144" s="132" t="n">
        <f aca="false">$F144*H144</f>
        <v>0</v>
      </c>
      <c r="AD144" s="132" t="n">
        <f aca="false">$F144*I144</f>
        <v>0</v>
      </c>
      <c r="AE144" s="132" t="n">
        <f aca="false">$F144*J144</f>
        <v>0</v>
      </c>
      <c r="AF144" s="132" t="n">
        <f aca="false">$F144*K144</f>
        <v>0</v>
      </c>
      <c r="AG144" s="132" t="n">
        <f aca="false">$F144*L144</f>
        <v>0</v>
      </c>
      <c r="AH144" s="132" t="n">
        <f aca="false">$F144*M144</f>
        <v>0</v>
      </c>
      <c r="AI144" s="132" t="n">
        <f aca="false">$F144*N144</f>
        <v>0</v>
      </c>
      <c r="AJ144" s="132" t="n">
        <f aca="false">F144*O144</f>
        <v>0</v>
      </c>
      <c r="AK144" s="137"/>
      <c r="AL144" s="132" t="n">
        <f aca="false">CHOOSE($G$3,AC144-AD144,AD144-AC144)</f>
        <v>0</v>
      </c>
      <c r="AM144" s="132" t="n">
        <f aca="false">CHOOSE($G$3,AF144-AG144,AG144-AF144)</f>
        <v>0</v>
      </c>
      <c r="AN144" s="132" t="n">
        <f aca="false">CHOOSE($G$3,AI144-AJ144,AJ144-AI144)</f>
        <v>0</v>
      </c>
      <c r="AO144" s="148" t="n">
        <f aca="false">SUM(AL144:AN144)</f>
        <v>0</v>
      </c>
      <c r="AQ144" s="132" t="n">
        <f aca="false">CHOOSE($G$3,AB144-AC144,AC144-AB144)</f>
        <v>0</v>
      </c>
      <c r="AR144" s="132" t="n">
        <f aca="false">CHOOSE($G$3,AE144-AF144,AF144-AE144)</f>
        <v>0</v>
      </c>
      <c r="AS144" s="132" t="n">
        <f aca="false">CHOOSE($G$3,AH144-AI144,AI144-AH144)</f>
        <v>0</v>
      </c>
      <c r="AT144" s="148" t="n">
        <f aca="false">AQ144+AR144+AS144</f>
        <v>0</v>
      </c>
      <c r="AU144" s="148"/>
      <c r="AV144" s="133" t="n">
        <f aca="false">AT144+AO144</f>
        <v>0</v>
      </c>
      <c r="AX144" s="133" t="n">
        <f aca="false">AJ144+AG144+AD144</f>
        <v>0</v>
      </c>
      <c r="AY144" s="149"/>
      <c r="AZ144" s="76" t="n">
        <f aca="false">R144*E144</f>
        <v>0</v>
      </c>
    </row>
    <row r="145" customFormat="false" ht="12.75" hidden="false" customHeight="false" outlineLevel="0" collapsed="false">
      <c r="A145" s="138" t="n">
        <f aca="false">EDATE(A144,1)</f>
        <v>41091</v>
      </c>
      <c r="B145" s="139" t="n">
        <f aca="false">VLOOKUP($A145,Table2,MATCH(I$3,Curves2,0))</f>
        <v>60900</v>
      </c>
      <c r="C145" s="140"/>
      <c r="D145" s="141" t="n">
        <f aca="false">B145+C145</f>
        <v>60900</v>
      </c>
      <c r="E145" s="126" t="n">
        <f aca="false">IF(Y145=0,0,IF(AND(Y145=1,$H$3=1),D145*T145,IF($H$3=2,D145,"N/A")))</f>
        <v>0</v>
      </c>
      <c r="F145" s="126" t="n">
        <f aca="false">E145*X145</f>
        <v>0</v>
      </c>
      <c r="G145" s="142" t="n">
        <f aca="false">VLOOKUP($A145,Table,MATCH(G$4,Curves,0))</f>
        <v>3.987</v>
      </c>
      <c r="H145" s="143" t="n">
        <f aca="false">G145</f>
        <v>3.987</v>
      </c>
      <c r="I145" s="142" t="n">
        <f aca="false">VLOOKUP($A145,Table1,MATCH(I$3,Curves1,0))</f>
        <v>3.7904</v>
      </c>
      <c r="J145" s="142" t="n">
        <f aca="false">VLOOKUP($A145,Table,MATCH(J$4,Curves,0))</f>
        <v>0.011</v>
      </c>
      <c r="K145" s="143" t="n">
        <f aca="false">J145</f>
        <v>0.011</v>
      </c>
      <c r="L145" s="144" t="n">
        <v>0</v>
      </c>
      <c r="M145" s="142" t="n">
        <f aca="false">VLOOKUP($A145,Table,MATCH(M$4,Curves,0))</f>
        <v>0.015</v>
      </c>
      <c r="N145" s="143" t="n">
        <f aca="false">M145</f>
        <v>0.015</v>
      </c>
      <c r="O145" s="144" t="n">
        <v>0</v>
      </c>
      <c r="P145" s="145"/>
      <c r="Q145" s="144" t="n">
        <f aca="false">M145+J145+G145</f>
        <v>4.013</v>
      </c>
      <c r="R145" s="144" t="n">
        <f aca="false">O145+L145+I145</f>
        <v>3.7904</v>
      </c>
      <c r="S145" s="145"/>
      <c r="T145" s="71" t="n">
        <f aca="false">A146-A145</f>
        <v>31</v>
      </c>
      <c r="U145" s="146" t="n">
        <f aca="false">CHOOSE(F$3,A146+24,A145)</f>
        <v>41146</v>
      </c>
      <c r="V145" s="71" t="n">
        <f aca="false">U145-C$3</f>
        <v>4258</v>
      </c>
      <c r="W145" s="142" t="n">
        <f aca="false">VLOOKUP($A145,Table,MATCH(W$4,Curves,0))</f>
        <v>0.058966861357273</v>
      </c>
      <c r="X145" s="147" t="n">
        <f aca="false">1/(1+CHOOSE(F$3,(W146+($K$3/10000))/2,(W145+($K$3/10000))/2))^(2*V145/365.25)</f>
        <v>0.507893687143139</v>
      </c>
      <c r="Y145" s="71" t="n">
        <f aca="false">IF(AND(mthbeg&lt;=A145,mthend&gt;=A145),1,0)</f>
        <v>0</v>
      </c>
      <c r="Z145" s="71" t="n">
        <f aca="false">T145*Y145</f>
        <v>0</v>
      </c>
      <c r="AB145" s="132" t="n">
        <f aca="false">F145*G145</f>
        <v>0</v>
      </c>
      <c r="AC145" s="132" t="n">
        <f aca="false">$F145*H145</f>
        <v>0</v>
      </c>
      <c r="AD145" s="132" t="n">
        <f aca="false">$F145*I145</f>
        <v>0</v>
      </c>
      <c r="AE145" s="132" t="n">
        <f aca="false">$F145*J145</f>
        <v>0</v>
      </c>
      <c r="AF145" s="132" t="n">
        <f aca="false">$F145*K145</f>
        <v>0</v>
      </c>
      <c r="AG145" s="132" t="n">
        <f aca="false">$F145*L145</f>
        <v>0</v>
      </c>
      <c r="AH145" s="132" t="n">
        <f aca="false">$F145*M145</f>
        <v>0</v>
      </c>
      <c r="AI145" s="132" t="n">
        <f aca="false">$F145*N145</f>
        <v>0</v>
      </c>
      <c r="AJ145" s="132" t="n">
        <f aca="false">F145*O145</f>
        <v>0</v>
      </c>
      <c r="AK145" s="137"/>
      <c r="AL145" s="132" t="n">
        <f aca="false">CHOOSE($G$3,AC145-AD145,AD145-AC145)</f>
        <v>0</v>
      </c>
      <c r="AM145" s="132" t="n">
        <f aca="false">CHOOSE($G$3,AF145-AG145,AG145-AF145)</f>
        <v>0</v>
      </c>
      <c r="AN145" s="132" t="n">
        <f aca="false">CHOOSE($G$3,AI145-AJ145,AJ145-AI145)</f>
        <v>0</v>
      </c>
      <c r="AO145" s="148" t="n">
        <f aca="false">SUM(AL145:AN145)</f>
        <v>0</v>
      </c>
      <c r="AQ145" s="132" t="n">
        <f aca="false">CHOOSE($G$3,AB145-AC145,AC145-AB145)</f>
        <v>0</v>
      </c>
      <c r="AR145" s="132" t="n">
        <f aca="false">CHOOSE($G$3,AE145-AF145,AF145-AE145)</f>
        <v>0</v>
      </c>
      <c r="AS145" s="132" t="n">
        <f aca="false">CHOOSE($G$3,AH145-AI145,AI145-AH145)</f>
        <v>0</v>
      </c>
      <c r="AT145" s="148" t="n">
        <f aca="false">AQ145+AR145+AS145</f>
        <v>0</v>
      </c>
      <c r="AU145" s="148"/>
      <c r="AV145" s="133" t="n">
        <f aca="false">AT145+AO145</f>
        <v>0</v>
      </c>
      <c r="AX145" s="133" t="n">
        <f aca="false">AJ145+AG145+AD145</f>
        <v>0</v>
      </c>
      <c r="AY145" s="149"/>
      <c r="AZ145" s="76" t="n">
        <f aca="false">R145*E145</f>
        <v>0</v>
      </c>
    </row>
    <row r="146" customFormat="false" ht="12.75" hidden="false" customHeight="false" outlineLevel="0" collapsed="false">
      <c r="A146" s="138" t="n">
        <f aca="false">EDATE(A145,1)</f>
        <v>41122</v>
      </c>
      <c r="B146" s="139" t="n">
        <f aca="false">VLOOKUP($A146,Table2,MATCH(I$3,Curves2,0))</f>
        <v>60900</v>
      </c>
      <c r="C146" s="140"/>
      <c r="D146" s="141" t="n">
        <f aca="false">B146+C146</f>
        <v>60900</v>
      </c>
      <c r="E146" s="126" t="n">
        <f aca="false">IF(Y146=0,0,IF(AND(Y146=1,$H$3=1),D146*T146,IF($H$3=2,D146,"N/A")))</f>
        <v>0</v>
      </c>
      <c r="F146" s="126" t="n">
        <f aca="false">E146*X146</f>
        <v>0</v>
      </c>
      <c r="G146" s="142" t="n">
        <f aca="false">VLOOKUP($A146,Table,MATCH(G$4,Curves,0))</f>
        <v>3.987</v>
      </c>
      <c r="H146" s="143" t="n">
        <f aca="false">G146</f>
        <v>3.987</v>
      </c>
      <c r="I146" s="142" t="n">
        <f aca="false">VLOOKUP($A146,Table1,MATCH(I$3,Curves1,0))</f>
        <v>3.7904</v>
      </c>
      <c r="J146" s="142" t="n">
        <f aca="false">VLOOKUP($A146,Table,MATCH(J$4,Curves,0))</f>
        <v>0.011</v>
      </c>
      <c r="K146" s="143" t="n">
        <f aca="false">J146</f>
        <v>0.011</v>
      </c>
      <c r="L146" s="144" t="n">
        <v>0</v>
      </c>
      <c r="M146" s="142" t="n">
        <f aca="false">VLOOKUP($A146,Table,MATCH(M$4,Curves,0))</f>
        <v>0.015</v>
      </c>
      <c r="N146" s="143" t="n">
        <f aca="false">M146</f>
        <v>0.015</v>
      </c>
      <c r="O146" s="144" t="n">
        <v>0</v>
      </c>
      <c r="P146" s="145"/>
      <c r="Q146" s="144" t="n">
        <f aca="false">M146+J146+G146</f>
        <v>4.013</v>
      </c>
      <c r="R146" s="144" t="n">
        <f aca="false">O146+L146+I146</f>
        <v>3.7904</v>
      </c>
      <c r="S146" s="145"/>
      <c r="T146" s="71" t="n">
        <f aca="false">A147-A146</f>
        <v>31</v>
      </c>
      <c r="U146" s="146" t="n">
        <f aca="false">CHOOSE(F$3,A147+24,A146)</f>
        <v>41177</v>
      </c>
      <c r="V146" s="71" t="n">
        <f aca="false">U146-C$3</f>
        <v>4289</v>
      </c>
      <c r="W146" s="142" t="n">
        <f aca="false">VLOOKUP($A146,Table,MATCH(W$4,Curves,0))</f>
        <v>0.058966861357273</v>
      </c>
      <c r="X146" s="147" t="n">
        <f aca="false">1/(1+CHOOSE(F$3,(W147+($K$3/10000))/2,(W146+($K$3/10000))/2))^(2*V146/365.25)</f>
        <v>0.50539474195912</v>
      </c>
      <c r="Y146" s="71" t="n">
        <f aca="false">IF(AND(mthbeg&lt;=A146,mthend&gt;=A146),1,0)</f>
        <v>0</v>
      </c>
      <c r="Z146" s="71" t="n">
        <f aca="false">T146*Y146</f>
        <v>0</v>
      </c>
      <c r="AB146" s="132" t="n">
        <f aca="false">F146*G146</f>
        <v>0</v>
      </c>
      <c r="AC146" s="132" t="n">
        <f aca="false">$F146*H146</f>
        <v>0</v>
      </c>
      <c r="AD146" s="132" t="n">
        <f aca="false">$F146*I146</f>
        <v>0</v>
      </c>
      <c r="AE146" s="132" t="n">
        <f aca="false">$F146*J146</f>
        <v>0</v>
      </c>
      <c r="AF146" s="132" t="n">
        <f aca="false">$F146*K146</f>
        <v>0</v>
      </c>
      <c r="AG146" s="132" t="n">
        <f aca="false">$F146*L146</f>
        <v>0</v>
      </c>
      <c r="AH146" s="132" t="n">
        <f aca="false">$F146*M146</f>
        <v>0</v>
      </c>
      <c r="AI146" s="132" t="n">
        <f aca="false">$F146*N146</f>
        <v>0</v>
      </c>
      <c r="AJ146" s="132" t="n">
        <f aca="false">F146*O146</f>
        <v>0</v>
      </c>
      <c r="AK146" s="137"/>
      <c r="AL146" s="132" t="n">
        <f aca="false">CHOOSE($G$3,AC146-AD146,AD146-AC146)</f>
        <v>0</v>
      </c>
      <c r="AM146" s="132" t="n">
        <f aca="false">CHOOSE($G$3,AF146-AG146,AG146-AF146)</f>
        <v>0</v>
      </c>
      <c r="AN146" s="132" t="n">
        <f aca="false">CHOOSE($G$3,AI146-AJ146,AJ146-AI146)</f>
        <v>0</v>
      </c>
      <c r="AO146" s="148" t="n">
        <f aca="false">SUM(AL146:AN146)</f>
        <v>0</v>
      </c>
      <c r="AQ146" s="132" t="n">
        <f aca="false">CHOOSE($G$3,AB146-AC146,AC146-AB146)</f>
        <v>0</v>
      </c>
      <c r="AR146" s="132" t="n">
        <f aca="false">CHOOSE($G$3,AE146-AF146,AF146-AE146)</f>
        <v>0</v>
      </c>
      <c r="AS146" s="132" t="n">
        <f aca="false">CHOOSE($G$3,AH146-AI146,AI146-AH146)</f>
        <v>0</v>
      </c>
      <c r="AT146" s="148" t="n">
        <f aca="false">AQ146+AR146+AS146</f>
        <v>0</v>
      </c>
      <c r="AU146" s="148"/>
      <c r="AV146" s="133" t="n">
        <f aca="false">AT146+AO146</f>
        <v>0</v>
      </c>
      <c r="AX146" s="133" t="n">
        <f aca="false">AJ146+AG146+AD146</f>
        <v>0</v>
      </c>
      <c r="AY146" s="149"/>
      <c r="AZ146" s="76" t="n">
        <f aca="false">R146*E146</f>
        <v>0</v>
      </c>
    </row>
    <row r="147" customFormat="false" ht="12.75" hidden="false" customHeight="false" outlineLevel="0" collapsed="false">
      <c r="A147" s="138" t="n">
        <f aca="false">EDATE(A146,1)</f>
        <v>41153</v>
      </c>
      <c r="B147" s="139" t="n">
        <f aca="false">VLOOKUP($A147,Table2,MATCH(I$3,Curves2,0))</f>
        <v>60900</v>
      </c>
      <c r="C147" s="140"/>
      <c r="D147" s="141" t="n">
        <f aca="false">B147+C147</f>
        <v>60900</v>
      </c>
      <c r="E147" s="126" t="n">
        <f aca="false">IF(Y147=0,0,IF(AND(Y147=1,$H$3=1),D147*T147,IF($H$3=2,D147,"N/A")))</f>
        <v>0</v>
      </c>
      <c r="F147" s="126" t="n">
        <f aca="false">E147*X147</f>
        <v>0</v>
      </c>
      <c r="G147" s="142" t="n">
        <f aca="false">VLOOKUP($A147,Table,MATCH(G$4,Curves,0))</f>
        <v>3.987</v>
      </c>
      <c r="H147" s="143" t="n">
        <f aca="false">G147</f>
        <v>3.987</v>
      </c>
      <c r="I147" s="142" t="n">
        <f aca="false">VLOOKUP($A147,Table1,MATCH(I$3,Curves1,0))</f>
        <v>3.7904</v>
      </c>
      <c r="J147" s="142" t="n">
        <f aca="false">VLOOKUP($A147,Table,MATCH(J$4,Curves,0))</f>
        <v>0.011</v>
      </c>
      <c r="K147" s="143" t="n">
        <f aca="false">J147</f>
        <v>0.011</v>
      </c>
      <c r="L147" s="144" t="n">
        <v>0</v>
      </c>
      <c r="M147" s="142" t="n">
        <f aca="false">VLOOKUP($A147,Table,MATCH(M$4,Curves,0))</f>
        <v>0.015</v>
      </c>
      <c r="N147" s="143" t="n">
        <f aca="false">M147</f>
        <v>0.015</v>
      </c>
      <c r="O147" s="144" t="n">
        <v>0</v>
      </c>
      <c r="P147" s="145"/>
      <c r="Q147" s="144" t="n">
        <f aca="false">M147+J147+G147</f>
        <v>4.013</v>
      </c>
      <c r="R147" s="144" t="n">
        <f aca="false">O147+L147+I147</f>
        <v>3.7904</v>
      </c>
      <c r="S147" s="145"/>
      <c r="T147" s="71" t="n">
        <f aca="false">A148-A147</f>
        <v>30</v>
      </c>
      <c r="U147" s="146" t="n">
        <f aca="false">CHOOSE(F$3,A148+24,A147)</f>
        <v>41207</v>
      </c>
      <c r="V147" s="71" t="n">
        <f aca="false">U147-C$3</f>
        <v>4319</v>
      </c>
      <c r="W147" s="142" t="n">
        <f aca="false">VLOOKUP($A147,Table,MATCH(W$4,Curves,0))</f>
        <v>0.058966861357273</v>
      </c>
      <c r="X147" s="147" t="n">
        <f aca="false">1/(1+CHOOSE(F$3,(W148+($K$3/10000))/2,(W147+($K$3/10000))/2))^(2*V147/365.25)</f>
        <v>0.502988115334312</v>
      </c>
      <c r="Y147" s="71" t="n">
        <f aca="false">IF(AND(mthbeg&lt;=A147,mthend&gt;=A147),1,0)</f>
        <v>0</v>
      </c>
      <c r="Z147" s="71" t="n">
        <f aca="false">T147*Y147</f>
        <v>0</v>
      </c>
      <c r="AB147" s="132" t="n">
        <f aca="false">F147*G147</f>
        <v>0</v>
      </c>
      <c r="AC147" s="132" t="n">
        <f aca="false">$F147*H147</f>
        <v>0</v>
      </c>
      <c r="AD147" s="132" t="n">
        <f aca="false">$F147*I147</f>
        <v>0</v>
      </c>
      <c r="AE147" s="132" t="n">
        <f aca="false">$F147*J147</f>
        <v>0</v>
      </c>
      <c r="AF147" s="132" t="n">
        <f aca="false">$F147*K147</f>
        <v>0</v>
      </c>
      <c r="AG147" s="132" t="n">
        <f aca="false">$F147*L147</f>
        <v>0</v>
      </c>
      <c r="AH147" s="132" t="n">
        <f aca="false">$F147*M147</f>
        <v>0</v>
      </c>
      <c r="AI147" s="132" t="n">
        <f aca="false">$F147*N147</f>
        <v>0</v>
      </c>
      <c r="AJ147" s="132" t="n">
        <f aca="false">F147*O147</f>
        <v>0</v>
      </c>
      <c r="AK147" s="137"/>
      <c r="AL147" s="132" t="n">
        <f aca="false">CHOOSE($G$3,AC147-AD147,AD147-AC147)</f>
        <v>0</v>
      </c>
      <c r="AM147" s="132" t="n">
        <f aca="false">CHOOSE($G$3,AF147-AG147,AG147-AF147)</f>
        <v>0</v>
      </c>
      <c r="AN147" s="132" t="n">
        <f aca="false">CHOOSE($G$3,AI147-AJ147,AJ147-AI147)</f>
        <v>0</v>
      </c>
      <c r="AO147" s="148" t="n">
        <f aca="false">SUM(AL147:AN147)</f>
        <v>0</v>
      </c>
      <c r="AQ147" s="132" t="n">
        <f aca="false">CHOOSE($G$3,AB147-AC147,AC147-AB147)</f>
        <v>0</v>
      </c>
      <c r="AR147" s="132" t="n">
        <f aca="false">CHOOSE($G$3,AE147-AF147,AF147-AE147)</f>
        <v>0</v>
      </c>
      <c r="AS147" s="132" t="n">
        <f aca="false">CHOOSE($G$3,AH147-AI147,AI147-AH147)</f>
        <v>0</v>
      </c>
      <c r="AT147" s="148" t="n">
        <f aca="false">AQ147+AR147+AS147</f>
        <v>0</v>
      </c>
      <c r="AU147" s="148"/>
      <c r="AV147" s="133" t="n">
        <f aca="false">AT147+AO147</f>
        <v>0</v>
      </c>
      <c r="AX147" s="133" t="n">
        <f aca="false">AJ147+AG147+AD147</f>
        <v>0</v>
      </c>
      <c r="AY147" s="149"/>
      <c r="AZ147" s="76" t="n">
        <f aca="false">R147*E147</f>
        <v>0</v>
      </c>
    </row>
    <row r="148" customFormat="false" ht="12.75" hidden="false" customHeight="false" outlineLevel="0" collapsed="false">
      <c r="A148" s="138" t="n">
        <f aca="false">EDATE(A147,1)</f>
        <v>41183</v>
      </c>
      <c r="B148" s="139" t="n">
        <f aca="false">VLOOKUP($A148,Table2,MATCH(I$3,Curves2,0))</f>
        <v>60900</v>
      </c>
      <c r="C148" s="140"/>
      <c r="D148" s="141" t="n">
        <f aca="false">B148+C148</f>
        <v>60900</v>
      </c>
      <c r="E148" s="126" t="n">
        <f aca="false">IF(Y148=0,0,IF(AND(Y148=1,$H$3=1),D148*T148,IF($H$3=2,D148,"N/A")))</f>
        <v>0</v>
      </c>
      <c r="F148" s="126" t="n">
        <f aca="false">E148*X148</f>
        <v>0</v>
      </c>
      <c r="G148" s="142" t="n">
        <f aca="false">VLOOKUP($A148,Table,MATCH(G$4,Curves,0))</f>
        <v>3.987</v>
      </c>
      <c r="H148" s="143" t="n">
        <f aca="false">G148</f>
        <v>3.987</v>
      </c>
      <c r="I148" s="142" t="n">
        <f aca="false">VLOOKUP($A148,Table1,MATCH(I$3,Curves1,0))</f>
        <v>3.7904</v>
      </c>
      <c r="J148" s="142" t="n">
        <f aca="false">VLOOKUP($A148,Table,MATCH(J$4,Curves,0))</f>
        <v>0.011</v>
      </c>
      <c r="K148" s="143" t="n">
        <f aca="false">J148</f>
        <v>0.011</v>
      </c>
      <c r="L148" s="144" t="n">
        <v>0</v>
      </c>
      <c r="M148" s="142" t="n">
        <f aca="false">VLOOKUP($A148,Table,MATCH(M$4,Curves,0))</f>
        <v>0.015</v>
      </c>
      <c r="N148" s="143" t="n">
        <f aca="false">M148</f>
        <v>0.015</v>
      </c>
      <c r="O148" s="144" t="n">
        <v>0</v>
      </c>
      <c r="P148" s="145"/>
      <c r="Q148" s="144" t="n">
        <f aca="false">M148+J148+G148</f>
        <v>4.013</v>
      </c>
      <c r="R148" s="144" t="n">
        <f aca="false">O148+L148+I148</f>
        <v>3.7904</v>
      </c>
      <c r="S148" s="145"/>
      <c r="T148" s="71" t="n">
        <f aca="false">A149-A148</f>
        <v>31</v>
      </c>
      <c r="U148" s="146" t="n">
        <f aca="false">CHOOSE(F$3,A149+24,A148)</f>
        <v>41238</v>
      </c>
      <c r="V148" s="71" t="n">
        <f aca="false">U148-C$3</f>
        <v>4350</v>
      </c>
      <c r="W148" s="142" t="n">
        <f aca="false">VLOOKUP($A148,Table,MATCH(W$4,Curves,0))</f>
        <v>0.058966861357273</v>
      </c>
      <c r="X148" s="147" t="n">
        <f aca="false">1/(1+CHOOSE(F$3,(W149+($K$3/10000))/2,(W148+($K$3/10000))/2))^(2*V148/365.25)</f>
        <v>0.500513306609077</v>
      </c>
      <c r="Y148" s="71" t="n">
        <f aca="false">IF(AND(mthbeg&lt;=A148,mthend&gt;=A148),1,0)</f>
        <v>0</v>
      </c>
      <c r="Z148" s="71" t="n">
        <f aca="false">T148*Y148</f>
        <v>0</v>
      </c>
      <c r="AB148" s="132" t="n">
        <f aca="false">F148*G148</f>
        <v>0</v>
      </c>
      <c r="AC148" s="132" t="n">
        <f aca="false">$F148*H148</f>
        <v>0</v>
      </c>
      <c r="AD148" s="132" t="n">
        <f aca="false">$F148*I148</f>
        <v>0</v>
      </c>
      <c r="AE148" s="132" t="n">
        <f aca="false">$F148*J148</f>
        <v>0</v>
      </c>
      <c r="AF148" s="132" t="n">
        <f aca="false">$F148*K148</f>
        <v>0</v>
      </c>
      <c r="AG148" s="132" t="n">
        <f aca="false">$F148*L148</f>
        <v>0</v>
      </c>
      <c r="AH148" s="132" t="n">
        <f aca="false">$F148*M148</f>
        <v>0</v>
      </c>
      <c r="AI148" s="132" t="n">
        <f aca="false">$F148*N148</f>
        <v>0</v>
      </c>
      <c r="AJ148" s="132" t="n">
        <f aca="false">F148*O148</f>
        <v>0</v>
      </c>
      <c r="AK148" s="137"/>
      <c r="AL148" s="132" t="n">
        <f aca="false">CHOOSE($G$3,AC148-AD148,AD148-AC148)</f>
        <v>0</v>
      </c>
      <c r="AM148" s="132" t="n">
        <f aca="false">CHOOSE($G$3,AF148-AG148,AG148-AF148)</f>
        <v>0</v>
      </c>
      <c r="AN148" s="132" t="n">
        <f aca="false">CHOOSE($G$3,AI148-AJ148,AJ148-AI148)</f>
        <v>0</v>
      </c>
      <c r="AO148" s="148" t="n">
        <f aca="false">SUM(AL148:AN148)</f>
        <v>0</v>
      </c>
      <c r="AQ148" s="132" t="n">
        <f aca="false">CHOOSE($G$3,AB148-AC148,AC148-AB148)</f>
        <v>0</v>
      </c>
      <c r="AR148" s="132" t="n">
        <f aca="false">CHOOSE($G$3,AE148-AF148,AF148-AE148)</f>
        <v>0</v>
      </c>
      <c r="AS148" s="132" t="n">
        <f aca="false">CHOOSE($G$3,AH148-AI148,AI148-AH148)</f>
        <v>0</v>
      </c>
      <c r="AT148" s="148" t="n">
        <f aca="false">AQ148+AR148+AS148</f>
        <v>0</v>
      </c>
      <c r="AU148" s="148"/>
      <c r="AV148" s="133" t="n">
        <f aca="false">AT148+AO148</f>
        <v>0</v>
      </c>
      <c r="AX148" s="133" t="n">
        <f aca="false">AJ148+AG148+AD148</f>
        <v>0</v>
      </c>
      <c r="AY148" s="149"/>
      <c r="AZ148" s="76" t="n">
        <f aca="false">R148*E148</f>
        <v>0</v>
      </c>
    </row>
    <row r="149" customFormat="false" ht="12.75" hidden="false" customHeight="false" outlineLevel="0" collapsed="false">
      <c r="A149" s="138" t="n">
        <f aca="false">EDATE(A148,1)</f>
        <v>41214</v>
      </c>
      <c r="B149" s="139" t="n">
        <f aca="false">VLOOKUP($A149,Table2,MATCH(I$3,Curves2,0))</f>
        <v>60900</v>
      </c>
      <c r="C149" s="140"/>
      <c r="D149" s="141" t="n">
        <f aca="false">B149+C149</f>
        <v>60900</v>
      </c>
      <c r="E149" s="126" t="n">
        <f aca="false">IF(Y149=0,0,IF(AND(Y149=1,$H$3=1),D149*T149,IF($H$3=2,D149,"N/A")))</f>
        <v>0</v>
      </c>
      <c r="F149" s="126" t="n">
        <f aca="false">E149*X149</f>
        <v>0</v>
      </c>
      <c r="G149" s="142" t="n">
        <f aca="false">VLOOKUP($A149,Table,MATCH(G$4,Curves,0))</f>
        <v>3.987</v>
      </c>
      <c r="H149" s="143" t="n">
        <f aca="false">G149</f>
        <v>3.987</v>
      </c>
      <c r="I149" s="142" t="n">
        <f aca="false">VLOOKUP($A149,Table1,MATCH(I$3,Curves1,0))</f>
        <v>3.7904</v>
      </c>
      <c r="J149" s="142" t="n">
        <f aca="false">VLOOKUP($A149,Table,MATCH(J$4,Curves,0))</f>
        <v>0.011</v>
      </c>
      <c r="K149" s="143" t="n">
        <f aca="false">J149</f>
        <v>0.011</v>
      </c>
      <c r="L149" s="144" t="n">
        <v>0</v>
      </c>
      <c r="M149" s="142" t="n">
        <f aca="false">VLOOKUP($A149,Table,MATCH(M$4,Curves,0))</f>
        <v>0.015</v>
      </c>
      <c r="N149" s="143" t="n">
        <f aca="false">M149</f>
        <v>0.015</v>
      </c>
      <c r="O149" s="144" t="n">
        <v>0</v>
      </c>
      <c r="P149" s="145"/>
      <c r="Q149" s="144" t="n">
        <f aca="false">M149+J149+G149</f>
        <v>4.013</v>
      </c>
      <c r="R149" s="144" t="n">
        <f aca="false">O149+L149+I149</f>
        <v>3.7904</v>
      </c>
      <c r="S149" s="145"/>
      <c r="T149" s="71" t="n">
        <f aca="false">A150-A149</f>
        <v>30</v>
      </c>
      <c r="U149" s="146" t="n">
        <f aca="false">CHOOSE(F$3,A150+24,A149)</f>
        <v>41268</v>
      </c>
      <c r="V149" s="71" t="n">
        <f aca="false">U149-C$3</f>
        <v>4380</v>
      </c>
      <c r="W149" s="142" t="n">
        <f aca="false">VLOOKUP($A149,Table,MATCH(W$4,Curves,0))</f>
        <v>0.058966861357273</v>
      </c>
      <c r="X149" s="147" t="n">
        <f aca="false">1/(1+CHOOSE(F$3,(W150+($K$3/10000))/2,(W149+($K$3/10000))/2))^(2*V149/365.25)</f>
        <v>0.498129924769593</v>
      </c>
      <c r="Y149" s="71" t="n">
        <f aca="false">IF(AND(mthbeg&lt;=A149,mthend&gt;=A149),1,0)</f>
        <v>0</v>
      </c>
      <c r="Z149" s="71" t="n">
        <f aca="false">T149*Y149</f>
        <v>0</v>
      </c>
      <c r="AB149" s="132" t="n">
        <f aca="false">F149*G149</f>
        <v>0</v>
      </c>
      <c r="AC149" s="132" t="n">
        <f aca="false">$F149*H149</f>
        <v>0</v>
      </c>
      <c r="AD149" s="132" t="n">
        <f aca="false">$F149*I149</f>
        <v>0</v>
      </c>
      <c r="AE149" s="132" t="n">
        <f aca="false">$F149*J149</f>
        <v>0</v>
      </c>
      <c r="AF149" s="132" t="n">
        <f aca="false">$F149*K149</f>
        <v>0</v>
      </c>
      <c r="AG149" s="132" t="n">
        <f aca="false">$F149*L149</f>
        <v>0</v>
      </c>
      <c r="AH149" s="132" t="n">
        <f aca="false">$F149*M149</f>
        <v>0</v>
      </c>
      <c r="AI149" s="132" t="n">
        <f aca="false">$F149*N149</f>
        <v>0</v>
      </c>
      <c r="AJ149" s="132" t="n">
        <f aca="false">F149*O149</f>
        <v>0</v>
      </c>
      <c r="AK149" s="137"/>
      <c r="AL149" s="132" t="n">
        <f aca="false">CHOOSE($G$3,AC149-AD149,AD149-AC149)</f>
        <v>0</v>
      </c>
      <c r="AM149" s="132" t="n">
        <f aca="false">CHOOSE($G$3,AF149-AG149,AG149-AF149)</f>
        <v>0</v>
      </c>
      <c r="AN149" s="132" t="n">
        <f aca="false">CHOOSE($G$3,AI149-AJ149,AJ149-AI149)</f>
        <v>0</v>
      </c>
      <c r="AO149" s="148" t="n">
        <f aca="false">SUM(AL149:AN149)</f>
        <v>0</v>
      </c>
      <c r="AQ149" s="132" t="n">
        <f aca="false">CHOOSE($G$3,AB149-AC149,AC149-AB149)</f>
        <v>0</v>
      </c>
      <c r="AR149" s="132" t="n">
        <f aca="false">CHOOSE($G$3,AE149-AF149,AF149-AE149)</f>
        <v>0</v>
      </c>
      <c r="AS149" s="132" t="n">
        <f aca="false">CHOOSE($G$3,AH149-AI149,AI149-AH149)</f>
        <v>0</v>
      </c>
      <c r="AT149" s="148" t="n">
        <f aca="false">AQ149+AR149+AS149</f>
        <v>0</v>
      </c>
      <c r="AU149" s="148"/>
      <c r="AV149" s="133" t="n">
        <f aca="false">AT149+AO149</f>
        <v>0</v>
      </c>
      <c r="AX149" s="133" t="n">
        <f aca="false">AJ149+AG149+AD149</f>
        <v>0</v>
      </c>
      <c r="AY149" s="149"/>
      <c r="AZ149" s="76" t="n">
        <f aca="false">R149*E149</f>
        <v>0</v>
      </c>
    </row>
    <row r="150" customFormat="false" ht="12.75" hidden="false" customHeight="false" outlineLevel="0" collapsed="false">
      <c r="A150" s="138" t="n">
        <f aca="false">EDATE(A149,1)</f>
        <v>41244</v>
      </c>
      <c r="B150" s="139" t="n">
        <f aca="false">VLOOKUP($A150,Table2,MATCH(I$3,Curves2,0))</f>
        <v>60900</v>
      </c>
      <c r="C150" s="140"/>
      <c r="D150" s="141" t="n">
        <f aca="false">B150+C150</f>
        <v>60900</v>
      </c>
      <c r="E150" s="126" t="n">
        <f aca="false">IF(Y150=0,0,IF(AND(Y150=1,$H$3=1),D150*T150,IF($H$3=2,D150,"N/A")))</f>
        <v>0</v>
      </c>
      <c r="F150" s="126" t="n">
        <f aca="false">E150*X150</f>
        <v>0</v>
      </c>
      <c r="G150" s="142" t="n">
        <f aca="false">VLOOKUP($A150,Table,MATCH(G$4,Curves,0))</f>
        <v>3.987</v>
      </c>
      <c r="H150" s="143" t="n">
        <f aca="false">G150</f>
        <v>3.987</v>
      </c>
      <c r="I150" s="142" t="n">
        <f aca="false">VLOOKUP($A150,Table1,MATCH(I$3,Curves1,0))</f>
        <v>3.7904</v>
      </c>
      <c r="J150" s="142" t="n">
        <f aca="false">VLOOKUP($A150,Table,MATCH(J$4,Curves,0))</f>
        <v>0.011</v>
      </c>
      <c r="K150" s="143" t="n">
        <f aca="false">J150</f>
        <v>0.011</v>
      </c>
      <c r="L150" s="144" t="n">
        <v>0</v>
      </c>
      <c r="M150" s="142" t="n">
        <f aca="false">VLOOKUP($A150,Table,MATCH(M$4,Curves,0))</f>
        <v>0.015</v>
      </c>
      <c r="N150" s="143" t="n">
        <f aca="false">M150</f>
        <v>0.015</v>
      </c>
      <c r="O150" s="144" t="n">
        <v>0</v>
      </c>
      <c r="P150" s="145"/>
      <c r="Q150" s="144" t="n">
        <f aca="false">M150+J150+G150</f>
        <v>4.013</v>
      </c>
      <c r="R150" s="144" t="n">
        <f aca="false">O150+L150+I150</f>
        <v>3.7904</v>
      </c>
      <c r="S150" s="145"/>
      <c r="T150" s="71" t="n">
        <f aca="false">A151-A150</f>
        <v>31</v>
      </c>
      <c r="U150" s="146" t="n">
        <f aca="false">CHOOSE(F$3,A151+24,A150)</f>
        <v>41299</v>
      </c>
      <c r="V150" s="71" t="n">
        <f aca="false">U150-C$3</f>
        <v>4411</v>
      </c>
      <c r="W150" s="142" t="n">
        <f aca="false">VLOOKUP($A150,Table,MATCH(W$4,Curves,0))</f>
        <v>0.058966861357273</v>
      </c>
      <c r="X150" s="147" t="n">
        <f aca="false">1/(1+CHOOSE(F$3,(W151+($K$3/10000))/2,(W150+($K$3/10000))/2))^(2*V150/365.25)</f>
        <v>0.495679019377323</v>
      </c>
      <c r="Y150" s="71" t="n">
        <f aca="false">IF(AND(mthbeg&lt;=A150,mthend&gt;=A150),1,0)</f>
        <v>0</v>
      </c>
      <c r="Z150" s="71" t="n">
        <f aca="false">T150*Y150</f>
        <v>0</v>
      </c>
      <c r="AB150" s="132" t="n">
        <f aca="false">F150*G150</f>
        <v>0</v>
      </c>
      <c r="AC150" s="132" t="n">
        <f aca="false">$F150*H150</f>
        <v>0</v>
      </c>
      <c r="AD150" s="132" t="n">
        <f aca="false">$F150*I150</f>
        <v>0</v>
      </c>
      <c r="AE150" s="132" t="n">
        <f aca="false">$F150*J150</f>
        <v>0</v>
      </c>
      <c r="AF150" s="132" t="n">
        <f aca="false">$F150*K150</f>
        <v>0</v>
      </c>
      <c r="AG150" s="132" t="n">
        <f aca="false">$F150*L150</f>
        <v>0</v>
      </c>
      <c r="AH150" s="132" t="n">
        <f aca="false">$F150*M150</f>
        <v>0</v>
      </c>
      <c r="AI150" s="132" t="n">
        <f aca="false">$F150*N150</f>
        <v>0</v>
      </c>
      <c r="AJ150" s="132" t="n">
        <f aca="false">F150*O150</f>
        <v>0</v>
      </c>
      <c r="AK150" s="137"/>
      <c r="AL150" s="132" t="n">
        <f aca="false">CHOOSE($G$3,AC150-AD150,AD150-AC150)</f>
        <v>0</v>
      </c>
      <c r="AM150" s="132" t="n">
        <f aca="false">CHOOSE($G$3,AF150-AG150,AG150-AF150)</f>
        <v>0</v>
      </c>
      <c r="AN150" s="132" t="n">
        <f aca="false">CHOOSE($G$3,AI150-AJ150,AJ150-AI150)</f>
        <v>0</v>
      </c>
      <c r="AO150" s="148" t="n">
        <f aca="false">SUM(AL150:AN150)</f>
        <v>0</v>
      </c>
      <c r="AQ150" s="132" t="n">
        <f aca="false">CHOOSE($G$3,AB150-AC150,AC150-AB150)</f>
        <v>0</v>
      </c>
      <c r="AR150" s="132" t="n">
        <f aca="false">CHOOSE($G$3,AE150-AF150,AF150-AE150)</f>
        <v>0</v>
      </c>
      <c r="AS150" s="132" t="n">
        <f aca="false">CHOOSE($G$3,AH150-AI150,AI150-AH150)</f>
        <v>0</v>
      </c>
      <c r="AT150" s="148" t="n">
        <f aca="false">AQ150+AR150+AS150</f>
        <v>0</v>
      </c>
      <c r="AU150" s="148"/>
      <c r="AV150" s="133" t="n">
        <f aca="false">AT150+AO150</f>
        <v>0</v>
      </c>
      <c r="AX150" s="133" t="n">
        <f aca="false">AJ150+AG150+AD150</f>
        <v>0</v>
      </c>
      <c r="AY150" s="149"/>
      <c r="AZ150" s="76" t="n">
        <f aca="false">R150*E150</f>
        <v>0</v>
      </c>
    </row>
    <row r="151" customFormat="false" ht="12.75" hidden="false" customHeight="false" outlineLevel="0" collapsed="false">
      <c r="A151" s="138" t="n">
        <f aca="false">EDATE(A150,1)</f>
        <v>41275</v>
      </c>
      <c r="B151" s="139" t="n">
        <f aca="false">VLOOKUP($A151,Table2,MATCH(I$3,Curves2,0))</f>
        <v>60900</v>
      </c>
      <c r="C151" s="140"/>
      <c r="D151" s="141" t="n">
        <f aca="false">B151+C151</f>
        <v>60900</v>
      </c>
      <c r="E151" s="126" t="n">
        <f aca="false">IF(Y151=0,0,IF(AND(Y151=1,$H$3=1),D151*T151,IF($H$3=2,D151,"N/A")))</f>
        <v>0</v>
      </c>
      <c r="F151" s="126" t="n">
        <f aca="false">E151*X151</f>
        <v>0</v>
      </c>
      <c r="G151" s="142" t="n">
        <f aca="false">VLOOKUP($A151,Table,MATCH(G$4,Curves,0))</f>
        <v>3.987</v>
      </c>
      <c r="H151" s="143" t="n">
        <f aca="false">G151</f>
        <v>3.987</v>
      </c>
      <c r="I151" s="142" t="n">
        <f aca="false">VLOOKUP($A151,Table1,MATCH(I$3,Curves1,0))</f>
        <v>3.7904</v>
      </c>
      <c r="J151" s="142" t="n">
        <f aca="false">VLOOKUP($A151,Table,MATCH(J$4,Curves,0))</f>
        <v>0.011</v>
      </c>
      <c r="K151" s="143" t="n">
        <f aca="false">J151</f>
        <v>0.011</v>
      </c>
      <c r="L151" s="144" t="n">
        <v>0</v>
      </c>
      <c r="M151" s="142" t="n">
        <f aca="false">VLOOKUP($A151,Table,MATCH(M$4,Curves,0))</f>
        <v>0.015</v>
      </c>
      <c r="N151" s="143" t="n">
        <f aca="false">M151</f>
        <v>0.015</v>
      </c>
      <c r="O151" s="144" t="n">
        <v>0</v>
      </c>
      <c r="P151" s="145"/>
      <c r="Q151" s="144" t="n">
        <f aca="false">M151+J151+G151</f>
        <v>4.013</v>
      </c>
      <c r="R151" s="144" t="n">
        <f aca="false">O151+L151+I151</f>
        <v>3.7904</v>
      </c>
      <c r="S151" s="145"/>
      <c r="T151" s="71" t="n">
        <f aca="false">A152-A151</f>
        <v>31</v>
      </c>
      <c r="U151" s="146" t="n">
        <f aca="false">CHOOSE(F$3,A152+24,A151)</f>
        <v>41330</v>
      </c>
      <c r="V151" s="71" t="n">
        <f aca="false">U151-C$3</f>
        <v>4442</v>
      </c>
      <c r="W151" s="142" t="n">
        <f aca="false">VLOOKUP($A151,Table,MATCH(W$4,Curves,0))</f>
        <v>0.058966861357273</v>
      </c>
      <c r="X151" s="147" t="n">
        <f aca="false">1/(1+CHOOSE(F$3,(W152+($K$3/10000))/2,(W151+($K$3/10000))/2))^(2*V151/365.25)</f>
        <v>0.493240172961925</v>
      </c>
      <c r="Y151" s="71" t="n">
        <f aca="false">IF(AND(mthbeg&lt;=A151,mthend&gt;=A151),1,0)</f>
        <v>0</v>
      </c>
      <c r="Z151" s="71" t="n">
        <f aca="false">T151*Y151</f>
        <v>0</v>
      </c>
      <c r="AB151" s="132" t="n">
        <f aca="false">F151*G151</f>
        <v>0</v>
      </c>
      <c r="AC151" s="132" t="n">
        <f aca="false">$F151*H151</f>
        <v>0</v>
      </c>
      <c r="AD151" s="132" t="n">
        <f aca="false">$F151*I151</f>
        <v>0</v>
      </c>
      <c r="AE151" s="132" t="n">
        <f aca="false">$F151*J151</f>
        <v>0</v>
      </c>
      <c r="AF151" s="132" t="n">
        <f aca="false">$F151*K151</f>
        <v>0</v>
      </c>
      <c r="AG151" s="132" t="n">
        <f aca="false">$F151*L151</f>
        <v>0</v>
      </c>
      <c r="AH151" s="132" t="n">
        <f aca="false">$F151*M151</f>
        <v>0</v>
      </c>
      <c r="AI151" s="132" t="n">
        <f aca="false">$F151*N151</f>
        <v>0</v>
      </c>
      <c r="AJ151" s="132" t="n">
        <f aca="false">F151*O151</f>
        <v>0</v>
      </c>
      <c r="AK151" s="137"/>
      <c r="AL151" s="132" t="n">
        <f aca="false">CHOOSE($G$3,AC151-AD151,AD151-AC151)</f>
        <v>0</v>
      </c>
      <c r="AM151" s="132" t="n">
        <f aca="false">CHOOSE($G$3,AF151-AG151,AG151-AF151)</f>
        <v>0</v>
      </c>
      <c r="AN151" s="132" t="n">
        <f aca="false">CHOOSE($G$3,AI151-AJ151,AJ151-AI151)</f>
        <v>0</v>
      </c>
      <c r="AO151" s="148" t="n">
        <f aca="false">SUM(AL151:AN151)</f>
        <v>0</v>
      </c>
      <c r="AQ151" s="132" t="n">
        <f aca="false">CHOOSE($G$3,AB151-AC151,AC151-AB151)</f>
        <v>0</v>
      </c>
      <c r="AR151" s="132" t="n">
        <f aca="false">CHOOSE($G$3,AE151-AF151,AF151-AE151)</f>
        <v>0</v>
      </c>
      <c r="AS151" s="132" t="n">
        <f aca="false">CHOOSE($G$3,AH151-AI151,AI151-AH151)</f>
        <v>0</v>
      </c>
      <c r="AT151" s="148" t="n">
        <f aca="false">AQ151+AR151+AS151</f>
        <v>0</v>
      </c>
      <c r="AU151" s="148"/>
      <c r="AV151" s="133" t="n">
        <f aca="false">AT151+AO151</f>
        <v>0</v>
      </c>
      <c r="AX151" s="133" t="n">
        <f aca="false">AJ151+AG151+AD151</f>
        <v>0</v>
      </c>
      <c r="AY151" s="149"/>
      <c r="AZ151" s="76" t="n">
        <f aca="false">R151*E151</f>
        <v>0</v>
      </c>
    </row>
    <row r="152" customFormat="false" ht="12.75" hidden="false" customHeight="false" outlineLevel="0" collapsed="false">
      <c r="A152" s="138" t="n">
        <f aca="false">EDATE(A151,1)</f>
        <v>41306</v>
      </c>
      <c r="B152" s="139" t="n">
        <f aca="false">VLOOKUP($A152,Table2,MATCH(I$3,Curves2,0))</f>
        <v>60900</v>
      </c>
      <c r="C152" s="140"/>
      <c r="D152" s="141" t="n">
        <f aca="false">B152+C152</f>
        <v>60900</v>
      </c>
      <c r="E152" s="126" t="n">
        <f aca="false">IF(Y152=0,0,IF(AND(Y152=1,$H$3=1),D152*T152,IF($H$3=2,D152,"N/A")))</f>
        <v>0</v>
      </c>
      <c r="F152" s="126" t="n">
        <f aca="false">E152*X152</f>
        <v>0</v>
      </c>
      <c r="G152" s="142" t="n">
        <f aca="false">VLOOKUP($A152,Table,MATCH(G$4,Curves,0))</f>
        <v>3.987</v>
      </c>
      <c r="H152" s="143" t="n">
        <f aca="false">G152</f>
        <v>3.987</v>
      </c>
      <c r="I152" s="142" t="n">
        <f aca="false">VLOOKUP($A152,Table1,MATCH(I$3,Curves1,0))</f>
        <v>3.7904</v>
      </c>
      <c r="J152" s="142" t="n">
        <f aca="false">VLOOKUP($A152,Table,MATCH(J$4,Curves,0))</f>
        <v>0.011</v>
      </c>
      <c r="K152" s="143" t="n">
        <f aca="false">J152</f>
        <v>0.011</v>
      </c>
      <c r="L152" s="144" t="n">
        <v>0</v>
      </c>
      <c r="M152" s="142" t="n">
        <f aca="false">VLOOKUP($A152,Table,MATCH(M$4,Curves,0))</f>
        <v>0.015</v>
      </c>
      <c r="N152" s="143" t="n">
        <f aca="false">M152</f>
        <v>0.015</v>
      </c>
      <c r="O152" s="144" t="n">
        <v>0</v>
      </c>
      <c r="P152" s="145"/>
      <c r="Q152" s="144" t="n">
        <f aca="false">M152+J152+G152</f>
        <v>4.013</v>
      </c>
      <c r="R152" s="144" t="n">
        <f aca="false">O152+L152+I152</f>
        <v>3.7904</v>
      </c>
      <c r="S152" s="145"/>
      <c r="T152" s="71" t="n">
        <f aca="false">A153-A152</f>
        <v>28</v>
      </c>
      <c r="U152" s="146" t="n">
        <f aca="false">CHOOSE(F$3,A153+24,A152)</f>
        <v>41358</v>
      </c>
      <c r="V152" s="71" t="n">
        <f aca="false">U152-C$3</f>
        <v>4470</v>
      </c>
      <c r="W152" s="142" t="n">
        <f aca="false">VLOOKUP($A152,Table,MATCH(W$4,Curves,0))</f>
        <v>0.058966861357273</v>
      </c>
      <c r="X152" s="147" t="n">
        <f aca="false">1/(1+CHOOSE(F$3,(W153+($K$3/10000))/2,(W152+($K$3/10000))/2))^(2*V152/365.25)</f>
        <v>0.491047659530883</v>
      </c>
      <c r="Y152" s="71" t="n">
        <f aca="false">IF(AND(mthbeg&lt;=A152,mthend&gt;=A152),1,0)</f>
        <v>0</v>
      </c>
      <c r="Z152" s="71" t="n">
        <f aca="false">T152*Y152</f>
        <v>0</v>
      </c>
      <c r="AB152" s="132" t="n">
        <f aca="false">F152*G152</f>
        <v>0</v>
      </c>
      <c r="AC152" s="132" t="n">
        <f aca="false">$F152*H152</f>
        <v>0</v>
      </c>
      <c r="AD152" s="132" t="n">
        <f aca="false">$F152*I152</f>
        <v>0</v>
      </c>
      <c r="AE152" s="132" t="n">
        <f aca="false">$F152*J152</f>
        <v>0</v>
      </c>
      <c r="AF152" s="132" t="n">
        <f aca="false">$F152*K152</f>
        <v>0</v>
      </c>
      <c r="AG152" s="132" t="n">
        <f aca="false">$F152*L152</f>
        <v>0</v>
      </c>
      <c r="AH152" s="132" t="n">
        <f aca="false">$F152*M152</f>
        <v>0</v>
      </c>
      <c r="AI152" s="132" t="n">
        <f aca="false">$F152*N152</f>
        <v>0</v>
      </c>
      <c r="AJ152" s="132" t="n">
        <f aca="false">F152*O152</f>
        <v>0</v>
      </c>
      <c r="AK152" s="137"/>
      <c r="AL152" s="132" t="n">
        <f aca="false">CHOOSE($G$3,AC152-AD152,AD152-AC152)</f>
        <v>0</v>
      </c>
      <c r="AM152" s="132" t="n">
        <f aca="false">CHOOSE($G$3,AF152-AG152,AG152-AF152)</f>
        <v>0</v>
      </c>
      <c r="AN152" s="132" t="n">
        <f aca="false">CHOOSE($G$3,AI152-AJ152,AJ152-AI152)</f>
        <v>0</v>
      </c>
      <c r="AO152" s="148" t="n">
        <f aca="false">SUM(AL152:AN152)</f>
        <v>0</v>
      </c>
      <c r="AQ152" s="132" t="n">
        <f aca="false">CHOOSE($G$3,AB152-AC152,AC152-AB152)</f>
        <v>0</v>
      </c>
      <c r="AR152" s="132" t="n">
        <f aca="false">CHOOSE($G$3,AE152-AF152,AF152-AE152)</f>
        <v>0</v>
      </c>
      <c r="AS152" s="132" t="n">
        <f aca="false">CHOOSE($G$3,AH152-AI152,AI152-AH152)</f>
        <v>0</v>
      </c>
      <c r="AT152" s="148" t="n">
        <f aca="false">AQ152+AR152+AS152</f>
        <v>0</v>
      </c>
      <c r="AU152" s="148"/>
      <c r="AV152" s="133" t="n">
        <f aca="false">AT152+AO152</f>
        <v>0</v>
      </c>
      <c r="AX152" s="133" t="n">
        <f aca="false">AJ152+AG152+AD152</f>
        <v>0</v>
      </c>
      <c r="AY152" s="149"/>
      <c r="AZ152" s="76" t="n">
        <f aca="false">R152*E152</f>
        <v>0</v>
      </c>
    </row>
    <row r="153" customFormat="false" ht="12.75" hidden="false" customHeight="false" outlineLevel="0" collapsed="false">
      <c r="A153" s="138" t="n">
        <f aca="false">EDATE(A152,1)</f>
        <v>41334</v>
      </c>
      <c r="B153" s="139" t="n">
        <f aca="false">VLOOKUP($A153,Table2,MATCH(I$3,Curves2,0))</f>
        <v>60900</v>
      </c>
      <c r="C153" s="140"/>
      <c r="D153" s="141" t="n">
        <f aca="false">B153+C153</f>
        <v>60900</v>
      </c>
      <c r="E153" s="126" t="n">
        <f aca="false">IF(Y153=0,0,IF(AND(Y153=1,$H$3=1),D153*T153,IF($H$3=2,D153,"N/A")))</f>
        <v>0</v>
      </c>
      <c r="F153" s="126" t="n">
        <f aca="false">E153*X153</f>
        <v>0</v>
      </c>
      <c r="G153" s="142" t="n">
        <f aca="false">VLOOKUP($A153,Table,MATCH(G$4,Curves,0))</f>
        <v>3.987</v>
      </c>
      <c r="H153" s="143" t="n">
        <f aca="false">G153</f>
        <v>3.987</v>
      </c>
      <c r="I153" s="142" t="n">
        <f aca="false">VLOOKUP($A153,Table1,MATCH(I$3,Curves1,0))</f>
        <v>3.7904</v>
      </c>
      <c r="J153" s="142" t="n">
        <f aca="false">VLOOKUP($A153,Table,MATCH(J$4,Curves,0))</f>
        <v>0.011</v>
      </c>
      <c r="K153" s="143" t="n">
        <f aca="false">J153</f>
        <v>0.011</v>
      </c>
      <c r="L153" s="144" t="n">
        <v>0</v>
      </c>
      <c r="M153" s="142" t="n">
        <f aca="false">VLOOKUP($A153,Table,MATCH(M$4,Curves,0))</f>
        <v>0.015</v>
      </c>
      <c r="N153" s="143" t="n">
        <f aca="false">M153</f>
        <v>0.015</v>
      </c>
      <c r="O153" s="144" t="n">
        <v>0</v>
      </c>
      <c r="P153" s="145"/>
      <c r="Q153" s="144" t="n">
        <f aca="false">M153+J153+G153</f>
        <v>4.013</v>
      </c>
      <c r="R153" s="144" t="n">
        <f aca="false">O153+L153+I153</f>
        <v>3.7904</v>
      </c>
      <c r="S153" s="145"/>
      <c r="T153" s="71" t="n">
        <f aca="false">A154-A153</f>
        <v>31</v>
      </c>
      <c r="U153" s="146" t="n">
        <f aca="false">CHOOSE(F$3,A154+24,A153)</f>
        <v>41389</v>
      </c>
      <c r="V153" s="71" t="n">
        <f aca="false">U153-C$3</f>
        <v>4501</v>
      </c>
      <c r="W153" s="142" t="n">
        <f aca="false">VLOOKUP($A153,Table,MATCH(W$4,Curves,0))</f>
        <v>0.058966861357273</v>
      </c>
      <c r="X153" s="147" t="n">
        <f aca="false">1/(1+CHOOSE(F$3,(W154+($K$3/10000))/2,(W153+($K$3/10000))/2))^(2*V153/365.25)</f>
        <v>0.488631600392974</v>
      </c>
      <c r="Y153" s="71" t="n">
        <f aca="false">IF(AND(mthbeg&lt;=A153,mthend&gt;=A153),1,0)</f>
        <v>0</v>
      </c>
      <c r="Z153" s="71" t="n">
        <f aca="false">T153*Y153</f>
        <v>0</v>
      </c>
      <c r="AB153" s="132" t="n">
        <f aca="false">F153*G153</f>
        <v>0</v>
      </c>
      <c r="AC153" s="132" t="n">
        <f aca="false">$F153*H153</f>
        <v>0</v>
      </c>
      <c r="AD153" s="132" t="n">
        <f aca="false">$F153*I153</f>
        <v>0</v>
      </c>
      <c r="AE153" s="132" t="n">
        <f aca="false">$F153*J153</f>
        <v>0</v>
      </c>
      <c r="AF153" s="132" t="n">
        <f aca="false">$F153*K153</f>
        <v>0</v>
      </c>
      <c r="AG153" s="132" t="n">
        <f aca="false">$F153*L153</f>
        <v>0</v>
      </c>
      <c r="AH153" s="132" t="n">
        <f aca="false">$F153*M153</f>
        <v>0</v>
      </c>
      <c r="AI153" s="132" t="n">
        <f aca="false">$F153*N153</f>
        <v>0</v>
      </c>
      <c r="AJ153" s="132" t="n">
        <f aca="false">F153*O153</f>
        <v>0</v>
      </c>
      <c r="AK153" s="137"/>
      <c r="AL153" s="132" t="n">
        <f aca="false">CHOOSE($G$3,AC153-AD153,AD153-AC153)</f>
        <v>0</v>
      </c>
      <c r="AM153" s="132" t="n">
        <f aca="false">CHOOSE($G$3,AF153-AG153,AG153-AF153)</f>
        <v>0</v>
      </c>
      <c r="AN153" s="132" t="n">
        <f aca="false">CHOOSE($G$3,AI153-AJ153,AJ153-AI153)</f>
        <v>0</v>
      </c>
      <c r="AO153" s="148" t="n">
        <f aca="false">SUM(AL153:AN153)</f>
        <v>0</v>
      </c>
      <c r="AQ153" s="132" t="n">
        <f aca="false">CHOOSE($G$3,AB153-AC153,AC153-AB153)</f>
        <v>0</v>
      </c>
      <c r="AR153" s="132" t="n">
        <f aca="false">CHOOSE($G$3,AE153-AF153,AF153-AE153)</f>
        <v>0</v>
      </c>
      <c r="AS153" s="132" t="n">
        <f aca="false">CHOOSE($G$3,AH153-AI153,AI153-AH153)</f>
        <v>0</v>
      </c>
      <c r="AT153" s="148" t="n">
        <f aca="false">AQ153+AR153+AS153</f>
        <v>0</v>
      </c>
      <c r="AU153" s="148"/>
      <c r="AV153" s="133" t="n">
        <f aca="false">AT153+AO153</f>
        <v>0</v>
      </c>
      <c r="AX153" s="133" t="n">
        <f aca="false">AJ153+AG153+AD153</f>
        <v>0</v>
      </c>
      <c r="AY153" s="149"/>
      <c r="AZ153" s="76" t="n">
        <f aca="false">R153*E153</f>
        <v>0</v>
      </c>
    </row>
    <row r="154" customFormat="false" ht="12.75" hidden="false" customHeight="false" outlineLevel="0" collapsed="false">
      <c r="A154" s="138" t="n">
        <f aca="false">EDATE(A153,1)</f>
        <v>41365</v>
      </c>
      <c r="B154" s="139" t="n">
        <f aca="false">VLOOKUP($A154,Table2,MATCH(I$3,Curves2,0))</f>
        <v>60900</v>
      </c>
      <c r="C154" s="140"/>
      <c r="D154" s="141" t="n">
        <f aca="false">B154+C154</f>
        <v>60900</v>
      </c>
      <c r="E154" s="126" t="n">
        <f aca="false">IF(Y154=0,0,IF(AND(Y154=1,$H$3=1),D154*T154,IF($H$3=2,D154,"N/A")))</f>
        <v>0</v>
      </c>
      <c r="F154" s="126" t="n">
        <f aca="false">E154*X154</f>
        <v>0</v>
      </c>
      <c r="G154" s="142" t="n">
        <f aca="false">VLOOKUP($A154,Table,MATCH(G$4,Curves,0))</f>
        <v>3.987</v>
      </c>
      <c r="H154" s="143" t="n">
        <f aca="false">G154</f>
        <v>3.987</v>
      </c>
      <c r="I154" s="142" t="n">
        <f aca="false">VLOOKUP($A154,Table1,MATCH(I$3,Curves1,0))</f>
        <v>3.7904</v>
      </c>
      <c r="J154" s="142" t="n">
        <f aca="false">VLOOKUP($A154,Table,MATCH(J$4,Curves,0))</f>
        <v>0.011</v>
      </c>
      <c r="K154" s="143" t="n">
        <f aca="false">J154</f>
        <v>0.011</v>
      </c>
      <c r="L154" s="144" t="n">
        <v>0</v>
      </c>
      <c r="M154" s="142" t="n">
        <f aca="false">VLOOKUP($A154,Table,MATCH(M$4,Curves,0))</f>
        <v>0.015</v>
      </c>
      <c r="N154" s="143" t="n">
        <f aca="false">M154</f>
        <v>0.015</v>
      </c>
      <c r="O154" s="144" t="n">
        <v>0</v>
      </c>
      <c r="P154" s="145"/>
      <c r="Q154" s="144" t="n">
        <f aca="false">M154+J154+G154</f>
        <v>4.013</v>
      </c>
      <c r="R154" s="144" t="n">
        <f aca="false">O154+L154+I154</f>
        <v>3.7904</v>
      </c>
      <c r="S154" s="145"/>
      <c r="T154" s="71" t="n">
        <f aca="false">A155-A154</f>
        <v>30</v>
      </c>
      <c r="U154" s="146" t="n">
        <f aca="false">CHOOSE(F$3,A155+24,A154)</f>
        <v>41419</v>
      </c>
      <c r="V154" s="71" t="n">
        <f aca="false">U154-C$3</f>
        <v>4531</v>
      </c>
      <c r="W154" s="142" t="n">
        <f aca="false">VLOOKUP($A154,Table,MATCH(W$4,Curves,0))</f>
        <v>0.058966861357273</v>
      </c>
      <c r="X154" s="147" t="n">
        <f aca="false">1/(1+CHOOSE(F$3,(W155+($K$3/10000))/2,(W154+($K$3/10000))/2))^(2*V154/365.25)</f>
        <v>0.48630479775417</v>
      </c>
      <c r="Y154" s="71" t="n">
        <f aca="false">IF(AND(mthbeg&lt;=A154,mthend&gt;=A154),1,0)</f>
        <v>0</v>
      </c>
      <c r="Z154" s="71" t="n">
        <f aca="false">T154*Y154</f>
        <v>0</v>
      </c>
      <c r="AB154" s="132" t="n">
        <f aca="false">F154*G154</f>
        <v>0</v>
      </c>
      <c r="AC154" s="132" t="n">
        <f aca="false">$F154*H154</f>
        <v>0</v>
      </c>
      <c r="AD154" s="132" t="n">
        <f aca="false">$F154*I154</f>
        <v>0</v>
      </c>
      <c r="AE154" s="132" t="n">
        <f aca="false">$F154*J154</f>
        <v>0</v>
      </c>
      <c r="AF154" s="132" t="n">
        <f aca="false">$F154*K154</f>
        <v>0</v>
      </c>
      <c r="AG154" s="132" t="n">
        <f aca="false">$F154*L154</f>
        <v>0</v>
      </c>
      <c r="AH154" s="132" t="n">
        <f aca="false">$F154*M154</f>
        <v>0</v>
      </c>
      <c r="AI154" s="132" t="n">
        <f aca="false">$F154*N154</f>
        <v>0</v>
      </c>
      <c r="AJ154" s="132" t="n">
        <f aca="false">F154*O154</f>
        <v>0</v>
      </c>
      <c r="AK154" s="137"/>
      <c r="AL154" s="132" t="n">
        <f aca="false">CHOOSE($G$3,AC154-AD154,AD154-AC154)</f>
        <v>0</v>
      </c>
      <c r="AM154" s="132" t="n">
        <f aca="false">CHOOSE($G$3,AF154-AG154,AG154-AF154)</f>
        <v>0</v>
      </c>
      <c r="AN154" s="132" t="n">
        <f aca="false">CHOOSE($G$3,AI154-AJ154,AJ154-AI154)</f>
        <v>0</v>
      </c>
      <c r="AO154" s="148" t="n">
        <f aca="false">SUM(AL154:AN154)</f>
        <v>0</v>
      </c>
      <c r="AQ154" s="132" t="n">
        <f aca="false">CHOOSE($G$3,AB154-AC154,AC154-AB154)</f>
        <v>0</v>
      </c>
      <c r="AR154" s="132" t="n">
        <f aca="false">CHOOSE($G$3,AE154-AF154,AF154-AE154)</f>
        <v>0</v>
      </c>
      <c r="AS154" s="132" t="n">
        <f aca="false">CHOOSE($G$3,AH154-AI154,AI154-AH154)</f>
        <v>0</v>
      </c>
      <c r="AT154" s="148" t="n">
        <f aca="false">AQ154+AR154+AS154</f>
        <v>0</v>
      </c>
      <c r="AU154" s="148"/>
      <c r="AV154" s="133" t="n">
        <f aca="false">AT154+AO154</f>
        <v>0</v>
      </c>
      <c r="AX154" s="133" t="n">
        <f aca="false">AJ154+AG154+AD154</f>
        <v>0</v>
      </c>
      <c r="AY154" s="149"/>
      <c r="AZ154" s="76" t="n">
        <f aca="false">R154*E154</f>
        <v>0</v>
      </c>
    </row>
    <row r="155" customFormat="false" ht="12.75" hidden="false" customHeight="false" outlineLevel="0" collapsed="false">
      <c r="A155" s="138" t="n">
        <f aca="false">EDATE(A154,1)</f>
        <v>41395</v>
      </c>
      <c r="B155" s="139" t="n">
        <f aca="false">VLOOKUP($A155,Table2,MATCH(I$3,Curves2,0))</f>
        <v>60900</v>
      </c>
      <c r="C155" s="140"/>
      <c r="D155" s="141" t="n">
        <f aca="false">B155+C155</f>
        <v>60900</v>
      </c>
      <c r="E155" s="126" t="n">
        <f aca="false">IF(Y155=0,0,IF(AND(Y155=1,$H$3=1),D155*T155,IF($H$3=2,D155,"N/A")))</f>
        <v>0</v>
      </c>
      <c r="F155" s="126" t="n">
        <f aca="false">E155*X155</f>
        <v>0</v>
      </c>
      <c r="G155" s="142" t="n">
        <f aca="false">VLOOKUP($A155,Table,MATCH(G$4,Curves,0))</f>
        <v>3.987</v>
      </c>
      <c r="H155" s="143" t="n">
        <f aca="false">G155</f>
        <v>3.987</v>
      </c>
      <c r="I155" s="142" t="n">
        <f aca="false">VLOOKUP($A155,Table1,MATCH(I$3,Curves1,0))</f>
        <v>3.7904</v>
      </c>
      <c r="J155" s="142" t="n">
        <f aca="false">VLOOKUP($A155,Table,MATCH(J$4,Curves,0))</f>
        <v>0.011</v>
      </c>
      <c r="K155" s="143" t="n">
        <f aca="false">J155</f>
        <v>0.011</v>
      </c>
      <c r="L155" s="144" t="n">
        <v>0</v>
      </c>
      <c r="M155" s="142" t="n">
        <f aca="false">VLOOKUP($A155,Table,MATCH(M$4,Curves,0))</f>
        <v>0.015</v>
      </c>
      <c r="N155" s="143" t="n">
        <f aca="false">M155</f>
        <v>0.015</v>
      </c>
      <c r="O155" s="144" t="n">
        <v>0</v>
      </c>
      <c r="P155" s="145"/>
      <c r="Q155" s="144" t="n">
        <f aca="false">M155+J155+G155</f>
        <v>4.013</v>
      </c>
      <c r="R155" s="144" t="n">
        <f aca="false">O155+L155+I155</f>
        <v>3.7904</v>
      </c>
      <c r="S155" s="145"/>
      <c r="T155" s="71" t="n">
        <f aca="false">A156-A155</f>
        <v>31</v>
      </c>
      <c r="U155" s="146" t="n">
        <f aca="false">CHOOSE(F$3,A156+24,A155)</f>
        <v>41450</v>
      </c>
      <c r="V155" s="71" t="n">
        <f aca="false">U155-C$3</f>
        <v>4562</v>
      </c>
      <c r="W155" s="142" t="n">
        <f aca="false">VLOOKUP($A155,Table,MATCH(W$4,Curves,0))</f>
        <v>0.058966861357273</v>
      </c>
      <c r="X155" s="147" t="n">
        <f aca="false">1/(1+CHOOSE(F$3,(W156+($K$3/10000))/2,(W155+($K$3/10000))/2))^(2*V155/365.25)</f>
        <v>0.48391207450701</v>
      </c>
      <c r="Y155" s="71" t="n">
        <f aca="false">IF(AND(mthbeg&lt;=A155,mthend&gt;=A155),1,0)</f>
        <v>0</v>
      </c>
      <c r="Z155" s="71" t="n">
        <f aca="false">T155*Y155</f>
        <v>0</v>
      </c>
      <c r="AB155" s="132" t="n">
        <f aca="false">F155*G155</f>
        <v>0</v>
      </c>
      <c r="AC155" s="132" t="n">
        <f aca="false">$F155*H155</f>
        <v>0</v>
      </c>
      <c r="AD155" s="132" t="n">
        <f aca="false">$F155*I155</f>
        <v>0</v>
      </c>
      <c r="AE155" s="132" t="n">
        <f aca="false">$F155*J155</f>
        <v>0</v>
      </c>
      <c r="AF155" s="132" t="n">
        <f aca="false">$F155*K155</f>
        <v>0</v>
      </c>
      <c r="AG155" s="132" t="n">
        <f aca="false">$F155*L155</f>
        <v>0</v>
      </c>
      <c r="AH155" s="132" t="n">
        <f aca="false">$F155*M155</f>
        <v>0</v>
      </c>
      <c r="AI155" s="132" t="n">
        <f aca="false">$F155*N155</f>
        <v>0</v>
      </c>
      <c r="AJ155" s="132" t="n">
        <f aca="false">F155*O155</f>
        <v>0</v>
      </c>
      <c r="AK155" s="137"/>
      <c r="AL155" s="132" t="n">
        <f aca="false">CHOOSE($G$3,AC155-AD155,AD155-AC155)</f>
        <v>0</v>
      </c>
      <c r="AM155" s="132" t="n">
        <f aca="false">CHOOSE($G$3,AF155-AG155,AG155-AF155)</f>
        <v>0</v>
      </c>
      <c r="AN155" s="132" t="n">
        <f aca="false">CHOOSE($G$3,AI155-AJ155,AJ155-AI155)</f>
        <v>0</v>
      </c>
      <c r="AO155" s="148" t="n">
        <f aca="false">SUM(AL155:AN155)</f>
        <v>0</v>
      </c>
      <c r="AQ155" s="132" t="n">
        <f aca="false">CHOOSE($G$3,AB155-AC155,AC155-AB155)</f>
        <v>0</v>
      </c>
      <c r="AR155" s="132" t="n">
        <f aca="false">CHOOSE($G$3,AE155-AF155,AF155-AE155)</f>
        <v>0</v>
      </c>
      <c r="AS155" s="132" t="n">
        <f aca="false">CHOOSE($G$3,AH155-AI155,AI155-AH155)</f>
        <v>0</v>
      </c>
      <c r="AT155" s="148" t="n">
        <f aca="false">AQ155+AR155+AS155</f>
        <v>0</v>
      </c>
      <c r="AU155" s="148"/>
      <c r="AV155" s="133" t="n">
        <f aca="false">AT155+AO155</f>
        <v>0</v>
      </c>
      <c r="AX155" s="133" t="n">
        <f aca="false">AJ155+AG155+AD155</f>
        <v>0</v>
      </c>
      <c r="AY155" s="149"/>
      <c r="AZ155" s="76" t="n">
        <f aca="false">R155*E155</f>
        <v>0</v>
      </c>
    </row>
    <row r="156" customFormat="false" ht="12.75" hidden="false" customHeight="false" outlineLevel="0" collapsed="false">
      <c r="A156" s="138" t="n">
        <f aca="false">EDATE(A155,1)</f>
        <v>41426</v>
      </c>
      <c r="B156" s="139" t="n">
        <f aca="false">VLOOKUP($A156,Table2,MATCH(I$3,Curves2,0))</f>
        <v>60900</v>
      </c>
      <c r="C156" s="140"/>
      <c r="D156" s="141" t="n">
        <f aca="false">B156+C156</f>
        <v>60900</v>
      </c>
      <c r="E156" s="126" t="n">
        <f aca="false">IF(Y156=0,0,IF(AND(Y156=1,$H$3=1),D156*T156,IF($H$3=2,D156,"N/A")))</f>
        <v>0</v>
      </c>
      <c r="F156" s="126" t="n">
        <f aca="false">E156*X156</f>
        <v>0</v>
      </c>
      <c r="G156" s="142" t="n">
        <f aca="false">VLOOKUP($A156,Table,MATCH(G$4,Curves,0))</f>
        <v>3.987</v>
      </c>
      <c r="H156" s="143" t="n">
        <f aca="false">G156</f>
        <v>3.987</v>
      </c>
      <c r="I156" s="142" t="n">
        <f aca="false">VLOOKUP($A156,Table1,MATCH(I$3,Curves1,0))</f>
        <v>3.7904</v>
      </c>
      <c r="J156" s="142" t="n">
        <f aca="false">VLOOKUP($A156,Table,MATCH(J$4,Curves,0))</f>
        <v>0.011</v>
      </c>
      <c r="K156" s="143" t="n">
        <f aca="false">J156</f>
        <v>0.011</v>
      </c>
      <c r="L156" s="144" t="n">
        <v>0</v>
      </c>
      <c r="M156" s="142" t="n">
        <f aca="false">VLOOKUP($A156,Table,MATCH(M$4,Curves,0))</f>
        <v>0.015</v>
      </c>
      <c r="N156" s="143" t="n">
        <f aca="false">M156</f>
        <v>0.015</v>
      </c>
      <c r="O156" s="144" t="n">
        <v>0</v>
      </c>
      <c r="P156" s="145"/>
      <c r="Q156" s="144" t="n">
        <f aca="false">M156+J156+G156</f>
        <v>4.013</v>
      </c>
      <c r="R156" s="144" t="n">
        <f aca="false">O156+L156+I156</f>
        <v>3.7904</v>
      </c>
      <c r="S156" s="145"/>
      <c r="T156" s="71" t="n">
        <f aca="false">A157-A156</f>
        <v>30</v>
      </c>
      <c r="U156" s="146" t="n">
        <f aca="false">CHOOSE(F$3,A157+24,A156)</f>
        <v>41480</v>
      </c>
      <c r="V156" s="71" t="n">
        <f aca="false">U156-C$3</f>
        <v>4592</v>
      </c>
      <c r="W156" s="142" t="n">
        <f aca="false">VLOOKUP($A156,Table,MATCH(W$4,Curves,0))</f>
        <v>0.058966861357273</v>
      </c>
      <c r="X156" s="147" t="n">
        <f aca="false">1/(1+CHOOSE(F$3,(W157+($K$3/10000))/2,(W156+($K$3/10000))/2))^(2*V156/365.25)</f>
        <v>0.481607745660888</v>
      </c>
      <c r="Y156" s="71" t="n">
        <f aca="false">IF(AND(mthbeg&lt;=A156,mthend&gt;=A156),1,0)</f>
        <v>0</v>
      </c>
      <c r="Z156" s="71" t="n">
        <f aca="false">T156*Y156</f>
        <v>0</v>
      </c>
      <c r="AB156" s="132" t="n">
        <f aca="false">F156*G156</f>
        <v>0</v>
      </c>
      <c r="AC156" s="132" t="n">
        <f aca="false">$F156*H156</f>
        <v>0</v>
      </c>
      <c r="AD156" s="132" t="n">
        <f aca="false">$F156*I156</f>
        <v>0</v>
      </c>
      <c r="AE156" s="132" t="n">
        <f aca="false">$F156*J156</f>
        <v>0</v>
      </c>
      <c r="AF156" s="132" t="n">
        <f aca="false">$F156*K156</f>
        <v>0</v>
      </c>
      <c r="AG156" s="132" t="n">
        <f aca="false">$F156*L156</f>
        <v>0</v>
      </c>
      <c r="AH156" s="132" t="n">
        <f aca="false">$F156*M156</f>
        <v>0</v>
      </c>
      <c r="AI156" s="132" t="n">
        <f aca="false">$F156*N156</f>
        <v>0</v>
      </c>
      <c r="AJ156" s="132" t="n">
        <f aca="false">F156*O156</f>
        <v>0</v>
      </c>
      <c r="AK156" s="137"/>
      <c r="AL156" s="132" t="n">
        <f aca="false">CHOOSE($G$3,AC156-AD156,AD156-AC156)</f>
        <v>0</v>
      </c>
      <c r="AM156" s="132" t="n">
        <f aca="false">CHOOSE($G$3,AF156-AG156,AG156-AF156)</f>
        <v>0</v>
      </c>
      <c r="AN156" s="132" t="n">
        <f aca="false">CHOOSE($G$3,AI156-AJ156,AJ156-AI156)</f>
        <v>0</v>
      </c>
      <c r="AO156" s="148" t="n">
        <f aca="false">SUM(AL156:AN156)</f>
        <v>0</v>
      </c>
      <c r="AQ156" s="132" t="n">
        <f aca="false">CHOOSE($G$3,AB156-AC156,AC156-AB156)</f>
        <v>0</v>
      </c>
      <c r="AR156" s="132" t="n">
        <f aca="false">CHOOSE($G$3,AE156-AF156,AF156-AE156)</f>
        <v>0</v>
      </c>
      <c r="AS156" s="132" t="n">
        <f aca="false">CHOOSE($G$3,AH156-AI156,AI156-AH156)</f>
        <v>0</v>
      </c>
      <c r="AT156" s="148" t="n">
        <f aca="false">AQ156+AR156+AS156</f>
        <v>0</v>
      </c>
      <c r="AU156" s="148"/>
      <c r="AV156" s="133" t="n">
        <f aca="false">AT156+AO156</f>
        <v>0</v>
      </c>
      <c r="AX156" s="133" t="n">
        <f aca="false">AJ156+AG156+AD156</f>
        <v>0</v>
      </c>
      <c r="AY156" s="149"/>
      <c r="AZ156" s="76" t="n">
        <f aca="false">R156*E156</f>
        <v>0</v>
      </c>
    </row>
    <row r="157" customFormat="false" ht="12.75" hidden="false" customHeight="false" outlineLevel="0" collapsed="false">
      <c r="A157" s="138" t="n">
        <f aca="false">EDATE(A156,1)</f>
        <v>41456</v>
      </c>
      <c r="B157" s="139" t="n">
        <f aca="false">VLOOKUP($A157,Table2,MATCH(I$3,Curves2,0))</f>
        <v>60900</v>
      </c>
      <c r="C157" s="140"/>
      <c r="D157" s="141" t="n">
        <f aca="false">B157+C157</f>
        <v>60900</v>
      </c>
      <c r="E157" s="126" t="n">
        <f aca="false">IF(Y157=0,0,IF(AND(Y157=1,$H$3=1),D157*T157,IF($H$3=2,D157,"N/A")))</f>
        <v>0</v>
      </c>
      <c r="F157" s="126" t="n">
        <f aca="false">E157*X157</f>
        <v>0</v>
      </c>
      <c r="G157" s="142" t="n">
        <f aca="false">VLOOKUP($A157,Table,MATCH(G$4,Curves,0))</f>
        <v>3.987</v>
      </c>
      <c r="H157" s="143" t="n">
        <f aca="false">G157</f>
        <v>3.987</v>
      </c>
      <c r="I157" s="142" t="n">
        <f aca="false">VLOOKUP($A157,Table1,MATCH(I$3,Curves1,0))</f>
        <v>3.7904</v>
      </c>
      <c r="J157" s="142" t="n">
        <f aca="false">VLOOKUP($A157,Table,MATCH(J$4,Curves,0))</f>
        <v>0.011</v>
      </c>
      <c r="K157" s="143" t="n">
        <f aca="false">J157</f>
        <v>0.011</v>
      </c>
      <c r="L157" s="144" t="n">
        <v>0</v>
      </c>
      <c r="M157" s="142" t="n">
        <f aca="false">VLOOKUP($A157,Table,MATCH(M$4,Curves,0))</f>
        <v>0.015</v>
      </c>
      <c r="N157" s="143" t="n">
        <f aca="false">M157</f>
        <v>0.015</v>
      </c>
      <c r="O157" s="144" t="n">
        <v>0</v>
      </c>
      <c r="P157" s="145"/>
      <c r="Q157" s="144" t="n">
        <f aca="false">M157+J157+G157</f>
        <v>4.013</v>
      </c>
      <c r="R157" s="144" t="n">
        <f aca="false">O157+L157+I157</f>
        <v>3.7904</v>
      </c>
      <c r="S157" s="145"/>
      <c r="T157" s="71" t="n">
        <f aca="false">A158-A157</f>
        <v>31</v>
      </c>
      <c r="U157" s="146" t="n">
        <f aca="false">CHOOSE(F$3,A158+24,A157)</f>
        <v>41511</v>
      </c>
      <c r="V157" s="71" t="n">
        <f aca="false">U157-C$3</f>
        <v>4623</v>
      </c>
      <c r="W157" s="142" t="n">
        <f aca="false">VLOOKUP($A157,Table,MATCH(W$4,Curves,0))</f>
        <v>0.058966861357273</v>
      </c>
      <c r="X157" s="147" t="n">
        <f aca="false">1/(1+CHOOSE(F$3,(W158+($K$3/10000))/2,(W157+($K$3/10000))/2))^(2*V157/365.25)</f>
        <v>0.479238132911071</v>
      </c>
      <c r="Y157" s="71" t="n">
        <f aca="false">IF(AND(mthbeg&lt;=A157,mthend&gt;=A157),1,0)</f>
        <v>0</v>
      </c>
      <c r="Z157" s="71" t="n">
        <f aca="false">T157*Y157</f>
        <v>0</v>
      </c>
      <c r="AB157" s="132" t="n">
        <f aca="false">F157*G157</f>
        <v>0</v>
      </c>
      <c r="AC157" s="132" t="n">
        <f aca="false">$F157*H157</f>
        <v>0</v>
      </c>
      <c r="AD157" s="132" t="n">
        <f aca="false">$F157*I157</f>
        <v>0</v>
      </c>
      <c r="AE157" s="132" t="n">
        <f aca="false">$F157*J157</f>
        <v>0</v>
      </c>
      <c r="AF157" s="132" t="n">
        <f aca="false">$F157*K157</f>
        <v>0</v>
      </c>
      <c r="AG157" s="132" t="n">
        <f aca="false">$F157*L157</f>
        <v>0</v>
      </c>
      <c r="AH157" s="132" t="n">
        <f aca="false">$F157*M157</f>
        <v>0</v>
      </c>
      <c r="AI157" s="132" t="n">
        <f aca="false">$F157*N157</f>
        <v>0</v>
      </c>
      <c r="AJ157" s="132" t="n">
        <f aca="false">F157*O157</f>
        <v>0</v>
      </c>
      <c r="AK157" s="137"/>
      <c r="AL157" s="132" t="n">
        <f aca="false">CHOOSE($G$3,AC157-AD157,AD157-AC157)</f>
        <v>0</v>
      </c>
      <c r="AM157" s="132" t="n">
        <f aca="false">CHOOSE($G$3,AF157-AG157,AG157-AF157)</f>
        <v>0</v>
      </c>
      <c r="AN157" s="132" t="n">
        <f aca="false">CHOOSE($G$3,AI157-AJ157,AJ157-AI157)</f>
        <v>0</v>
      </c>
      <c r="AO157" s="148" t="n">
        <f aca="false">SUM(AL157:AN157)</f>
        <v>0</v>
      </c>
      <c r="AQ157" s="132" t="n">
        <f aca="false">CHOOSE($G$3,AB157-AC157,AC157-AB157)</f>
        <v>0</v>
      </c>
      <c r="AR157" s="132" t="n">
        <f aca="false">CHOOSE($G$3,AE157-AF157,AF157-AE157)</f>
        <v>0</v>
      </c>
      <c r="AS157" s="132" t="n">
        <f aca="false">CHOOSE($G$3,AH157-AI157,AI157-AH157)</f>
        <v>0</v>
      </c>
      <c r="AT157" s="148" t="n">
        <f aca="false">AQ157+AR157+AS157</f>
        <v>0</v>
      </c>
      <c r="AU157" s="148"/>
      <c r="AV157" s="133" t="n">
        <f aca="false">AT157+AO157</f>
        <v>0</v>
      </c>
      <c r="AX157" s="133" t="n">
        <f aca="false">AJ157+AG157+AD157</f>
        <v>0</v>
      </c>
      <c r="AY157" s="149"/>
      <c r="AZ157" s="76" t="n">
        <f aca="false">R157*E157</f>
        <v>0</v>
      </c>
    </row>
    <row r="158" customFormat="false" ht="12.75" hidden="false" customHeight="false" outlineLevel="0" collapsed="false">
      <c r="A158" s="138" t="n">
        <f aca="false">EDATE(A157,1)</f>
        <v>41487</v>
      </c>
      <c r="B158" s="139" t="n">
        <f aca="false">VLOOKUP($A158,Table2,MATCH(I$3,Curves2,0))</f>
        <v>60900</v>
      </c>
      <c r="C158" s="140"/>
      <c r="D158" s="141" t="n">
        <f aca="false">B158+C158</f>
        <v>60900</v>
      </c>
      <c r="E158" s="126" t="n">
        <f aca="false">IF(Y158=0,0,IF(AND(Y158=1,$H$3=1),D158*T158,IF($H$3=2,D158,"N/A")))</f>
        <v>0</v>
      </c>
      <c r="F158" s="126" t="n">
        <f aca="false">E158*X158</f>
        <v>0</v>
      </c>
      <c r="G158" s="142" t="n">
        <f aca="false">VLOOKUP($A158,Table,MATCH(G$4,Curves,0))</f>
        <v>3.987</v>
      </c>
      <c r="H158" s="143" t="n">
        <f aca="false">G158</f>
        <v>3.987</v>
      </c>
      <c r="I158" s="142" t="n">
        <f aca="false">VLOOKUP($A158,Table1,MATCH(I$3,Curves1,0))</f>
        <v>3.7904</v>
      </c>
      <c r="J158" s="142" t="n">
        <f aca="false">VLOOKUP($A158,Table,MATCH(J$4,Curves,0))</f>
        <v>0.011</v>
      </c>
      <c r="K158" s="143" t="n">
        <f aca="false">J158</f>
        <v>0.011</v>
      </c>
      <c r="L158" s="144" t="n">
        <v>0</v>
      </c>
      <c r="M158" s="142" t="n">
        <f aca="false">VLOOKUP($A158,Table,MATCH(M$4,Curves,0))</f>
        <v>0.015</v>
      </c>
      <c r="N158" s="143" t="n">
        <f aca="false">M158</f>
        <v>0.015</v>
      </c>
      <c r="O158" s="144" t="n">
        <v>0</v>
      </c>
      <c r="P158" s="145"/>
      <c r="Q158" s="144" t="n">
        <f aca="false">M158+J158+G158</f>
        <v>4.013</v>
      </c>
      <c r="R158" s="144" t="n">
        <f aca="false">O158+L158+I158</f>
        <v>3.7904</v>
      </c>
      <c r="S158" s="145"/>
      <c r="T158" s="71" t="n">
        <f aca="false">A159-A158</f>
        <v>31</v>
      </c>
      <c r="U158" s="146" t="n">
        <f aca="false">CHOOSE(F$3,A159+24,A158)</f>
        <v>41542</v>
      </c>
      <c r="V158" s="71" t="n">
        <f aca="false">U158-C$3</f>
        <v>4654</v>
      </c>
      <c r="W158" s="142" t="n">
        <f aca="false">VLOOKUP($A158,Table,MATCH(W$4,Curves,0))</f>
        <v>0.058966861357273</v>
      </c>
      <c r="X158" s="147" t="n">
        <f aca="false">1/(1+CHOOSE(F$3,(W159+($K$3/10000))/2,(W158+($K$3/10000))/2))^(2*V158/365.25)</f>
        <v>0.476880179161</v>
      </c>
      <c r="Y158" s="71" t="n">
        <f aca="false">IF(AND(mthbeg&lt;=A158,mthend&gt;=A158),1,0)</f>
        <v>0</v>
      </c>
      <c r="Z158" s="71" t="n">
        <f aca="false">T158*Y158</f>
        <v>0</v>
      </c>
      <c r="AB158" s="132" t="n">
        <f aca="false">F158*G158</f>
        <v>0</v>
      </c>
      <c r="AC158" s="132" t="n">
        <f aca="false">$F158*H158</f>
        <v>0</v>
      </c>
      <c r="AD158" s="132" t="n">
        <f aca="false">$F158*I158</f>
        <v>0</v>
      </c>
      <c r="AE158" s="132" t="n">
        <f aca="false">$F158*J158</f>
        <v>0</v>
      </c>
      <c r="AF158" s="132" t="n">
        <f aca="false">$F158*K158</f>
        <v>0</v>
      </c>
      <c r="AG158" s="132" t="n">
        <f aca="false">$F158*L158</f>
        <v>0</v>
      </c>
      <c r="AH158" s="132" t="n">
        <f aca="false">$F158*M158</f>
        <v>0</v>
      </c>
      <c r="AI158" s="132" t="n">
        <f aca="false">$F158*N158</f>
        <v>0</v>
      </c>
      <c r="AJ158" s="132" t="n">
        <f aca="false">F158*O158</f>
        <v>0</v>
      </c>
      <c r="AK158" s="137"/>
      <c r="AL158" s="132" t="n">
        <f aca="false">CHOOSE($G$3,AC158-AD158,AD158-AC158)</f>
        <v>0</v>
      </c>
      <c r="AM158" s="132" t="n">
        <f aca="false">CHOOSE($G$3,AF158-AG158,AG158-AF158)</f>
        <v>0</v>
      </c>
      <c r="AN158" s="132" t="n">
        <f aca="false">CHOOSE($G$3,AI158-AJ158,AJ158-AI158)</f>
        <v>0</v>
      </c>
      <c r="AO158" s="148" t="n">
        <f aca="false">SUM(AL158:AN158)</f>
        <v>0</v>
      </c>
      <c r="AQ158" s="132" t="n">
        <f aca="false">CHOOSE($G$3,AB158-AC158,AC158-AB158)</f>
        <v>0</v>
      </c>
      <c r="AR158" s="132" t="n">
        <f aca="false">CHOOSE($G$3,AE158-AF158,AF158-AE158)</f>
        <v>0</v>
      </c>
      <c r="AS158" s="132" t="n">
        <f aca="false">CHOOSE($G$3,AH158-AI158,AI158-AH158)</f>
        <v>0</v>
      </c>
      <c r="AT158" s="148" t="n">
        <f aca="false">AQ158+AR158+AS158</f>
        <v>0</v>
      </c>
      <c r="AU158" s="148"/>
      <c r="AV158" s="133" t="n">
        <f aca="false">AT158+AO158</f>
        <v>0</v>
      </c>
      <c r="AX158" s="133" t="n">
        <f aca="false">AJ158+AG158+AD158</f>
        <v>0</v>
      </c>
      <c r="AY158" s="149"/>
      <c r="AZ158" s="76" t="n">
        <f aca="false">R158*E158</f>
        <v>0</v>
      </c>
    </row>
    <row r="159" customFormat="false" ht="12.75" hidden="false" customHeight="false" outlineLevel="0" collapsed="false">
      <c r="A159" s="138" t="n">
        <f aca="false">EDATE(A158,1)</f>
        <v>41518</v>
      </c>
      <c r="B159" s="139" t="n">
        <f aca="false">VLOOKUP($A159,Table2,MATCH(I$3,Curves2,0))</f>
        <v>60900</v>
      </c>
      <c r="C159" s="140"/>
      <c r="D159" s="141" t="n">
        <f aca="false">B159+C159</f>
        <v>60900</v>
      </c>
      <c r="E159" s="126" t="n">
        <f aca="false">IF(Y159=0,0,IF(AND(Y159=1,$H$3=1),D159*T159,IF($H$3=2,D159,"N/A")))</f>
        <v>0</v>
      </c>
      <c r="F159" s="126" t="n">
        <f aca="false">E159*X159</f>
        <v>0</v>
      </c>
      <c r="G159" s="142" t="n">
        <f aca="false">VLOOKUP($A159,Table,MATCH(G$4,Curves,0))</f>
        <v>3.987</v>
      </c>
      <c r="H159" s="143" t="n">
        <f aca="false">G159</f>
        <v>3.987</v>
      </c>
      <c r="I159" s="142" t="n">
        <f aca="false">VLOOKUP($A159,Table1,MATCH(I$3,Curves1,0))</f>
        <v>3.7904</v>
      </c>
      <c r="J159" s="142" t="n">
        <f aca="false">VLOOKUP($A159,Table,MATCH(J$4,Curves,0))</f>
        <v>0.011</v>
      </c>
      <c r="K159" s="143" t="n">
        <f aca="false">J159</f>
        <v>0.011</v>
      </c>
      <c r="L159" s="144" t="n">
        <v>0</v>
      </c>
      <c r="M159" s="142" t="n">
        <f aca="false">VLOOKUP($A159,Table,MATCH(M$4,Curves,0))</f>
        <v>0.015</v>
      </c>
      <c r="N159" s="143" t="n">
        <f aca="false">M159</f>
        <v>0.015</v>
      </c>
      <c r="O159" s="144" t="n">
        <v>0</v>
      </c>
      <c r="P159" s="145"/>
      <c r="Q159" s="144" t="n">
        <f aca="false">M159+J159+G159</f>
        <v>4.013</v>
      </c>
      <c r="R159" s="144" t="n">
        <f aca="false">O159+L159+I159</f>
        <v>3.7904</v>
      </c>
      <c r="S159" s="145"/>
      <c r="T159" s="71" t="n">
        <f aca="false">A160-A159</f>
        <v>30</v>
      </c>
      <c r="U159" s="146" t="n">
        <f aca="false">CHOOSE(F$3,A160+24,A159)</f>
        <v>41572</v>
      </c>
      <c r="V159" s="71" t="n">
        <f aca="false">U159-C$3</f>
        <v>4684</v>
      </c>
      <c r="W159" s="142" t="n">
        <f aca="false">VLOOKUP($A159,Table,MATCH(W$4,Curves,0))</f>
        <v>0.058966861357273</v>
      </c>
      <c r="X159" s="147" t="n">
        <f aca="false">1/(1+CHOOSE(F$3,(W160+($K$3/10000))/2,(W159+($K$3/10000))/2))^(2*V159/365.25)</f>
        <v>0.474609335322057</v>
      </c>
      <c r="Y159" s="71" t="n">
        <f aca="false">IF(AND(mthbeg&lt;=A159,mthend&gt;=A159),1,0)</f>
        <v>0</v>
      </c>
      <c r="Z159" s="71" t="n">
        <f aca="false">T159*Y159</f>
        <v>0</v>
      </c>
      <c r="AB159" s="132" t="n">
        <f aca="false">F159*G159</f>
        <v>0</v>
      </c>
      <c r="AC159" s="132" t="n">
        <f aca="false">$F159*H159</f>
        <v>0</v>
      </c>
      <c r="AD159" s="132" t="n">
        <f aca="false">$F159*I159</f>
        <v>0</v>
      </c>
      <c r="AE159" s="132" t="n">
        <f aca="false">$F159*J159</f>
        <v>0</v>
      </c>
      <c r="AF159" s="132" t="n">
        <f aca="false">$F159*K159</f>
        <v>0</v>
      </c>
      <c r="AG159" s="132" t="n">
        <f aca="false">$F159*L159</f>
        <v>0</v>
      </c>
      <c r="AH159" s="132" t="n">
        <f aca="false">$F159*M159</f>
        <v>0</v>
      </c>
      <c r="AI159" s="132" t="n">
        <f aca="false">$F159*N159</f>
        <v>0</v>
      </c>
      <c r="AJ159" s="132" t="n">
        <f aca="false">F159*O159</f>
        <v>0</v>
      </c>
      <c r="AK159" s="137"/>
      <c r="AL159" s="132" t="n">
        <f aca="false">CHOOSE($G$3,AC159-AD159,AD159-AC159)</f>
        <v>0</v>
      </c>
      <c r="AM159" s="132" t="n">
        <f aca="false">CHOOSE($G$3,AF159-AG159,AG159-AF159)</f>
        <v>0</v>
      </c>
      <c r="AN159" s="132" t="n">
        <f aca="false">CHOOSE($G$3,AI159-AJ159,AJ159-AI159)</f>
        <v>0</v>
      </c>
      <c r="AO159" s="148" t="n">
        <f aca="false">SUM(AL159:AN159)</f>
        <v>0</v>
      </c>
      <c r="AQ159" s="132" t="n">
        <f aca="false">CHOOSE($G$3,AB159-AC159,AC159-AB159)</f>
        <v>0</v>
      </c>
      <c r="AR159" s="132" t="n">
        <f aca="false">CHOOSE($G$3,AE159-AF159,AF159-AE159)</f>
        <v>0</v>
      </c>
      <c r="AS159" s="132" t="n">
        <f aca="false">CHOOSE($G$3,AH159-AI159,AI159-AH159)</f>
        <v>0</v>
      </c>
      <c r="AT159" s="148" t="n">
        <f aca="false">AQ159+AR159+AS159</f>
        <v>0</v>
      </c>
      <c r="AU159" s="148"/>
      <c r="AV159" s="133" t="n">
        <f aca="false">AT159+AO159</f>
        <v>0</v>
      </c>
      <c r="AX159" s="133" t="n">
        <f aca="false">AJ159+AG159+AD159</f>
        <v>0</v>
      </c>
      <c r="AY159" s="149"/>
      <c r="AZ159" s="76" t="n">
        <f aca="false">R159*E159</f>
        <v>0</v>
      </c>
    </row>
    <row r="160" customFormat="false" ht="12.75" hidden="false" customHeight="false" outlineLevel="0" collapsed="false">
      <c r="A160" s="138" t="n">
        <f aca="false">EDATE(A159,1)</f>
        <v>41548</v>
      </c>
      <c r="B160" s="139" t="n">
        <f aca="false">VLOOKUP($A160,Table2,MATCH(I$3,Curves2,0))</f>
        <v>60900</v>
      </c>
      <c r="C160" s="140"/>
      <c r="D160" s="141" t="n">
        <f aca="false">B160+C160</f>
        <v>60900</v>
      </c>
      <c r="E160" s="126" t="n">
        <f aca="false">IF(Y160=0,0,IF(AND(Y160=1,$H$3=1),D160*T160,IF($H$3=2,D160,"N/A")))</f>
        <v>0</v>
      </c>
      <c r="F160" s="126" t="n">
        <f aca="false">E160*X160</f>
        <v>0</v>
      </c>
      <c r="G160" s="142" t="n">
        <f aca="false">VLOOKUP($A160,Table,MATCH(G$4,Curves,0))</f>
        <v>3.987</v>
      </c>
      <c r="H160" s="143" t="n">
        <f aca="false">G160</f>
        <v>3.987</v>
      </c>
      <c r="I160" s="142" t="n">
        <f aca="false">VLOOKUP($A160,Table1,MATCH(I$3,Curves1,0))</f>
        <v>3.7904</v>
      </c>
      <c r="J160" s="142" t="n">
        <f aca="false">VLOOKUP($A160,Table,MATCH(J$4,Curves,0))</f>
        <v>0.011</v>
      </c>
      <c r="K160" s="143" t="n">
        <f aca="false">J160</f>
        <v>0.011</v>
      </c>
      <c r="L160" s="144" t="n">
        <v>0</v>
      </c>
      <c r="M160" s="142" t="n">
        <f aca="false">VLOOKUP($A160,Table,MATCH(M$4,Curves,0))</f>
        <v>0.015</v>
      </c>
      <c r="N160" s="143" t="n">
        <f aca="false">M160</f>
        <v>0.015</v>
      </c>
      <c r="O160" s="144" t="n">
        <v>0</v>
      </c>
      <c r="P160" s="145"/>
      <c r="Q160" s="144" t="n">
        <f aca="false">M160+J160+G160</f>
        <v>4.013</v>
      </c>
      <c r="R160" s="144" t="n">
        <f aca="false">O160+L160+I160</f>
        <v>3.7904</v>
      </c>
      <c r="S160" s="145"/>
      <c r="T160" s="71" t="n">
        <f aca="false">A161-A160</f>
        <v>31</v>
      </c>
      <c r="U160" s="146" t="n">
        <f aca="false">CHOOSE(F$3,A161+24,A160)</f>
        <v>41603</v>
      </c>
      <c r="V160" s="71" t="n">
        <f aca="false">U160-C$3</f>
        <v>4715</v>
      </c>
      <c r="W160" s="142" t="n">
        <f aca="false">VLOOKUP($A160,Table,MATCH(W$4,Curves,0))</f>
        <v>0.058966861357273</v>
      </c>
      <c r="X160" s="147" t="n">
        <f aca="false">1/(1+CHOOSE(F$3,(W161+($K$3/10000))/2,(W160+($K$3/10000))/2))^(2*V160/365.25)</f>
        <v>0.472274156242623</v>
      </c>
      <c r="Y160" s="71" t="n">
        <f aca="false">IF(AND(mthbeg&lt;=A160,mthend&gt;=A160),1,0)</f>
        <v>0</v>
      </c>
      <c r="Z160" s="71" t="n">
        <f aca="false">T160*Y160</f>
        <v>0</v>
      </c>
      <c r="AB160" s="132" t="n">
        <f aca="false">F160*G160</f>
        <v>0</v>
      </c>
      <c r="AC160" s="132" t="n">
        <f aca="false">$F160*H160</f>
        <v>0</v>
      </c>
      <c r="AD160" s="132" t="n">
        <f aca="false">$F160*I160</f>
        <v>0</v>
      </c>
      <c r="AE160" s="132" t="n">
        <f aca="false">$F160*J160</f>
        <v>0</v>
      </c>
      <c r="AF160" s="132" t="n">
        <f aca="false">$F160*K160</f>
        <v>0</v>
      </c>
      <c r="AG160" s="132" t="n">
        <f aca="false">$F160*L160</f>
        <v>0</v>
      </c>
      <c r="AH160" s="132" t="n">
        <f aca="false">$F160*M160</f>
        <v>0</v>
      </c>
      <c r="AI160" s="132" t="n">
        <f aca="false">$F160*N160</f>
        <v>0</v>
      </c>
      <c r="AJ160" s="132" t="n">
        <f aca="false">F160*O160</f>
        <v>0</v>
      </c>
      <c r="AK160" s="137"/>
      <c r="AL160" s="132" t="n">
        <f aca="false">CHOOSE($G$3,AC160-AD160,AD160-AC160)</f>
        <v>0</v>
      </c>
      <c r="AM160" s="132" t="n">
        <f aca="false">CHOOSE($G$3,AF160-AG160,AG160-AF160)</f>
        <v>0</v>
      </c>
      <c r="AN160" s="132" t="n">
        <f aca="false">CHOOSE($G$3,AI160-AJ160,AJ160-AI160)</f>
        <v>0</v>
      </c>
      <c r="AO160" s="148" t="n">
        <f aca="false">SUM(AL160:AN160)</f>
        <v>0</v>
      </c>
      <c r="AQ160" s="132" t="n">
        <f aca="false">CHOOSE($G$3,AB160-AC160,AC160-AB160)</f>
        <v>0</v>
      </c>
      <c r="AR160" s="132" t="n">
        <f aca="false">CHOOSE($G$3,AE160-AF160,AF160-AE160)</f>
        <v>0</v>
      </c>
      <c r="AS160" s="132" t="n">
        <f aca="false">CHOOSE($G$3,AH160-AI160,AI160-AH160)</f>
        <v>0</v>
      </c>
      <c r="AT160" s="148" t="n">
        <f aca="false">AQ160+AR160+AS160</f>
        <v>0</v>
      </c>
      <c r="AU160" s="148"/>
      <c r="AV160" s="133" t="n">
        <f aca="false">AT160+AO160</f>
        <v>0</v>
      </c>
      <c r="AX160" s="133" t="n">
        <f aca="false">AJ160+AG160+AD160</f>
        <v>0</v>
      </c>
      <c r="AY160" s="149"/>
      <c r="AZ160" s="76" t="n">
        <f aca="false">R160*E160</f>
        <v>0</v>
      </c>
    </row>
    <row r="161" customFormat="false" ht="12.75" hidden="false" customHeight="false" outlineLevel="0" collapsed="false">
      <c r="A161" s="138" t="n">
        <f aca="false">EDATE(A160,1)</f>
        <v>41579</v>
      </c>
      <c r="B161" s="139" t="n">
        <f aca="false">VLOOKUP($A161,Table2,MATCH(I$3,Curves2,0))</f>
        <v>60900</v>
      </c>
      <c r="C161" s="140"/>
      <c r="D161" s="141" t="n">
        <f aca="false">B161+C161</f>
        <v>60900</v>
      </c>
      <c r="E161" s="126" t="n">
        <f aca="false">IF(Y161=0,0,IF(AND(Y161=1,$H$3=1),D161*T161,IF($H$3=2,D161,"N/A")))</f>
        <v>0</v>
      </c>
      <c r="F161" s="126" t="n">
        <f aca="false">E161*X161</f>
        <v>0</v>
      </c>
      <c r="G161" s="142" t="n">
        <f aca="false">VLOOKUP($A161,Table,MATCH(G$4,Curves,0))</f>
        <v>3.987</v>
      </c>
      <c r="H161" s="143" t="n">
        <f aca="false">G161</f>
        <v>3.987</v>
      </c>
      <c r="I161" s="142" t="n">
        <f aca="false">VLOOKUP($A161,Table1,MATCH(I$3,Curves1,0))</f>
        <v>3.7904</v>
      </c>
      <c r="J161" s="142" t="n">
        <f aca="false">VLOOKUP($A161,Table,MATCH(J$4,Curves,0))</f>
        <v>0.011</v>
      </c>
      <c r="K161" s="143" t="n">
        <f aca="false">J161</f>
        <v>0.011</v>
      </c>
      <c r="L161" s="144" t="n">
        <v>0</v>
      </c>
      <c r="M161" s="142" t="n">
        <f aca="false">VLOOKUP($A161,Table,MATCH(M$4,Curves,0))</f>
        <v>0.015</v>
      </c>
      <c r="N161" s="143" t="n">
        <f aca="false">M161</f>
        <v>0.015</v>
      </c>
      <c r="O161" s="144" t="n">
        <v>0</v>
      </c>
      <c r="P161" s="145"/>
      <c r="Q161" s="144" t="n">
        <f aca="false">M161+J161+G161</f>
        <v>4.013</v>
      </c>
      <c r="R161" s="144" t="n">
        <f aca="false">O161+L161+I161</f>
        <v>3.7904</v>
      </c>
      <c r="S161" s="145"/>
      <c r="T161" s="71" t="n">
        <f aca="false">A162-A161</f>
        <v>30</v>
      </c>
      <c r="U161" s="146" t="n">
        <f aca="false">CHOOSE(F$3,A162+24,A161)</f>
        <v>41633</v>
      </c>
      <c r="V161" s="71" t="n">
        <f aca="false">U161-C$3</f>
        <v>4745</v>
      </c>
      <c r="W161" s="142" t="n">
        <f aca="false">VLOOKUP($A161,Table,MATCH(W$4,Curves,0))</f>
        <v>0.058966861357273</v>
      </c>
      <c r="X161" s="147" t="n">
        <f aca="false">1/(1+CHOOSE(F$3,(W162+($K$3/10000))/2,(W161+($K$3/10000))/2))^(2*V161/365.25)</f>
        <v>0.470025245709409</v>
      </c>
      <c r="Y161" s="71" t="n">
        <f aca="false">IF(AND(mthbeg&lt;=A161,mthend&gt;=A161),1,0)</f>
        <v>0</v>
      </c>
      <c r="Z161" s="71" t="n">
        <f aca="false">T161*Y161</f>
        <v>0</v>
      </c>
      <c r="AB161" s="132" t="n">
        <f aca="false">F161*G161</f>
        <v>0</v>
      </c>
      <c r="AC161" s="132" t="n">
        <f aca="false">$F161*H161</f>
        <v>0</v>
      </c>
      <c r="AD161" s="132" t="n">
        <f aca="false">$F161*I161</f>
        <v>0</v>
      </c>
      <c r="AE161" s="132" t="n">
        <f aca="false">$F161*J161</f>
        <v>0</v>
      </c>
      <c r="AF161" s="132" t="n">
        <f aca="false">$F161*K161</f>
        <v>0</v>
      </c>
      <c r="AG161" s="132" t="n">
        <f aca="false">$F161*L161</f>
        <v>0</v>
      </c>
      <c r="AH161" s="132" t="n">
        <f aca="false">$F161*M161</f>
        <v>0</v>
      </c>
      <c r="AI161" s="132" t="n">
        <f aca="false">$F161*N161</f>
        <v>0</v>
      </c>
      <c r="AJ161" s="132" t="n">
        <f aca="false">F161*O161</f>
        <v>0</v>
      </c>
      <c r="AK161" s="137"/>
      <c r="AL161" s="132" t="n">
        <f aca="false">CHOOSE($G$3,AC161-AD161,AD161-AC161)</f>
        <v>0</v>
      </c>
      <c r="AM161" s="132" t="n">
        <f aca="false">CHOOSE($G$3,AF161-AG161,AG161-AF161)</f>
        <v>0</v>
      </c>
      <c r="AN161" s="132" t="n">
        <f aca="false">CHOOSE($G$3,AI161-AJ161,AJ161-AI161)</f>
        <v>0</v>
      </c>
      <c r="AO161" s="148" t="n">
        <f aca="false">SUM(AL161:AN161)</f>
        <v>0</v>
      </c>
      <c r="AQ161" s="132" t="n">
        <f aca="false">CHOOSE($G$3,AB161-AC161,AC161-AB161)</f>
        <v>0</v>
      </c>
      <c r="AR161" s="132" t="n">
        <f aca="false">CHOOSE($G$3,AE161-AF161,AF161-AE161)</f>
        <v>0</v>
      </c>
      <c r="AS161" s="132" t="n">
        <f aca="false">CHOOSE($G$3,AH161-AI161,AI161-AH161)</f>
        <v>0</v>
      </c>
      <c r="AT161" s="148" t="n">
        <f aca="false">AQ161+AR161+AS161</f>
        <v>0</v>
      </c>
      <c r="AU161" s="148"/>
      <c r="AV161" s="133" t="n">
        <f aca="false">AT161+AO161</f>
        <v>0</v>
      </c>
      <c r="AX161" s="133" t="n">
        <f aca="false">AJ161+AG161+AD161</f>
        <v>0</v>
      </c>
      <c r="AY161" s="149"/>
      <c r="AZ161" s="76" t="n">
        <f aca="false">R161*E161</f>
        <v>0</v>
      </c>
    </row>
    <row r="162" customFormat="false" ht="12.75" hidden="false" customHeight="false" outlineLevel="0" collapsed="false">
      <c r="A162" s="138" t="n">
        <f aca="false">EDATE(A161,1)</f>
        <v>41609</v>
      </c>
      <c r="B162" s="139" t="n">
        <f aca="false">VLOOKUP($A162,Table2,MATCH(I$3,Curves2,0))</f>
        <v>60900</v>
      </c>
      <c r="C162" s="140"/>
      <c r="D162" s="141" t="n">
        <f aca="false">B162+C162</f>
        <v>60900</v>
      </c>
      <c r="E162" s="126" t="n">
        <f aca="false">IF(Y162=0,0,IF(AND(Y162=1,$H$3=1),D162*T162,IF($H$3=2,D162,"N/A")))</f>
        <v>0</v>
      </c>
      <c r="F162" s="126" t="n">
        <f aca="false">E162*X162</f>
        <v>0</v>
      </c>
      <c r="G162" s="142" t="n">
        <f aca="false">VLOOKUP($A162,Table,MATCH(G$4,Curves,0))</f>
        <v>3.987</v>
      </c>
      <c r="H162" s="143" t="n">
        <f aca="false">G162</f>
        <v>3.987</v>
      </c>
      <c r="I162" s="142" t="n">
        <f aca="false">VLOOKUP($A162,Table1,MATCH(I$3,Curves1,0))</f>
        <v>3.7904</v>
      </c>
      <c r="J162" s="142" t="n">
        <f aca="false">VLOOKUP($A162,Table,MATCH(J$4,Curves,0))</f>
        <v>0.011</v>
      </c>
      <c r="K162" s="143" t="n">
        <f aca="false">J162</f>
        <v>0.011</v>
      </c>
      <c r="L162" s="144" t="n">
        <v>0</v>
      </c>
      <c r="M162" s="142" t="n">
        <f aca="false">VLOOKUP($A162,Table,MATCH(M$4,Curves,0))</f>
        <v>0.015</v>
      </c>
      <c r="N162" s="143" t="n">
        <f aca="false">M162</f>
        <v>0.015</v>
      </c>
      <c r="O162" s="144" t="n">
        <v>0</v>
      </c>
      <c r="P162" s="145"/>
      <c r="Q162" s="144" t="n">
        <f aca="false">M162+J162+G162</f>
        <v>4.013</v>
      </c>
      <c r="R162" s="144" t="n">
        <f aca="false">O162+L162+I162</f>
        <v>3.7904</v>
      </c>
      <c r="S162" s="145"/>
      <c r="T162" s="71" t="n">
        <f aca="false">A163-A162</f>
        <v>31</v>
      </c>
      <c r="U162" s="146" t="n">
        <f aca="false">CHOOSE(F$3,A163+24,A162)</f>
        <v>41664</v>
      </c>
      <c r="V162" s="71" t="n">
        <f aca="false">U162-C$3</f>
        <v>4776</v>
      </c>
      <c r="W162" s="142" t="n">
        <f aca="false">VLOOKUP($A162,Table,MATCH(W$4,Curves,0))</f>
        <v>0.058966861357273</v>
      </c>
      <c r="X162" s="147" t="n">
        <f aca="false">1/(1+CHOOSE(F$3,(W163+($K$3/10000))/2,(W162+($K$3/10000))/2))^(2*V162/365.25)</f>
        <v>0.467712621327839</v>
      </c>
      <c r="Y162" s="71" t="n">
        <f aca="false">IF(AND(mthbeg&lt;=A162,mthend&gt;=A162),1,0)</f>
        <v>0</v>
      </c>
      <c r="Z162" s="71" t="n">
        <f aca="false">T162*Y162</f>
        <v>0</v>
      </c>
      <c r="AB162" s="132" t="n">
        <f aca="false">F162*G162</f>
        <v>0</v>
      </c>
      <c r="AC162" s="132" t="n">
        <f aca="false">$F162*H162</f>
        <v>0</v>
      </c>
      <c r="AD162" s="132" t="n">
        <f aca="false">$F162*I162</f>
        <v>0</v>
      </c>
      <c r="AE162" s="132" t="n">
        <f aca="false">$F162*J162</f>
        <v>0</v>
      </c>
      <c r="AF162" s="132" t="n">
        <f aca="false">$F162*K162</f>
        <v>0</v>
      </c>
      <c r="AG162" s="132" t="n">
        <f aca="false">$F162*L162</f>
        <v>0</v>
      </c>
      <c r="AH162" s="132" t="n">
        <f aca="false">$F162*M162</f>
        <v>0</v>
      </c>
      <c r="AI162" s="132" t="n">
        <f aca="false">$F162*N162</f>
        <v>0</v>
      </c>
      <c r="AJ162" s="132" t="n">
        <f aca="false">F162*O162</f>
        <v>0</v>
      </c>
      <c r="AK162" s="137"/>
      <c r="AL162" s="132" t="n">
        <f aca="false">CHOOSE($G$3,AC162-AD162,AD162-AC162)</f>
        <v>0</v>
      </c>
      <c r="AM162" s="132" t="n">
        <f aca="false">CHOOSE($G$3,AF162-AG162,AG162-AF162)</f>
        <v>0</v>
      </c>
      <c r="AN162" s="132" t="n">
        <f aca="false">CHOOSE($G$3,AI162-AJ162,AJ162-AI162)</f>
        <v>0</v>
      </c>
      <c r="AO162" s="148" t="n">
        <f aca="false">SUM(AL162:AN162)</f>
        <v>0</v>
      </c>
      <c r="AQ162" s="132" t="n">
        <f aca="false">CHOOSE($G$3,AB162-AC162,AC162-AB162)</f>
        <v>0</v>
      </c>
      <c r="AR162" s="132" t="n">
        <f aca="false">CHOOSE($G$3,AE162-AF162,AF162-AE162)</f>
        <v>0</v>
      </c>
      <c r="AS162" s="132" t="n">
        <f aca="false">CHOOSE($G$3,AH162-AI162,AI162-AH162)</f>
        <v>0</v>
      </c>
      <c r="AT162" s="148" t="n">
        <f aca="false">AQ162+AR162+AS162</f>
        <v>0</v>
      </c>
      <c r="AU162" s="148"/>
      <c r="AV162" s="133" t="n">
        <f aca="false">AT162+AO162</f>
        <v>0</v>
      </c>
      <c r="AX162" s="133" t="n">
        <f aca="false">AJ162+AG162+AD162</f>
        <v>0</v>
      </c>
      <c r="AY162" s="149"/>
      <c r="AZ162" s="76" t="n">
        <f aca="false">R162*E162</f>
        <v>0</v>
      </c>
    </row>
    <row r="163" customFormat="false" ht="12.75" hidden="false" customHeight="false" outlineLevel="0" collapsed="false">
      <c r="A163" s="138" t="n">
        <f aca="false">EDATE(A162,1)</f>
        <v>41640</v>
      </c>
      <c r="B163" s="139" t="n">
        <f aca="false">VLOOKUP($A163,Table2,MATCH(I$3,Curves2,0))</f>
        <v>60900</v>
      </c>
      <c r="C163" s="140"/>
      <c r="D163" s="141" t="n">
        <f aca="false">B163+C163</f>
        <v>60900</v>
      </c>
      <c r="E163" s="126" t="n">
        <f aca="false">IF(Y163=0,0,IF(AND(Y163=1,$H$3=1),D163*T163,IF($H$3=2,D163,"N/A")))</f>
        <v>0</v>
      </c>
      <c r="F163" s="126" t="n">
        <f aca="false">E163*X163</f>
        <v>0</v>
      </c>
      <c r="G163" s="142" t="n">
        <f aca="false">VLOOKUP($A163,Table,MATCH(G$4,Curves,0))</f>
        <v>3.987</v>
      </c>
      <c r="H163" s="143" t="n">
        <f aca="false">G163</f>
        <v>3.987</v>
      </c>
      <c r="I163" s="142" t="n">
        <f aca="false">VLOOKUP($A163,Table1,MATCH(I$3,Curves1,0))</f>
        <v>3.7904</v>
      </c>
      <c r="J163" s="142" t="n">
        <f aca="false">VLOOKUP($A163,Table,MATCH(J$4,Curves,0))</f>
        <v>0.011</v>
      </c>
      <c r="K163" s="143" t="n">
        <f aca="false">J163</f>
        <v>0.011</v>
      </c>
      <c r="L163" s="144" t="n">
        <v>0</v>
      </c>
      <c r="M163" s="142" t="n">
        <f aca="false">VLOOKUP($A163,Table,MATCH(M$4,Curves,0))</f>
        <v>0.015</v>
      </c>
      <c r="N163" s="143" t="n">
        <f aca="false">M163</f>
        <v>0.015</v>
      </c>
      <c r="O163" s="144" t="n">
        <v>0</v>
      </c>
      <c r="P163" s="145"/>
      <c r="Q163" s="144" t="n">
        <f aca="false">M163+J163+G163</f>
        <v>4.013</v>
      </c>
      <c r="R163" s="144" t="n">
        <f aca="false">O163+L163+I163</f>
        <v>3.7904</v>
      </c>
      <c r="S163" s="145"/>
      <c r="T163" s="71" t="n">
        <f aca="false">A164-A163</f>
        <v>31</v>
      </c>
      <c r="U163" s="146" t="n">
        <f aca="false">CHOOSE(F$3,A164+24,A163)</f>
        <v>41695</v>
      </c>
      <c r="V163" s="71" t="n">
        <f aca="false">U163-C$3</f>
        <v>4807</v>
      </c>
      <c r="W163" s="142" t="n">
        <f aca="false">VLOOKUP($A163,Table,MATCH(W$4,Curves,0))</f>
        <v>0.058966861357273</v>
      </c>
      <c r="X163" s="147" t="n">
        <f aca="false">1/(1+CHOOSE(F$3,(W164+($K$3/10000))/2,(W163+($K$3/10000))/2))^(2*V163/365.25)</f>
        <v>0.465411375551097</v>
      </c>
      <c r="Y163" s="71" t="n">
        <f aca="false">IF(AND(mthbeg&lt;=A163,mthend&gt;=A163),1,0)</f>
        <v>0</v>
      </c>
      <c r="Z163" s="71" t="n">
        <f aca="false">T163*Y163</f>
        <v>0</v>
      </c>
      <c r="AB163" s="132" t="n">
        <f aca="false">F163*G163</f>
        <v>0</v>
      </c>
      <c r="AC163" s="132" t="n">
        <f aca="false">$F163*H163</f>
        <v>0</v>
      </c>
      <c r="AD163" s="132" t="n">
        <f aca="false">$F163*I163</f>
        <v>0</v>
      </c>
      <c r="AE163" s="132" t="n">
        <f aca="false">$F163*J163</f>
        <v>0</v>
      </c>
      <c r="AF163" s="132" t="n">
        <f aca="false">$F163*K163</f>
        <v>0</v>
      </c>
      <c r="AG163" s="132" t="n">
        <f aca="false">$F163*L163</f>
        <v>0</v>
      </c>
      <c r="AH163" s="132" t="n">
        <f aca="false">$F163*M163</f>
        <v>0</v>
      </c>
      <c r="AI163" s="132" t="n">
        <f aca="false">$F163*N163</f>
        <v>0</v>
      </c>
      <c r="AJ163" s="132" t="n">
        <f aca="false">F163*O163</f>
        <v>0</v>
      </c>
      <c r="AK163" s="137"/>
      <c r="AL163" s="132" t="n">
        <f aca="false">CHOOSE($G$3,AC163-AD163,AD163-AC163)</f>
        <v>0</v>
      </c>
      <c r="AM163" s="132" t="n">
        <f aca="false">CHOOSE($G$3,AF163-AG163,AG163-AF163)</f>
        <v>0</v>
      </c>
      <c r="AN163" s="132" t="n">
        <f aca="false">CHOOSE($G$3,AI163-AJ163,AJ163-AI163)</f>
        <v>0</v>
      </c>
      <c r="AO163" s="148" t="n">
        <f aca="false">SUM(AL163:AN163)</f>
        <v>0</v>
      </c>
      <c r="AQ163" s="132" t="n">
        <f aca="false">CHOOSE($G$3,AB163-AC163,AC163-AB163)</f>
        <v>0</v>
      </c>
      <c r="AR163" s="132" t="n">
        <f aca="false">CHOOSE($G$3,AE163-AF163,AF163-AE163)</f>
        <v>0</v>
      </c>
      <c r="AS163" s="132" t="n">
        <f aca="false">CHOOSE($G$3,AH163-AI163,AI163-AH163)</f>
        <v>0</v>
      </c>
      <c r="AT163" s="148" t="n">
        <f aca="false">AQ163+AR163+AS163</f>
        <v>0</v>
      </c>
      <c r="AU163" s="148"/>
      <c r="AV163" s="133" t="n">
        <f aca="false">AT163+AO163</f>
        <v>0</v>
      </c>
      <c r="AX163" s="133" t="n">
        <f aca="false">AJ163+AG163+AD163</f>
        <v>0</v>
      </c>
      <c r="AY163" s="149"/>
      <c r="AZ163" s="76" t="n">
        <f aca="false">R163*E163</f>
        <v>0</v>
      </c>
    </row>
    <row r="164" customFormat="false" ht="12.75" hidden="false" customHeight="false" outlineLevel="0" collapsed="false">
      <c r="A164" s="138" t="n">
        <f aca="false">EDATE(A163,1)</f>
        <v>41671</v>
      </c>
      <c r="B164" s="139" t="n">
        <f aca="false">VLOOKUP($A164,Table2,MATCH(I$3,Curves2,0))</f>
        <v>60900</v>
      </c>
      <c r="C164" s="140"/>
      <c r="D164" s="141" t="n">
        <f aca="false">B164+C164</f>
        <v>60900</v>
      </c>
      <c r="E164" s="126" t="n">
        <f aca="false">IF(Y164=0,0,IF(AND(Y164=1,$H$3=1),D164*T164,IF($H$3=2,D164,"N/A")))</f>
        <v>0</v>
      </c>
      <c r="F164" s="126" t="n">
        <f aca="false">E164*X164</f>
        <v>0</v>
      </c>
      <c r="G164" s="142" t="n">
        <f aca="false">VLOOKUP($A164,Table,MATCH(G$4,Curves,0))</f>
        <v>3.987</v>
      </c>
      <c r="H164" s="143" t="n">
        <f aca="false">G164</f>
        <v>3.987</v>
      </c>
      <c r="I164" s="142" t="n">
        <f aca="false">VLOOKUP($A164,Table1,MATCH(I$3,Curves1,0))</f>
        <v>3.7904</v>
      </c>
      <c r="J164" s="142" t="n">
        <f aca="false">VLOOKUP($A164,Table,MATCH(J$4,Curves,0))</f>
        <v>0.011</v>
      </c>
      <c r="K164" s="143" t="n">
        <f aca="false">J164</f>
        <v>0.011</v>
      </c>
      <c r="L164" s="144" t="n">
        <v>0</v>
      </c>
      <c r="M164" s="142" t="n">
        <f aca="false">VLOOKUP($A164,Table,MATCH(M$4,Curves,0))</f>
        <v>0.015</v>
      </c>
      <c r="N164" s="143" t="n">
        <f aca="false">M164</f>
        <v>0.015</v>
      </c>
      <c r="O164" s="144" t="n">
        <v>0</v>
      </c>
      <c r="P164" s="145"/>
      <c r="Q164" s="144" t="n">
        <f aca="false">M164+J164+G164</f>
        <v>4.013</v>
      </c>
      <c r="R164" s="144" t="n">
        <f aca="false">O164+L164+I164</f>
        <v>3.7904</v>
      </c>
      <c r="S164" s="145"/>
      <c r="T164" s="71" t="n">
        <f aca="false">A165-A164</f>
        <v>28</v>
      </c>
      <c r="U164" s="146" t="n">
        <f aca="false">CHOOSE(F$3,A165+24,A164)</f>
        <v>41723</v>
      </c>
      <c r="V164" s="71" t="n">
        <f aca="false">U164-C$3</f>
        <v>4835</v>
      </c>
      <c r="W164" s="142" t="n">
        <f aca="false">VLOOKUP($A164,Table,MATCH(W$4,Curves,0))</f>
        <v>0.058966861357273</v>
      </c>
      <c r="X164" s="147" t="n">
        <f aca="false">1/(1+CHOOSE(F$3,(W165+($K$3/10000))/2,(W164+($K$3/10000))/2))^(2*V164/365.25)</f>
        <v>0.463342564558416</v>
      </c>
      <c r="Y164" s="71" t="n">
        <f aca="false">IF(AND(mthbeg&lt;=A164,mthend&gt;=A164),1,0)</f>
        <v>0</v>
      </c>
      <c r="Z164" s="71" t="n">
        <f aca="false">T164*Y164</f>
        <v>0</v>
      </c>
      <c r="AB164" s="132" t="n">
        <f aca="false">F164*G164</f>
        <v>0</v>
      </c>
      <c r="AC164" s="132" t="n">
        <f aca="false">$F164*H164</f>
        <v>0</v>
      </c>
      <c r="AD164" s="132" t="n">
        <f aca="false">$F164*I164</f>
        <v>0</v>
      </c>
      <c r="AE164" s="132" t="n">
        <f aca="false">$F164*J164</f>
        <v>0</v>
      </c>
      <c r="AF164" s="132" t="n">
        <f aca="false">$F164*K164</f>
        <v>0</v>
      </c>
      <c r="AG164" s="132" t="n">
        <f aca="false">$F164*L164</f>
        <v>0</v>
      </c>
      <c r="AH164" s="132" t="n">
        <f aca="false">$F164*M164</f>
        <v>0</v>
      </c>
      <c r="AI164" s="132" t="n">
        <f aca="false">$F164*N164</f>
        <v>0</v>
      </c>
      <c r="AJ164" s="132" t="n">
        <f aca="false">F164*O164</f>
        <v>0</v>
      </c>
      <c r="AK164" s="137"/>
      <c r="AL164" s="132" t="n">
        <f aca="false">CHOOSE($G$3,AC164-AD164,AD164-AC164)</f>
        <v>0</v>
      </c>
      <c r="AM164" s="132" t="n">
        <f aca="false">CHOOSE($G$3,AF164-AG164,AG164-AF164)</f>
        <v>0</v>
      </c>
      <c r="AN164" s="132" t="n">
        <f aca="false">CHOOSE($G$3,AI164-AJ164,AJ164-AI164)</f>
        <v>0</v>
      </c>
      <c r="AO164" s="148" t="n">
        <f aca="false">SUM(AL164:AN164)</f>
        <v>0</v>
      </c>
      <c r="AQ164" s="132" t="n">
        <f aca="false">CHOOSE($G$3,AB164-AC164,AC164-AB164)</f>
        <v>0</v>
      </c>
      <c r="AR164" s="132" t="n">
        <f aca="false">CHOOSE($G$3,AE164-AF164,AF164-AE164)</f>
        <v>0</v>
      </c>
      <c r="AS164" s="132" t="n">
        <f aca="false">CHOOSE($G$3,AH164-AI164,AI164-AH164)</f>
        <v>0</v>
      </c>
      <c r="AT164" s="148" t="n">
        <f aca="false">AQ164+AR164+AS164</f>
        <v>0</v>
      </c>
      <c r="AU164" s="148"/>
      <c r="AV164" s="133" t="n">
        <f aca="false">AT164+AO164</f>
        <v>0</v>
      </c>
      <c r="AX164" s="133" t="n">
        <f aca="false">AJ164+AG164+AD164</f>
        <v>0</v>
      </c>
      <c r="AY164" s="149"/>
      <c r="AZ164" s="76" t="n">
        <f aca="false">R164*E164</f>
        <v>0</v>
      </c>
    </row>
    <row r="165" customFormat="false" ht="12.75" hidden="false" customHeight="false" outlineLevel="0" collapsed="false">
      <c r="A165" s="138" t="n">
        <f aca="false">EDATE(A164,1)</f>
        <v>41699</v>
      </c>
      <c r="B165" s="139" t="n">
        <f aca="false">VLOOKUP($A165,Table2,MATCH(I$3,Curves2,0))</f>
        <v>60900</v>
      </c>
      <c r="C165" s="140"/>
      <c r="D165" s="141" t="n">
        <f aca="false">B165+C165</f>
        <v>60900</v>
      </c>
      <c r="E165" s="126" t="n">
        <f aca="false">IF(Y165=0,0,IF(AND(Y165=1,$H$3=1),D165*T165,IF($H$3=2,D165,"N/A")))</f>
        <v>0</v>
      </c>
      <c r="F165" s="126" t="n">
        <f aca="false">E165*X165</f>
        <v>0</v>
      </c>
      <c r="G165" s="142" t="n">
        <f aca="false">VLOOKUP($A165,Table,MATCH(G$4,Curves,0))</f>
        <v>3.987</v>
      </c>
      <c r="H165" s="143" t="n">
        <f aca="false">G165</f>
        <v>3.987</v>
      </c>
      <c r="I165" s="142" t="n">
        <f aca="false">VLOOKUP($A165,Table1,MATCH(I$3,Curves1,0))</f>
        <v>3.7904</v>
      </c>
      <c r="J165" s="142" t="n">
        <f aca="false">VLOOKUP($A165,Table,MATCH(J$4,Curves,0))</f>
        <v>0.011</v>
      </c>
      <c r="K165" s="143" t="n">
        <f aca="false">J165</f>
        <v>0.011</v>
      </c>
      <c r="L165" s="144" t="n">
        <v>0</v>
      </c>
      <c r="M165" s="142" t="n">
        <f aca="false">VLOOKUP($A165,Table,MATCH(M$4,Curves,0))</f>
        <v>0.015</v>
      </c>
      <c r="N165" s="143" t="n">
        <f aca="false">M165</f>
        <v>0.015</v>
      </c>
      <c r="O165" s="144" t="n">
        <v>0</v>
      </c>
      <c r="P165" s="145"/>
      <c r="Q165" s="144" t="n">
        <f aca="false">M165+J165+G165</f>
        <v>4.013</v>
      </c>
      <c r="R165" s="144" t="n">
        <f aca="false">O165+L165+I165</f>
        <v>3.7904</v>
      </c>
      <c r="S165" s="145"/>
      <c r="T165" s="71" t="n">
        <f aca="false">A166-A165</f>
        <v>31</v>
      </c>
      <c r="U165" s="146" t="n">
        <f aca="false">CHOOSE(F$3,A166+24,A165)</f>
        <v>41754</v>
      </c>
      <c r="V165" s="71" t="n">
        <f aca="false">U165-C$3</f>
        <v>4866</v>
      </c>
      <c r="W165" s="142" t="n">
        <f aca="false">VLOOKUP($A165,Table,MATCH(W$4,Curves,0))</f>
        <v>0.058966861357273</v>
      </c>
      <c r="X165" s="147" t="n">
        <f aca="false">1/(1+CHOOSE(F$3,(W166+($K$3/10000))/2,(W165+($K$3/10000))/2))^(2*V165/365.25)</f>
        <v>0.461062820392334</v>
      </c>
      <c r="Y165" s="71" t="n">
        <f aca="false">IF(AND(mthbeg&lt;=A165,mthend&gt;=A165),1,0)</f>
        <v>0</v>
      </c>
      <c r="Z165" s="71" t="n">
        <f aca="false">T165*Y165</f>
        <v>0</v>
      </c>
      <c r="AB165" s="132" t="n">
        <f aca="false">F165*G165</f>
        <v>0</v>
      </c>
      <c r="AC165" s="132" t="n">
        <f aca="false">$F165*H165</f>
        <v>0</v>
      </c>
      <c r="AD165" s="132" t="n">
        <f aca="false">$F165*I165</f>
        <v>0</v>
      </c>
      <c r="AE165" s="132" t="n">
        <f aca="false">$F165*J165</f>
        <v>0</v>
      </c>
      <c r="AF165" s="132" t="n">
        <f aca="false">$F165*K165</f>
        <v>0</v>
      </c>
      <c r="AG165" s="132" t="n">
        <f aca="false">$F165*L165</f>
        <v>0</v>
      </c>
      <c r="AH165" s="132" t="n">
        <f aca="false">$F165*M165</f>
        <v>0</v>
      </c>
      <c r="AI165" s="132" t="n">
        <f aca="false">$F165*N165</f>
        <v>0</v>
      </c>
      <c r="AJ165" s="132" t="n">
        <f aca="false">F165*O165</f>
        <v>0</v>
      </c>
      <c r="AK165" s="137"/>
      <c r="AL165" s="132" t="n">
        <f aca="false">CHOOSE($G$3,AC165-AD165,AD165-AC165)</f>
        <v>0</v>
      </c>
      <c r="AM165" s="132" t="n">
        <f aca="false">CHOOSE($G$3,AF165-AG165,AG165-AF165)</f>
        <v>0</v>
      </c>
      <c r="AN165" s="132" t="n">
        <f aca="false">CHOOSE($G$3,AI165-AJ165,AJ165-AI165)</f>
        <v>0</v>
      </c>
      <c r="AO165" s="148" t="n">
        <f aca="false">SUM(AL165:AN165)</f>
        <v>0</v>
      </c>
      <c r="AQ165" s="132" t="n">
        <f aca="false">CHOOSE($G$3,AB165-AC165,AC165-AB165)</f>
        <v>0</v>
      </c>
      <c r="AR165" s="132" t="n">
        <f aca="false">CHOOSE($G$3,AE165-AF165,AF165-AE165)</f>
        <v>0</v>
      </c>
      <c r="AS165" s="132" t="n">
        <f aca="false">CHOOSE($G$3,AH165-AI165,AI165-AH165)</f>
        <v>0</v>
      </c>
      <c r="AT165" s="148" t="n">
        <f aca="false">AQ165+AR165+AS165</f>
        <v>0</v>
      </c>
      <c r="AU165" s="148"/>
      <c r="AV165" s="133" t="n">
        <f aca="false">AT165+AO165</f>
        <v>0</v>
      </c>
      <c r="AX165" s="133" t="n">
        <f aca="false">AJ165+AG165+AD165</f>
        <v>0</v>
      </c>
      <c r="AY165" s="149"/>
      <c r="AZ165" s="76" t="n">
        <f aca="false">R165*E165</f>
        <v>0</v>
      </c>
    </row>
    <row r="166" customFormat="false" ht="12.75" hidden="false" customHeight="false" outlineLevel="0" collapsed="false">
      <c r="A166" s="138" t="n">
        <f aca="false">EDATE(A165,1)</f>
        <v>41730</v>
      </c>
      <c r="B166" s="139" t="n">
        <f aca="false">VLOOKUP($A166,Table2,MATCH(I$3,Curves2,0))</f>
        <v>60900</v>
      </c>
      <c r="C166" s="140"/>
      <c r="D166" s="141" t="n">
        <f aca="false">B166+C166</f>
        <v>60900</v>
      </c>
      <c r="E166" s="126" t="n">
        <f aca="false">IF(Y166=0,0,IF(AND(Y166=1,$H$3=1),D166*T166,IF($H$3=2,D166,"N/A")))</f>
        <v>0</v>
      </c>
      <c r="F166" s="126" t="n">
        <f aca="false">E166*X166</f>
        <v>0</v>
      </c>
      <c r="G166" s="142" t="n">
        <f aca="false">VLOOKUP($A166,Table,MATCH(G$4,Curves,0))</f>
        <v>3.987</v>
      </c>
      <c r="H166" s="143" t="n">
        <f aca="false">G166</f>
        <v>3.987</v>
      </c>
      <c r="I166" s="142" t="n">
        <f aca="false">VLOOKUP($A166,Table1,MATCH(I$3,Curves1,0))</f>
        <v>3.7904</v>
      </c>
      <c r="J166" s="142" t="n">
        <f aca="false">VLOOKUP($A166,Table,MATCH(J$4,Curves,0))</f>
        <v>0.011</v>
      </c>
      <c r="K166" s="143" t="n">
        <f aca="false">J166</f>
        <v>0.011</v>
      </c>
      <c r="L166" s="144" t="n">
        <v>0</v>
      </c>
      <c r="M166" s="142" t="n">
        <f aca="false">VLOOKUP($A166,Table,MATCH(M$4,Curves,0))</f>
        <v>0.015</v>
      </c>
      <c r="N166" s="143" t="n">
        <f aca="false">M166</f>
        <v>0.015</v>
      </c>
      <c r="O166" s="144" t="n">
        <v>0</v>
      </c>
      <c r="P166" s="145"/>
      <c r="Q166" s="144" t="n">
        <f aca="false">M166+J166+G166</f>
        <v>4.013</v>
      </c>
      <c r="R166" s="144" t="n">
        <f aca="false">O166+L166+I166</f>
        <v>3.7904</v>
      </c>
      <c r="S166" s="145"/>
      <c r="T166" s="71" t="n">
        <f aca="false">A167-A166</f>
        <v>30</v>
      </c>
      <c r="U166" s="146" t="n">
        <f aca="false">CHOOSE(F$3,A167+24,A166)</f>
        <v>41784</v>
      </c>
      <c r="V166" s="71" t="n">
        <f aca="false">U166-C$3</f>
        <v>4896</v>
      </c>
      <c r="W166" s="142" t="n">
        <f aca="false">VLOOKUP($A166,Table,MATCH(W$4,Curves,0))</f>
        <v>0.058966861357273</v>
      </c>
      <c r="X166" s="147" t="n">
        <f aca="false">1/(1+CHOOSE(F$3,(W167+($K$3/10000))/2,(W166+($K$3/10000))/2))^(2*V166/365.25)</f>
        <v>0.458867296839865</v>
      </c>
      <c r="Y166" s="71" t="n">
        <f aca="false">IF(AND(mthbeg&lt;=A166,mthend&gt;=A166),1,0)</f>
        <v>0</v>
      </c>
      <c r="Z166" s="71" t="n">
        <f aca="false">T166*Y166</f>
        <v>0</v>
      </c>
      <c r="AB166" s="132" t="n">
        <f aca="false">F166*G166</f>
        <v>0</v>
      </c>
      <c r="AC166" s="132" t="n">
        <f aca="false">$F166*H166</f>
        <v>0</v>
      </c>
      <c r="AD166" s="132" t="n">
        <f aca="false">$F166*I166</f>
        <v>0</v>
      </c>
      <c r="AE166" s="132" t="n">
        <f aca="false">$F166*J166</f>
        <v>0</v>
      </c>
      <c r="AF166" s="132" t="n">
        <f aca="false">$F166*K166</f>
        <v>0</v>
      </c>
      <c r="AG166" s="132" t="n">
        <f aca="false">$F166*L166</f>
        <v>0</v>
      </c>
      <c r="AH166" s="132" t="n">
        <f aca="false">$F166*M166</f>
        <v>0</v>
      </c>
      <c r="AI166" s="132" t="n">
        <f aca="false">$F166*N166</f>
        <v>0</v>
      </c>
      <c r="AJ166" s="132" t="n">
        <f aca="false">F166*O166</f>
        <v>0</v>
      </c>
      <c r="AK166" s="137"/>
      <c r="AL166" s="132" t="n">
        <f aca="false">CHOOSE($G$3,AC166-AD166,AD166-AC166)</f>
        <v>0</v>
      </c>
      <c r="AM166" s="132" t="n">
        <f aca="false">CHOOSE($G$3,AF166-AG166,AG166-AF166)</f>
        <v>0</v>
      </c>
      <c r="AN166" s="132" t="n">
        <f aca="false">CHOOSE($G$3,AI166-AJ166,AJ166-AI166)</f>
        <v>0</v>
      </c>
      <c r="AO166" s="148" t="n">
        <f aca="false">SUM(AL166:AN166)</f>
        <v>0</v>
      </c>
      <c r="AQ166" s="132" t="n">
        <f aca="false">CHOOSE($G$3,AB166-AC166,AC166-AB166)</f>
        <v>0</v>
      </c>
      <c r="AR166" s="132" t="n">
        <f aca="false">CHOOSE($G$3,AE166-AF166,AF166-AE166)</f>
        <v>0</v>
      </c>
      <c r="AS166" s="132" t="n">
        <f aca="false">CHOOSE($G$3,AH166-AI166,AI166-AH166)</f>
        <v>0</v>
      </c>
      <c r="AT166" s="148" t="n">
        <f aca="false">AQ166+AR166+AS166</f>
        <v>0</v>
      </c>
      <c r="AU166" s="148"/>
      <c r="AV166" s="133" t="n">
        <f aca="false">AT166+AO166</f>
        <v>0</v>
      </c>
      <c r="AX166" s="133" t="n">
        <f aca="false">AJ166+AG166+AD166</f>
        <v>0</v>
      </c>
      <c r="AY166" s="149"/>
      <c r="AZ166" s="76" t="n">
        <f aca="false">R166*E166</f>
        <v>0</v>
      </c>
    </row>
    <row r="167" customFormat="false" ht="12.75" hidden="false" customHeight="false" outlineLevel="0" collapsed="false">
      <c r="A167" s="138" t="n">
        <f aca="false">EDATE(A166,1)</f>
        <v>41760</v>
      </c>
      <c r="B167" s="139" t="n">
        <f aca="false">VLOOKUP($A167,Table2,MATCH(I$3,Curves2,0))</f>
        <v>60900</v>
      </c>
      <c r="C167" s="140"/>
      <c r="D167" s="141" t="n">
        <f aca="false">B167+C167</f>
        <v>60900</v>
      </c>
      <c r="E167" s="126" t="n">
        <f aca="false">IF(Y167=0,0,IF(AND(Y167=1,$H$3=1),D167*T167,IF($H$3=2,D167,"N/A")))</f>
        <v>0</v>
      </c>
      <c r="F167" s="126" t="n">
        <f aca="false">E167*X167</f>
        <v>0</v>
      </c>
      <c r="G167" s="142" t="n">
        <f aca="false">VLOOKUP($A167,Table,MATCH(G$4,Curves,0))</f>
        <v>3.987</v>
      </c>
      <c r="H167" s="143" t="n">
        <f aca="false">G167</f>
        <v>3.987</v>
      </c>
      <c r="I167" s="142" t="n">
        <f aca="false">VLOOKUP($A167,Table1,MATCH(I$3,Curves1,0))</f>
        <v>3.7904</v>
      </c>
      <c r="J167" s="142" t="n">
        <f aca="false">VLOOKUP($A167,Table,MATCH(J$4,Curves,0))</f>
        <v>0.011</v>
      </c>
      <c r="K167" s="143" t="n">
        <f aca="false">J167</f>
        <v>0.011</v>
      </c>
      <c r="L167" s="144" t="n">
        <v>0</v>
      </c>
      <c r="M167" s="142" t="n">
        <f aca="false">VLOOKUP($A167,Table,MATCH(M$4,Curves,0))</f>
        <v>0.015</v>
      </c>
      <c r="N167" s="143" t="n">
        <f aca="false">M167</f>
        <v>0.015</v>
      </c>
      <c r="O167" s="144" t="n">
        <v>0</v>
      </c>
      <c r="P167" s="145"/>
      <c r="Q167" s="144" t="n">
        <f aca="false">M167+J167+G167</f>
        <v>4.013</v>
      </c>
      <c r="R167" s="144" t="n">
        <f aca="false">O167+L167+I167</f>
        <v>3.7904</v>
      </c>
      <c r="S167" s="145"/>
      <c r="T167" s="71" t="n">
        <f aca="false">A168-A167</f>
        <v>31</v>
      </c>
      <c r="U167" s="146" t="n">
        <f aca="false">CHOOSE(F$3,A168+24,A167)</f>
        <v>41815</v>
      </c>
      <c r="V167" s="71" t="n">
        <f aca="false">U167-C$3</f>
        <v>4927</v>
      </c>
      <c r="W167" s="142" t="n">
        <f aca="false">VLOOKUP($A167,Table,MATCH(W$4,Curves,0))</f>
        <v>0.058966861357273</v>
      </c>
      <c r="X167" s="147" t="n">
        <f aca="false">1/(1+CHOOSE(F$3,(W168+($K$3/10000))/2,(W167+($K$3/10000))/2))^(2*V167/365.25)</f>
        <v>0.456609571944736</v>
      </c>
      <c r="Y167" s="71" t="n">
        <f aca="false">IF(AND(mthbeg&lt;=A167,mthend&gt;=A167),1,0)</f>
        <v>0</v>
      </c>
      <c r="Z167" s="71" t="n">
        <f aca="false">T167*Y167</f>
        <v>0</v>
      </c>
      <c r="AB167" s="132" t="n">
        <f aca="false">F167*G167</f>
        <v>0</v>
      </c>
      <c r="AC167" s="132" t="n">
        <f aca="false">$F167*H167</f>
        <v>0</v>
      </c>
      <c r="AD167" s="132" t="n">
        <f aca="false">$F167*I167</f>
        <v>0</v>
      </c>
      <c r="AE167" s="132" t="n">
        <f aca="false">$F167*J167</f>
        <v>0</v>
      </c>
      <c r="AF167" s="132" t="n">
        <f aca="false">$F167*K167</f>
        <v>0</v>
      </c>
      <c r="AG167" s="132" t="n">
        <f aca="false">$F167*L167</f>
        <v>0</v>
      </c>
      <c r="AH167" s="132" t="n">
        <f aca="false">$F167*M167</f>
        <v>0</v>
      </c>
      <c r="AI167" s="132" t="n">
        <f aca="false">$F167*N167</f>
        <v>0</v>
      </c>
      <c r="AJ167" s="132" t="n">
        <f aca="false">F167*O167</f>
        <v>0</v>
      </c>
      <c r="AK167" s="137"/>
      <c r="AL167" s="132" t="n">
        <f aca="false">CHOOSE($G$3,AC167-AD167,AD167-AC167)</f>
        <v>0</v>
      </c>
      <c r="AM167" s="132" t="n">
        <f aca="false">CHOOSE($G$3,AF167-AG167,AG167-AF167)</f>
        <v>0</v>
      </c>
      <c r="AN167" s="132" t="n">
        <f aca="false">CHOOSE($G$3,AI167-AJ167,AJ167-AI167)</f>
        <v>0</v>
      </c>
      <c r="AO167" s="148" t="n">
        <f aca="false">SUM(AL167:AN167)</f>
        <v>0</v>
      </c>
      <c r="AQ167" s="132" t="n">
        <f aca="false">CHOOSE($G$3,AB167-AC167,AC167-AB167)</f>
        <v>0</v>
      </c>
      <c r="AR167" s="132" t="n">
        <f aca="false">CHOOSE($G$3,AE167-AF167,AF167-AE167)</f>
        <v>0</v>
      </c>
      <c r="AS167" s="132" t="n">
        <f aca="false">CHOOSE($G$3,AH167-AI167,AI167-AH167)</f>
        <v>0</v>
      </c>
      <c r="AT167" s="148" t="n">
        <f aca="false">AQ167+AR167+AS167</f>
        <v>0</v>
      </c>
      <c r="AU167" s="148"/>
      <c r="AV167" s="133" t="n">
        <f aca="false">AT167+AO167</f>
        <v>0</v>
      </c>
      <c r="AX167" s="133" t="n">
        <f aca="false">AJ167+AG167+AD167</f>
        <v>0</v>
      </c>
      <c r="AY167" s="149"/>
      <c r="AZ167" s="76" t="n">
        <f aca="false">R167*E167</f>
        <v>0</v>
      </c>
    </row>
    <row r="168" customFormat="false" ht="12.75" hidden="false" customHeight="false" outlineLevel="0" collapsed="false">
      <c r="A168" s="138" t="n">
        <f aca="false">EDATE(A167,1)</f>
        <v>41791</v>
      </c>
      <c r="B168" s="139" t="n">
        <f aca="false">VLOOKUP($A168,Table2,MATCH(I$3,Curves2,0))</f>
        <v>60900</v>
      </c>
      <c r="C168" s="140"/>
      <c r="D168" s="141" t="n">
        <f aca="false">B168+C168</f>
        <v>60900</v>
      </c>
      <c r="E168" s="126" t="n">
        <f aca="false">IF(Y168=0,0,IF(AND(Y168=1,$H$3=1),D168*T168,IF($H$3=2,D168,"N/A")))</f>
        <v>0</v>
      </c>
      <c r="F168" s="126" t="n">
        <f aca="false">E168*X168</f>
        <v>0</v>
      </c>
      <c r="G168" s="142" t="n">
        <f aca="false">VLOOKUP($A168,Table,MATCH(G$4,Curves,0))</f>
        <v>3.987</v>
      </c>
      <c r="H168" s="143" t="n">
        <f aca="false">G168</f>
        <v>3.987</v>
      </c>
      <c r="I168" s="142" t="n">
        <f aca="false">VLOOKUP($A168,Table1,MATCH(I$3,Curves1,0))</f>
        <v>3.7904</v>
      </c>
      <c r="J168" s="142" t="n">
        <f aca="false">VLOOKUP($A168,Table,MATCH(J$4,Curves,0))</f>
        <v>0.011</v>
      </c>
      <c r="K168" s="143" t="n">
        <f aca="false">J168</f>
        <v>0.011</v>
      </c>
      <c r="L168" s="144" t="n">
        <v>0</v>
      </c>
      <c r="M168" s="142" t="n">
        <f aca="false">VLOOKUP($A168,Table,MATCH(M$4,Curves,0))</f>
        <v>0.015</v>
      </c>
      <c r="N168" s="143" t="n">
        <f aca="false">M168</f>
        <v>0.015</v>
      </c>
      <c r="O168" s="144" t="n">
        <v>0</v>
      </c>
      <c r="P168" s="145"/>
      <c r="Q168" s="144" t="n">
        <f aca="false">M168+J168+G168</f>
        <v>4.013</v>
      </c>
      <c r="R168" s="144" t="n">
        <f aca="false">O168+L168+I168</f>
        <v>3.7904</v>
      </c>
      <c r="S168" s="145"/>
      <c r="T168" s="71" t="n">
        <f aca="false">A169-A168</f>
        <v>30</v>
      </c>
      <c r="U168" s="146" t="n">
        <f aca="false">CHOOSE(F$3,A169+24,A168)</f>
        <v>41845</v>
      </c>
      <c r="V168" s="71" t="n">
        <f aca="false">U168-C$3</f>
        <v>4957</v>
      </c>
      <c r="W168" s="142" t="n">
        <f aca="false">VLOOKUP($A168,Table,MATCH(W$4,Curves,0))</f>
        <v>0.058966861357273</v>
      </c>
      <c r="X168" s="147" t="n">
        <f aca="false">1/(1+CHOOSE(F$3,(W169+($K$3/10000))/2,(W168+($K$3/10000))/2))^(2*V168/365.25)</f>
        <v>0.454435254205052</v>
      </c>
      <c r="Y168" s="71" t="n">
        <f aca="false">IF(AND(mthbeg&lt;=A168,mthend&gt;=A168),1,0)</f>
        <v>0</v>
      </c>
      <c r="Z168" s="71" t="n">
        <f aca="false">T168*Y168</f>
        <v>0</v>
      </c>
      <c r="AB168" s="132" t="n">
        <f aca="false">F168*G168</f>
        <v>0</v>
      </c>
      <c r="AC168" s="132" t="n">
        <f aca="false">$F168*H168</f>
        <v>0</v>
      </c>
      <c r="AD168" s="132" t="n">
        <f aca="false">$F168*I168</f>
        <v>0</v>
      </c>
      <c r="AE168" s="132" t="n">
        <f aca="false">$F168*J168</f>
        <v>0</v>
      </c>
      <c r="AF168" s="132" t="n">
        <f aca="false">$F168*K168</f>
        <v>0</v>
      </c>
      <c r="AG168" s="132" t="n">
        <f aca="false">$F168*L168</f>
        <v>0</v>
      </c>
      <c r="AH168" s="132" t="n">
        <f aca="false">$F168*M168</f>
        <v>0</v>
      </c>
      <c r="AI168" s="132" t="n">
        <f aca="false">$F168*N168</f>
        <v>0</v>
      </c>
      <c r="AJ168" s="132" t="n">
        <f aca="false">F168*O168</f>
        <v>0</v>
      </c>
      <c r="AK168" s="137"/>
      <c r="AL168" s="132" t="n">
        <f aca="false">CHOOSE($G$3,AC168-AD168,AD168-AC168)</f>
        <v>0</v>
      </c>
      <c r="AM168" s="132" t="n">
        <f aca="false">CHOOSE($G$3,AF168-AG168,AG168-AF168)</f>
        <v>0</v>
      </c>
      <c r="AN168" s="132" t="n">
        <f aca="false">CHOOSE($G$3,AI168-AJ168,AJ168-AI168)</f>
        <v>0</v>
      </c>
      <c r="AO168" s="148" t="n">
        <f aca="false">SUM(AL168:AN168)</f>
        <v>0</v>
      </c>
      <c r="AQ168" s="132" t="n">
        <f aca="false">CHOOSE($G$3,AB168-AC168,AC168-AB168)</f>
        <v>0</v>
      </c>
      <c r="AR168" s="132" t="n">
        <f aca="false">CHOOSE($G$3,AE168-AF168,AF168-AE168)</f>
        <v>0</v>
      </c>
      <c r="AS168" s="132" t="n">
        <f aca="false">CHOOSE($G$3,AH168-AI168,AI168-AH168)</f>
        <v>0</v>
      </c>
      <c r="AT168" s="148" t="n">
        <f aca="false">AQ168+AR168+AS168</f>
        <v>0</v>
      </c>
      <c r="AU168" s="148"/>
      <c r="AV168" s="133" t="n">
        <f aca="false">AT168+AO168</f>
        <v>0</v>
      </c>
      <c r="AX168" s="133" t="n">
        <f aca="false">AJ168+AG168+AD168</f>
        <v>0</v>
      </c>
      <c r="AY168" s="149"/>
      <c r="AZ168" s="76" t="n">
        <f aca="false">R168*E168</f>
        <v>0</v>
      </c>
    </row>
    <row r="169" customFormat="false" ht="12.75" hidden="false" customHeight="false" outlineLevel="0" collapsed="false">
      <c r="A169" s="138" t="n">
        <f aca="false">EDATE(A168,1)</f>
        <v>41821</v>
      </c>
      <c r="B169" s="139" t="n">
        <f aca="false">VLOOKUP($A169,Table2,MATCH(I$3,Curves2,0))</f>
        <v>60900</v>
      </c>
      <c r="C169" s="140"/>
      <c r="D169" s="141" t="n">
        <f aca="false">B169+C169</f>
        <v>60900</v>
      </c>
      <c r="E169" s="126" t="n">
        <f aca="false">IF(Y169=0,0,IF(AND(Y169=1,$H$3=1),D169*T169,IF($H$3=2,D169,"N/A")))</f>
        <v>0</v>
      </c>
      <c r="F169" s="126" t="n">
        <f aca="false">E169*X169</f>
        <v>0</v>
      </c>
      <c r="G169" s="142" t="n">
        <f aca="false">VLOOKUP($A169,Table,MATCH(G$4,Curves,0))</f>
        <v>3.987</v>
      </c>
      <c r="H169" s="143" t="n">
        <f aca="false">G169</f>
        <v>3.987</v>
      </c>
      <c r="I169" s="142" t="n">
        <f aca="false">VLOOKUP($A169,Table1,MATCH(I$3,Curves1,0))</f>
        <v>3.7904</v>
      </c>
      <c r="J169" s="142" t="n">
        <f aca="false">VLOOKUP($A169,Table,MATCH(J$4,Curves,0))</f>
        <v>0.011</v>
      </c>
      <c r="K169" s="143" t="n">
        <f aca="false">J169</f>
        <v>0.011</v>
      </c>
      <c r="L169" s="144" t="n">
        <v>0</v>
      </c>
      <c r="M169" s="142" t="n">
        <f aca="false">VLOOKUP($A169,Table,MATCH(M$4,Curves,0))</f>
        <v>0.015</v>
      </c>
      <c r="N169" s="143" t="n">
        <f aca="false">M169</f>
        <v>0.015</v>
      </c>
      <c r="O169" s="144" t="n">
        <v>0</v>
      </c>
      <c r="P169" s="145"/>
      <c r="Q169" s="144" t="n">
        <f aca="false">M169+J169+G169</f>
        <v>4.013</v>
      </c>
      <c r="R169" s="144" t="n">
        <f aca="false">O169+L169+I169</f>
        <v>3.7904</v>
      </c>
      <c r="S169" s="145"/>
      <c r="T169" s="71" t="n">
        <f aca="false">A170-A169</f>
        <v>31</v>
      </c>
      <c r="U169" s="146" t="n">
        <f aca="false">CHOOSE(F$3,A170+24,A169)</f>
        <v>41876</v>
      </c>
      <c r="V169" s="71" t="n">
        <f aca="false">U169-C$3</f>
        <v>4988</v>
      </c>
      <c r="W169" s="142" t="n">
        <f aca="false">VLOOKUP($A169,Table,MATCH(W$4,Curves,0))</f>
        <v>0.058966861357273</v>
      </c>
      <c r="X169" s="147" t="n">
        <f aca="false">1/(1+CHOOSE(F$3,(W170+($K$3/10000))/2,(W169+($K$3/10000))/2))^(2*V169/365.25)</f>
        <v>0.452199335904252</v>
      </c>
      <c r="Y169" s="71" t="n">
        <f aca="false">IF(AND(mthbeg&lt;=A169,mthend&gt;=A169),1,0)</f>
        <v>0</v>
      </c>
      <c r="Z169" s="71" t="n">
        <f aca="false">T169*Y169</f>
        <v>0</v>
      </c>
      <c r="AB169" s="132" t="n">
        <f aca="false">F169*G169</f>
        <v>0</v>
      </c>
      <c r="AC169" s="132" t="n">
        <f aca="false">$F169*H169</f>
        <v>0</v>
      </c>
      <c r="AD169" s="132" t="n">
        <f aca="false">$F169*I169</f>
        <v>0</v>
      </c>
      <c r="AE169" s="132" t="n">
        <f aca="false">$F169*J169</f>
        <v>0</v>
      </c>
      <c r="AF169" s="132" t="n">
        <f aca="false">$F169*K169</f>
        <v>0</v>
      </c>
      <c r="AG169" s="132" t="n">
        <f aca="false">$F169*L169</f>
        <v>0</v>
      </c>
      <c r="AH169" s="132" t="n">
        <f aca="false">$F169*M169</f>
        <v>0</v>
      </c>
      <c r="AI169" s="132" t="n">
        <f aca="false">$F169*N169</f>
        <v>0</v>
      </c>
      <c r="AJ169" s="132" t="n">
        <f aca="false">F169*O169</f>
        <v>0</v>
      </c>
      <c r="AK169" s="137"/>
      <c r="AL169" s="132" t="n">
        <f aca="false">CHOOSE($G$3,AC169-AD169,AD169-AC169)</f>
        <v>0</v>
      </c>
      <c r="AM169" s="132" t="n">
        <f aca="false">CHOOSE($G$3,AF169-AG169,AG169-AF169)</f>
        <v>0</v>
      </c>
      <c r="AN169" s="132" t="n">
        <f aca="false">CHOOSE($G$3,AI169-AJ169,AJ169-AI169)</f>
        <v>0</v>
      </c>
      <c r="AO169" s="148" t="n">
        <f aca="false">SUM(AL169:AN169)</f>
        <v>0</v>
      </c>
      <c r="AQ169" s="132" t="n">
        <f aca="false">CHOOSE($G$3,AB169-AC169,AC169-AB169)</f>
        <v>0</v>
      </c>
      <c r="AR169" s="132" t="n">
        <f aca="false">CHOOSE($G$3,AE169-AF169,AF169-AE169)</f>
        <v>0</v>
      </c>
      <c r="AS169" s="132" t="n">
        <f aca="false">CHOOSE($G$3,AH169-AI169,AI169-AH169)</f>
        <v>0</v>
      </c>
      <c r="AT169" s="148" t="n">
        <f aca="false">AQ169+AR169+AS169</f>
        <v>0</v>
      </c>
      <c r="AU169" s="148"/>
      <c r="AV169" s="133" t="n">
        <f aca="false">AT169+AO169</f>
        <v>0</v>
      </c>
      <c r="AX169" s="133" t="n">
        <f aca="false">AJ169+AG169+AD169</f>
        <v>0</v>
      </c>
      <c r="AY169" s="149"/>
      <c r="AZ169" s="76" t="n">
        <f aca="false">R169*E169</f>
        <v>0</v>
      </c>
    </row>
    <row r="170" customFormat="false" ht="12" hidden="false" customHeight="true" outlineLevel="0" collapsed="false">
      <c r="A170" s="138" t="n">
        <f aca="false">EDATE(A169,1)</f>
        <v>41852</v>
      </c>
      <c r="B170" s="139" t="n">
        <f aca="false">VLOOKUP($A170,Table2,MATCH(I$3,Curves2,0))</f>
        <v>60900</v>
      </c>
      <c r="C170" s="140"/>
      <c r="D170" s="141" t="n">
        <f aca="false">B170+C170</f>
        <v>60900</v>
      </c>
      <c r="E170" s="126" t="n">
        <f aca="false">IF(Y170=0,0,IF(AND(Y170=1,$H$3=1),D170*T170,IF($H$3=2,D170,"N/A")))</f>
        <v>0</v>
      </c>
      <c r="F170" s="126" t="n">
        <f aca="false">E170*X170</f>
        <v>0</v>
      </c>
      <c r="G170" s="142" t="n">
        <f aca="false">VLOOKUP($A170,Table,MATCH(G$4,Curves,0))</f>
        <v>3.987</v>
      </c>
      <c r="H170" s="143" t="n">
        <f aca="false">G170</f>
        <v>3.987</v>
      </c>
      <c r="I170" s="142" t="n">
        <f aca="false">VLOOKUP($A170,Table1,MATCH(I$3,Curves1,0))</f>
        <v>3.7904</v>
      </c>
      <c r="J170" s="142" t="n">
        <f aca="false">VLOOKUP($A170,Table,MATCH(J$4,Curves,0))</f>
        <v>0.011</v>
      </c>
      <c r="K170" s="143" t="n">
        <f aca="false">J170</f>
        <v>0.011</v>
      </c>
      <c r="L170" s="144" t="n">
        <v>0</v>
      </c>
      <c r="M170" s="142" t="n">
        <f aca="false">VLOOKUP($A170,Table,MATCH(M$4,Curves,0))</f>
        <v>0.015</v>
      </c>
      <c r="N170" s="143" t="n">
        <f aca="false">M170</f>
        <v>0.015</v>
      </c>
      <c r="O170" s="144" t="n">
        <v>0</v>
      </c>
      <c r="P170" s="145"/>
      <c r="Q170" s="144" t="n">
        <f aca="false">M170+J170+G170</f>
        <v>4.013</v>
      </c>
      <c r="R170" s="144" t="n">
        <f aca="false">O170+L170+I170</f>
        <v>3.7904</v>
      </c>
      <c r="S170" s="145"/>
      <c r="T170" s="71" t="n">
        <f aca="false">A171-A170</f>
        <v>31</v>
      </c>
      <c r="U170" s="146" t="n">
        <f aca="false">CHOOSE(F$3,A171+24,A170)</f>
        <v>41907</v>
      </c>
      <c r="V170" s="71" t="n">
        <f aca="false">U170-C$3</f>
        <v>5019</v>
      </c>
      <c r="W170" s="142" t="n">
        <f aca="false">VLOOKUP($A170,Table,MATCH(W$4,Curves,0))</f>
        <v>0.058966861357273</v>
      </c>
      <c r="X170" s="147" t="n">
        <f aca="false">1/(1+CHOOSE(F$3,(W171+($K$3/10000))/2,(W170+($K$3/10000))/2))^(2*V170/365.25)</f>
        <v>0.449974418798015</v>
      </c>
      <c r="Y170" s="71" t="n">
        <f aca="false">IF(AND(mthbeg&lt;=A170,mthend&gt;=A170),1,0)</f>
        <v>0</v>
      </c>
      <c r="Z170" s="71" t="n">
        <f aca="false">T170*Y170</f>
        <v>0</v>
      </c>
      <c r="AB170" s="132" t="n">
        <f aca="false">F170*G170</f>
        <v>0</v>
      </c>
      <c r="AC170" s="132" t="n">
        <f aca="false">$F170*H170</f>
        <v>0</v>
      </c>
      <c r="AD170" s="132" t="n">
        <f aca="false">$F170*I170</f>
        <v>0</v>
      </c>
      <c r="AE170" s="132" t="n">
        <f aca="false">$F170*J170</f>
        <v>0</v>
      </c>
      <c r="AF170" s="132" t="n">
        <f aca="false">$F170*K170</f>
        <v>0</v>
      </c>
      <c r="AG170" s="132" t="n">
        <f aca="false">$F170*L170</f>
        <v>0</v>
      </c>
      <c r="AH170" s="132" t="n">
        <f aca="false">$F170*M170</f>
        <v>0</v>
      </c>
      <c r="AI170" s="132" t="n">
        <f aca="false">$F170*N170</f>
        <v>0</v>
      </c>
      <c r="AJ170" s="132" t="n">
        <f aca="false">F170*O170</f>
        <v>0</v>
      </c>
      <c r="AK170" s="137"/>
      <c r="AL170" s="132" t="n">
        <f aca="false">CHOOSE($G$3,AC170-AD170,AD170-AC170)</f>
        <v>0</v>
      </c>
      <c r="AM170" s="132" t="n">
        <f aca="false">CHOOSE($G$3,AF170-AG170,AG170-AF170)</f>
        <v>0</v>
      </c>
      <c r="AN170" s="132" t="n">
        <f aca="false">CHOOSE($G$3,AI170-AJ170,AJ170-AI170)</f>
        <v>0</v>
      </c>
      <c r="AO170" s="148" t="n">
        <f aca="false">SUM(AL170:AN170)</f>
        <v>0</v>
      </c>
      <c r="AQ170" s="132" t="n">
        <f aca="false">CHOOSE($G$3,AB170-AC170,AC170-AB170)</f>
        <v>0</v>
      </c>
      <c r="AR170" s="132" t="n">
        <f aca="false">CHOOSE($G$3,AE170-AF170,AF170-AE170)</f>
        <v>0</v>
      </c>
      <c r="AS170" s="132" t="n">
        <f aca="false">CHOOSE($G$3,AH170-AI170,AI170-AH170)</f>
        <v>0</v>
      </c>
      <c r="AT170" s="148" t="n">
        <f aca="false">AQ170+AR170+AS170</f>
        <v>0</v>
      </c>
      <c r="AU170" s="148"/>
      <c r="AV170" s="133" t="n">
        <f aca="false">AT170+AO170</f>
        <v>0</v>
      </c>
      <c r="AX170" s="133" t="n">
        <f aca="false">AJ170+AG170+AD170</f>
        <v>0</v>
      </c>
      <c r="AY170" s="149"/>
      <c r="AZ170" s="76" t="n">
        <f aca="false">R170*E170</f>
        <v>0</v>
      </c>
    </row>
    <row r="171" customFormat="false" ht="12" hidden="false" customHeight="true" outlineLevel="0" collapsed="false">
      <c r="A171" s="138" t="n">
        <f aca="false">EDATE(A170,1)</f>
        <v>41883</v>
      </c>
      <c r="B171" s="139" t="n">
        <f aca="false">VLOOKUP($A171,Table2,MATCH(I$3,Curves2,0))</f>
        <v>60900</v>
      </c>
      <c r="C171" s="140"/>
      <c r="D171" s="141" t="n">
        <f aca="false">B171+C171</f>
        <v>60900</v>
      </c>
      <c r="E171" s="126" t="n">
        <f aca="false">IF(Y171=0,0,IF(AND(Y171=1,$H$3=1),D171*T171,IF($H$3=2,D171,"N/A")))</f>
        <v>0</v>
      </c>
      <c r="F171" s="126" t="n">
        <f aca="false">E171*X171</f>
        <v>0</v>
      </c>
      <c r="G171" s="142" t="n">
        <f aca="false">VLOOKUP($A171,Table,MATCH(G$4,Curves,0))</f>
        <v>3.987</v>
      </c>
      <c r="H171" s="143" t="n">
        <f aca="false">G171</f>
        <v>3.987</v>
      </c>
      <c r="I171" s="142" t="n">
        <f aca="false">VLOOKUP($A171,Table1,MATCH(I$3,Curves1,0))</f>
        <v>3.7904</v>
      </c>
      <c r="J171" s="142" t="n">
        <f aca="false">VLOOKUP($A171,Table,MATCH(J$4,Curves,0))</f>
        <v>0.011</v>
      </c>
      <c r="K171" s="143" t="n">
        <f aca="false">J171</f>
        <v>0.011</v>
      </c>
      <c r="L171" s="144" t="n">
        <v>0</v>
      </c>
      <c r="M171" s="142" t="n">
        <f aca="false">VLOOKUP($A171,Table,MATCH(M$4,Curves,0))</f>
        <v>0.015</v>
      </c>
      <c r="N171" s="143" t="n">
        <f aca="false">M171</f>
        <v>0.015</v>
      </c>
      <c r="O171" s="144" t="n">
        <v>0</v>
      </c>
      <c r="P171" s="145"/>
      <c r="Q171" s="144" t="n">
        <f aca="false">M171+J171+G171</f>
        <v>4.013</v>
      </c>
      <c r="R171" s="144" t="n">
        <f aca="false">O171+L171+I171</f>
        <v>3.7904</v>
      </c>
      <c r="S171" s="145"/>
      <c r="T171" s="71" t="n">
        <f aca="false">A172-A171</f>
        <v>30</v>
      </c>
      <c r="U171" s="146" t="n">
        <f aca="false">CHOOSE(F$3,A172+24,A171)</f>
        <v>41937</v>
      </c>
      <c r="V171" s="71" t="n">
        <f aca="false">U171-C$3</f>
        <v>5049</v>
      </c>
      <c r="W171" s="142" t="n">
        <f aca="false">VLOOKUP($A171,Table,MATCH(W$4,Curves,0))</f>
        <v>0.058966861357273</v>
      </c>
      <c r="X171" s="147" t="n">
        <f aca="false">1/(1+CHOOSE(F$3,(W172+($K$3/10000))/2,(W171+($K$3/10000))/2))^(2*V171/365.25)</f>
        <v>0.44783169682872</v>
      </c>
      <c r="Y171" s="71" t="n">
        <f aca="false">IF(AND(mthbeg&lt;=A171,mthend&gt;=A171),1,0)</f>
        <v>0</v>
      </c>
      <c r="Z171" s="71" t="n">
        <f aca="false">T171*Y171</f>
        <v>0</v>
      </c>
      <c r="AB171" s="132" t="n">
        <f aca="false">F171*G171</f>
        <v>0</v>
      </c>
      <c r="AC171" s="132" t="n">
        <f aca="false">$F171*H171</f>
        <v>0</v>
      </c>
      <c r="AD171" s="132" t="n">
        <f aca="false">$F171*I171</f>
        <v>0</v>
      </c>
      <c r="AE171" s="132" t="n">
        <f aca="false">$F171*J171</f>
        <v>0</v>
      </c>
      <c r="AF171" s="132" t="n">
        <f aca="false">$F171*K171</f>
        <v>0</v>
      </c>
      <c r="AG171" s="132" t="n">
        <f aca="false">$F171*L171</f>
        <v>0</v>
      </c>
      <c r="AH171" s="132" t="n">
        <f aca="false">$F171*M171</f>
        <v>0</v>
      </c>
      <c r="AI171" s="132" t="n">
        <f aca="false">$F171*N171</f>
        <v>0</v>
      </c>
      <c r="AJ171" s="132" t="n">
        <f aca="false">F171*O171</f>
        <v>0</v>
      </c>
      <c r="AK171" s="137"/>
      <c r="AL171" s="132" t="n">
        <f aca="false">CHOOSE($G$3,AC171-AD171,AD171-AC171)</f>
        <v>0</v>
      </c>
      <c r="AM171" s="132" t="n">
        <f aca="false">CHOOSE($G$3,AF171-AG171,AG171-AF171)</f>
        <v>0</v>
      </c>
      <c r="AN171" s="132" t="n">
        <f aca="false">CHOOSE($G$3,AI171-AJ171,AJ171-AI171)</f>
        <v>0</v>
      </c>
      <c r="AO171" s="148" t="n">
        <f aca="false">SUM(AL171:AN171)</f>
        <v>0</v>
      </c>
      <c r="AQ171" s="132" t="n">
        <f aca="false">CHOOSE($G$3,AB171-AC171,AC171-AB171)</f>
        <v>0</v>
      </c>
      <c r="AR171" s="132" t="n">
        <f aca="false">CHOOSE($G$3,AE171-AF171,AF171-AE171)</f>
        <v>0</v>
      </c>
      <c r="AS171" s="132" t="n">
        <f aca="false">CHOOSE($G$3,AH171-AI171,AI171-AH171)</f>
        <v>0</v>
      </c>
      <c r="AT171" s="148" t="n">
        <f aca="false">AQ171+AR171+AS171</f>
        <v>0</v>
      </c>
      <c r="AU171" s="148"/>
      <c r="AV171" s="133" t="n">
        <f aca="false">AT171+AO171</f>
        <v>0</v>
      </c>
      <c r="AX171" s="133" t="n">
        <f aca="false">AJ171+AG171+AD171</f>
        <v>0</v>
      </c>
      <c r="AY171" s="149"/>
      <c r="AZ171" s="76" t="n">
        <f aca="false">R171*E171</f>
        <v>0</v>
      </c>
    </row>
    <row r="172" customFormat="false" ht="12" hidden="false" customHeight="true" outlineLevel="0" collapsed="false">
      <c r="A172" s="138" t="n">
        <f aca="false">EDATE(A171,1)</f>
        <v>41913</v>
      </c>
      <c r="B172" s="139" t="n">
        <f aca="false">VLOOKUP($A172,Table2,MATCH(I$3,Curves2,0))</f>
        <v>60900</v>
      </c>
      <c r="C172" s="140"/>
      <c r="D172" s="141" t="n">
        <f aca="false">B172+C172</f>
        <v>60900</v>
      </c>
      <c r="E172" s="126" t="n">
        <f aca="false">IF(Y172=0,0,IF(AND(Y172=1,$H$3=1),D172*T172,IF($H$3=2,D172,"N/A")))</f>
        <v>0</v>
      </c>
      <c r="F172" s="126" t="n">
        <f aca="false">E172*X172</f>
        <v>0</v>
      </c>
      <c r="G172" s="142" t="n">
        <f aca="false">VLOOKUP($A172,Table,MATCH(G$4,Curves,0))</f>
        <v>3.987</v>
      </c>
      <c r="H172" s="143" t="n">
        <f aca="false">G172</f>
        <v>3.987</v>
      </c>
      <c r="I172" s="142" t="n">
        <f aca="false">VLOOKUP($A172,Table1,MATCH(I$3,Curves1,0))</f>
        <v>3.7904</v>
      </c>
      <c r="J172" s="142" t="n">
        <f aca="false">VLOOKUP($A172,Table,MATCH(J$4,Curves,0))</f>
        <v>0.011</v>
      </c>
      <c r="K172" s="143" t="n">
        <f aca="false">J172</f>
        <v>0.011</v>
      </c>
      <c r="L172" s="144" t="n">
        <v>0</v>
      </c>
      <c r="M172" s="142" t="n">
        <f aca="false">VLOOKUP($A172,Table,MATCH(M$4,Curves,0))</f>
        <v>0.015</v>
      </c>
      <c r="N172" s="143" t="n">
        <f aca="false">M172</f>
        <v>0.015</v>
      </c>
      <c r="O172" s="144" t="n">
        <v>0</v>
      </c>
      <c r="P172" s="145"/>
      <c r="Q172" s="144" t="n">
        <f aca="false">M172+J172+G172</f>
        <v>4.013</v>
      </c>
      <c r="R172" s="144" t="n">
        <f aca="false">O172+L172+I172</f>
        <v>3.7904</v>
      </c>
      <c r="S172" s="145"/>
      <c r="T172" s="71" t="n">
        <f aca="false">A173-A172</f>
        <v>31</v>
      </c>
      <c r="U172" s="146" t="n">
        <f aca="false">CHOOSE(F$3,A173+24,A172)</f>
        <v>41968</v>
      </c>
      <c r="V172" s="71" t="n">
        <f aca="false">U172-C$3</f>
        <v>5080</v>
      </c>
      <c r="W172" s="142" t="n">
        <f aca="false">VLOOKUP($A172,Table,MATCH(W$4,Curves,0))</f>
        <v>0.058966861357273</v>
      </c>
      <c r="X172" s="147" t="n">
        <f aca="false">1/(1+CHOOSE(F$3,(W173+($K$3/10000))/2,(W172+($K$3/10000))/2))^(2*V172/365.25)</f>
        <v>0.445628269437574</v>
      </c>
      <c r="Y172" s="71" t="n">
        <f aca="false">IF(AND(mthbeg&lt;=A172,mthend&gt;=A172),1,0)</f>
        <v>0</v>
      </c>
      <c r="Z172" s="71" t="n">
        <f aca="false">T172*Y172</f>
        <v>0</v>
      </c>
      <c r="AB172" s="132" t="n">
        <f aca="false">F172*G172</f>
        <v>0</v>
      </c>
      <c r="AC172" s="132" t="n">
        <f aca="false">$F172*H172</f>
        <v>0</v>
      </c>
      <c r="AD172" s="132" t="n">
        <f aca="false">$F172*I172</f>
        <v>0</v>
      </c>
      <c r="AE172" s="132" t="n">
        <f aca="false">$F172*J172</f>
        <v>0</v>
      </c>
      <c r="AF172" s="132" t="n">
        <f aca="false">$F172*K172</f>
        <v>0</v>
      </c>
      <c r="AG172" s="132" t="n">
        <f aca="false">$F172*L172</f>
        <v>0</v>
      </c>
      <c r="AH172" s="132" t="n">
        <f aca="false">$F172*M172</f>
        <v>0</v>
      </c>
      <c r="AI172" s="132" t="n">
        <f aca="false">$F172*N172</f>
        <v>0</v>
      </c>
      <c r="AJ172" s="132" t="n">
        <f aca="false">F172*O172</f>
        <v>0</v>
      </c>
      <c r="AK172" s="137"/>
      <c r="AL172" s="132" t="n">
        <f aca="false">CHOOSE($G$3,AC172-AD172,AD172-AC172)</f>
        <v>0</v>
      </c>
      <c r="AM172" s="132" t="n">
        <f aca="false">CHOOSE($G$3,AF172-AG172,AG172-AF172)</f>
        <v>0</v>
      </c>
      <c r="AN172" s="132" t="n">
        <f aca="false">CHOOSE($G$3,AI172-AJ172,AJ172-AI172)</f>
        <v>0</v>
      </c>
      <c r="AO172" s="148" t="n">
        <f aca="false">SUM(AL172:AN172)</f>
        <v>0</v>
      </c>
      <c r="AQ172" s="132" t="n">
        <f aca="false">CHOOSE($G$3,AB172-AC172,AC172-AB172)</f>
        <v>0</v>
      </c>
      <c r="AR172" s="132" t="n">
        <f aca="false">CHOOSE($G$3,AE172-AF172,AF172-AE172)</f>
        <v>0</v>
      </c>
      <c r="AS172" s="132" t="n">
        <f aca="false">CHOOSE($G$3,AH172-AI172,AI172-AH172)</f>
        <v>0</v>
      </c>
      <c r="AT172" s="148" t="n">
        <f aca="false">AQ172+AR172+AS172</f>
        <v>0</v>
      </c>
      <c r="AU172" s="148"/>
      <c r="AV172" s="133" t="n">
        <f aca="false">AT172+AO172</f>
        <v>0</v>
      </c>
      <c r="AX172" s="133" t="n">
        <f aca="false">AJ172+AG172+AD172</f>
        <v>0</v>
      </c>
      <c r="AY172" s="149"/>
      <c r="AZ172" s="76" t="n">
        <f aca="false">R172*E172</f>
        <v>0</v>
      </c>
    </row>
    <row r="173" customFormat="false" ht="12" hidden="false" customHeight="true" outlineLevel="0" collapsed="false">
      <c r="A173" s="138" t="n">
        <f aca="false">EDATE(A172,1)</f>
        <v>41944</v>
      </c>
      <c r="B173" s="139" t="n">
        <f aca="false">VLOOKUP($A173,Table2,MATCH(I$3,Curves2,0))</f>
        <v>60900</v>
      </c>
      <c r="C173" s="140"/>
      <c r="D173" s="141" t="n">
        <f aca="false">B173+C173</f>
        <v>60900</v>
      </c>
      <c r="E173" s="126" t="n">
        <f aca="false">IF(Y173=0,0,IF(AND(Y173=1,$H$3=1),D173*T173,IF($H$3=2,D173,"N/A")))</f>
        <v>0</v>
      </c>
      <c r="F173" s="126" t="n">
        <f aca="false">E173*X173</f>
        <v>0</v>
      </c>
      <c r="G173" s="142" t="n">
        <f aca="false">VLOOKUP($A173,Table,MATCH(G$4,Curves,0))</f>
        <v>3.987</v>
      </c>
      <c r="H173" s="143" t="n">
        <f aca="false">G173</f>
        <v>3.987</v>
      </c>
      <c r="I173" s="142" t="n">
        <f aca="false">VLOOKUP($A173,Table1,MATCH(I$3,Curves1,0))</f>
        <v>3.7904</v>
      </c>
      <c r="J173" s="142" t="n">
        <f aca="false">VLOOKUP($A173,Table,MATCH(J$4,Curves,0))</f>
        <v>0.011</v>
      </c>
      <c r="K173" s="143" t="n">
        <f aca="false">J173</f>
        <v>0.011</v>
      </c>
      <c r="L173" s="144" t="n">
        <v>0</v>
      </c>
      <c r="M173" s="142" t="n">
        <f aca="false">VLOOKUP($A173,Table,MATCH(M$4,Curves,0))</f>
        <v>0.015</v>
      </c>
      <c r="N173" s="143" t="n">
        <f aca="false">M173</f>
        <v>0.015</v>
      </c>
      <c r="O173" s="144" t="n">
        <v>0</v>
      </c>
      <c r="P173" s="145"/>
      <c r="Q173" s="144" t="n">
        <f aca="false">M173+J173+G173</f>
        <v>4.013</v>
      </c>
      <c r="R173" s="144" t="n">
        <f aca="false">O173+L173+I173</f>
        <v>3.7904</v>
      </c>
      <c r="S173" s="145"/>
      <c r="T173" s="71" t="n">
        <f aca="false">A174-A173</f>
        <v>30</v>
      </c>
      <c r="U173" s="146" t="n">
        <f aca="false">CHOOSE(F$3,A174+24,A173)</f>
        <v>41998</v>
      </c>
      <c r="V173" s="71" t="n">
        <f aca="false">U173-C$3</f>
        <v>5110</v>
      </c>
      <c r="W173" s="142" t="n">
        <f aca="false">VLOOKUP($A173,Table,MATCH(W$4,Curves,0))</f>
        <v>0.058966861357273</v>
      </c>
      <c r="X173" s="147" t="n">
        <f aca="false">1/(1+CHOOSE(F$3,(W174+($K$3/10000))/2,(W173+($K$3/10000))/2))^(2*V173/365.25)</f>
        <v>0.443506243288591</v>
      </c>
      <c r="Y173" s="71" t="n">
        <f aca="false">IF(AND(mthbeg&lt;=A173,mthend&gt;=A173),1,0)</f>
        <v>0</v>
      </c>
      <c r="Z173" s="71" t="n">
        <f aca="false">T173*Y173</f>
        <v>0</v>
      </c>
      <c r="AB173" s="132" t="n">
        <f aca="false">F173*G173</f>
        <v>0</v>
      </c>
      <c r="AC173" s="132" t="n">
        <f aca="false">$F173*H173</f>
        <v>0</v>
      </c>
      <c r="AD173" s="132" t="n">
        <f aca="false">$F173*I173</f>
        <v>0</v>
      </c>
      <c r="AE173" s="132" t="n">
        <f aca="false">$F173*J173</f>
        <v>0</v>
      </c>
      <c r="AF173" s="132" t="n">
        <f aca="false">$F173*K173</f>
        <v>0</v>
      </c>
      <c r="AG173" s="132" t="n">
        <f aca="false">$F173*L173</f>
        <v>0</v>
      </c>
      <c r="AH173" s="132" t="n">
        <f aca="false">$F173*M173</f>
        <v>0</v>
      </c>
      <c r="AI173" s="132" t="n">
        <f aca="false">$F173*N173</f>
        <v>0</v>
      </c>
      <c r="AJ173" s="132" t="n">
        <f aca="false">F173*O173</f>
        <v>0</v>
      </c>
      <c r="AK173" s="137"/>
      <c r="AL173" s="132" t="n">
        <f aca="false">CHOOSE($G$3,AC173-AD173,AD173-AC173)</f>
        <v>0</v>
      </c>
      <c r="AM173" s="132" t="n">
        <f aca="false">CHOOSE($G$3,AF173-AG173,AG173-AF173)</f>
        <v>0</v>
      </c>
      <c r="AN173" s="132" t="n">
        <f aca="false">CHOOSE($G$3,AI173-AJ173,AJ173-AI173)</f>
        <v>0</v>
      </c>
      <c r="AO173" s="148" t="n">
        <f aca="false">SUM(AL173:AN173)</f>
        <v>0</v>
      </c>
      <c r="AQ173" s="132" t="n">
        <f aca="false">CHOOSE($G$3,AB173-AC173,AC173-AB173)</f>
        <v>0</v>
      </c>
      <c r="AR173" s="132" t="n">
        <f aca="false">CHOOSE($G$3,AE173-AF173,AF173-AE173)</f>
        <v>0</v>
      </c>
      <c r="AS173" s="132" t="n">
        <f aca="false">CHOOSE($G$3,AH173-AI173,AI173-AH173)</f>
        <v>0</v>
      </c>
      <c r="AT173" s="148" t="n">
        <f aca="false">AQ173+AR173+AS173</f>
        <v>0</v>
      </c>
      <c r="AU173" s="148"/>
      <c r="AV173" s="133" t="n">
        <f aca="false">AT173+AO173</f>
        <v>0</v>
      </c>
      <c r="AX173" s="133" t="n">
        <f aca="false">AJ173+AG173+AD173</f>
        <v>0</v>
      </c>
      <c r="AY173" s="149"/>
      <c r="AZ173" s="76" t="n">
        <f aca="false">R173*E173</f>
        <v>0</v>
      </c>
    </row>
    <row r="174" customFormat="false" ht="12" hidden="false" customHeight="true" outlineLevel="0" collapsed="false">
      <c r="A174" s="138" t="n">
        <f aca="false">EDATE(A173,1)</f>
        <v>41974</v>
      </c>
      <c r="B174" s="139" t="n">
        <f aca="false">VLOOKUP($A174,Table2,MATCH(I$3,Curves2,0))</f>
        <v>60900</v>
      </c>
      <c r="C174" s="140"/>
      <c r="D174" s="141" t="n">
        <f aca="false">B174+C174</f>
        <v>60900</v>
      </c>
      <c r="E174" s="126" t="n">
        <f aca="false">IF(Y174=0,0,IF(AND(Y174=1,$H$3=1),D174*T174,IF($H$3=2,D174,"N/A")))</f>
        <v>0</v>
      </c>
      <c r="F174" s="126" t="n">
        <f aca="false">E174*X174</f>
        <v>0</v>
      </c>
      <c r="G174" s="142" t="n">
        <f aca="false">VLOOKUP($A174,Table,MATCH(G$4,Curves,0))</f>
        <v>3.987</v>
      </c>
      <c r="H174" s="143" t="n">
        <f aca="false">G174</f>
        <v>3.987</v>
      </c>
      <c r="I174" s="142" t="n">
        <f aca="false">VLOOKUP($A174,Table1,MATCH(I$3,Curves1,0))</f>
        <v>3.7904</v>
      </c>
      <c r="J174" s="142" t="n">
        <f aca="false">VLOOKUP($A174,Table,MATCH(J$4,Curves,0))</f>
        <v>0.011</v>
      </c>
      <c r="K174" s="143" t="n">
        <f aca="false">J174</f>
        <v>0.011</v>
      </c>
      <c r="L174" s="144" t="n">
        <v>0</v>
      </c>
      <c r="M174" s="142" t="n">
        <f aca="false">VLOOKUP($A174,Table,MATCH(M$4,Curves,0))</f>
        <v>0.015</v>
      </c>
      <c r="N174" s="143" t="n">
        <f aca="false">M174</f>
        <v>0.015</v>
      </c>
      <c r="O174" s="144" t="n">
        <v>0</v>
      </c>
      <c r="P174" s="145"/>
      <c r="Q174" s="144" t="n">
        <f aca="false">M174+J174+G174</f>
        <v>4.013</v>
      </c>
      <c r="R174" s="144" t="n">
        <f aca="false">O174+L174+I174</f>
        <v>3.7904</v>
      </c>
      <c r="S174" s="145"/>
      <c r="T174" s="71" t="n">
        <f aca="false">A175-A174</f>
        <v>31</v>
      </c>
      <c r="U174" s="146" t="n">
        <f aca="false">CHOOSE(F$3,A175+24,A174)</f>
        <v>42029</v>
      </c>
      <c r="V174" s="71" t="n">
        <f aca="false">U174-C$3</f>
        <v>5141</v>
      </c>
      <c r="W174" s="142" t="n">
        <f aca="false">VLOOKUP($A174,Table,MATCH(W$4,Curves,0))</f>
        <v>0.058966861357273</v>
      </c>
      <c r="X174" s="147" t="n">
        <f aca="false">1/(1+CHOOSE(F$3,(W175+($K$3/10000))/2,(W174+($K$3/10000))/2))^(2*V174/365.25)</f>
        <v>0.441324098050712</v>
      </c>
      <c r="Y174" s="71" t="n">
        <f aca="false">IF(AND(mthbeg&lt;=A174,mthend&gt;=A174),1,0)</f>
        <v>0</v>
      </c>
      <c r="Z174" s="71" t="n">
        <f aca="false">T174*Y174</f>
        <v>0</v>
      </c>
      <c r="AB174" s="132" t="n">
        <f aca="false">F174*G174</f>
        <v>0</v>
      </c>
      <c r="AC174" s="132" t="n">
        <f aca="false">$F174*H174</f>
        <v>0</v>
      </c>
      <c r="AD174" s="132" t="n">
        <f aca="false">$F174*I174</f>
        <v>0</v>
      </c>
      <c r="AE174" s="132" t="n">
        <f aca="false">$F174*J174</f>
        <v>0</v>
      </c>
      <c r="AF174" s="132" t="n">
        <f aca="false">$F174*K174</f>
        <v>0</v>
      </c>
      <c r="AG174" s="132" t="n">
        <f aca="false">$F174*L174</f>
        <v>0</v>
      </c>
      <c r="AH174" s="132" t="n">
        <f aca="false">$F174*M174</f>
        <v>0</v>
      </c>
      <c r="AI174" s="132" t="n">
        <f aca="false">$F174*N174</f>
        <v>0</v>
      </c>
      <c r="AJ174" s="132" t="n">
        <f aca="false">F174*O174</f>
        <v>0</v>
      </c>
      <c r="AK174" s="137"/>
      <c r="AL174" s="132" t="n">
        <f aca="false">CHOOSE($G$3,AC174-AD174,AD174-AC174)</f>
        <v>0</v>
      </c>
      <c r="AM174" s="132" t="n">
        <f aca="false">CHOOSE($G$3,AF174-AG174,AG174-AF174)</f>
        <v>0</v>
      </c>
      <c r="AN174" s="132" t="n">
        <f aca="false">CHOOSE($G$3,AI174-AJ174,AJ174-AI174)</f>
        <v>0</v>
      </c>
      <c r="AO174" s="148" t="n">
        <f aca="false">SUM(AL174:AN174)</f>
        <v>0</v>
      </c>
      <c r="AQ174" s="132" t="n">
        <f aca="false">CHOOSE($G$3,AB174-AC174,AC174-AB174)</f>
        <v>0</v>
      </c>
      <c r="AR174" s="132" t="n">
        <f aca="false">CHOOSE($G$3,AE174-AF174,AF174-AE174)</f>
        <v>0</v>
      </c>
      <c r="AS174" s="132" t="n">
        <f aca="false">CHOOSE($G$3,AH174-AI174,AI174-AH174)</f>
        <v>0</v>
      </c>
      <c r="AT174" s="148" t="n">
        <f aca="false">AQ174+AR174+AS174</f>
        <v>0</v>
      </c>
      <c r="AU174" s="148"/>
      <c r="AV174" s="133" t="n">
        <f aca="false">AT174+AO174</f>
        <v>0</v>
      </c>
      <c r="AX174" s="133" t="n">
        <f aca="false">AJ174+AG174+AD174</f>
        <v>0</v>
      </c>
      <c r="AY174" s="149"/>
      <c r="AZ174" s="76" t="n">
        <f aca="false">R174*E174</f>
        <v>0</v>
      </c>
    </row>
    <row r="175" customFormat="false" ht="12" hidden="false" customHeight="true" outlineLevel="0" collapsed="false">
      <c r="A175" s="138" t="n">
        <f aca="false">EDATE(A174,1)</f>
        <v>42005</v>
      </c>
      <c r="B175" s="139" t="n">
        <f aca="false">VLOOKUP($A175,Table2,MATCH(I$3,Curves2,0))</f>
        <v>60900</v>
      </c>
      <c r="C175" s="140"/>
      <c r="D175" s="141" t="n">
        <f aca="false">B175+C175</f>
        <v>60900</v>
      </c>
      <c r="E175" s="126" t="n">
        <f aca="false">IF(Y175=0,0,IF(AND(Y175=1,$H$3=1),D175*T175,IF($H$3=2,D175,"N/A")))</f>
        <v>0</v>
      </c>
      <c r="F175" s="126" t="n">
        <f aca="false">E175*X175</f>
        <v>0</v>
      </c>
      <c r="G175" s="142" t="n">
        <f aca="false">VLOOKUP($A175,Table,MATCH(G$4,Curves,0))</f>
        <v>3.987</v>
      </c>
      <c r="H175" s="143" t="n">
        <f aca="false">G175</f>
        <v>3.987</v>
      </c>
      <c r="I175" s="142" t="n">
        <f aca="false">VLOOKUP($A175,Table1,MATCH(I$3,Curves1,0))</f>
        <v>3.7904</v>
      </c>
      <c r="J175" s="142" t="n">
        <f aca="false">VLOOKUP($A175,Table,MATCH(J$4,Curves,0))</f>
        <v>0.011</v>
      </c>
      <c r="K175" s="143" t="n">
        <f aca="false">J175</f>
        <v>0.011</v>
      </c>
      <c r="L175" s="144" t="n">
        <v>0</v>
      </c>
      <c r="M175" s="142" t="n">
        <f aca="false">VLOOKUP($A175,Table,MATCH(M$4,Curves,0))</f>
        <v>0.015</v>
      </c>
      <c r="N175" s="143" t="n">
        <f aca="false">M175</f>
        <v>0.015</v>
      </c>
      <c r="O175" s="144" t="n">
        <v>0</v>
      </c>
      <c r="P175" s="145"/>
      <c r="Q175" s="144" t="n">
        <f aca="false">M175+J175+G175</f>
        <v>4.013</v>
      </c>
      <c r="R175" s="144" t="n">
        <f aca="false">O175+L175+I175</f>
        <v>3.7904</v>
      </c>
      <c r="S175" s="145"/>
      <c r="T175" s="71" t="n">
        <f aca="false">A176-A175</f>
        <v>31</v>
      </c>
      <c r="U175" s="146" t="n">
        <f aca="false">CHOOSE(F$3,A176+24,A175)</f>
        <v>42060</v>
      </c>
      <c r="V175" s="71" t="n">
        <f aca="false">U175-C$3</f>
        <v>5172</v>
      </c>
      <c r="W175" s="142" t="n">
        <f aca="false">VLOOKUP($A175,Table,MATCH(W$4,Curves,0))</f>
        <v>0.058966861357273</v>
      </c>
      <c r="X175" s="147" t="n">
        <f aca="false">1/(1+CHOOSE(F$3,(W176+($K$3/10000))/2,(W175+($K$3/10000))/2))^(2*V175/365.25)</f>
        <v>0.439152689432466</v>
      </c>
      <c r="Y175" s="71" t="n">
        <f aca="false">IF(AND(mthbeg&lt;=A175,mthend&gt;=A175),1,0)</f>
        <v>0</v>
      </c>
      <c r="Z175" s="71" t="n">
        <f aca="false">T175*Y175</f>
        <v>0</v>
      </c>
      <c r="AB175" s="132" t="n">
        <f aca="false">F175*G175</f>
        <v>0</v>
      </c>
      <c r="AC175" s="132" t="n">
        <f aca="false">$F175*H175</f>
        <v>0</v>
      </c>
      <c r="AD175" s="132" t="n">
        <f aca="false">$F175*I175</f>
        <v>0</v>
      </c>
      <c r="AE175" s="132" t="n">
        <f aca="false">$F175*J175</f>
        <v>0</v>
      </c>
      <c r="AF175" s="132" t="n">
        <f aca="false">$F175*K175</f>
        <v>0</v>
      </c>
      <c r="AG175" s="132" t="n">
        <f aca="false">$F175*L175</f>
        <v>0</v>
      </c>
      <c r="AH175" s="132" t="n">
        <f aca="false">$F175*M175</f>
        <v>0</v>
      </c>
      <c r="AI175" s="132" t="n">
        <f aca="false">$F175*N175</f>
        <v>0</v>
      </c>
      <c r="AJ175" s="132" t="n">
        <f aca="false">F175*O175</f>
        <v>0</v>
      </c>
      <c r="AK175" s="137"/>
      <c r="AL175" s="132" t="n">
        <f aca="false">CHOOSE($G$3,AC175-AD175,AD175-AC175)</f>
        <v>0</v>
      </c>
      <c r="AM175" s="132" t="n">
        <f aca="false">CHOOSE($G$3,AF175-AG175,AG175-AF175)</f>
        <v>0</v>
      </c>
      <c r="AN175" s="132" t="n">
        <f aca="false">CHOOSE($G$3,AI175-AJ175,AJ175-AI175)</f>
        <v>0</v>
      </c>
      <c r="AO175" s="148" t="n">
        <f aca="false">SUM(AL175:AN175)</f>
        <v>0</v>
      </c>
      <c r="AQ175" s="132" t="n">
        <f aca="false">CHOOSE($G$3,AB175-AC175,AC175-AB175)</f>
        <v>0</v>
      </c>
      <c r="AR175" s="132" t="n">
        <f aca="false">CHOOSE($G$3,AE175-AF175,AF175-AE175)</f>
        <v>0</v>
      </c>
      <c r="AS175" s="132" t="n">
        <f aca="false">CHOOSE($G$3,AH175-AI175,AI175-AH175)</f>
        <v>0</v>
      </c>
      <c r="AT175" s="148" t="n">
        <f aca="false">AQ175+AR175+AS175</f>
        <v>0</v>
      </c>
      <c r="AU175" s="148"/>
      <c r="AV175" s="133" t="n">
        <f aca="false">AT175+AO175</f>
        <v>0</v>
      </c>
      <c r="AX175" s="133" t="n">
        <f aca="false">AJ175+AG175+AD175</f>
        <v>0</v>
      </c>
      <c r="AY175" s="149"/>
      <c r="AZ175" s="76" t="n">
        <f aca="false">R175*E175</f>
        <v>0</v>
      </c>
    </row>
    <row r="176" customFormat="false" ht="12" hidden="false" customHeight="true" outlineLevel="0" collapsed="false">
      <c r="A176" s="138" t="n">
        <f aca="false">EDATE(A175,1)</f>
        <v>42036</v>
      </c>
      <c r="B176" s="139" t="n">
        <f aca="false">VLOOKUP($A176,Table2,MATCH(I$3,Curves2,0))</f>
        <v>60900</v>
      </c>
      <c r="C176" s="140"/>
      <c r="D176" s="141" t="n">
        <f aca="false">B176+C176</f>
        <v>60900</v>
      </c>
      <c r="E176" s="126" t="n">
        <f aca="false">IF(Y176=0,0,IF(AND(Y176=1,$H$3=1),D176*T176,IF($H$3=2,D176,"N/A")))</f>
        <v>0</v>
      </c>
      <c r="F176" s="126" t="n">
        <f aca="false">E176*X176</f>
        <v>0</v>
      </c>
      <c r="G176" s="142" t="n">
        <f aca="false">VLOOKUP($A176,Table,MATCH(G$4,Curves,0))</f>
        <v>3.987</v>
      </c>
      <c r="H176" s="143" t="n">
        <f aca="false">G176</f>
        <v>3.987</v>
      </c>
      <c r="I176" s="142" t="n">
        <f aca="false">VLOOKUP($A176,Table1,MATCH(I$3,Curves1,0))</f>
        <v>3.7904</v>
      </c>
      <c r="J176" s="142" t="n">
        <f aca="false">VLOOKUP($A176,Table,MATCH(J$4,Curves,0))</f>
        <v>0.011</v>
      </c>
      <c r="K176" s="143" t="n">
        <f aca="false">J176</f>
        <v>0.011</v>
      </c>
      <c r="L176" s="144" t="n">
        <v>0</v>
      </c>
      <c r="M176" s="142" t="n">
        <f aca="false">VLOOKUP($A176,Table,MATCH(M$4,Curves,0))</f>
        <v>0.015</v>
      </c>
      <c r="N176" s="143" t="n">
        <f aca="false">M176</f>
        <v>0.015</v>
      </c>
      <c r="O176" s="144" t="n">
        <v>0</v>
      </c>
      <c r="P176" s="145"/>
      <c r="Q176" s="144" t="n">
        <f aca="false">M176+J176+G176</f>
        <v>4.013</v>
      </c>
      <c r="R176" s="144" t="n">
        <f aca="false">O176+L176+I176</f>
        <v>3.7904</v>
      </c>
      <c r="S176" s="145"/>
      <c r="T176" s="71" t="n">
        <f aca="false">A177-A176</f>
        <v>28</v>
      </c>
      <c r="U176" s="146" t="n">
        <f aca="false">CHOOSE(F$3,A177+24,A176)</f>
        <v>42088</v>
      </c>
      <c r="V176" s="71" t="n">
        <f aca="false">U176-C$3</f>
        <v>5200</v>
      </c>
      <c r="W176" s="142" t="n">
        <f aca="false">VLOOKUP($A176,Table,MATCH(W$4,Curves,0))</f>
        <v>0.058966861357273</v>
      </c>
      <c r="X176" s="147" t="n">
        <f aca="false">1/(1+CHOOSE(F$3,(W177+($K$3/10000))/2,(W176+($K$3/10000))/2))^(2*V176/365.25)</f>
        <v>0.437200601539712</v>
      </c>
      <c r="Y176" s="71" t="n">
        <f aca="false">IF(AND(mthbeg&lt;=A176,mthend&gt;=A176),1,0)</f>
        <v>0</v>
      </c>
      <c r="Z176" s="71" t="n">
        <f aca="false">T176*Y176</f>
        <v>0</v>
      </c>
      <c r="AB176" s="132" t="n">
        <f aca="false">F176*G176</f>
        <v>0</v>
      </c>
      <c r="AC176" s="132" t="n">
        <f aca="false">$F176*H176</f>
        <v>0</v>
      </c>
      <c r="AD176" s="132" t="n">
        <f aca="false">$F176*I176</f>
        <v>0</v>
      </c>
      <c r="AE176" s="132" t="n">
        <f aca="false">$F176*J176</f>
        <v>0</v>
      </c>
      <c r="AF176" s="132" t="n">
        <f aca="false">$F176*K176</f>
        <v>0</v>
      </c>
      <c r="AG176" s="132" t="n">
        <f aca="false">$F176*L176</f>
        <v>0</v>
      </c>
      <c r="AH176" s="132" t="n">
        <f aca="false">$F176*M176</f>
        <v>0</v>
      </c>
      <c r="AI176" s="132" t="n">
        <f aca="false">$F176*N176</f>
        <v>0</v>
      </c>
      <c r="AJ176" s="132" t="n">
        <f aca="false">F176*O176</f>
        <v>0</v>
      </c>
      <c r="AK176" s="137"/>
      <c r="AL176" s="132" t="n">
        <f aca="false">CHOOSE($G$3,AC176-AD176,AD176-AC176)</f>
        <v>0</v>
      </c>
      <c r="AM176" s="132" t="n">
        <f aca="false">CHOOSE($G$3,AF176-AG176,AG176-AF176)</f>
        <v>0</v>
      </c>
      <c r="AN176" s="132" t="n">
        <f aca="false">CHOOSE($G$3,AI176-AJ176,AJ176-AI176)</f>
        <v>0</v>
      </c>
      <c r="AO176" s="148" t="n">
        <f aca="false">SUM(AL176:AN176)</f>
        <v>0</v>
      </c>
      <c r="AQ176" s="132" t="n">
        <f aca="false">CHOOSE($G$3,AB176-AC176,AC176-AB176)</f>
        <v>0</v>
      </c>
      <c r="AR176" s="132" t="n">
        <f aca="false">CHOOSE($G$3,AE176-AF176,AF176-AE176)</f>
        <v>0</v>
      </c>
      <c r="AS176" s="132" t="n">
        <f aca="false">CHOOSE($G$3,AH176-AI176,AI176-AH176)</f>
        <v>0</v>
      </c>
      <c r="AT176" s="148" t="n">
        <f aca="false">AQ176+AR176+AS176</f>
        <v>0</v>
      </c>
      <c r="AU176" s="148"/>
      <c r="AV176" s="133" t="n">
        <f aca="false">AT176+AO176</f>
        <v>0</v>
      </c>
      <c r="AX176" s="133" t="n">
        <f aca="false">AJ176+AG176+AD176</f>
        <v>0</v>
      </c>
      <c r="AY176" s="149"/>
      <c r="AZ176" s="76" t="n">
        <f aca="false">R176*E176</f>
        <v>0</v>
      </c>
    </row>
    <row r="177" customFormat="false" ht="12" hidden="false" customHeight="true" outlineLevel="0" collapsed="false">
      <c r="A177" s="138" t="n">
        <f aca="false">EDATE(A176,1)</f>
        <v>42064</v>
      </c>
      <c r="B177" s="139" t="n">
        <f aca="false">VLOOKUP($A177,Table2,MATCH(I$3,Curves2,0))</f>
        <v>60900</v>
      </c>
      <c r="C177" s="140"/>
      <c r="D177" s="141" t="n">
        <f aca="false">B177+C177</f>
        <v>60900</v>
      </c>
      <c r="E177" s="126" t="n">
        <f aca="false">IF(Y177=0,0,IF(AND(Y177=1,$H$3=1),D177*T177,IF($H$3=2,D177,"N/A")))</f>
        <v>0</v>
      </c>
      <c r="F177" s="126" t="n">
        <f aca="false">E177*X177</f>
        <v>0</v>
      </c>
      <c r="G177" s="142" t="n">
        <f aca="false">VLOOKUP($A177,Table,MATCH(G$4,Curves,0))</f>
        <v>3.987</v>
      </c>
      <c r="H177" s="143" t="n">
        <f aca="false">G177</f>
        <v>3.987</v>
      </c>
      <c r="I177" s="142" t="n">
        <f aca="false">VLOOKUP($A177,Table1,MATCH(I$3,Curves1,0))</f>
        <v>3.7904</v>
      </c>
      <c r="J177" s="142" t="n">
        <f aca="false">VLOOKUP($A177,Table,MATCH(J$4,Curves,0))</f>
        <v>0.011</v>
      </c>
      <c r="K177" s="143" t="n">
        <f aca="false">J177</f>
        <v>0.011</v>
      </c>
      <c r="L177" s="144" t="n">
        <v>0</v>
      </c>
      <c r="M177" s="142" t="n">
        <f aca="false">VLOOKUP($A177,Table,MATCH(M$4,Curves,0))</f>
        <v>0.015</v>
      </c>
      <c r="N177" s="143" t="n">
        <f aca="false">M177</f>
        <v>0.015</v>
      </c>
      <c r="O177" s="144" t="n">
        <v>0</v>
      </c>
      <c r="P177" s="145"/>
      <c r="Q177" s="144" t="n">
        <f aca="false">M177+J177+G177</f>
        <v>4.013</v>
      </c>
      <c r="R177" s="144" t="n">
        <f aca="false">O177+L177+I177</f>
        <v>3.7904</v>
      </c>
      <c r="S177" s="145"/>
      <c r="T177" s="71" t="n">
        <f aca="false">A178-A177</f>
        <v>31</v>
      </c>
      <c r="U177" s="146" t="n">
        <f aca="false">CHOOSE(F$3,A178+24,A177)</f>
        <v>42119</v>
      </c>
      <c r="V177" s="71" t="n">
        <f aca="false">U177-C$3</f>
        <v>5231</v>
      </c>
      <c r="W177" s="142" t="n">
        <f aca="false">VLOOKUP($A177,Table,MATCH(W$4,Curves,0))</f>
        <v>0.058966861357273</v>
      </c>
      <c r="X177" s="147" t="n">
        <f aca="false">1/(1+CHOOSE(F$3,(W178+($K$3/10000))/2,(W177+($K$3/10000))/2))^(2*V177/365.25)</f>
        <v>0.435049481403107</v>
      </c>
      <c r="Y177" s="71" t="n">
        <f aca="false">IF(AND(mthbeg&lt;=A177,mthend&gt;=A177),1,0)</f>
        <v>0</v>
      </c>
      <c r="Z177" s="71" t="n">
        <f aca="false">T177*Y177</f>
        <v>0</v>
      </c>
      <c r="AB177" s="132" t="n">
        <f aca="false">F177*G177</f>
        <v>0</v>
      </c>
      <c r="AC177" s="132" t="n">
        <f aca="false">$F177*H177</f>
        <v>0</v>
      </c>
      <c r="AD177" s="132" t="n">
        <f aca="false">$F177*I177</f>
        <v>0</v>
      </c>
      <c r="AE177" s="132" t="n">
        <f aca="false">$F177*J177</f>
        <v>0</v>
      </c>
      <c r="AF177" s="132" t="n">
        <f aca="false">$F177*K177</f>
        <v>0</v>
      </c>
      <c r="AG177" s="132" t="n">
        <f aca="false">$F177*L177</f>
        <v>0</v>
      </c>
      <c r="AH177" s="132" t="n">
        <f aca="false">$F177*M177</f>
        <v>0</v>
      </c>
      <c r="AI177" s="132" t="n">
        <f aca="false">$F177*N177</f>
        <v>0</v>
      </c>
      <c r="AJ177" s="132" t="n">
        <f aca="false">F177*O177</f>
        <v>0</v>
      </c>
      <c r="AK177" s="137"/>
      <c r="AL177" s="132" t="n">
        <f aca="false">CHOOSE($G$3,AC177-AD177,AD177-AC177)</f>
        <v>0</v>
      </c>
      <c r="AM177" s="132" t="n">
        <f aca="false">CHOOSE($G$3,AF177-AG177,AG177-AF177)</f>
        <v>0</v>
      </c>
      <c r="AN177" s="132" t="n">
        <f aca="false">CHOOSE($G$3,AI177-AJ177,AJ177-AI177)</f>
        <v>0</v>
      </c>
      <c r="AO177" s="148" t="n">
        <f aca="false">SUM(AL177:AN177)</f>
        <v>0</v>
      </c>
      <c r="AQ177" s="132" t="n">
        <f aca="false">CHOOSE($G$3,AB177-AC177,AC177-AB177)</f>
        <v>0</v>
      </c>
      <c r="AR177" s="132" t="n">
        <f aca="false">CHOOSE($G$3,AE177-AF177,AF177-AE177)</f>
        <v>0</v>
      </c>
      <c r="AS177" s="132" t="n">
        <f aca="false">CHOOSE($G$3,AH177-AI177,AI177-AH177)</f>
        <v>0</v>
      </c>
      <c r="AT177" s="148" t="n">
        <f aca="false">AQ177+AR177+AS177</f>
        <v>0</v>
      </c>
      <c r="AU177" s="148"/>
      <c r="AV177" s="133" t="n">
        <f aca="false">AT177+AO177</f>
        <v>0</v>
      </c>
      <c r="AX177" s="133" t="n">
        <f aca="false">AJ177+AG177+AD177</f>
        <v>0</v>
      </c>
      <c r="AY177" s="149"/>
      <c r="AZ177" s="76" t="n">
        <f aca="false">R177*E177</f>
        <v>0</v>
      </c>
    </row>
    <row r="178" customFormat="false" ht="12" hidden="false" customHeight="true" outlineLevel="0" collapsed="false">
      <c r="A178" s="138" t="n">
        <f aca="false">EDATE(A177,1)</f>
        <v>42095</v>
      </c>
      <c r="B178" s="139" t="n">
        <f aca="false">VLOOKUP($A178,Table2,MATCH(I$3,Curves2,0))</f>
        <v>60900</v>
      </c>
      <c r="C178" s="140"/>
      <c r="D178" s="141" t="n">
        <f aca="false">B178+C178</f>
        <v>60900</v>
      </c>
      <c r="E178" s="126" t="n">
        <f aca="false">IF(Y178=0,0,IF(AND(Y178=1,$H$3=1),D178*T178,IF($H$3=2,D178,"N/A")))</f>
        <v>0</v>
      </c>
      <c r="F178" s="126" t="n">
        <f aca="false">E178*X178</f>
        <v>0</v>
      </c>
      <c r="G178" s="142" t="n">
        <f aca="false">VLOOKUP($A178,Table,MATCH(G$4,Curves,0))</f>
        <v>3.987</v>
      </c>
      <c r="H178" s="143" t="n">
        <f aca="false">G178</f>
        <v>3.987</v>
      </c>
      <c r="I178" s="142" t="n">
        <f aca="false">VLOOKUP($A178,Table1,MATCH(I$3,Curves1,0))</f>
        <v>3.7904</v>
      </c>
      <c r="J178" s="142" t="n">
        <f aca="false">VLOOKUP($A178,Table,MATCH(J$4,Curves,0))</f>
        <v>0.011</v>
      </c>
      <c r="K178" s="143" t="n">
        <f aca="false">J178</f>
        <v>0.011</v>
      </c>
      <c r="L178" s="144" t="n">
        <v>0</v>
      </c>
      <c r="M178" s="142" t="n">
        <f aca="false">VLOOKUP($A178,Table,MATCH(M$4,Curves,0))</f>
        <v>0.015</v>
      </c>
      <c r="N178" s="143" t="n">
        <f aca="false">M178</f>
        <v>0.015</v>
      </c>
      <c r="O178" s="144" t="n">
        <v>0</v>
      </c>
      <c r="P178" s="145"/>
      <c r="Q178" s="144" t="n">
        <f aca="false">M178+J178+G178</f>
        <v>4.013</v>
      </c>
      <c r="R178" s="144" t="n">
        <f aca="false">O178+L178+I178</f>
        <v>3.7904</v>
      </c>
      <c r="S178" s="145"/>
      <c r="T178" s="71" t="n">
        <f aca="false">A179-A178</f>
        <v>30</v>
      </c>
      <c r="U178" s="146" t="n">
        <f aca="false">CHOOSE(F$3,A179+24,A178)</f>
        <v>42149</v>
      </c>
      <c r="V178" s="71" t="n">
        <f aca="false">U178-C$3</f>
        <v>5261</v>
      </c>
      <c r="W178" s="142" t="n">
        <f aca="false">VLOOKUP($A178,Table,MATCH(W$4,Curves,0))</f>
        <v>0.058966861357273</v>
      </c>
      <c r="X178" s="147" t="n">
        <f aca="false">1/(1+CHOOSE(F$3,(W179+($K$3/10000))/2,(W178+($K$3/10000))/2))^(2*V178/365.25)</f>
        <v>0.43297783012119</v>
      </c>
      <c r="Y178" s="71" t="n">
        <f aca="false">IF(AND(mthbeg&lt;=A178,mthend&gt;=A178),1,0)</f>
        <v>0</v>
      </c>
      <c r="Z178" s="71" t="n">
        <f aca="false">T178*Y178</f>
        <v>0</v>
      </c>
      <c r="AB178" s="132" t="n">
        <f aca="false">F178*G178</f>
        <v>0</v>
      </c>
      <c r="AC178" s="132" t="n">
        <f aca="false">$F178*H178</f>
        <v>0</v>
      </c>
      <c r="AD178" s="132" t="n">
        <f aca="false">$F178*I178</f>
        <v>0</v>
      </c>
      <c r="AE178" s="132" t="n">
        <f aca="false">$F178*J178</f>
        <v>0</v>
      </c>
      <c r="AF178" s="132" t="n">
        <f aca="false">$F178*K178</f>
        <v>0</v>
      </c>
      <c r="AG178" s="132" t="n">
        <f aca="false">$F178*L178</f>
        <v>0</v>
      </c>
      <c r="AH178" s="132" t="n">
        <f aca="false">$F178*M178</f>
        <v>0</v>
      </c>
      <c r="AI178" s="132" t="n">
        <f aca="false">$F178*N178</f>
        <v>0</v>
      </c>
      <c r="AJ178" s="132" t="n">
        <f aca="false">F178*O178</f>
        <v>0</v>
      </c>
      <c r="AK178" s="137"/>
      <c r="AL178" s="132" t="n">
        <f aca="false">CHOOSE($G$3,AC178-AD178,AD178-AC178)</f>
        <v>0</v>
      </c>
      <c r="AM178" s="132" t="n">
        <f aca="false">CHOOSE($G$3,AF178-AG178,AG178-AF178)</f>
        <v>0</v>
      </c>
      <c r="AN178" s="132" t="n">
        <f aca="false">CHOOSE($G$3,AI178-AJ178,AJ178-AI178)</f>
        <v>0</v>
      </c>
      <c r="AO178" s="148" t="n">
        <f aca="false">SUM(AL178:AN178)</f>
        <v>0</v>
      </c>
      <c r="AQ178" s="132" t="n">
        <f aca="false">CHOOSE($G$3,AB178-AC178,AC178-AB178)</f>
        <v>0</v>
      </c>
      <c r="AR178" s="132" t="n">
        <f aca="false">CHOOSE($G$3,AE178-AF178,AF178-AE178)</f>
        <v>0</v>
      </c>
      <c r="AS178" s="132" t="n">
        <f aca="false">CHOOSE($G$3,AH178-AI178,AI178-AH178)</f>
        <v>0</v>
      </c>
      <c r="AT178" s="148" t="n">
        <f aca="false">AQ178+AR178+AS178</f>
        <v>0</v>
      </c>
      <c r="AU178" s="148"/>
      <c r="AV178" s="133" t="n">
        <f aca="false">AT178+AO178</f>
        <v>0</v>
      </c>
      <c r="AX178" s="133" t="n">
        <f aca="false">AJ178+AG178+AD178</f>
        <v>0</v>
      </c>
      <c r="AY178" s="149"/>
      <c r="AZ178" s="76" t="n">
        <f aca="false">R178*E178</f>
        <v>0</v>
      </c>
    </row>
    <row r="179" customFormat="false" ht="12" hidden="false" customHeight="true" outlineLevel="0" collapsed="false">
      <c r="A179" s="138" t="n">
        <f aca="false">EDATE(A178,1)</f>
        <v>42125</v>
      </c>
      <c r="B179" s="139" t="n">
        <f aca="false">VLOOKUP($A179,Table2,MATCH(I$3,Curves2,0))</f>
        <v>60900</v>
      </c>
      <c r="C179" s="140"/>
      <c r="D179" s="141" t="n">
        <f aca="false">B179+C179</f>
        <v>60900</v>
      </c>
      <c r="E179" s="126" t="n">
        <f aca="false">IF(Y179=0,0,IF(AND(Y179=1,$H$3=1),D179*T179,IF($H$3=2,D179,"N/A")))</f>
        <v>0</v>
      </c>
      <c r="F179" s="126" t="n">
        <f aca="false">E179*X179</f>
        <v>0</v>
      </c>
      <c r="G179" s="142" t="n">
        <f aca="false">VLOOKUP($A179,Table,MATCH(G$4,Curves,0))</f>
        <v>3.987</v>
      </c>
      <c r="H179" s="143" t="n">
        <f aca="false">G179</f>
        <v>3.987</v>
      </c>
      <c r="I179" s="142" t="n">
        <f aca="false">VLOOKUP($A179,Table1,MATCH(I$3,Curves1,0))</f>
        <v>3.7904</v>
      </c>
      <c r="J179" s="142" t="n">
        <f aca="false">VLOOKUP($A179,Table,MATCH(J$4,Curves,0))</f>
        <v>0.011</v>
      </c>
      <c r="K179" s="143" t="n">
        <f aca="false">J179</f>
        <v>0.011</v>
      </c>
      <c r="L179" s="144" t="n">
        <v>0</v>
      </c>
      <c r="M179" s="142" t="n">
        <f aca="false">VLOOKUP($A179,Table,MATCH(M$4,Curves,0))</f>
        <v>0.015</v>
      </c>
      <c r="N179" s="143" t="n">
        <f aca="false">M179</f>
        <v>0.015</v>
      </c>
      <c r="O179" s="144" t="n">
        <v>0</v>
      </c>
      <c r="P179" s="145"/>
      <c r="Q179" s="144" t="n">
        <f aca="false">M179+J179+G179</f>
        <v>4.013</v>
      </c>
      <c r="R179" s="144" t="n">
        <f aca="false">O179+L179+I179</f>
        <v>3.7904</v>
      </c>
      <c r="S179" s="145"/>
      <c r="T179" s="71" t="n">
        <f aca="false">A180-A179</f>
        <v>31</v>
      </c>
      <c r="U179" s="146" t="n">
        <f aca="false">CHOOSE(F$3,A180+24,A179)</f>
        <v>42180</v>
      </c>
      <c r="V179" s="71" t="n">
        <f aca="false">U179-C$3</f>
        <v>5292</v>
      </c>
      <c r="W179" s="142" t="n">
        <f aca="false">VLOOKUP($A179,Table,MATCH(W$4,Curves,0))</f>
        <v>0.058966861357273</v>
      </c>
      <c r="X179" s="147" t="n">
        <f aca="false">1/(1+CHOOSE(F$3,(W180+($K$3/10000))/2,(W179+($K$3/10000))/2))^(2*V179/365.25)</f>
        <v>0.43084748691993</v>
      </c>
      <c r="Y179" s="71" t="n">
        <f aca="false">IF(AND(mthbeg&lt;=A179,mthend&gt;=A179),1,0)</f>
        <v>0</v>
      </c>
      <c r="Z179" s="71" t="n">
        <f aca="false">T179*Y179</f>
        <v>0</v>
      </c>
      <c r="AB179" s="132" t="n">
        <f aca="false">F179*G179</f>
        <v>0</v>
      </c>
      <c r="AC179" s="132" t="n">
        <f aca="false">$F179*H179</f>
        <v>0</v>
      </c>
      <c r="AD179" s="132" t="n">
        <f aca="false">$F179*I179</f>
        <v>0</v>
      </c>
      <c r="AE179" s="132" t="n">
        <f aca="false">$F179*J179</f>
        <v>0</v>
      </c>
      <c r="AF179" s="132" t="n">
        <f aca="false">$F179*K179</f>
        <v>0</v>
      </c>
      <c r="AG179" s="132" t="n">
        <f aca="false">$F179*L179</f>
        <v>0</v>
      </c>
      <c r="AH179" s="132" t="n">
        <f aca="false">$F179*M179</f>
        <v>0</v>
      </c>
      <c r="AI179" s="132" t="n">
        <f aca="false">$F179*N179</f>
        <v>0</v>
      </c>
      <c r="AJ179" s="132" t="n">
        <f aca="false">F179*O179</f>
        <v>0</v>
      </c>
      <c r="AK179" s="137"/>
      <c r="AL179" s="132" t="n">
        <f aca="false">CHOOSE($G$3,AC179-AD179,AD179-AC179)</f>
        <v>0</v>
      </c>
      <c r="AM179" s="132" t="n">
        <f aca="false">CHOOSE($G$3,AF179-AG179,AG179-AF179)</f>
        <v>0</v>
      </c>
      <c r="AN179" s="132" t="n">
        <f aca="false">CHOOSE($G$3,AI179-AJ179,AJ179-AI179)</f>
        <v>0</v>
      </c>
      <c r="AO179" s="148" t="n">
        <f aca="false">SUM(AL179:AN179)</f>
        <v>0</v>
      </c>
      <c r="AQ179" s="132" t="n">
        <f aca="false">CHOOSE($G$3,AB179-AC179,AC179-AB179)</f>
        <v>0</v>
      </c>
      <c r="AR179" s="132" t="n">
        <f aca="false">CHOOSE($G$3,AE179-AF179,AF179-AE179)</f>
        <v>0</v>
      </c>
      <c r="AS179" s="132" t="n">
        <f aca="false">CHOOSE($G$3,AH179-AI179,AI179-AH179)</f>
        <v>0</v>
      </c>
      <c r="AT179" s="148" t="n">
        <f aca="false">AQ179+AR179+AS179</f>
        <v>0</v>
      </c>
      <c r="AU179" s="148"/>
      <c r="AV179" s="133" t="n">
        <f aca="false">AT179+AO179</f>
        <v>0</v>
      </c>
      <c r="AX179" s="133" t="n">
        <f aca="false">AJ179+AG179+AD179</f>
        <v>0</v>
      </c>
      <c r="AY179" s="149"/>
      <c r="AZ179" s="76" t="n">
        <f aca="false">R179*E179</f>
        <v>0</v>
      </c>
    </row>
    <row r="180" customFormat="false" ht="12" hidden="false" customHeight="true" outlineLevel="0" collapsed="false">
      <c r="A180" s="138" t="n">
        <f aca="false">EDATE(A179,1)</f>
        <v>42156</v>
      </c>
      <c r="B180" s="139" t="n">
        <f aca="false">VLOOKUP($A180,Table2,MATCH(I$3,Curves2,0))</f>
        <v>60900</v>
      </c>
      <c r="C180" s="140"/>
      <c r="D180" s="141" t="n">
        <f aca="false">B180+C180</f>
        <v>60900</v>
      </c>
      <c r="E180" s="126" t="n">
        <f aca="false">IF(Y180=0,0,IF(AND(Y180=1,$H$3=1),D180*T180,IF($H$3=2,D180,"N/A")))</f>
        <v>0</v>
      </c>
      <c r="F180" s="126" t="n">
        <f aca="false">E180*X180</f>
        <v>0</v>
      </c>
      <c r="G180" s="142" t="n">
        <f aca="false">VLOOKUP($A180,Table,MATCH(G$4,Curves,0))</f>
        <v>3.987</v>
      </c>
      <c r="H180" s="143" t="n">
        <f aca="false">G180</f>
        <v>3.987</v>
      </c>
      <c r="I180" s="142" t="n">
        <f aca="false">VLOOKUP($A180,Table1,MATCH(I$3,Curves1,0))</f>
        <v>3.7904</v>
      </c>
      <c r="J180" s="142" t="n">
        <f aca="false">VLOOKUP($A180,Table,MATCH(J$4,Curves,0))</f>
        <v>0.011</v>
      </c>
      <c r="K180" s="143" t="n">
        <f aca="false">J180</f>
        <v>0.011</v>
      </c>
      <c r="L180" s="144" t="n">
        <v>0</v>
      </c>
      <c r="M180" s="142" t="n">
        <f aca="false">VLOOKUP($A180,Table,MATCH(M$4,Curves,0))</f>
        <v>0.015</v>
      </c>
      <c r="N180" s="143" t="n">
        <f aca="false">M180</f>
        <v>0.015</v>
      </c>
      <c r="O180" s="144" t="n">
        <v>0</v>
      </c>
      <c r="P180" s="145"/>
      <c r="Q180" s="144" t="n">
        <f aca="false">M180+J180+G180</f>
        <v>4.013</v>
      </c>
      <c r="R180" s="144" t="n">
        <f aca="false">O180+L180+I180</f>
        <v>3.7904</v>
      </c>
      <c r="S180" s="145"/>
      <c r="T180" s="71" t="n">
        <f aca="false">A181-A180</f>
        <v>30</v>
      </c>
      <c r="U180" s="146" t="n">
        <f aca="false">CHOOSE(F$3,A181+24,A180)</f>
        <v>42210</v>
      </c>
      <c r="V180" s="71" t="n">
        <f aca="false">U180-C$3</f>
        <v>5322</v>
      </c>
      <c r="W180" s="142" t="n">
        <f aca="false">VLOOKUP($A180,Table,MATCH(W$4,Curves,0))</f>
        <v>0.058966861357273</v>
      </c>
      <c r="X180" s="147" t="n">
        <f aca="false">1/(1+CHOOSE(F$3,(W181+($K$3/10000))/2,(W180+($K$3/10000))/2))^(2*V180/365.25)</f>
        <v>0.428795845010808</v>
      </c>
      <c r="Y180" s="71" t="n">
        <f aca="false">IF(AND(mthbeg&lt;=A180,mthend&gt;=A180),1,0)</f>
        <v>0</v>
      </c>
      <c r="Z180" s="71" t="n">
        <f aca="false">T180*Y180</f>
        <v>0</v>
      </c>
      <c r="AB180" s="132" t="n">
        <f aca="false">F180*G180</f>
        <v>0</v>
      </c>
      <c r="AC180" s="132" t="n">
        <f aca="false">$F180*H180</f>
        <v>0</v>
      </c>
      <c r="AD180" s="132" t="n">
        <f aca="false">$F180*I180</f>
        <v>0</v>
      </c>
      <c r="AE180" s="132" t="n">
        <f aca="false">$F180*J180</f>
        <v>0</v>
      </c>
      <c r="AF180" s="132" t="n">
        <f aca="false">$F180*K180</f>
        <v>0</v>
      </c>
      <c r="AG180" s="132" t="n">
        <f aca="false">$F180*L180</f>
        <v>0</v>
      </c>
      <c r="AH180" s="132" t="n">
        <f aca="false">$F180*M180</f>
        <v>0</v>
      </c>
      <c r="AI180" s="132" t="n">
        <f aca="false">$F180*N180</f>
        <v>0</v>
      </c>
      <c r="AJ180" s="132" t="n">
        <f aca="false">F180*O180</f>
        <v>0</v>
      </c>
      <c r="AK180" s="137"/>
      <c r="AL180" s="132" t="n">
        <f aca="false">CHOOSE($G$3,AC180-AD180,AD180-AC180)</f>
        <v>0</v>
      </c>
      <c r="AM180" s="132" t="n">
        <f aca="false">CHOOSE($G$3,AF180-AG180,AG180-AF180)</f>
        <v>0</v>
      </c>
      <c r="AN180" s="132" t="n">
        <f aca="false">CHOOSE($G$3,AI180-AJ180,AJ180-AI180)</f>
        <v>0</v>
      </c>
      <c r="AO180" s="148" t="n">
        <f aca="false">SUM(AL180:AN180)</f>
        <v>0</v>
      </c>
      <c r="AQ180" s="132" t="n">
        <f aca="false">CHOOSE($G$3,AB180-AC180,AC180-AB180)</f>
        <v>0</v>
      </c>
      <c r="AR180" s="132" t="n">
        <f aca="false">CHOOSE($G$3,AE180-AF180,AF180-AE180)</f>
        <v>0</v>
      </c>
      <c r="AS180" s="132" t="n">
        <f aca="false">CHOOSE($G$3,AH180-AI180,AI180-AH180)</f>
        <v>0</v>
      </c>
      <c r="AT180" s="148" t="n">
        <f aca="false">AQ180+AR180+AS180</f>
        <v>0</v>
      </c>
      <c r="AU180" s="148"/>
      <c r="AV180" s="133" t="n">
        <f aca="false">AT180+AO180</f>
        <v>0</v>
      </c>
      <c r="AX180" s="133" t="n">
        <f aca="false">AJ180+AG180+AD180</f>
        <v>0</v>
      </c>
      <c r="AY180" s="149"/>
      <c r="AZ180" s="76" t="n">
        <f aca="false">R180*E180</f>
        <v>0</v>
      </c>
    </row>
    <row r="181" customFormat="false" ht="12" hidden="false" customHeight="true" outlineLevel="0" collapsed="false">
      <c r="A181" s="138" t="n">
        <f aca="false">EDATE(A180,1)</f>
        <v>42186</v>
      </c>
      <c r="B181" s="139" t="n">
        <f aca="false">VLOOKUP($A181,Table2,MATCH(I$3,Curves2,0))</f>
        <v>60900</v>
      </c>
      <c r="C181" s="140"/>
      <c r="D181" s="141" t="n">
        <f aca="false">B181+C181</f>
        <v>60900</v>
      </c>
      <c r="E181" s="126" t="n">
        <f aca="false">IF(Y181=0,0,IF(AND(Y181=1,$H$3=1),D181*T181,IF($H$3=2,D181,"N/A")))</f>
        <v>0</v>
      </c>
      <c r="F181" s="126" t="n">
        <f aca="false">E181*X181</f>
        <v>0</v>
      </c>
      <c r="G181" s="142" t="n">
        <f aca="false">VLOOKUP($A181,Table,MATCH(G$4,Curves,0))</f>
        <v>3.987</v>
      </c>
      <c r="H181" s="143" t="n">
        <f aca="false">G181</f>
        <v>3.987</v>
      </c>
      <c r="I181" s="142" t="n">
        <f aca="false">VLOOKUP($A181,Table1,MATCH(I$3,Curves1,0))</f>
        <v>3.7904</v>
      </c>
      <c r="J181" s="142" t="n">
        <f aca="false">VLOOKUP($A181,Table,MATCH(J$4,Curves,0))</f>
        <v>0.011</v>
      </c>
      <c r="K181" s="143" t="n">
        <f aca="false">J181</f>
        <v>0.011</v>
      </c>
      <c r="L181" s="144" t="n">
        <v>0</v>
      </c>
      <c r="M181" s="142" t="n">
        <f aca="false">VLOOKUP($A181,Table,MATCH(M$4,Curves,0))</f>
        <v>0.015</v>
      </c>
      <c r="N181" s="143" t="n">
        <f aca="false">M181</f>
        <v>0.015</v>
      </c>
      <c r="O181" s="144" t="n">
        <v>0</v>
      </c>
      <c r="P181" s="145"/>
      <c r="Q181" s="144" t="n">
        <f aca="false">M181+J181+G181</f>
        <v>4.013</v>
      </c>
      <c r="R181" s="144" t="n">
        <f aca="false">O181+L181+I181</f>
        <v>3.7904</v>
      </c>
      <c r="S181" s="145"/>
      <c r="T181" s="71" t="n">
        <f aca="false">A182-A181</f>
        <v>31</v>
      </c>
      <c r="U181" s="146" t="n">
        <f aca="false">CHOOSE(F$3,A182+24,A181)</f>
        <v>42241</v>
      </c>
      <c r="V181" s="71" t="n">
        <f aca="false">U181-C$3</f>
        <v>5353</v>
      </c>
      <c r="W181" s="142" t="n">
        <f aca="false">VLOOKUP($A181,Table,MATCH(W$4,Curves,0))</f>
        <v>0.058966861357273</v>
      </c>
      <c r="X181" s="147" t="n">
        <f aca="false">1/(1+CHOOSE(F$3,(W182+($K$3/10000))/2,(W181+($K$3/10000))/2))^(2*V181/365.25)</f>
        <v>0.426686078067563</v>
      </c>
      <c r="Y181" s="71" t="n">
        <f aca="false">IF(AND(mthbeg&lt;=A181,mthend&gt;=A181),1,0)</f>
        <v>0</v>
      </c>
      <c r="Z181" s="71" t="n">
        <f aca="false">T181*Y181</f>
        <v>0</v>
      </c>
      <c r="AB181" s="132" t="n">
        <f aca="false">F181*G181</f>
        <v>0</v>
      </c>
      <c r="AC181" s="132" t="n">
        <f aca="false">$F181*H181</f>
        <v>0</v>
      </c>
      <c r="AD181" s="132" t="n">
        <f aca="false">$F181*I181</f>
        <v>0</v>
      </c>
      <c r="AE181" s="132" t="n">
        <f aca="false">$F181*J181</f>
        <v>0</v>
      </c>
      <c r="AF181" s="132" t="n">
        <f aca="false">$F181*K181</f>
        <v>0</v>
      </c>
      <c r="AG181" s="132" t="n">
        <f aca="false">$F181*L181</f>
        <v>0</v>
      </c>
      <c r="AH181" s="132" t="n">
        <f aca="false">$F181*M181</f>
        <v>0</v>
      </c>
      <c r="AI181" s="132" t="n">
        <f aca="false">$F181*N181</f>
        <v>0</v>
      </c>
      <c r="AJ181" s="132" t="n">
        <f aca="false">F181*O181</f>
        <v>0</v>
      </c>
      <c r="AK181" s="137"/>
      <c r="AL181" s="132" t="n">
        <f aca="false">CHOOSE($G$3,AC181-AD181,AD181-AC181)</f>
        <v>0</v>
      </c>
      <c r="AM181" s="132" t="n">
        <f aca="false">CHOOSE($G$3,AF181-AG181,AG181-AF181)</f>
        <v>0</v>
      </c>
      <c r="AN181" s="132" t="n">
        <f aca="false">CHOOSE($G$3,AI181-AJ181,AJ181-AI181)</f>
        <v>0</v>
      </c>
      <c r="AO181" s="148" t="n">
        <f aca="false">SUM(AL181:AN181)</f>
        <v>0</v>
      </c>
      <c r="AQ181" s="132" t="n">
        <f aca="false">CHOOSE($G$3,AB181-AC181,AC181-AB181)</f>
        <v>0</v>
      </c>
      <c r="AR181" s="132" t="n">
        <f aca="false">CHOOSE($G$3,AE181-AF181,AF181-AE181)</f>
        <v>0</v>
      </c>
      <c r="AS181" s="132" t="n">
        <f aca="false">CHOOSE($G$3,AH181-AI181,AI181-AH181)</f>
        <v>0</v>
      </c>
      <c r="AT181" s="148" t="n">
        <f aca="false">AQ181+AR181+AS181</f>
        <v>0</v>
      </c>
      <c r="AU181" s="148"/>
      <c r="AV181" s="133" t="n">
        <f aca="false">AT181+AO181</f>
        <v>0</v>
      </c>
      <c r="AX181" s="133" t="n">
        <f aca="false">AJ181+AG181+AD181</f>
        <v>0</v>
      </c>
      <c r="AY181" s="149"/>
      <c r="AZ181" s="76" t="n">
        <f aca="false">R181*E181</f>
        <v>0</v>
      </c>
    </row>
    <row r="182" customFormat="false" ht="12" hidden="false" customHeight="true" outlineLevel="0" collapsed="false">
      <c r="A182" s="138" t="n">
        <f aca="false">EDATE(A181,1)</f>
        <v>42217</v>
      </c>
      <c r="B182" s="139" t="n">
        <f aca="false">VLOOKUP($A182,Table2,MATCH(I$3,Curves2,0))</f>
        <v>60900</v>
      </c>
      <c r="C182" s="140"/>
      <c r="D182" s="141" t="n">
        <f aca="false">B182+C182</f>
        <v>60900</v>
      </c>
      <c r="E182" s="126" t="n">
        <f aca="false">IF(Y182=0,0,IF(AND(Y182=1,$H$3=1),D182*T182,IF($H$3=2,D182,"N/A")))</f>
        <v>0</v>
      </c>
      <c r="F182" s="126" t="n">
        <f aca="false">E182*X182</f>
        <v>0</v>
      </c>
      <c r="G182" s="142" t="n">
        <f aca="false">VLOOKUP($A182,Table,MATCH(G$4,Curves,0))</f>
        <v>3.987</v>
      </c>
      <c r="H182" s="143" t="n">
        <f aca="false">G182</f>
        <v>3.987</v>
      </c>
      <c r="I182" s="142" t="n">
        <f aca="false">VLOOKUP($A182,Table1,MATCH(I$3,Curves1,0))</f>
        <v>3.7904</v>
      </c>
      <c r="J182" s="142" t="n">
        <f aca="false">VLOOKUP($A182,Table,MATCH(J$4,Curves,0))</f>
        <v>0.011</v>
      </c>
      <c r="K182" s="143" t="n">
        <f aca="false">J182</f>
        <v>0.011</v>
      </c>
      <c r="L182" s="144" t="n">
        <v>0</v>
      </c>
      <c r="M182" s="142" t="n">
        <f aca="false">VLOOKUP($A182,Table,MATCH(M$4,Curves,0))</f>
        <v>0.015</v>
      </c>
      <c r="N182" s="143" t="n">
        <f aca="false">M182</f>
        <v>0.015</v>
      </c>
      <c r="O182" s="144" t="n">
        <v>0</v>
      </c>
      <c r="P182" s="145"/>
      <c r="Q182" s="144" t="n">
        <f aca="false">M182+J182+G182</f>
        <v>4.013</v>
      </c>
      <c r="R182" s="144" t="n">
        <f aca="false">O182+L182+I182</f>
        <v>3.7904</v>
      </c>
      <c r="S182" s="145"/>
      <c r="T182" s="71" t="n">
        <f aca="false">A183-A182</f>
        <v>31</v>
      </c>
      <c r="U182" s="146" t="n">
        <f aca="false">CHOOSE(F$3,A183+24,A182)</f>
        <v>42272</v>
      </c>
      <c r="V182" s="71" t="n">
        <f aca="false">U182-C$3</f>
        <v>5384</v>
      </c>
      <c r="W182" s="142" t="n">
        <f aca="false">VLOOKUP($A182,Table,MATCH(W$4,Curves,0))</f>
        <v>0.058966861357273</v>
      </c>
      <c r="X182" s="147" t="n">
        <f aca="false">1/(1+CHOOSE(F$3,(W183+($K$3/10000))/2,(W182+($K$3/10000))/2))^(2*V182/365.25)</f>
        <v>0.424586691627317</v>
      </c>
      <c r="Y182" s="71" t="n">
        <f aca="false">IF(AND(mthbeg&lt;=A182,mthend&gt;=A182),1,0)</f>
        <v>0</v>
      </c>
      <c r="Z182" s="71" t="n">
        <f aca="false">T182*Y182</f>
        <v>0</v>
      </c>
      <c r="AB182" s="132" t="n">
        <f aca="false">F182*G182</f>
        <v>0</v>
      </c>
      <c r="AC182" s="132" t="n">
        <f aca="false">$F182*H182</f>
        <v>0</v>
      </c>
      <c r="AD182" s="132" t="n">
        <f aca="false">$F182*I182</f>
        <v>0</v>
      </c>
      <c r="AE182" s="132" t="n">
        <f aca="false">$F182*J182</f>
        <v>0</v>
      </c>
      <c r="AF182" s="132" t="n">
        <f aca="false">$F182*K182</f>
        <v>0</v>
      </c>
      <c r="AG182" s="132" t="n">
        <f aca="false">$F182*L182</f>
        <v>0</v>
      </c>
      <c r="AH182" s="132" t="n">
        <f aca="false">$F182*M182</f>
        <v>0</v>
      </c>
      <c r="AI182" s="132" t="n">
        <f aca="false">$F182*N182</f>
        <v>0</v>
      </c>
      <c r="AJ182" s="132" t="n">
        <f aca="false">F182*O182</f>
        <v>0</v>
      </c>
      <c r="AK182" s="137"/>
      <c r="AL182" s="132" t="n">
        <f aca="false">CHOOSE($G$3,AC182-AD182,AD182-AC182)</f>
        <v>0</v>
      </c>
      <c r="AM182" s="132" t="n">
        <f aca="false">CHOOSE($G$3,AF182-AG182,AG182-AF182)</f>
        <v>0</v>
      </c>
      <c r="AN182" s="132" t="n">
        <f aca="false">CHOOSE($G$3,AI182-AJ182,AJ182-AI182)</f>
        <v>0</v>
      </c>
      <c r="AO182" s="148" t="n">
        <f aca="false">SUM(AL182:AN182)</f>
        <v>0</v>
      </c>
      <c r="AQ182" s="132" t="n">
        <f aca="false">CHOOSE($G$3,AB182-AC182,AC182-AB182)</f>
        <v>0</v>
      </c>
      <c r="AR182" s="132" t="n">
        <f aca="false">CHOOSE($G$3,AE182-AF182,AF182-AE182)</f>
        <v>0</v>
      </c>
      <c r="AS182" s="132" t="n">
        <f aca="false">CHOOSE($G$3,AH182-AI182,AI182-AH182)</f>
        <v>0</v>
      </c>
      <c r="AT182" s="148" t="n">
        <f aca="false">AQ182+AR182+AS182</f>
        <v>0</v>
      </c>
      <c r="AU182" s="148"/>
      <c r="AV182" s="133" t="n">
        <f aca="false">AT182+AO182</f>
        <v>0</v>
      </c>
      <c r="AX182" s="133" t="n">
        <f aca="false">AJ182+AG182+AD182</f>
        <v>0</v>
      </c>
      <c r="AY182" s="149"/>
      <c r="AZ182" s="76" t="n">
        <f aca="false">R182*E182</f>
        <v>0</v>
      </c>
    </row>
    <row r="183" customFormat="false" ht="12" hidden="false" customHeight="true" outlineLevel="0" collapsed="false">
      <c r="A183" s="138" t="n">
        <f aca="false">EDATE(A182,1)</f>
        <v>42248</v>
      </c>
      <c r="B183" s="139" t="n">
        <f aca="false">VLOOKUP($A183,Table2,MATCH(I$3,Curves2,0))</f>
        <v>60900</v>
      </c>
      <c r="C183" s="140"/>
      <c r="D183" s="141" t="n">
        <f aca="false">B183+C183</f>
        <v>60900</v>
      </c>
      <c r="E183" s="126" t="n">
        <f aca="false">IF(Y183=0,0,IF(AND(Y183=1,$H$3=1),D183*T183,IF($H$3=2,D183,"N/A")))</f>
        <v>0</v>
      </c>
      <c r="F183" s="126" t="n">
        <f aca="false">E183*X183</f>
        <v>0</v>
      </c>
      <c r="G183" s="142" t="n">
        <f aca="false">VLOOKUP($A183,Table,MATCH(G$4,Curves,0))</f>
        <v>3.987</v>
      </c>
      <c r="H183" s="143" t="n">
        <f aca="false">G183</f>
        <v>3.987</v>
      </c>
      <c r="I183" s="142" t="n">
        <f aca="false">VLOOKUP($A183,Table1,MATCH(I$3,Curves1,0))</f>
        <v>3.7904</v>
      </c>
      <c r="J183" s="142" t="n">
        <f aca="false">VLOOKUP($A183,Table,MATCH(J$4,Curves,0))</f>
        <v>0.011</v>
      </c>
      <c r="K183" s="143" t="n">
        <f aca="false">J183</f>
        <v>0.011</v>
      </c>
      <c r="L183" s="144" t="n">
        <v>0</v>
      </c>
      <c r="M183" s="142" t="n">
        <f aca="false">VLOOKUP($A183,Table,MATCH(M$4,Curves,0))</f>
        <v>0.015</v>
      </c>
      <c r="N183" s="143" t="n">
        <f aca="false">M183</f>
        <v>0.015</v>
      </c>
      <c r="O183" s="144" t="n">
        <v>0</v>
      </c>
      <c r="P183" s="145"/>
      <c r="Q183" s="144" t="n">
        <f aca="false">M183+J183+G183</f>
        <v>4.013</v>
      </c>
      <c r="R183" s="144" t="n">
        <f aca="false">O183+L183+I183</f>
        <v>3.7904</v>
      </c>
      <c r="S183" s="145"/>
      <c r="T183" s="71" t="n">
        <f aca="false">A184-A183</f>
        <v>30</v>
      </c>
      <c r="U183" s="146" t="n">
        <f aca="false">CHOOSE(F$3,A184+24,A183)</f>
        <v>42302</v>
      </c>
      <c r="V183" s="71" t="n">
        <f aca="false">U183-C$3</f>
        <v>5414</v>
      </c>
      <c r="W183" s="142" t="n">
        <f aca="false">VLOOKUP($A183,Table,MATCH(W$4,Curves,0))</f>
        <v>0.058966861357273</v>
      </c>
      <c r="X183" s="147" t="n">
        <f aca="false">1/(1+CHOOSE(F$3,(W184+($K$3/10000))/2,(W183+($K$3/10000))/2))^(2*V183/365.25)</f>
        <v>0.422564862843249</v>
      </c>
      <c r="Y183" s="71" t="n">
        <f aca="false">IF(AND(mthbeg&lt;=A183,mthend&gt;=A183),1,0)</f>
        <v>0</v>
      </c>
      <c r="Z183" s="71" t="n">
        <f aca="false">T183*Y183</f>
        <v>0</v>
      </c>
      <c r="AB183" s="132" t="n">
        <f aca="false">F183*G183</f>
        <v>0</v>
      </c>
      <c r="AC183" s="132" t="n">
        <f aca="false">$F183*H183</f>
        <v>0</v>
      </c>
      <c r="AD183" s="132" t="n">
        <f aca="false">$F183*I183</f>
        <v>0</v>
      </c>
      <c r="AE183" s="132" t="n">
        <f aca="false">$F183*J183</f>
        <v>0</v>
      </c>
      <c r="AF183" s="132" t="n">
        <f aca="false">$F183*K183</f>
        <v>0</v>
      </c>
      <c r="AG183" s="132" t="n">
        <f aca="false">$F183*L183</f>
        <v>0</v>
      </c>
      <c r="AH183" s="132" t="n">
        <f aca="false">$F183*M183</f>
        <v>0</v>
      </c>
      <c r="AI183" s="132" t="n">
        <f aca="false">$F183*N183</f>
        <v>0</v>
      </c>
      <c r="AJ183" s="132" t="n">
        <f aca="false">F183*O183</f>
        <v>0</v>
      </c>
      <c r="AK183" s="137"/>
      <c r="AL183" s="132" t="n">
        <f aca="false">CHOOSE($G$3,AC183-AD183,AD183-AC183)</f>
        <v>0</v>
      </c>
      <c r="AM183" s="132" t="n">
        <f aca="false">CHOOSE($G$3,AF183-AG183,AG183-AF183)</f>
        <v>0</v>
      </c>
      <c r="AN183" s="132" t="n">
        <f aca="false">CHOOSE($G$3,AI183-AJ183,AJ183-AI183)</f>
        <v>0</v>
      </c>
      <c r="AO183" s="148" t="n">
        <f aca="false">SUM(AL183:AN183)</f>
        <v>0</v>
      </c>
      <c r="AQ183" s="132" t="n">
        <f aca="false">CHOOSE($G$3,AB183-AC183,AC183-AB183)</f>
        <v>0</v>
      </c>
      <c r="AR183" s="132" t="n">
        <f aca="false">CHOOSE($G$3,AE183-AF183,AF183-AE183)</f>
        <v>0</v>
      </c>
      <c r="AS183" s="132" t="n">
        <f aca="false">CHOOSE($G$3,AH183-AI183,AI183-AH183)</f>
        <v>0</v>
      </c>
      <c r="AT183" s="148" t="n">
        <f aca="false">AQ183+AR183+AS183</f>
        <v>0</v>
      </c>
      <c r="AU183" s="148"/>
      <c r="AV183" s="133" t="n">
        <f aca="false">AT183+AO183</f>
        <v>0</v>
      </c>
      <c r="AX183" s="133" t="n">
        <f aca="false">AJ183+AG183+AD183</f>
        <v>0</v>
      </c>
      <c r="AY183" s="149"/>
      <c r="AZ183" s="76" t="n">
        <f aca="false">R183*E183</f>
        <v>0</v>
      </c>
    </row>
    <row r="184" customFormat="false" ht="12" hidden="false" customHeight="true" outlineLevel="0" collapsed="false">
      <c r="A184" s="138" t="n">
        <f aca="false">EDATE(A183,1)</f>
        <v>42278</v>
      </c>
      <c r="B184" s="139" t="n">
        <f aca="false">VLOOKUP($A184,Table2,MATCH(I$3,Curves2,0))</f>
        <v>60900</v>
      </c>
      <c r="C184" s="140"/>
      <c r="D184" s="141" t="n">
        <f aca="false">B184+C184</f>
        <v>60900</v>
      </c>
      <c r="E184" s="126" t="n">
        <f aca="false">IF(Y184=0,0,IF(AND(Y184=1,$H$3=1),D184*T184,IF($H$3=2,D184,"N/A")))</f>
        <v>0</v>
      </c>
      <c r="F184" s="126" t="n">
        <f aca="false">E184*X184</f>
        <v>0</v>
      </c>
      <c r="G184" s="142" t="n">
        <f aca="false">VLOOKUP($A184,Table,MATCH(G$4,Curves,0))</f>
        <v>3.987</v>
      </c>
      <c r="H184" s="143" t="n">
        <f aca="false">G184</f>
        <v>3.987</v>
      </c>
      <c r="I184" s="142" t="n">
        <f aca="false">VLOOKUP($A184,Table1,MATCH(I$3,Curves1,0))</f>
        <v>3.7904</v>
      </c>
      <c r="J184" s="142" t="n">
        <f aca="false">VLOOKUP($A184,Table,MATCH(J$4,Curves,0))</f>
        <v>0.011</v>
      </c>
      <c r="K184" s="143" t="n">
        <f aca="false">J184</f>
        <v>0.011</v>
      </c>
      <c r="L184" s="144" t="n">
        <v>0</v>
      </c>
      <c r="M184" s="142" t="n">
        <f aca="false">VLOOKUP($A184,Table,MATCH(M$4,Curves,0))</f>
        <v>0.015</v>
      </c>
      <c r="N184" s="143" t="n">
        <f aca="false">M184</f>
        <v>0.015</v>
      </c>
      <c r="O184" s="144" t="n">
        <v>0</v>
      </c>
      <c r="P184" s="145"/>
      <c r="Q184" s="144" t="n">
        <f aca="false">M184+J184+G184</f>
        <v>4.013</v>
      </c>
      <c r="R184" s="144" t="n">
        <f aca="false">O184+L184+I184</f>
        <v>3.7904</v>
      </c>
      <c r="S184" s="145"/>
      <c r="T184" s="71" t="n">
        <f aca="false">A185-A184</f>
        <v>31</v>
      </c>
      <c r="U184" s="146" t="n">
        <f aca="false">CHOOSE(F$3,A185+24,A184)</f>
        <v>42333</v>
      </c>
      <c r="V184" s="71" t="n">
        <f aca="false">U184-C$3</f>
        <v>5445</v>
      </c>
      <c r="W184" s="142" t="n">
        <f aca="false">VLOOKUP($A184,Table,MATCH(W$4,Curves,0))</f>
        <v>0.058966861357273</v>
      </c>
      <c r="X184" s="147" t="n">
        <f aca="false">1/(1+CHOOSE(F$3,(W185+($K$3/10000))/2,(W184+($K$3/10000))/2))^(2*V184/365.25)</f>
        <v>0.420485753660228</v>
      </c>
      <c r="Y184" s="71" t="n">
        <f aca="false">IF(AND(mthbeg&lt;=A184,mthend&gt;=A184),1,0)</f>
        <v>0</v>
      </c>
      <c r="Z184" s="71" t="n">
        <f aca="false">T184*Y184</f>
        <v>0</v>
      </c>
      <c r="AB184" s="132" t="n">
        <f aca="false">F184*G184</f>
        <v>0</v>
      </c>
      <c r="AC184" s="132" t="n">
        <f aca="false">$F184*H184</f>
        <v>0</v>
      </c>
      <c r="AD184" s="132" t="n">
        <f aca="false">$F184*I184</f>
        <v>0</v>
      </c>
      <c r="AE184" s="132" t="n">
        <f aca="false">$F184*J184</f>
        <v>0</v>
      </c>
      <c r="AF184" s="132" t="n">
        <f aca="false">$F184*K184</f>
        <v>0</v>
      </c>
      <c r="AG184" s="132" t="n">
        <f aca="false">$F184*L184</f>
        <v>0</v>
      </c>
      <c r="AH184" s="132" t="n">
        <f aca="false">$F184*M184</f>
        <v>0</v>
      </c>
      <c r="AI184" s="132" t="n">
        <f aca="false">$F184*N184</f>
        <v>0</v>
      </c>
      <c r="AJ184" s="132" t="n">
        <f aca="false">F184*O184</f>
        <v>0</v>
      </c>
      <c r="AK184" s="137"/>
      <c r="AL184" s="132" t="n">
        <f aca="false">CHOOSE($G$3,AC184-AD184,AD184-AC184)</f>
        <v>0</v>
      </c>
      <c r="AM184" s="132" t="n">
        <f aca="false">CHOOSE($G$3,AF184-AG184,AG184-AF184)</f>
        <v>0</v>
      </c>
      <c r="AN184" s="132" t="n">
        <f aca="false">CHOOSE($G$3,AI184-AJ184,AJ184-AI184)</f>
        <v>0</v>
      </c>
      <c r="AO184" s="148" t="n">
        <f aca="false">SUM(AL184:AN184)</f>
        <v>0</v>
      </c>
      <c r="AQ184" s="132" t="n">
        <f aca="false">CHOOSE($G$3,AB184-AC184,AC184-AB184)</f>
        <v>0</v>
      </c>
      <c r="AR184" s="132" t="n">
        <f aca="false">CHOOSE($G$3,AE184-AF184,AF184-AE184)</f>
        <v>0</v>
      </c>
      <c r="AS184" s="132" t="n">
        <f aca="false">CHOOSE($G$3,AH184-AI184,AI184-AH184)</f>
        <v>0</v>
      </c>
      <c r="AT184" s="148" t="n">
        <f aca="false">AQ184+AR184+AS184</f>
        <v>0</v>
      </c>
      <c r="AU184" s="148"/>
      <c r="AV184" s="133" t="n">
        <f aca="false">AT184+AO184</f>
        <v>0</v>
      </c>
      <c r="AX184" s="133" t="n">
        <f aca="false">AJ184+AG184+AD184</f>
        <v>0</v>
      </c>
      <c r="AY184" s="149"/>
      <c r="AZ184" s="76" t="n">
        <f aca="false">R184*E184</f>
        <v>0</v>
      </c>
    </row>
    <row r="185" customFormat="false" ht="12" hidden="false" customHeight="true" outlineLevel="0" collapsed="false">
      <c r="A185" s="138" t="n">
        <f aca="false">EDATE(A184,1)</f>
        <v>42309</v>
      </c>
      <c r="B185" s="139" t="n">
        <f aca="false">VLOOKUP($A185,Table2,MATCH(I$3,Curves2,0))</f>
        <v>60900</v>
      </c>
      <c r="C185" s="140"/>
      <c r="D185" s="141" t="n">
        <f aca="false">B185+C185</f>
        <v>60900</v>
      </c>
      <c r="E185" s="126" t="n">
        <f aca="false">IF(Y185=0,0,IF(AND(Y185=1,$H$3=1),D185*T185,IF($H$3=2,D185,"N/A")))</f>
        <v>0</v>
      </c>
      <c r="F185" s="126" t="n">
        <f aca="false">E185*X185</f>
        <v>0</v>
      </c>
      <c r="G185" s="142" t="n">
        <f aca="false">VLOOKUP($A185,Table,MATCH(G$4,Curves,0))</f>
        <v>3.987</v>
      </c>
      <c r="H185" s="143" t="n">
        <f aca="false">G185</f>
        <v>3.987</v>
      </c>
      <c r="I185" s="142" t="n">
        <f aca="false">VLOOKUP($A185,Table1,MATCH(I$3,Curves1,0))</f>
        <v>3.7904</v>
      </c>
      <c r="J185" s="142" t="n">
        <f aca="false">VLOOKUP($A185,Table,MATCH(J$4,Curves,0))</f>
        <v>0.011</v>
      </c>
      <c r="K185" s="143" t="n">
        <f aca="false">J185</f>
        <v>0.011</v>
      </c>
      <c r="L185" s="144" t="n">
        <v>0</v>
      </c>
      <c r="M185" s="142" t="n">
        <f aca="false">VLOOKUP($A185,Table,MATCH(M$4,Curves,0))</f>
        <v>0.015</v>
      </c>
      <c r="N185" s="143" t="n">
        <f aca="false">M185</f>
        <v>0.015</v>
      </c>
      <c r="O185" s="144" t="n">
        <v>0</v>
      </c>
      <c r="P185" s="145"/>
      <c r="Q185" s="144" t="n">
        <f aca="false">M185+J185+G185</f>
        <v>4.013</v>
      </c>
      <c r="R185" s="144" t="n">
        <f aca="false">O185+L185+I185</f>
        <v>3.7904</v>
      </c>
      <c r="S185" s="145"/>
      <c r="T185" s="71" t="n">
        <f aca="false">A186-A185</f>
        <v>30</v>
      </c>
      <c r="U185" s="146" t="n">
        <f aca="false">CHOOSE(F$3,A186+24,A185)</f>
        <v>42363</v>
      </c>
      <c r="V185" s="71" t="n">
        <f aca="false">U185-C$3</f>
        <v>5475</v>
      </c>
      <c r="W185" s="142" t="n">
        <f aca="false">VLOOKUP($A185,Table,MATCH(W$4,Curves,0))</f>
        <v>0.058966861357273</v>
      </c>
      <c r="X185" s="147" t="n">
        <f aca="false">1/(1+CHOOSE(F$3,(W186+($K$3/10000))/2,(W185+($K$3/10000))/2))^(2*V185/365.25)</f>
        <v>0.41848345303045</v>
      </c>
      <c r="Y185" s="71" t="n">
        <f aca="false">IF(AND(mthbeg&lt;=A185,mthend&gt;=A185),1,0)</f>
        <v>0</v>
      </c>
      <c r="Z185" s="71" t="n">
        <f aca="false">T185*Y185</f>
        <v>0</v>
      </c>
      <c r="AB185" s="132" t="n">
        <f aca="false">F185*G185</f>
        <v>0</v>
      </c>
      <c r="AC185" s="132" t="n">
        <f aca="false">$F185*H185</f>
        <v>0</v>
      </c>
      <c r="AD185" s="132" t="n">
        <f aca="false">$F185*I185</f>
        <v>0</v>
      </c>
      <c r="AE185" s="132" t="n">
        <f aca="false">$F185*J185</f>
        <v>0</v>
      </c>
      <c r="AF185" s="132" t="n">
        <f aca="false">$F185*K185</f>
        <v>0</v>
      </c>
      <c r="AG185" s="132" t="n">
        <f aca="false">$F185*L185</f>
        <v>0</v>
      </c>
      <c r="AH185" s="132" t="n">
        <f aca="false">$F185*M185</f>
        <v>0</v>
      </c>
      <c r="AI185" s="132" t="n">
        <f aca="false">$F185*N185</f>
        <v>0</v>
      </c>
      <c r="AJ185" s="132" t="n">
        <f aca="false">F185*O185</f>
        <v>0</v>
      </c>
      <c r="AK185" s="137"/>
      <c r="AL185" s="132" t="n">
        <f aca="false">CHOOSE($G$3,AC185-AD185,AD185-AC185)</f>
        <v>0</v>
      </c>
      <c r="AM185" s="132" t="n">
        <f aca="false">CHOOSE($G$3,AF185-AG185,AG185-AF185)</f>
        <v>0</v>
      </c>
      <c r="AN185" s="132" t="n">
        <f aca="false">CHOOSE($G$3,AI185-AJ185,AJ185-AI185)</f>
        <v>0</v>
      </c>
      <c r="AO185" s="148" t="n">
        <f aca="false">SUM(AL185:AN185)</f>
        <v>0</v>
      </c>
      <c r="AQ185" s="132" t="n">
        <f aca="false">CHOOSE($G$3,AB185-AC185,AC185-AB185)</f>
        <v>0</v>
      </c>
      <c r="AR185" s="132" t="n">
        <f aca="false">CHOOSE($G$3,AE185-AF185,AF185-AE185)</f>
        <v>0</v>
      </c>
      <c r="AS185" s="132" t="n">
        <f aca="false">CHOOSE($G$3,AH185-AI185,AI185-AH185)</f>
        <v>0</v>
      </c>
      <c r="AT185" s="148" t="n">
        <f aca="false">AQ185+AR185+AS185</f>
        <v>0</v>
      </c>
      <c r="AU185" s="148"/>
      <c r="AV185" s="133" t="n">
        <f aca="false">AT185+AO185</f>
        <v>0</v>
      </c>
      <c r="AX185" s="133" t="n">
        <f aca="false">AJ185+AG185+AD185</f>
        <v>0</v>
      </c>
      <c r="AY185" s="149"/>
      <c r="AZ185" s="76" t="n">
        <f aca="false">R185*E185</f>
        <v>0</v>
      </c>
    </row>
    <row r="186" customFormat="false" ht="12" hidden="false" customHeight="true" outlineLevel="0" collapsed="false">
      <c r="A186" s="138" t="n">
        <f aca="false">EDATE(A185,1)</f>
        <v>42339</v>
      </c>
      <c r="B186" s="139" t="n">
        <f aca="false">VLOOKUP($A186,Table2,MATCH(I$3,Curves2,0))</f>
        <v>60900</v>
      </c>
      <c r="C186" s="140"/>
      <c r="D186" s="141" t="n">
        <f aca="false">B186+C186</f>
        <v>60900</v>
      </c>
      <c r="E186" s="126" t="n">
        <f aca="false">IF(Y186=0,0,IF(AND(Y186=1,$H$3=1),D186*T186,IF($H$3=2,D186,"N/A")))</f>
        <v>0</v>
      </c>
      <c r="F186" s="126" t="n">
        <f aca="false">E186*X186</f>
        <v>0</v>
      </c>
      <c r="G186" s="142" t="n">
        <f aca="false">VLOOKUP($A186,Table,MATCH(G$4,Curves,0))</f>
        <v>3.987</v>
      </c>
      <c r="H186" s="143" t="n">
        <f aca="false">G186</f>
        <v>3.987</v>
      </c>
      <c r="I186" s="142" t="n">
        <f aca="false">VLOOKUP($A186,Table1,MATCH(I$3,Curves1,0))</f>
        <v>3.7904</v>
      </c>
      <c r="J186" s="142" t="n">
        <f aca="false">VLOOKUP($A186,Table,MATCH(J$4,Curves,0))</f>
        <v>0.011</v>
      </c>
      <c r="K186" s="143" t="n">
        <f aca="false">J186</f>
        <v>0.011</v>
      </c>
      <c r="L186" s="144" t="n">
        <v>0</v>
      </c>
      <c r="M186" s="142" t="n">
        <f aca="false">VLOOKUP($A186,Table,MATCH(M$4,Curves,0))</f>
        <v>0.015</v>
      </c>
      <c r="N186" s="143" t="n">
        <f aca="false">M186</f>
        <v>0.015</v>
      </c>
      <c r="O186" s="144" t="n">
        <v>0</v>
      </c>
      <c r="P186" s="145"/>
      <c r="Q186" s="144" t="n">
        <f aca="false">M186+J186+G186</f>
        <v>4.013</v>
      </c>
      <c r="R186" s="144" t="n">
        <f aca="false">O186+L186+I186</f>
        <v>3.7904</v>
      </c>
      <c r="S186" s="145"/>
      <c r="T186" s="71" t="n">
        <f aca="false">A187-A186</f>
        <v>31</v>
      </c>
      <c r="U186" s="146" t="n">
        <f aca="false">CHOOSE(F$3,A187+24,A186)</f>
        <v>42394</v>
      </c>
      <c r="V186" s="71" t="n">
        <f aca="false">U186-C$3</f>
        <v>5506</v>
      </c>
      <c r="W186" s="142" t="n">
        <f aca="false">VLOOKUP($A186,Table,MATCH(W$4,Curves,0))</f>
        <v>0.058966861357273</v>
      </c>
      <c r="X186" s="147" t="n">
        <f aca="false">1/(1+CHOOSE(F$3,(W187+($K$3/10000))/2,(W186+($K$3/10000))/2))^(2*V186/365.25)</f>
        <v>0.416424425253545</v>
      </c>
      <c r="Y186" s="71" t="n">
        <f aca="false">IF(AND(mthbeg&lt;=A186,mthend&gt;=A186),1,0)</f>
        <v>0</v>
      </c>
      <c r="Z186" s="71" t="n">
        <f aca="false">T186*Y186</f>
        <v>0</v>
      </c>
      <c r="AB186" s="132" t="n">
        <f aca="false">F186*G186</f>
        <v>0</v>
      </c>
      <c r="AC186" s="132" t="n">
        <f aca="false">$F186*H186</f>
        <v>0</v>
      </c>
      <c r="AD186" s="132" t="n">
        <f aca="false">$F186*I186</f>
        <v>0</v>
      </c>
      <c r="AE186" s="132" t="n">
        <f aca="false">$F186*J186</f>
        <v>0</v>
      </c>
      <c r="AF186" s="132" t="n">
        <f aca="false">$F186*K186</f>
        <v>0</v>
      </c>
      <c r="AG186" s="132" t="n">
        <f aca="false">$F186*L186</f>
        <v>0</v>
      </c>
      <c r="AH186" s="132" t="n">
        <f aca="false">$F186*M186</f>
        <v>0</v>
      </c>
      <c r="AI186" s="132" t="n">
        <f aca="false">$F186*N186</f>
        <v>0</v>
      </c>
      <c r="AJ186" s="132" t="n">
        <f aca="false">F186*O186</f>
        <v>0</v>
      </c>
      <c r="AK186" s="137"/>
      <c r="AL186" s="132" t="n">
        <f aca="false">CHOOSE($G$3,AC186-AD186,AD186-AC186)</f>
        <v>0</v>
      </c>
      <c r="AM186" s="132" t="n">
        <f aca="false">CHOOSE($G$3,AF186-AG186,AG186-AF186)</f>
        <v>0</v>
      </c>
      <c r="AN186" s="132" t="n">
        <f aca="false">CHOOSE($G$3,AI186-AJ186,AJ186-AI186)</f>
        <v>0</v>
      </c>
      <c r="AO186" s="148" t="n">
        <f aca="false">SUM(AL186:AN186)</f>
        <v>0</v>
      </c>
      <c r="AQ186" s="132" t="n">
        <f aca="false">CHOOSE($G$3,AB186-AC186,AC186-AB186)</f>
        <v>0</v>
      </c>
      <c r="AR186" s="132" t="n">
        <f aca="false">CHOOSE($G$3,AE186-AF186,AF186-AE186)</f>
        <v>0</v>
      </c>
      <c r="AS186" s="132" t="n">
        <f aca="false">CHOOSE($G$3,AH186-AI186,AI186-AH186)</f>
        <v>0</v>
      </c>
      <c r="AT186" s="148" t="n">
        <f aca="false">AQ186+AR186+AS186</f>
        <v>0</v>
      </c>
      <c r="AU186" s="148"/>
      <c r="AV186" s="133" t="n">
        <f aca="false">AT186+AO186</f>
        <v>0</v>
      </c>
      <c r="AX186" s="133" t="n">
        <f aca="false">AJ186+AG186+AD186</f>
        <v>0</v>
      </c>
      <c r="AY186" s="149"/>
      <c r="AZ186" s="76" t="n">
        <f aca="false">R186*E186</f>
        <v>0</v>
      </c>
    </row>
    <row r="187" customFormat="false" ht="12" hidden="false" customHeight="true" outlineLevel="0" collapsed="false">
      <c r="A187" s="138" t="n">
        <f aca="false">EDATE(A186,1)</f>
        <v>42370</v>
      </c>
      <c r="B187" s="139" t="n">
        <f aca="false">VLOOKUP($A187,Table2,MATCH(I$3,Curves2,0))</f>
        <v>60900</v>
      </c>
      <c r="C187" s="140"/>
      <c r="D187" s="141" t="n">
        <f aca="false">B187+C187</f>
        <v>60900</v>
      </c>
      <c r="E187" s="126" t="n">
        <f aca="false">IF(Y187=0,0,IF(AND(Y187=1,$H$3=1),D187*T187,IF($H$3=2,D187,"N/A")))</f>
        <v>0</v>
      </c>
      <c r="F187" s="126" t="n">
        <f aca="false">E187*X187</f>
        <v>0</v>
      </c>
      <c r="G187" s="142" t="n">
        <f aca="false">VLOOKUP($A187,Table,MATCH(G$4,Curves,0))</f>
        <v>3.987</v>
      </c>
      <c r="H187" s="143" t="n">
        <f aca="false">G187</f>
        <v>3.987</v>
      </c>
      <c r="I187" s="142" t="n">
        <f aca="false">VLOOKUP($A187,Table1,MATCH(I$3,Curves1,0))</f>
        <v>3.7904</v>
      </c>
      <c r="J187" s="142" t="n">
        <f aca="false">VLOOKUP($A187,Table,MATCH(J$4,Curves,0))</f>
        <v>0.011</v>
      </c>
      <c r="K187" s="143" t="n">
        <f aca="false">J187</f>
        <v>0.011</v>
      </c>
      <c r="L187" s="144" t="n">
        <v>0</v>
      </c>
      <c r="M187" s="142" t="n">
        <f aca="false">VLOOKUP($A187,Table,MATCH(M$4,Curves,0))</f>
        <v>0.015</v>
      </c>
      <c r="N187" s="143" t="n">
        <f aca="false">M187</f>
        <v>0.015</v>
      </c>
      <c r="O187" s="144" t="n">
        <v>0</v>
      </c>
      <c r="P187" s="145"/>
      <c r="Q187" s="144" t="n">
        <f aca="false">M187+J187+G187</f>
        <v>4.013</v>
      </c>
      <c r="R187" s="144" t="n">
        <f aca="false">O187+L187+I187</f>
        <v>3.7904</v>
      </c>
      <c r="S187" s="145"/>
      <c r="T187" s="71" t="n">
        <f aca="false">A188-A187</f>
        <v>31</v>
      </c>
      <c r="U187" s="146" t="n">
        <f aca="false">CHOOSE(F$3,A188+24,A187)</f>
        <v>42425</v>
      </c>
      <c r="V187" s="71" t="n">
        <f aca="false">U187-C$3</f>
        <v>5537</v>
      </c>
      <c r="W187" s="142" t="n">
        <f aca="false">VLOOKUP($A187,Table,MATCH(W$4,Curves,0))</f>
        <v>0.058966861357273</v>
      </c>
      <c r="X187" s="147" t="n">
        <f aca="false">1/(1+CHOOSE(F$3,(W188+($K$3/10000))/2,(W187+($K$3/10000))/2))^(2*V187/365.25)</f>
        <v>0.414375528332127</v>
      </c>
      <c r="Y187" s="71" t="n">
        <f aca="false">IF(AND(mthbeg&lt;=A187,mthend&gt;=A187),1,0)</f>
        <v>0</v>
      </c>
      <c r="Z187" s="71" t="n">
        <f aca="false">T187*Y187</f>
        <v>0</v>
      </c>
      <c r="AB187" s="132" t="n">
        <f aca="false">F187*G187</f>
        <v>0</v>
      </c>
      <c r="AC187" s="132" t="n">
        <f aca="false">$F187*H187</f>
        <v>0</v>
      </c>
      <c r="AD187" s="132" t="n">
        <f aca="false">$F187*I187</f>
        <v>0</v>
      </c>
      <c r="AE187" s="132" t="n">
        <f aca="false">$F187*J187</f>
        <v>0</v>
      </c>
      <c r="AF187" s="132" t="n">
        <f aca="false">$F187*K187</f>
        <v>0</v>
      </c>
      <c r="AG187" s="132" t="n">
        <f aca="false">$F187*L187</f>
        <v>0</v>
      </c>
      <c r="AH187" s="132" t="n">
        <f aca="false">$F187*M187</f>
        <v>0</v>
      </c>
      <c r="AI187" s="132" t="n">
        <f aca="false">$F187*N187</f>
        <v>0</v>
      </c>
      <c r="AJ187" s="132" t="n">
        <f aca="false">F187*O187</f>
        <v>0</v>
      </c>
      <c r="AK187" s="137"/>
      <c r="AL187" s="132" t="n">
        <f aca="false">CHOOSE($G$3,AC187-AD187,AD187-AC187)</f>
        <v>0</v>
      </c>
      <c r="AM187" s="132" t="n">
        <f aca="false">CHOOSE($G$3,AF187-AG187,AG187-AF187)</f>
        <v>0</v>
      </c>
      <c r="AN187" s="132" t="n">
        <f aca="false">CHOOSE($G$3,AI187-AJ187,AJ187-AI187)</f>
        <v>0</v>
      </c>
      <c r="AO187" s="148" t="n">
        <f aca="false">SUM(AL187:AN187)</f>
        <v>0</v>
      </c>
      <c r="AQ187" s="132" t="n">
        <f aca="false">CHOOSE($G$3,AB187-AC187,AC187-AB187)</f>
        <v>0</v>
      </c>
      <c r="AR187" s="132" t="n">
        <f aca="false">CHOOSE($G$3,AE187-AF187,AF187-AE187)</f>
        <v>0</v>
      </c>
      <c r="AS187" s="132" t="n">
        <f aca="false">CHOOSE($G$3,AH187-AI187,AI187-AH187)</f>
        <v>0</v>
      </c>
      <c r="AT187" s="148" t="n">
        <f aca="false">AQ187+AR187+AS187</f>
        <v>0</v>
      </c>
      <c r="AU187" s="148"/>
      <c r="AV187" s="133" t="n">
        <f aca="false">AT187+AO187</f>
        <v>0</v>
      </c>
      <c r="AX187" s="133" t="n">
        <f aca="false">AJ187+AG187+AD187</f>
        <v>0</v>
      </c>
      <c r="AY187" s="149"/>
      <c r="AZ187" s="76" t="n">
        <f aca="false">R187*E187</f>
        <v>0</v>
      </c>
    </row>
    <row r="188" customFormat="false" ht="12" hidden="false" customHeight="true" outlineLevel="0" collapsed="false">
      <c r="A188" s="138" t="n">
        <f aca="false">EDATE(A187,1)</f>
        <v>42401</v>
      </c>
      <c r="B188" s="139" t="n">
        <f aca="false">VLOOKUP($A188,Table2,MATCH(I$3,Curves2,0))</f>
        <v>60900</v>
      </c>
      <c r="C188" s="140"/>
      <c r="D188" s="141" t="n">
        <f aca="false">B188+C188</f>
        <v>60900</v>
      </c>
      <c r="E188" s="126" t="n">
        <f aca="false">IF(Y188=0,0,IF(AND(Y188=1,$H$3=1),D188*T188,IF($H$3=2,D188,"N/A")))</f>
        <v>0</v>
      </c>
      <c r="F188" s="126" t="n">
        <f aca="false">E188*X188</f>
        <v>0</v>
      </c>
      <c r="G188" s="142" t="n">
        <f aca="false">VLOOKUP($A188,Table,MATCH(G$4,Curves,0))</f>
        <v>3.987</v>
      </c>
      <c r="H188" s="143" t="n">
        <f aca="false">G188</f>
        <v>3.987</v>
      </c>
      <c r="I188" s="142" t="n">
        <f aca="false">VLOOKUP($A188,Table1,MATCH(I$3,Curves1,0))</f>
        <v>3.7904</v>
      </c>
      <c r="J188" s="142" t="n">
        <f aca="false">VLOOKUP($A188,Table,MATCH(J$4,Curves,0))</f>
        <v>0.011</v>
      </c>
      <c r="K188" s="143" t="n">
        <f aca="false">J188</f>
        <v>0.011</v>
      </c>
      <c r="L188" s="144" t="n">
        <v>0</v>
      </c>
      <c r="M188" s="142" t="n">
        <f aca="false">VLOOKUP($A188,Table,MATCH(M$4,Curves,0))</f>
        <v>0.015</v>
      </c>
      <c r="N188" s="143" t="n">
        <f aca="false">M188</f>
        <v>0.015</v>
      </c>
      <c r="O188" s="144" t="n">
        <v>0</v>
      </c>
      <c r="P188" s="145"/>
      <c r="Q188" s="144" t="n">
        <f aca="false">M188+J188+G188</f>
        <v>4.013</v>
      </c>
      <c r="R188" s="144" t="n">
        <f aca="false">O188+L188+I188</f>
        <v>3.7904</v>
      </c>
      <c r="S188" s="145"/>
      <c r="T188" s="71" t="n">
        <f aca="false">A189-A188</f>
        <v>29</v>
      </c>
      <c r="U188" s="146" t="n">
        <f aca="false">CHOOSE(F$3,A189+24,A188)</f>
        <v>42454</v>
      </c>
      <c r="V188" s="71" t="n">
        <f aca="false">U188-C$3</f>
        <v>5566</v>
      </c>
      <c r="W188" s="142" t="n">
        <f aca="false">VLOOKUP($A188,Table,MATCH(W$4,Curves,0))</f>
        <v>0.058966861357273</v>
      </c>
      <c r="X188" s="147" t="n">
        <f aca="false">1/(1+CHOOSE(F$3,(W189+($K$3/10000))/2,(W188+($K$3/10000))/2))^(2*V188/365.25)</f>
        <v>0.412467945684007</v>
      </c>
      <c r="Y188" s="71" t="n">
        <f aca="false">IF(AND(mthbeg&lt;=A188,mthend&gt;=A188),1,0)</f>
        <v>0</v>
      </c>
      <c r="Z188" s="71" t="n">
        <f aca="false">T188*Y188</f>
        <v>0</v>
      </c>
      <c r="AB188" s="132" t="n">
        <f aca="false">F188*G188</f>
        <v>0</v>
      </c>
      <c r="AC188" s="132" t="n">
        <f aca="false">$F188*H188</f>
        <v>0</v>
      </c>
      <c r="AD188" s="132" t="n">
        <f aca="false">$F188*I188</f>
        <v>0</v>
      </c>
      <c r="AE188" s="132" t="n">
        <f aca="false">$F188*J188</f>
        <v>0</v>
      </c>
      <c r="AF188" s="132" t="n">
        <f aca="false">$F188*K188</f>
        <v>0</v>
      </c>
      <c r="AG188" s="132" t="n">
        <f aca="false">$F188*L188</f>
        <v>0</v>
      </c>
      <c r="AH188" s="132" t="n">
        <f aca="false">$F188*M188</f>
        <v>0</v>
      </c>
      <c r="AI188" s="132" t="n">
        <f aca="false">$F188*N188</f>
        <v>0</v>
      </c>
      <c r="AJ188" s="132" t="n">
        <f aca="false">F188*O188</f>
        <v>0</v>
      </c>
      <c r="AK188" s="137"/>
      <c r="AL188" s="132" t="n">
        <f aca="false">CHOOSE($G$3,AC188-AD188,AD188-AC188)</f>
        <v>0</v>
      </c>
      <c r="AM188" s="132" t="n">
        <f aca="false">CHOOSE($G$3,AF188-AG188,AG188-AF188)</f>
        <v>0</v>
      </c>
      <c r="AN188" s="132" t="n">
        <f aca="false">CHOOSE($G$3,AI188-AJ188,AJ188-AI188)</f>
        <v>0</v>
      </c>
      <c r="AO188" s="148" t="n">
        <f aca="false">SUM(AL188:AN188)</f>
        <v>0</v>
      </c>
      <c r="AQ188" s="132" t="n">
        <f aca="false">CHOOSE($G$3,AB188-AC188,AC188-AB188)</f>
        <v>0</v>
      </c>
      <c r="AR188" s="132" t="n">
        <f aca="false">CHOOSE($G$3,AE188-AF188,AF188-AE188)</f>
        <v>0</v>
      </c>
      <c r="AS188" s="132" t="n">
        <f aca="false">CHOOSE($G$3,AH188-AI188,AI188-AH188)</f>
        <v>0</v>
      </c>
      <c r="AT188" s="148" t="n">
        <f aca="false">AQ188+AR188+AS188</f>
        <v>0</v>
      </c>
      <c r="AU188" s="148"/>
      <c r="AV188" s="133" t="n">
        <f aca="false">AT188+AO188</f>
        <v>0</v>
      </c>
      <c r="AX188" s="133" t="n">
        <f aca="false">AJ188+AG188+AD188</f>
        <v>0</v>
      </c>
      <c r="AY188" s="149"/>
      <c r="AZ188" s="76" t="n">
        <f aca="false">R188*E188</f>
        <v>0</v>
      </c>
    </row>
    <row r="189" customFormat="false" ht="12" hidden="false" customHeight="true" outlineLevel="0" collapsed="false">
      <c r="A189" s="138" t="n">
        <f aca="false">EDATE(A188,1)</f>
        <v>42430</v>
      </c>
      <c r="B189" s="139" t="n">
        <f aca="false">VLOOKUP($A189,Table2,MATCH(I$3,Curves2,0))</f>
        <v>60900</v>
      </c>
      <c r="C189" s="140"/>
      <c r="D189" s="141" t="n">
        <f aca="false">B189+C189</f>
        <v>60900</v>
      </c>
      <c r="E189" s="126" t="n">
        <f aca="false">IF(Y189=0,0,IF(AND(Y189=1,$H$3=1),D189*T189,IF($H$3=2,D189,"N/A")))</f>
        <v>0</v>
      </c>
      <c r="F189" s="126" t="n">
        <f aca="false">E189*X189</f>
        <v>0</v>
      </c>
      <c r="G189" s="142" t="n">
        <f aca="false">VLOOKUP($A189,Table,MATCH(G$4,Curves,0))</f>
        <v>3.987</v>
      </c>
      <c r="H189" s="143" t="n">
        <f aca="false">G189</f>
        <v>3.987</v>
      </c>
      <c r="I189" s="142" t="n">
        <f aca="false">VLOOKUP($A189,Table1,MATCH(I$3,Curves1,0))</f>
        <v>3.7904</v>
      </c>
      <c r="J189" s="142" t="n">
        <f aca="false">VLOOKUP($A189,Table,MATCH(J$4,Curves,0))</f>
        <v>0.011</v>
      </c>
      <c r="K189" s="143" t="n">
        <f aca="false">J189</f>
        <v>0.011</v>
      </c>
      <c r="L189" s="144" t="n">
        <v>0</v>
      </c>
      <c r="M189" s="142" t="n">
        <f aca="false">VLOOKUP($A189,Table,MATCH(M$4,Curves,0))</f>
        <v>0.015</v>
      </c>
      <c r="N189" s="143" t="n">
        <f aca="false">M189</f>
        <v>0.015</v>
      </c>
      <c r="O189" s="144" t="n">
        <v>0</v>
      </c>
      <c r="P189" s="145"/>
      <c r="Q189" s="144" t="n">
        <f aca="false">M189+J189+G189</f>
        <v>4.013</v>
      </c>
      <c r="R189" s="144" t="n">
        <f aca="false">O189+L189+I189</f>
        <v>3.7904</v>
      </c>
      <c r="S189" s="145"/>
      <c r="T189" s="71" t="n">
        <f aca="false">A190-A189</f>
        <v>31</v>
      </c>
      <c r="U189" s="146" t="n">
        <f aca="false">CHOOSE(F$3,A190+24,A189)</f>
        <v>42485</v>
      </c>
      <c r="V189" s="71" t="n">
        <f aca="false">U189-C$3</f>
        <v>5597</v>
      </c>
      <c r="W189" s="142" t="n">
        <f aca="false">VLOOKUP($A189,Table,MATCH(W$4,Curves,0))</f>
        <v>0.058966861357273</v>
      </c>
      <c r="X189" s="147" t="n">
        <f aca="false">1/(1+CHOOSE(F$3,(W190+($K$3/10000))/2,(W189+($K$3/10000))/2))^(2*V189/365.25)</f>
        <v>0.410438515485284</v>
      </c>
      <c r="Y189" s="71" t="n">
        <f aca="false">IF(AND(mthbeg&lt;=A189,mthend&gt;=A189),1,0)</f>
        <v>0</v>
      </c>
      <c r="Z189" s="71" t="n">
        <f aca="false">T189*Y189</f>
        <v>0</v>
      </c>
      <c r="AB189" s="132" t="n">
        <f aca="false">F189*G189</f>
        <v>0</v>
      </c>
      <c r="AC189" s="132" t="n">
        <f aca="false">$F189*H189</f>
        <v>0</v>
      </c>
      <c r="AD189" s="132" t="n">
        <f aca="false">$F189*I189</f>
        <v>0</v>
      </c>
      <c r="AE189" s="132" t="n">
        <f aca="false">$F189*J189</f>
        <v>0</v>
      </c>
      <c r="AF189" s="132" t="n">
        <f aca="false">$F189*K189</f>
        <v>0</v>
      </c>
      <c r="AG189" s="132" t="n">
        <f aca="false">$F189*L189</f>
        <v>0</v>
      </c>
      <c r="AH189" s="132" t="n">
        <f aca="false">$F189*M189</f>
        <v>0</v>
      </c>
      <c r="AI189" s="132" t="n">
        <f aca="false">$F189*N189</f>
        <v>0</v>
      </c>
      <c r="AJ189" s="132" t="n">
        <f aca="false">F189*O189</f>
        <v>0</v>
      </c>
      <c r="AK189" s="137"/>
      <c r="AL189" s="132" t="n">
        <f aca="false">CHOOSE($G$3,AC189-AD189,AD189-AC189)</f>
        <v>0</v>
      </c>
      <c r="AM189" s="132" t="n">
        <f aca="false">CHOOSE($G$3,AF189-AG189,AG189-AF189)</f>
        <v>0</v>
      </c>
      <c r="AN189" s="132" t="n">
        <f aca="false">CHOOSE($G$3,AI189-AJ189,AJ189-AI189)</f>
        <v>0</v>
      </c>
      <c r="AO189" s="148" t="n">
        <f aca="false">SUM(AL189:AN189)</f>
        <v>0</v>
      </c>
      <c r="AQ189" s="132" t="n">
        <f aca="false">CHOOSE($G$3,AB189-AC189,AC189-AB189)</f>
        <v>0</v>
      </c>
      <c r="AR189" s="132" t="n">
        <f aca="false">CHOOSE($G$3,AE189-AF189,AF189-AE189)</f>
        <v>0</v>
      </c>
      <c r="AS189" s="132" t="n">
        <f aca="false">CHOOSE($G$3,AH189-AI189,AI189-AH189)</f>
        <v>0</v>
      </c>
      <c r="AT189" s="148" t="n">
        <f aca="false">AQ189+AR189+AS189</f>
        <v>0</v>
      </c>
      <c r="AU189" s="148"/>
      <c r="AV189" s="133" t="n">
        <f aca="false">AT189+AO189</f>
        <v>0</v>
      </c>
      <c r="AX189" s="133" t="n">
        <f aca="false">AJ189+AG189+AD189</f>
        <v>0</v>
      </c>
      <c r="AY189" s="149"/>
      <c r="AZ189" s="76" t="n">
        <f aca="false">R189*E189</f>
        <v>0</v>
      </c>
    </row>
    <row r="190" customFormat="false" ht="12" hidden="false" customHeight="true" outlineLevel="0" collapsed="false">
      <c r="A190" s="138" t="n">
        <f aca="false">EDATE(A189,1)</f>
        <v>42461</v>
      </c>
      <c r="B190" s="139" t="n">
        <f aca="false">VLOOKUP($A190,Table2,MATCH(I$3,Curves2,0))</f>
        <v>60900</v>
      </c>
      <c r="C190" s="140"/>
      <c r="D190" s="141" t="n">
        <f aca="false">B190+C190</f>
        <v>60900</v>
      </c>
      <c r="E190" s="126" t="n">
        <f aca="false">IF(Y190=0,0,IF(AND(Y190=1,$H$3=1),D190*T190,IF($H$3=2,D190,"N/A")))</f>
        <v>0</v>
      </c>
      <c r="F190" s="126" t="n">
        <f aca="false">E190*X190</f>
        <v>0</v>
      </c>
      <c r="G190" s="142" t="n">
        <f aca="false">VLOOKUP($A190,Table,MATCH(G$4,Curves,0))</f>
        <v>3.987</v>
      </c>
      <c r="H190" s="143" t="n">
        <f aca="false">G190</f>
        <v>3.987</v>
      </c>
      <c r="I190" s="142" t="n">
        <f aca="false">VLOOKUP($A190,Table1,MATCH(I$3,Curves1,0))</f>
        <v>3.7904</v>
      </c>
      <c r="J190" s="142" t="n">
        <f aca="false">VLOOKUP($A190,Table,MATCH(J$4,Curves,0))</f>
        <v>0.011</v>
      </c>
      <c r="K190" s="143" t="n">
        <f aca="false">J190</f>
        <v>0.011</v>
      </c>
      <c r="L190" s="144" t="n">
        <v>0</v>
      </c>
      <c r="M190" s="142" t="n">
        <f aca="false">VLOOKUP($A190,Table,MATCH(M$4,Curves,0))</f>
        <v>0.015</v>
      </c>
      <c r="N190" s="143" t="n">
        <f aca="false">M190</f>
        <v>0.015</v>
      </c>
      <c r="O190" s="144" t="n">
        <v>0</v>
      </c>
      <c r="P190" s="145"/>
      <c r="Q190" s="144" t="n">
        <f aca="false">M190+J190+G190</f>
        <v>4.013</v>
      </c>
      <c r="R190" s="144" t="n">
        <f aca="false">O190+L190+I190</f>
        <v>3.7904</v>
      </c>
      <c r="S190" s="145"/>
      <c r="T190" s="71" t="n">
        <f aca="false">A191-A190</f>
        <v>30</v>
      </c>
      <c r="U190" s="146" t="n">
        <f aca="false">CHOOSE(F$3,A191+24,A190)</f>
        <v>42515</v>
      </c>
      <c r="V190" s="71" t="n">
        <f aca="false">U190-C$3</f>
        <v>5627</v>
      </c>
      <c r="W190" s="142" t="n">
        <f aca="false">VLOOKUP($A190,Table,MATCH(W$4,Curves,0))</f>
        <v>0.058966861357273</v>
      </c>
      <c r="X190" s="147" t="n">
        <f aca="false">1/(1+CHOOSE(F$3,(W191+($K$3/10000))/2,(W190+($K$3/10000))/2))^(2*V190/365.25)</f>
        <v>0.408484058548544</v>
      </c>
      <c r="Y190" s="71" t="n">
        <f aca="false">IF(AND(mthbeg&lt;=A190,mthend&gt;=A190),1,0)</f>
        <v>0</v>
      </c>
      <c r="Z190" s="71" t="n">
        <f aca="false">T190*Y190</f>
        <v>0</v>
      </c>
      <c r="AB190" s="132" t="n">
        <f aca="false">F190*G190</f>
        <v>0</v>
      </c>
      <c r="AC190" s="132" t="n">
        <f aca="false">$F190*H190</f>
        <v>0</v>
      </c>
      <c r="AD190" s="132" t="n">
        <f aca="false">$F190*I190</f>
        <v>0</v>
      </c>
      <c r="AE190" s="132" t="n">
        <f aca="false">$F190*J190</f>
        <v>0</v>
      </c>
      <c r="AF190" s="132" t="n">
        <f aca="false">$F190*K190</f>
        <v>0</v>
      </c>
      <c r="AG190" s="132" t="n">
        <f aca="false">$F190*L190</f>
        <v>0</v>
      </c>
      <c r="AH190" s="132" t="n">
        <f aca="false">$F190*M190</f>
        <v>0</v>
      </c>
      <c r="AI190" s="132" t="n">
        <f aca="false">$F190*N190</f>
        <v>0</v>
      </c>
      <c r="AJ190" s="132" t="n">
        <f aca="false">F190*O190</f>
        <v>0</v>
      </c>
      <c r="AK190" s="137"/>
      <c r="AL190" s="132" t="n">
        <f aca="false">CHOOSE($G$3,AC190-AD190,AD190-AC190)</f>
        <v>0</v>
      </c>
      <c r="AM190" s="132" t="n">
        <f aca="false">CHOOSE($G$3,AF190-AG190,AG190-AF190)</f>
        <v>0</v>
      </c>
      <c r="AN190" s="132" t="n">
        <f aca="false">CHOOSE($G$3,AI190-AJ190,AJ190-AI190)</f>
        <v>0</v>
      </c>
      <c r="AO190" s="148" t="n">
        <f aca="false">SUM(AL190:AN190)</f>
        <v>0</v>
      </c>
      <c r="AQ190" s="132" t="n">
        <f aca="false">CHOOSE($G$3,AB190-AC190,AC190-AB190)</f>
        <v>0</v>
      </c>
      <c r="AR190" s="132" t="n">
        <f aca="false">CHOOSE($G$3,AE190-AF190,AF190-AE190)</f>
        <v>0</v>
      </c>
      <c r="AS190" s="132" t="n">
        <f aca="false">CHOOSE($G$3,AH190-AI190,AI190-AH190)</f>
        <v>0</v>
      </c>
      <c r="AT190" s="148" t="n">
        <f aca="false">AQ190+AR190+AS190</f>
        <v>0</v>
      </c>
      <c r="AU190" s="148"/>
      <c r="AV190" s="133" t="n">
        <f aca="false">AT190+AO190</f>
        <v>0</v>
      </c>
      <c r="AX190" s="133" t="n">
        <f aca="false">AJ190+AG190+AD190</f>
        <v>0</v>
      </c>
      <c r="AY190" s="149"/>
      <c r="AZ190" s="76" t="n">
        <f aca="false">R190*E190</f>
        <v>0</v>
      </c>
    </row>
    <row r="191" customFormat="false" ht="12" hidden="false" customHeight="true" outlineLevel="0" collapsed="false">
      <c r="A191" s="138" t="n">
        <f aca="false">EDATE(A190,1)</f>
        <v>42491</v>
      </c>
      <c r="B191" s="139" t="n">
        <f aca="false">VLOOKUP($A191,Table2,MATCH(I$3,Curves2,0))</f>
        <v>60900</v>
      </c>
      <c r="C191" s="140"/>
      <c r="D191" s="141" t="n">
        <f aca="false">B191+C191</f>
        <v>60900</v>
      </c>
      <c r="E191" s="126" t="n">
        <f aca="false">IF(Y191=0,0,IF(AND(Y191=1,$H$3=1),D191*T191,IF($H$3=2,D191,"N/A")))</f>
        <v>0</v>
      </c>
      <c r="F191" s="126" t="n">
        <f aca="false">E191*X191</f>
        <v>0</v>
      </c>
      <c r="G191" s="142" t="n">
        <f aca="false">VLOOKUP($A191,Table,MATCH(G$4,Curves,0))</f>
        <v>3.987</v>
      </c>
      <c r="H191" s="143" t="n">
        <f aca="false">G191</f>
        <v>3.987</v>
      </c>
      <c r="I191" s="142" t="n">
        <f aca="false">VLOOKUP($A191,Table1,MATCH(I$3,Curves1,0))</f>
        <v>3.7904</v>
      </c>
      <c r="J191" s="142" t="n">
        <f aca="false">VLOOKUP($A191,Table,MATCH(J$4,Curves,0))</f>
        <v>0.011</v>
      </c>
      <c r="K191" s="143" t="n">
        <f aca="false">J191</f>
        <v>0.011</v>
      </c>
      <c r="L191" s="144" t="n">
        <v>0</v>
      </c>
      <c r="M191" s="142" t="n">
        <f aca="false">VLOOKUP($A191,Table,MATCH(M$4,Curves,0))</f>
        <v>0.015</v>
      </c>
      <c r="N191" s="143" t="n">
        <f aca="false">M191</f>
        <v>0.015</v>
      </c>
      <c r="O191" s="144" t="n">
        <v>0</v>
      </c>
      <c r="P191" s="145"/>
      <c r="Q191" s="144" t="n">
        <f aca="false">M191+J191+G191</f>
        <v>4.013</v>
      </c>
      <c r="R191" s="144" t="n">
        <f aca="false">O191+L191+I191</f>
        <v>3.7904</v>
      </c>
      <c r="S191" s="145"/>
      <c r="T191" s="71" t="n">
        <f aca="false">A192-A191</f>
        <v>31</v>
      </c>
      <c r="U191" s="146" t="n">
        <f aca="false">CHOOSE(F$3,A192+24,A191)</f>
        <v>42546</v>
      </c>
      <c r="V191" s="71" t="n">
        <f aca="false">U191-C$3</f>
        <v>5658</v>
      </c>
      <c r="W191" s="142" t="n">
        <f aca="false">VLOOKUP($A191,Table,MATCH(W$4,Curves,0))</f>
        <v>0.058966861357273</v>
      </c>
      <c r="X191" s="147" t="n">
        <f aca="false">1/(1+CHOOSE(F$3,(W192+($K$3/10000))/2,(W191+($K$3/10000))/2))^(2*V191/365.25)</f>
        <v>0.406474229923581</v>
      </c>
      <c r="Y191" s="71" t="n">
        <f aca="false">IF(AND(mthbeg&lt;=A191,mthend&gt;=A191),1,0)</f>
        <v>0</v>
      </c>
      <c r="Z191" s="71" t="n">
        <f aca="false">T191*Y191</f>
        <v>0</v>
      </c>
      <c r="AB191" s="132" t="n">
        <f aca="false">F191*G191</f>
        <v>0</v>
      </c>
      <c r="AC191" s="132" t="n">
        <f aca="false">$F191*H191</f>
        <v>0</v>
      </c>
      <c r="AD191" s="132" t="n">
        <f aca="false">$F191*I191</f>
        <v>0</v>
      </c>
      <c r="AE191" s="132" t="n">
        <f aca="false">$F191*J191</f>
        <v>0</v>
      </c>
      <c r="AF191" s="132" t="n">
        <f aca="false">$F191*K191</f>
        <v>0</v>
      </c>
      <c r="AG191" s="132" t="n">
        <f aca="false">$F191*L191</f>
        <v>0</v>
      </c>
      <c r="AH191" s="132" t="n">
        <f aca="false">$F191*M191</f>
        <v>0</v>
      </c>
      <c r="AI191" s="132" t="n">
        <f aca="false">$F191*N191</f>
        <v>0</v>
      </c>
      <c r="AJ191" s="132" t="n">
        <f aca="false">F191*O191</f>
        <v>0</v>
      </c>
      <c r="AK191" s="137"/>
      <c r="AL191" s="132" t="n">
        <f aca="false">CHOOSE($G$3,AC191-AD191,AD191-AC191)</f>
        <v>0</v>
      </c>
      <c r="AM191" s="132" t="n">
        <f aca="false">CHOOSE($G$3,AF191-AG191,AG191-AF191)</f>
        <v>0</v>
      </c>
      <c r="AN191" s="132" t="n">
        <f aca="false">CHOOSE($G$3,AI191-AJ191,AJ191-AI191)</f>
        <v>0</v>
      </c>
      <c r="AO191" s="148" t="n">
        <f aca="false">SUM(AL191:AN191)</f>
        <v>0</v>
      </c>
      <c r="AQ191" s="132" t="n">
        <f aca="false">CHOOSE($G$3,AB191-AC191,AC191-AB191)</f>
        <v>0</v>
      </c>
      <c r="AR191" s="132" t="n">
        <f aca="false">CHOOSE($G$3,AE191-AF191,AF191-AE191)</f>
        <v>0</v>
      </c>
      <c r="AS191" s="132" t="n">
        <f aca="false">CHOOSE($G$3,AH191-AI191,AI191-AH191)</f>
        <v>0</v>
      </c>
      <c r="AT191" s="148" t="n">
        <f aca="false">AQ191+AR191+AS191</f>
        <v>0</v>
      </c>
      <c r="AU191" s="148"/>
      <c r="AV191" s="133" t="n">
        <f aca="false">AT191+AO191</f>
        <v>0</v>
      </c>
      <c r="AX191" s="133" t="n">
        <f aca="false">AJ191+AG191+AD191</f>
        <v>0</v>
      </c>
      <c r="AY191" s="149"/>
      <c r="AZ191" s="76" t="n">
        <f aca="false">R191*E191</f>
        <v>0</v>
      </c>
    </row>
    <row r="192" customFormat="false" ht="12" hidden="false" customHeight="true" outlineLevel="0" collapsed="false">
      <c r="A192" s="138" t="n">
        <f aca="false">EDATE(A191,1)</f>
        <v>42522</v>
      </c>
      <c r="B192" s="139" t="n">
        <f aca="false">VLOOKUP($A192,Table2,MATCH(I$3,Curves2,0))</f>
        <v>60900</v>
      </c>
      <c r="C192" s="140"/>
      <c r="D192" s="141" t="n">
        <f aca="false">B192+C192</f>
        <v>60900</v>
      </c>
      <c r="E192" s="126" t="n">
        <f aca="false">IF(Y192=0,0,IF(AND(Y192=1,$H$3=1),D192*T192,IF($H$3=2,D192,"N/A")))</f>
        <v>0</v>
      </c>
      <c r="F192" s="126" t="n">
        <f aca="false">E192*X192</f>
        <v>0</v>
      </c>
      <c r="G192" s="142" t="n">
        <f aca="false">VLOOKUP($A192,Table,MATCH(G$4,Curves,0))</f>
        <v>3.987</v>
      </c>
      <c r="H192" s="143" t="n">
        <f aca="false">G192</f>
        <v>3.987</v>
      </c>
      <c r="I192" s="142" t="n">
        <f aca="false">VLOOKUP($A192,Table1,MATCH(I$3,Curves1,0))</f>
        <v>3.7904</v>
      </c>
      <c r="J192" s="142" t="n">
        <f aca="false">VLOOKUP($A192,Table,MATCH(J$4,Curves,0))</f>
        <v>0.011</v>
      </c>
      <c r="K192" s="143" t="n">
        <f aca="false">J192</f>
        <v>0.011</v>
      </c>
      <c r="L192" s="144" t="n">
        <v>0</v>
      </c>
      <c r="M192" s="142" t="n">
        <f aca="false">VLOOKUP($A192,Table,MATCH(M$4,Curves,0))</f>
        <v>0.015</v>
      </c>
      <c r="N192" s="143" t="n">
        <f aca="false">M192</f>
        <v>0.015</v>
      </c>
      <c r="O192" s="144" t="n">
        <v>0</v>
      </c>
      <c r="P192" s="145"/>
      <c r="Q192" s="144" t="n">
        <f aca="false">M192+J192+G192</f>
        <v>4.013</v>
      </c>
      <c r="R192" s="144" t="n">
        <f aca="false">O192+L192+I192</f>
        <v>3.7904</v>
      </c>
      <c r="S192" s="145"/>
      <c r="T192" s="71" t="n">
        <f aca="false">A193-A192</f>
        <v>30</v>
      </c>
      <c r="U192" s="146" t="n">
        <f aca="false">CHOOSE(F$3,A193+24,A192)</f>
        <v>42576</v>
      </c>
      <c r="V192" s="71" t="n">
        <f aca="false">U192-C$3</f>
        <v>5688</v>
      </c>
      <c r="W192" s="142" t="n">
        <f aca="false">VLOOKUP($A192,Table,MATCH(W$4,Curves,0))</f>
        <v>0.058966861357273</v>
      </c>
      <c r="X192" s="147" t="n">
        <f aca="false">1/(1+CHOOSE(F$3,(W193+($K$3/10000))/2,(W192+($K$3/10000))/2))^(2*V192/365.25)</f>
        <v>0.404538650419448</v>
      </c>
      <c r="Y192" s="71" t="n">
        <f aca="false">IF(AND(mthbeg&lt;=A192,mthend&gt;=A192),1,0)</f>
        <v>0</v>
      </c>
      <c r="Z192" s="71" t="n">
        <f aca="false">T192*Y192</f>
        <v>0</v>
      </c>
      <c r="AB192" s="132" t="n">
        <f aca="false">F192*G192</f>
        <v>0</v>
      </c>
      <c r="AC192" s="132" t="n">
        <f aca="false">$F192*H192</f>
        <v>0</v>
      </c>
      <c r="AD192" s="132" t="n">
        <f aca="false">$F192*I192</f>
        <v>0</v>
      </c>
      <c r="AE192" s="132" t="n">
        <f aca="false">$F192*J192</f>
        <v>0</v>
      </c>
      <c r="AF192" s="132" t="n">
        <f aca="false">$F192*K192</f>
        <v>0</v>
      </c>
      <c r="AG192" s="132" t="n">
        <f aca="false">$F192*L192</f>
        <v>0</v>
      </c>
      <c r="AH192" s="132" t="n">
        <f aca="false">$F192*M192</f>
        <v>0</v>
      </c>
      <c r="AI192" s="132" t="n">
        <f aca="false">$F192*N192</f>
        <v>0</v>
      </c>
      <c r="AJ192" s="132" t="n">
        <f aca="false">F192*O192</f>
        <v>0</v>
      </c>
      <c r="AK192" s="137"/>
      <c r="AL192" s="132" t="n">
        <f aca="false">CHOOSE($G$3,AC192-AD192,AD192-AC192)</f>
        <v>0</v>
      </c>
      <c r="AM192" s="132" t="n">
        <f aca="false">CHOOSE($G$3,AF192-AG192,AG192-AF192)</f>
        <v>0</v>
      </c>
      <c r="AN192" s="132" t="n">
        <f aca="false">CHOOSE($G$3,AI192-AJ192,AJ192-AI192)</f>
        <v>0</v>
      </c>
      <c r="AO192" s="148" t="n">
        <f aca="false">SUM(AL192:AN192)</f>
        <v>0</v>
      </c>
      <c r="AQ192" s="132" t="n">
        <f aca="false">CHOOSE($G$3,AB192-AC192,AC192-AB192)</f>
        <v>0</v>
      </c>
      <c r="AR192" s="132" t="n">
        <f aca="false">CHOOSE($G$3,AE192-AF192,AF192-AE192)</f>
        <v>0</v>
      </c>
      <c r="AS192" s="132" t="n">
        <f aca="false">CHOOSE($G$3,AH192-AI192,AI192-AH192)</f>
        <v>0</v>
      </c>
      <c r="AT192" s="148" t="n">
        <f aca="false">AQ192+AR192+AS192</f>
        <v>0</v>
      </c>
      <c r="AU192" s="148"/>
      <c r="AV192" s="133" t="n">
        <f aca="false">AT192+AO192</f>
        <v>0</v>
      </c>
      <c r="AX192" s="133" t="n">
        <f aca="false">AJ192+AG192+AD192</f>
        <v>0</v>
      </c>
      <c r="AY192" s="149"/>
      <c r="AZ192" s="76" t="n">
        <f aca="false">R192*E192</f>
        <v>0</v>
      </c>
    </row>
    <row r="193" customFormat="false" ht="12" hidden="false" customHeight="true" outlineLevel="0" collapsed="false">
      <c r="A193" s="138" t="n">
        <f aca="false">EDATE(A192,1)</f>
        <v>42552</v>
      </c>
      <c r="B193" s="139" t="n">
        <f aca="false">VLOOKUP($A193,Table2,MATCH(I$3,Curves2,0))</f>
        <v>60900</v>
      </c>
      <c r="C193" s="140"/>
      <c r="D193" s="141" t="n">
        <f aca="false">B193+C193</f>
        <v>60900</v>
      </c>
      <c r="E193" s="126" t="n">
        <f aca="false">IF(Y193=0,0,IF(AND(Y193=1,$H$3=1),D193*T193,IF($H$3=2,D193,"N/A")))</f>
        <v>0</v>
      </c>
      <c r="F193" s="126" t="n">
        <f aca="false">E193*X193</f>
        <v>0</v>
      </c>
      <c r="G193" s="142" t="n">
        <f aca="false">VLOOKUP($A193,Table,MATCH(G$4,Curves,0))</f>
        <v>3.987</v>
      </c>
      <c r="H193" s="143" t="n">
        <f aca="false">G193</f>
        <v>3.987</v>
      </c>
      <c r="I193" s="142" t="n">
        <f aca="false">VLOOKUP($A193,Table1,MATCH(I$3,Curves1,0))</f>
        <v>3.7904</v>
      </c>
      <c r="J193" s="142" t="n">
        <f aca="false">VLOOKUP($A193,Table,MATCH(J$4,Curves,0))</f>
        <v>0.011</v>
      </c>
      <c r="K193" s="143" t="n">
        <f aca="false">J193</f>
        <v>0.011</v>
      </c>
      <c r="L193" s="144" t="n">
        <v>0</v>
      </c>
      <c r="M193" s="142" t="n">
        <f aca="false">VLOOKUP($A193,Table,MATCH(M$4,Curves,0))</f>
        <v>0.015</v>
      </c>
      <c r="N193" s="143" t="n">
        <f aca="false">M193</f>
        <v>0.015</v>
      </c>
      <c r="O193" s="144" t="n">
        <v>0</v>
      </c>
      <c r="P193" s="145"/>
      <c r="Q193" s="144" t="n">
        <f aca="false">M193+J193+G193</f>
        <v>4.013</v>
      </c>
      <c r="R193" s="144" t="n">
        <f aca="false">O193+L193+I193</f>
        <v>3.7904</v>
      </c>
      <c r="S193" s="145"/>
      <c r="T193" s="71" t="n">
        <f aca="false">A194-A193</f>
        <v>31</v>
      </c>
      <c r="U193" s="146" t="n">
        <f aca="false">CHOOSE(F$3,A194+24,A193)</f>
        <v>42607</v>
      </c>
      <c r="V193" s="71" t="n">
        <f aca="false">U193-C$3</f>
        <v>5719</v>
      </c>
      <c r="W193" s="142" t="n">
        <f aca="false">VLOOKUP($A193,Table,MATCH(W$4,Curves,0))</f>
        <v>0.058966861357273</v>
      </c>
      <c r="X193" s="147" t="n">
        <f aca="false">1/(1+CHOOSE(F$3,(W194+($K$3/10000))/2,(W193+($K$3/10000))/2))^(2*V193/365.25)</f>
        <v>0.402548234043333</v>
      </c>
      <c r="Y193" s="71" t="n">
        <f aca="false">IF(AND(mthbeg&lt;=A193,mthend&gt;=A193),1,0)</f>
        <v>0</v>
      </c>
      <c r="Z193" s="71" t="n">
        <f aca="false">T193*Y193</f>
        <v>0</v>
      </c>
      <c r="AB193" s="132" t="n">
        <f aca="false">F193*G193</f>
        <v>0</v>
      </c>
      <c r="AC193" s="132" t="n">
        <f aca="false">$F193*H193</f>
        <v>0</v>
      </c>
      <c r="AD193" s="132" t="n">
        <f aca="false">$F193*I193</f>
        <v>0</v>
      </c>
      <c r="AE193" s="132" t="n">
        <f aca="false">$F193*J193</f>
        <v>0</v>
      </c>
      <c r="AF193" s="132" t="n">
        <f aca="false">$F193*K193</f>
        <v>0</v>
      </c>
      <c r="AG193" s="132" t="n">
        <f aca="false">$F193*L193</f>
        <v>0</v>
      </c>
      <c r="AH193" s="132" t="n">
        <f aca="false">$F193*M193</f>
        <v>0</v>
      </c>
      <c r="AI193" s="132" t="n">
        <f aca="false">$F193*N193</f>
        <v>0</v>
      </c>
      <c r="AJ193" s="132" t="n">
        <f aca="false">F193*O193</f>
        <v>0</v>
      </c>
      <c r="AK193" s="137"/>
      <c r="AL193" s="132" t="n">
        <f aca="false">CHOOSE($G$3,AC193-AD193,AD193-AC193)</f>
        <v>0</v>
      </c>
      <c r="AM193" s="132" t="n">
        <f aca="false">CHOOSE($G$3,AF193-AG193,AG193-AF193)</f>
        <v>0</v>
      </c>
      <c r="AN193" s="132" t="n">
        <f aca="false">CHOOSE($G$3,AI193-AJ193,AJ193-AI193)</f>
        <v>0</v>
      </c>
      <c r="AO193" s="148" t="n">
        <f aca="false">SUM(AL193:AN193)</f>
        <v>0</v>
      </c>
      <c r="AQ193" s="132" t="n">
        <f aca="false">CHOOSE($G$3,AB193-AC193,AC193-AB193)</f>
        <v>0</v>
      </c>
      <c r="AR193" s="132" t="n">
        <f aca="false">CHOOSE($G$3,AE193-AF193,AF193-AE193)</f>
        <v>0</v>
      </c>
      <c r="AS193" s="132" t="n">
        <f aca="false">CHOOSE($G$3,AH193-AI193,AI193-AH193)</f>
        <v>0</v>
      </c>
      <c r="AT193" s="148" t="n">
        <f aca="false">AQ193+AR193+AS193</f>
        <v>0</v>
      </c>
      <c r="AU193" s="148"/>
      <c r="AV193" s="133" t="n">
        <f aca="false">AT193+AO193</f>
        <v>0</v>
      </c>
      <c r="AX193" s="133" t="n">
        <f aca="false">AJ193+AG193+AD193</f>
        <v>0</v>
      </c>
      <c r="AY193" s="149"/>
      <c r="AZ193" s="76" t="n">
        <f aca="false">R193*E193</f>
        <v>0</v>
      </c>
    </row>
    <row r="194" customFormat="false" ht="12" hidden="false" customHeight="true" outlineLevel="0" collapsed="false">
      <c r="A194" s="138" t="n">
        <f aca="false">EDATE(A193,1)</f>
        <v>42583</v>
      </c>
      <c r="B194" s="139" t="n">
        <f aca="false">VLOOKUP($A194,Table2,MATCH(I$3,Curves2,0))</f>
        <v>60900</v>
      </c>
      <c r="C194" s="140"/>
      <c r="D194" s="141" t="n">
        <f aca="false">B194+C194</f>
        <v>60900</v>
      </c>
      <c r="E194" s="126" t="n">
        <f aca="false">IF(Y194=0,0,IF(AND(Y194=1,$H$3=1),D194*T194,IF($H$3=2,D194,"N/A")))</f>
        <v>0</v>
      </c>
      <c r="F194" s="126" t="n">
        <f aca="false">E194*X194</f>
        <v>0</v>
      </c>
      <c r="G194" s="142" t="n">
        <f aca="false">VLOOKUP($A194,Table,MATCH(G$4,Curves,0))</f>
        <v>3.987</v>
      </c>
      <c r="H194" s="143" t="n">
        <f aca="false">G194</f>
        <v>3.987</v>
      </c>
      <c r="I194" s="142" t="n">
        <f aca="false">VLOOKUP($A194,Table1,MATCH(I$3,Curves1,0))</f>
        <v>3.7904</v>
      </c>
      <c r="J194" s="142" t="n">
        <f aca="false">VLOOKUP($A194,Table,MATCH(J$4,Curves,0))</f>
        <v>0.011</v>
      </c>
      <c r="K194" s="143" t="n">
        <f aca="false">J194</f>
        <v>0.011</v>
      </c>
      <c r="L194" s="144" t="n">
        <v>0</v>
      </c>
      <c r="M194" s="142" t="n">
        <f aca="false">VLOOKUP($A194,Table,MATCH(M$4,Curves,0))</f>
        <v>0.015</v>
      </c>
      <c r="N194" s="143" t="n">
        <f aca="false">M194</f>
        <v>0.015</v>
      </c>
      <c r="O194" s="144" t="n">
        <v>0</v>
      </c>
      <c r="P194" s="145"/>
      <c r="Q194" s="144" t="n">
        <f aca="false">M194+J194+G194</f>
        <v>4.013</v>
      </c>
      <c r="R194" s="144" t="n">
        <f aca="false">O194+L194+I194</f>
        <v>3.7904</v>
      </c>
      <c r="S194" s="145"/>
      <c r="T194" s="71" t="n">
        <f aca="false">A195-A194</f>
        <v>31</v>
      </c>
      <c r="U194" s="146" t="n">
        <f aca="false">CHOOSE(F$3,A195+24,A194)</f>
        <v>42638</v>
      </c>
      <c r="V194" s="71" t="n">
        <f aca="false">U194-C$3</f>
        <v>5750</v>
      </c>
      <c r="W194" s="142" t="n">
        <f aca="false">VLOOKUP($A194,Table,MATCH(W$4,Curves,0))</f>
        <v>0.058966861357273</v>
      </c>
      <c r="X194" s="147" t="n">
        <f aca="false">1/(1+CHOOSE(F$3,(W195+($K$3/10000))/2,(W194+($K$3/10000))/2))^(2*V194/365.25)</f>
        <v>0.400567610939989</v>
      </c>
      <c r="Y194" s="71" t="n">
        <f aca="false">IF(AND(mthbeg&lt;=A194,mthend&gt;=A194),1,0)</f>
        <v>0</v>
      </c>
      <c r="Z194" s="71" t="n">
        <f aca="false">T194*Y194</f>
        <v>0</v>
      </c>
      <c r="AB194" s="132" t="n">
        <f aca="false">F194*G194</f>
        <v>0</v>
      </c>
      <c r="AC194" s="132" t="n">
        <f aca="false">$F194*H194</f>
        <v>0</v>
      </c>
      <c r="AD194" s="132" t="n">
        <f aca="false">$F194*I194</f>
        <v>0</v>
      </c>
      <c r="AE194" s="132" t="n">
        <f aca="false">$F194*J194</f>
        <v>0</v>
      </c>
      <c r="AF194" s="132" t="n">
        <f aca="false">$F194*K194</f>
        <v>0</v>
      </c>
      <c r="AG194" s="132" t="n">
        <f aca="false">$F194*L194</f>
        <v>0</v>
      </c>
      <c r="AH194" s="132" t="n">
        <f aca="false">$F194*M194</f>
        <v>0</v>
      </c>
      <c r="AI194" s="132" t="n">
        <f aca="false">$F194*N194</f>
        <v>0</v>
      </c>
      <c r="AJ194" s="132" t="n">
        <f aca="false">F194*O194</f>
        <v>0</v>
      </c>
      <c r="AK194" s="137"/>
      <c r="AL194" s="132" t="n">
        <f aca="false">CHOOSE($G$3,AC194-AD194,AD194-AC194)</f>
        <v>0</v>
      </c>
      <c r="AM194" s="132" t="n">
        <f aca="false">CHOOSE($G$3,AF194-AG194,AG194-AF194)</f>
        <v>0</v>
      </c>
      <c r="AN194" s="132" t="n">
        <f aca="false">CHOOSE($G$3,AI194-AJ194,AJ194-AI194)</f>
        <v>0</v>
      </c>
      <c r="AO194" s="148" t="n">
        <f aca="false">SUM(AL194:AN194)</f>
        <v>0</v>
      </c>
      <c r="AQ194" s="132" t="n">
        <f aca="false">CHOOSE($G$3,AB194-AC194,AC194-AB194)</f>
        <v>0</v>
      </c>
      <c r="AR194" s="132" t="n">
        <f aca="false">CHOOSE($G$3,AE194-AF194,AF194-AE194)</f>
        <v>0</v>
      </c>
      <c r="AS194" s="132" t="n">
        <f aca="false">CHOOSE($G$3,AH194-AI194,AI194-AH194)</f>
        <v>0</v>
      </c>
      <c r="AT194" s="148" t="n">
        <f aca="false">AQ194+AR194+AS194</f>
        <v>0</v>
      </c>
      <c r="AU194" s="148"/>
      <c r="AV194" s="133" t="n">
        <f aca="false">AT194+AO194</f>
        <v>0</v>
      </c>
      <c r="AX194" s="133" t="n">
        <f aca="false">AJ194+AG194+AD194</f>
        <v>0</v>
      </c>
      <c r="AY194" s="149"/>
      <c r="AZ194" s="76" t="n">
        <f aca="false">R194*E194</f>
        <v>0</v>
      </c>
    </row>
    <row r="195" customFormat="false" ht="12" hidden="false" customHeight="true" outlineLevel="0" collapsed="false">
      <c r="A195" s="138" t="n">
        <f aca="false">EDATE(A194,1)</f>
        <v>42614</v>
      </c>
      <c r="B195" s="139" t="n">
        <f aca="false">VLOOKUP($A195,Table2,MATCH(I$3,Curves2,0))</f>
        <v>60900</v>
      </c>
      <c r="C195" s="140"/>
      <c r="D195" s="141" t="n">
        <f aca="false">B195+C195</f>
        <v>60900</v>
      </c>
      <c r="E195" s="126" t="n">
        <f aca="false">IF(Y195=0,0,IF(AND(Y195=1,$H$3=1),D195*T195,IF($H$3=2,D195,"N/A")))</f>
        <v>0</v>
      </c>
      <c r="F195" s="126" t="n">
        <f aca="false">E195*X195</f>
        <v>0</v>
      </c>
      <c r="G195" s="142" t="n">
        <f aca="false">VLOOKUP($A195,Table,MATCH(G$4,Curves,0))</f>
        <v>3.987</v>
      </c>
      <c r="H195" s="143" t="n">
        <f aca="false">G195</f>
        <v>3.987</v>
      </c>
      <c r="I195" s="142" t="n">
        <f aca="false">VLOOKUP($A195,Table1,MATCH(I$3,Curves1,0))</f>
        <v>3.7904</v>
      </c>
      <c r="J195" s="142" t="n">
        <f aca="false">VLOOKUP($A195,Table,MATCH(J$4,Curves,0))</f>
        <v>0.011</v>
      </c>
      <c r="K195" s="143" t="n">
        <f aca="false">J195</f>
        <v>0.011</v>
      </c>
      <c r="L195" s="144" t="n">
        <v>0</v>
      </c>
      <c r="M195" s="142" t="n">
        <f aca="false">VLOOKUP($A195,Table,MATCH(M$4,Curves,0))</f>
        <v>0.015</v>
      </c>
      <c r="N195" s="143" t="n">
        <f aca="false">M195</f>
        <v>0.015</v>
      </c>
      <c r="O195" s="144" t="n">
        <v>0</v>
      </c>
      <c r="P195" s="145"/>
      <c r="Q195" s="144" t="n">
        <f aca="false">M195+J195+G195</f>
        <v>4.013</v>
      </c>
      <c r="R195" s="144" t="n">
        <f aca="false">O195+L195+I195</f>
        <v>3.7904</v>
      </c>
      <c r="S195" s="145"/>
      <c r="T195" s="71" t="n">
        <f aca="false">A196-A195</f>
        <v>30</v>
      </c>
      <c r="U195" s="146" t="n">
        <f aca="false">CHOOSE(F$3,A196+24,A195)</f>
        <v>42668</v>
      </c>
      <c r="V195" s="71" t="n">
        <f aca="false">U195-C$3</f>
        <v>5780</v>
      </c>
      <c r="W195" s="142" t="n">
        <f aca="false">VLOOKUP($A195,Table,MATCH(W$4,Curves,0))</f>
        <v>0.058966861357273</v>
      </c>
      <c r="X195" s="147" t="n">
        <f aca="false">1/(1+CHOOSE(F$3,(W196+($K$3/10000))/2,(W195+($K$3/10000))/2))^(2*V195/365.25)</f>
        <v>0.398660158017572</v>
      </c>
      <c r="Y195" s="71" t="n">
        <f aca="false">IF(AND(mthbeg&lt;=A195,mthend&gt;=A195),1,0)</f>
        <v>0</v>
      </c>
      <c r="Z195" s="71" t="n">
        <f aca="false">T195*Y195</f>
        <v>0</v>
      </c>
      <c r="AB195" s="132" t="n">
        <f aca="false">F195*G195</f>
        <v>0</v>
      </c>
      <c r="AC195" s="132" t="n">
        <f aca="false">$F195*H195</f>
        <v>0</v>
      </c>
      <c r="AD195" s="132" t="n">
        <f aca="false">$F195*I195</f>
        <v>0</v>
      </c>
      <c r="AE195" s="132" t="n">
        <f aca="false">$F195*J195</f>
        <v>0</v>
      </c>
      <c r="AF195" s="132" t="n">
        <f aca="false">$F195*K195</f>
        <v>0</v>
      </c>
      <c r="AG195" s="132" t="n">
        <f aca="false">$F195*L195</f>
        <v>0</v>
      </c>
      <c r="AH195" s="132" t="n">
        <f aca="false">$F195*M195</f>
        <v>0</v>
      </c>
      <c r="AI195" s="132" t="n">
        <f aca="false">$F195*N195</f>
        <v>0</v>
      </c>
      <c r="AJ195" s="132" t="n">
        <f aca="false">F195*O195</f>
        <v>0</v>
      </c>
      <c r="AK195" s="137"/>
      <c r="AL195" s="132" t="n">
        <f aca="false">CHOOSE($G$3,AC195-AD195,AD195-AC195)</f>
        <v>0</v>
      </c>
      <c r="AM195" s="132" t="n">
        <f aca="false">CHOOSE($G$3,AF195-AG195,AG195-AF195)</f>
        <v>0</v>
      </c>
      <c r="AN195" s="132" t="n">
        <f aca="false">CHOOSE($G$3,AI195-AJ195,AJ195-AI195)</f>
        <v>0</v>
      </c>
      <c r="AO195" s="148" t="n">
        <f aca="false">SUM(AL195:AN195)</f>
        <v>0</v>
      </c>
      <c r="AQ195" s="132" t="n">
        <f aca="false">CHOOSE($G$3,AB195-AC195,AC195-AB195)</f>
        <v>0</v>
      </c>
      <c r="AR195" s="132" t="n">
        <f aca="false">CHOOSE($G$3,AE195-AF195,AF195-AE195)</f>
        <v>0</v>
      </c>
      <c r="AS195" s="132" t="n">
        <f aca="false">CHOOSE($G$3,AH195-AI195,AI195-AH195)</f>
        <v>0</v>
      </c>
      <c r="AT195" s="148" t="n">
        <f aca="false">AQ195+AR195+AS195</f>
        <v>0</v>
      </c>
      <c r="AU195" s="148"/>
      <c r="AV195" s="133" t="n">
        <f aca="false">AT195+AO195</f>
        <v>0</v>
      </c>
      <c r="AX195" s="133" t="n">
        <f aca="false">AJ195+AG195+AD195</f>
        <v>0</v>
      </c>
      <c r="AY195" s="149"/>
      <c r="AZ195" s="76" t="n">
        <f aca="false">R195*E195</f>
        <v>0</v>
      </c>
    </row>
    <row r="196" customFormat="false" ht="12" hidden="false" customHeight="true" outlineLevel="0" collapsed="false">
      <c r="A196" s="138" t="n">
        <f aca="false">EDATE(A195,1)</f>
        <v>42644</v>
      </c>
      <c r="B196" s="139" t="n">
        <f aca="false">VLOOKUP($A196,Table2,MATCH(I$3,Curves2,0))</f>
        <v>60900</v>
      </c>
      <c r="C196" s="140"/>
      <c r="D196" s="141" t="n">
        <f aca="false">B196+C196</f>
        <v>60900</v>
      </c>
      <c r="E196" s="126" t="n">
        <f aca="false">IF(Y196=0,0,IF(AND(Y196=1,$H$3=1),D196*T196,IF($H$3=2,D196,"N/A")))</f>
        <v>0</v>
      </c>
      <c r="F196" s="126" t="n">
        <f aca="false">E196*X196</f>
        <v>0</v>
      </c>
      <c r="G196" s="142" t="n">
        <f aca="false">VLOOKUP($A196,Table,MATCH(G$4,Curves,0))</f>
        <v>3.987</v>
      </c>
      <c r="H196" s="143" t="n">
        <f aca="false">G196</f>
        <v>3.987</v>
      </c>
      <c r="I196" s="142" t="n">
        <f aca="false">VLOOKUP($A196,Table1,MATCH(I$3,Curves1,0))</f>
        <v>3.7904</v>
      </c>
      <c r="J196" s="142" t="n">
        <f aca="false">VLOOKUP($A196,Table,MATCH(J$4,Curves,0))</f>
        <v>0.011</v>
      </c>
      <c r="K196" s="143" t="n">
        <f aca="false">J196</f>
        <v>0.011</v>
      </c>
      <c r="L196" s="144" t="n">
        <v>0</v>
      </c>
      <c r="M196" s="142" t="n">
        <f aca="false">VLOOKUP($A196,Table,MATCH(M$4,Curves,0))</f>
        <v>0.015</v>
      </c>
      <c r="N196" s="143" t="n">
        <f aca="false">M196</f>
        <v>0.015</v>
      </c>
      <c r="O196" s="144" t="n">
        <v>0</v>
      </c>
      <c r="P196" s="145"/>
      <c r="Q196" s="144" t="n">
        <f aca="false">M196+J196+G196</f>
        <v>4.013</v>
      </c>
      <c r="R196" s="144" t="n">
        <f aca="false">O196+L196+I196</f>
        <v>3.7904</v>
      </c>
      <c r="S196" s="145"/>
      <c r="T196" s="71" t="n">
        <f aca="false">A197-A196</f>
        <v>31</v>
      </c>
      <c r="U196" s="146" t="n">
        <f aca="false">CHOOSE(F$3,A197+24,A196)</f>
        <v>42699</v>
      </c>
      <c r="V196" s="71" t="n">
        <f aca="false">U196-C$3</f>
        <v>5811</v>
      </c>
      <c r="W196" s="142" t="n">
        <f aca="false">VLOOKUP($A196,Table,MATCH(W$4,Curves,0))</f>
        <v>0.058966861357273</v>
      </c>
      <c r="X196" s="147" t="n">
        <f aca="false">1/(1+CHOOSE(F$3,(W197+($K$3/10000))/2,(W196+($K$3/10000))/2))^(2*V196/365.25)</f>
        <v>0.39669866507691</v>
      </c>
      <c r="Y196" s="71" t="n">
        <f aca="false">IF(AND(mthbeg&lt;=A196,mthend&gt;=A196),1,0)</f>
        <v>0</v>
      </c>
      <c r="Z196" s="71" t="n">
        <f aca="false">T196*Y196</f>
        <v>0</v>
      </c>
      <c r="AB196" s="132" t="n">
        <f aca="false">F196*G196</f>
        <v>0</v>
      </c>
      <c r="AC196" s="132" t="n">
        <f aca="false">$F196*H196</f>
        <v>0</v>
      </c>
      <c r="AD196" s="132" t="n">
        <f aca="false">$F196*I196</f>
        <v>0</v>
      </c>
      <c r="AE196" s="132" t="n">
        <f aca="false">$F196*J196</f>
        <v>0</v>
      </c>
      <c r="AF196" s="132" t="n">
        <f aca="false">$F196*K196</f>
        <v>0</v>
      </c>
      <c r="AG196" s="132" t="n">
        <f aca="false">$F196*L196</f>
        <v>0</v>
      </c>
      <c r="AH196" s="132" t="n">
        <f aca="false">$F196*M196</f>
        <v>0</v>
      </c>
      <c r="AI196" s="132" t="n">
        <f aca="false">$F196*N196</f>
        <v>0</v>
      </c>
      <c r="AJ196" s="132" t="n">
        <f aca="false">F196*O196</f>
        <v>0</v>
      </c>
      <c r="AK196" s="137"/>
      <c r="AL196" s="132" t="n">
        <f aca="false">CHOOSE($G$3,AC196-AD196,AD196-AC196)</f>
        <v>0</v>
      </c>
      <c r="AM196" s="132" t="n">
        <f aca="false">CHOOSE($G$3,AF196-AG196,AG196-AF196)</f>
        <v>0</v>
      </c>
      <c r="AN196" s="132" t="n">
        <f aca="false">CHOOSE($G$3,AI196-AJ196,AJ196-AI196)</f>
        <v>0</v>
      </c>
      <c r="AO196" s="148" t="n">
        <f aca="false">SUM(AL196:AN196)</f>
        <v>0</v>
      </c>
      <c r="AQ196" s="132" t="n">
        <f aca="false">CHOOSE($G$3,AB196-AC196,AC196-AB196)</f>
        <v>0</v>
      </c>
      <c r="AR196" s="132" t="n">
        <f aca="false">CHOOSE($G$3,AE196-AF196,AF196-AE196)</f>
        <v>0</v>
      </c>
      <c r="AS196" s="132" t="n">
        <f aca="false">CHOOSE($G$3,AH196-AI196,AI196-AH196)</f>
        <v>0</v>
      </c>
      <c r="AT196" s="148" t="n">
        <f aca="false">AQ196+AR196+AS196</f>
        <v>0</v>
      </c>
      <c r="AU196" s="148"/>
      <c r="AV196" s="133" t="n">
        <f aca="false">AT196+AO196</f>
        <v>0</v>
      </c>
      <c r="AX196" s="133" t="n">
        <f aca="false">AJ196+AG196+AD196</f>
        <v>0</v>
      </c>
      <c r="AY196" s="149"/>
      <c r="AZ196" s="76" t="n">
        <f aca="false">R196*E196</f>
        <v>0</v>
      </c>
    </row>
    <row r="197" customFormat="false" ht="12" hidden="false" customHeight="true" outlineLevel="0" collapsed="false">
      <c r="A197" s="138" t="n">
        <f aca="false">EDATE(A196,1)</f>
        <v>42675</v>
      </c>
      <c r="B197" s="139" t="n">
        <f aca="false">VLOOKUP($A197,Table2,MATCH(I$3,Curves2,0))</f>
        <v>60900</v>
      </c>
      <c r="C197" s="140"/>
      <c r="D197" s="141" t="n">
        <f aca="false">B197+C197</f>
        <v>60900</v>
      </c>
      <c r="E197" s="126" t="n">
        <f aca="false">IF(Y197=0,0,IF(AND(Y197=1,$H$3=1),D197*T197,IF($H$3=2,D197,"N/A")))</f>
        <v>0</v>
      </c>
      <c r="F197" s="126" t="n">
        <f aca="false">E197*X197</f>
        <v>0</v>
      </c>
      <c r="G197" s="142" t="n">
        <f aca="false">VLOOKUP($A197,Table,MATCH(G$4,Curves,0))</f>
        <v>3.987</v>
      </c>
      <c r="H197" s="143" t="n">
        <f aca="false">G197</f>
        <v>3.987</v>
      </c>
      <c r="I197" s="142" t="n">
        <f aca="false">VLOOKUP($A197,Table1,MATCH(I$3,Curves1,0))</f>
        <v>3.7904</v>
      </c>
      <c r="J197" s="142" t="n">
        <f aca="false">VLOOKUP($A197,Table,MATCH(J$4,Curves,0))</f>
        <v>0.011</v>
      </c>
      <c r="K197" s="143" t="n">
        <f aca="false">J197</f>
        <v>0.011</v>
      </c>
      <c r="L197" s="144" t="n">
        <v>0</v>
      </c>
      <c r="M197" s="142" t="n">
        <f aca="false">VLOOKUP($A197,Table,MATCH(M$4,Curves,0))</f>
        <v>0.015</v>
      </c>
      <c r="N197" s="143" t="n">
        <f aca="false">M197</f>
        <v>0.015</v>
      </c>
      <c r="O197" s="144" t="n">
        <v>0</v>
      </c>
      <c r="P197" s="145"/>
      <c r="Q197" s="144" t="n">
        <f aca="false">M197+J197+G197</f>
        <v>4.013</v>
      </c>
      <c r="R197" s="144" t="n">
        <f aca="false">O197+L197+I197</f>
        <v>3.7904</v>
      </c>
      <c r="S197" s="145"/>
      <c r="T197" s="71" t="n">
        <f aca="false">A198-A197</f>
        <v>30</v>
      </c>
      <c r="U197" s="146" t="n">
        <f aca="false">CHOOSE(F$3,A198+24,A197)</f>
        <v>42729</v>
      </c>
      <c r="V197" s="71" t="n">
        <f aca="false">U197-C$3</f>
        <v>5841</v>
      </c>
      <c r="W197" s="142" t="n">
        <f aca="false">VLOOKUP($A197,Table,MATCH(W$4,Curves,0))</f>
        <v>0.058966861357273</v>
      </c>
      <c r="X197" s="147" t="n">
        <f aca="false">1/(1+CHOOSE(F$3,(W198+($K$3/10000))/2,(W197+($K$3/10000))/2))^(2*V197/365.25)</f>
        <v>0.394809635591365</v>
      </c>
      <c r="Y197" s="71" t="n">
        <f aca="false">IF(AND(mthbeg&lt;=A197,mthend&gt;=A197),1,0)</f>
        <v>0</v>
      </c>
      <c r="Z197" s="71" t="n">
        <f aca="false">T197*Y197</f>
        <v>0</v>
      </c>
      <c r="AB197" s="132" t="n">
        <f aca="false">F197*G197</f>
        <v>0</v>
      </c>
      <c r="AC197" s="132" t="n">
        <f aca="false">$F197*H197</f>
        <v>0</v>
      </c>
      <c r="AD197" s="132" t="n">
        <f aca="false">$F197*I197</f>
        <v>0</v>
      </c>
      <c r="AE197" s="132" t="n">
        <f aca="false">$F197*J197</f>
        <v>0</v>
      </c>
      <c r="AF197" s="132" t="n">
        <f aca="false">$F197*K197</f>
        <v>0</v>
      </c>
      <c r="AG197" s="132" t="n">
        <f aca="false">$F197*L197</f>
        <v>0</v>
      </c>
      <c r="AH197" s="132" t="n">
        <f aca="false">$F197*M197</f>
        <v>0</v>
      </c>
      <c r="AI197" s="132" t="n">
        <f aca="false">$F197*N197</f>
        <v>0</v>
      </c>
      <c r="AJ197" s="132" t="n">
        <f aca="false">F197*O197</f>
        <v>0</v>
      </c>
      <c r="AK197" s="137"/>
      <c r="AL197" s="132" t="n">
        <f aca="false">CHOOSE($G$3,AC197-AD197,AD197-AC197)</f>
        <v>0</v>
      </c>
      <c r="AM197" s="132" t="n">
        <f aca="false">CHOOSE($G$3,AF197-AG197,AG197-AF197)</f>
        <v>0</v>
      </c>
      <c r="AN197" s="132" t="n">
        <f aca="false">CHOOSE($G$3,AI197-AJ197,AJ197-AI197)</f>
        <v>0</v>
      </c>
      <c r="AO197" s="148" t="n">
        <f aca="false">SUM(AL197:AN197)</f>
        <v>0</v>
      </c>
      <c r="AQ197" s="132" t="n">
        <f aca="false">CHOOSE($G$3,AB197-AC197,AC197-AB197)</f>
        <v>0</v>
      </c>
      <c r="AR197" s="132" t="n">
        <f aca="false">CHOOSE($G$3,AE197-AF197,AF197-AE197)</f>
        <v>0</v>
      </c>
      <c r="AS197" s="132" t="n">
        <f aca="false">CHOOSE($G$3,AH197-AI197,AI197-AH197)</f>
        <v>0</v>
      </c>
      <c r="AT197" s="148" t="n">
        <f aca="false">AQ197+AR197+AS197</f>
        <v>0</v>
      </c>
      <c r="AU197" s="148"/>
      <c r="AV197" s="133" t="n">
        <f aca="false">AT197+AO197</f>
        <v>0</v>
      </c>
      <c r="AX197" s="133" t="n">
        <f aca="false">AJ197+AG197+AD197</f>
        <v>0</v>
      </c>
      <c r="AY197" s="149"/>
      <c r="AZ197" s="76" t="n">
        <f aca="false">R197*E197</f>
        <v>0</v>
      </c>
    </row>
    <row r="198" customFormat="false" ht="12" hidden="false" customHeight="true" outlineLevel="0" collapsed="false">
      <c r="A198" s="138" t="n">
        <f aca="false">EDATE(A197,1)</f>
        <v>42705</v>
      </c>
      <c r="B198" s="139" t="n">
        <f aca="false">VLOOKUP($A198,Table2,MATCH(I$3,Curves2,0))</f>
        <v>60900</v>
      </c>
      <c r="C198" s="140"/>
      <c r="D198" s="141" t="n">
        <f aca="false">B198+C198</f>
        <v>60900</v>
      </c>
      <c r="E198" s="126" t="n">
        <f aca="false">IF(Y198=0,0,IF(AND(Y198=1,$H$3=1),D198*T198,IF($H$3=2,D198,"N/A")))</f>
        <v>0</v>
      </c>
      <c r="F198" s="126" t="n">
        <f aca="false">E198*X198</f>
        <v>0</v>
      </c>
      <c r="G198" s="142" t="n">
        <f aca="false">VLOOKUP($A198,Table,MATCH(G$4,Curves,0))</f>
        <v>3.987</v>
      </c>
      <c r="H198" s="143" t="n">
        <f aca="false">G198</f>
        <v>3.987</v>
      </c>
      <c r="I198" s="142" t="n">
        <f aca="false">VLOOKUP($A198,Table1,MATCH(I$3,Curves1,0))</f>
        <v>3.7904</v>
      </c>
      <c r="J198" s="142" t="n">
        <f aca="false">VLOOKUP($A198,Table,MATCH(J$4,Curves,0))</f>
        <v>0.011</v>
      </c>
      <c r="K198" s="143" t="n">
        <f aca="false">J198</f>
        <v>0.011</v>
      </c>
      <c r="L198" s="144" t="n">
        <v>0</v>
      </c>
      <c r="M198" s="142" t="n">
        <f aca="false">VLOOKUP($A198,Table,MATCH(M$4,Curves,0))</f>
        <v>0.015</v>
      </c>
      <c r="N198" s="143" t="n">
        <f aca="false">M198</f>
        <v>0.015</v>
      </c>
      <c r="O198" s="144" t="n">
        <v>0</v>
      </c>
      <c r="P198" s="145"/>
      <c r="Q198" s="144" t="n">
        <f aca="false">M198+J198+G198</f>
        <v>4.013</v>
      </c>
      <c r="R198" s="144" t="n">
        <f aca="false">O198+L198+I198</f>
        <v>3.7904</v>
      </c>
      <c r="S198" s="145"/>
      <c r="T198" s="71" t="n">
        <f aca="false">A199-A198</f>
        <v>31</v>
      </c>
      <c r="U198" s="146" t="n">
        <f aca="false">CHOOSE(F$3,A199+24,A198)</f>
        <v>42760</v>
      </c>
      <c r="V198" s="71" t="n">
        <f aca="false">U198-C$3</f>
        <v>5872</v>
      </c>
      <c r="W198" s="142" t="n">
        <f aca="false">VLOOKUP($A198,Table,MATCH(W$4,Curves,0))</f>
        <v>0.058966861357273</v>
      </c>
      <c r="X198" s="147" t="n">
        <f aca="false">1/(1+CHOOSE(F$3,(W199+($K$3/10000))/2,(W198+($K$3/10000))/2))^(2*V198/365.25)</f>
        <v>0.39286708804167</v>
      </c>
      <c r="Y198" s="71" t="n">
        <f aca="false">IF(AND(mthbeg&lt;=A198,mthend&gt;=A198),1,0)</f>
        <v>0</v>
      </c>
      <c r="Z198" s="71" t="n">
        <f aca="false">T198*Y198</f>
        <v>0</v>
      </c>
      <c r="AB198" s="132" t="n">
        <f aca="false">F198*G198</f>
        <v>0</v>
      </c>
      <c r="AC198" s="132" t="n">
        <f aca="false">$F198*H198</f>
        <v>0</v>
      </c>
      <c r="AD198" s="132" t="n">
        <f aca="false">$F198*I198</f>
        <v>0</v>
      </c>
      <c r="AE198" s="132" t="n">
        <f aca="false">$F198*J198</f>
        <v>0</v>
      </c>
      <c r="AF198" s="132" t="n">
        <f aca="false">$F198*K198</f>
        <v>0</v>
      </c>
      <c r="AG198" s="132" t="n">
        <f aca="false">$F198*L198</f>
        <v>0</v>
      </c>
      <c r="AH198" s="132" t="n">
        <f aca="false">$F198*M198</f>
        <v>0</v>
      </c>
      <c r="AI198" s="132" t="n">
        <f aca="false">$F198*N198</f>
        <v>0</v>
      </c>
      <c r="AJ198" s="132" t="n">
        <f aca="false">F198*O198</f>
        <v>0</v>
      </c>
      <c r="AK198" s="137"/>
      <c r="AL198" s="132" t="n">
        <f aca="false">CHOOSE($G$3,AC198-AD198,AD198-AC198)</f>
        <v>0</v>
      </c>
      <c r="AM198" s="132" t="n">
        <f aca="false">CHOOSE($G$3,AF198-AG198,AG198-AF198)</f>
        <v>0</v>
      </c>
      <c r="AN198" s="132" t="n">
        <f aca="false">CHOOSE($G$3,AI198-AJ198,AJ198-AI198)</f>
        <v>0</v>
      </c>
      <c r="AO198" s="148" t="n">
        <f aca="false">SUM(AL198:AN198)</f>
        <v>0</v>
      </c>
      <c r="AQ198" s="132" t="n">
        <f aca="false">CHOOSE($G$3,AB198-AC198,AC198-AB198)</f>
        <v>0</v>
      </c>
      <c r="AR198" s="132" t="n">
        <f aca="false">CHOOSE($G$3,AE198-AF198,AF198-AE198)</f>
        <v>0</v>
      </c>
      <c r="AS198" s="132" t="n">
        <f aca="false">CHOOSE($G$3,AH198-AI198,AI198-AH198)</f>
        <v>0</v>
      </c>
      <c r="AT198" s="148" t="n">
        <f aca="false">AQ198+AR198+AS198</f>
        <v>0</v>
      </c>
      <c r="AU198" s="148"/>
      <c r="AV198" s="133" t="n">
        <f aca="false">AT198+AO198</f>
        <v>0</v>
      </c>
      <c r="AX198" s="133" t="n">
        <f aca="false">AJ198+AG198+AD198</f>
        <v>0</v>
      </c>
      <c r="AY198" s="149"/>
      <c r="AZ198" s="76" t="n">
        <f aca="false">R198*E198</f>
        <v>0</v>
      </c>
    </row>
    <row r="199" customFormat="false" ht="12" hidden="false" customHeight="true" outlineLevel="0" collapsed="false">
      <c r="A199" s="138" t="n">
        <f aca="false">EDATE(A198,1)</f>
        <v>42736</v>
      </c>
      <c r="B199" s="139" t="n">
        <f aca="false">VLOOKUP($A199,Table2,MATCH(I$3,Curves2,0))</f>
        <v>60900</v>
      </c>
      <c r="C199" s="140"/>
      <c r="D199" s="141" t="n">
        <f aca="false">B199+C199</f>
        <v>60900</v>
      </c>
      <c r="E199" s="126" t="n">
        <f aca="false">IF(Y199=0,0,IF(AND(Y199=1,$H$3=1),D199*T199,IF($H$3=2,D199,"N/A")))</f>
        <v>0</v>
      </c>
      <c r="F199" s="126" t="n">
        <f aca="false">E199*X199</f>
        <v>0</v>
      </c>
      <c r="G199" s="142" t="n">
        <f aca="false">VLOOKUP($A199,Table,MATCH(G$4,Curves,0))</f>
        <v>3.987</v>
      </c>
      <c r="H199" s="143" t="n">
        <f aca="false">G199</f>
        <v>3.987</v>
      </c>
      <c r="I199" s="142" t="n">
        <f aca="false">VLOOKUP($A199,Table1,MATCH(I$3,Curves1,0))</f>
        <v>3.7904</v>
      </c>
      <c r="J199" s="142" t="n">
        <f aca="false">VLOOKUP($A199,Table,MATCH(J$4,Curves,0))</f>
        <v>0.011</v>
      </c>
      <c r="K199" s="143" t="n">
        <f aca="false">J199</f>
        <v>0.011</v>
      </c>
      <c r="L199" s="144" t="n">
        <v>0</v>
      </c>
      <c r="M199" s="142" t="n">
        <f aca="false">VLOOKUP($A199,Table,MATCH(M$4,Curves,0))</f>
        <v>0.015</v>
      </c>
      <c r="N199" s="143" t="n">
        <f aca="false">M199</f>
        <v>0.015</v>
      </c>
      <c r="O199" s="144" t="n">
        <v>0</v>
      </c>
      <c r="P199" s="145"/>
      <c r="Q199" s="144" t="n">
        <f aca="false">M199+J199+G199</f>
        <v>4.013</v>
      </c>
      <c r="R199" s="144" t="n">
        <f aca="false">O199+L199+I199</f>
        <v>3.7904</v>
      </c>
      <c r="S199" s="145"/>
      <c r="T199" s="71" t="n">
        <f aca="false">A200-A199</f>
        <v>31</v>
      </c>
      <c r="U199" s="146" t="n">
        <f aca="false">CHOOSE(F$3,A200+24,A199)</f>
        <v>42791</v>
      </c>
      <c r="V199" s="71" t="n">
        <f aca="false">U199-C$3</f>
        <v>5903</v>
      </c>
      <c r="W199" s="142" t="n">
        <f aca="false">VLOOKUP($A199,Table,MATCH(W$4,Curves,0))</f>
        <v>0.058966861357273</v>
      </c>
      <c r="X199" s="147" t="n">
        <f aca="false">1/(1+CHOOSE(F$3,(W200+($K$3/10000))/2,(W199+($K$3/10000))/2))^(2*V199/365.25)</f>
        <v>0.390934098239919</v>
      </c>
      <c r="Y199" s="71" t="n">
        <f aca="false">IF(AND(mthbeg&lt;=A199,mthend&gt;=A199),1,0)</f>
        <v>0</v>
      </c>
      <c r="Z199" s="71" t="n">
        <f aca="false">T199*Y199</f>
        <v>0</v>
      </c>
      <c r="AB199" s="132" t="n">
        <f aca="false">F199*G199</f>
        <v>0</v>
      </c>
      <c r="AC199" s="132" t="n">
        <f aca="false">$F199*H199</f>
        <v>0</v>
      </c>
      <c r="AD199" s="132" t="n">
        <f aca="false">$F199*I199</f>
        <v>0</v>
      </c>
      <c r="AE199" s="132" t="n">
        <f aca="false">$F199*J199</f>
        <v>0</v>
      </c>
      <c r="AF199" s="132" t="n">
        <f aca="false">$F199*K199</f>
        <v>0</v>
      </c>
      <c r="AG199" s="132" t="n">
        <f aca="false">$F199*L199</f>
        <v>0</v>
      </c>
      <c r="AH199" s="132" t="n">
        <f aca="false">$F199*M199</f>
        <v>0</v>
      </c>
      <c r="AI199" s="132" t="n">
        <f aca="false">$F199*N199</f>
        <v>0</v>
      </c>
      <c r="AJ199" s="132" t="n">
        <f aca="false">F199*O199</f>
        <v>0</v>
      </c>
      <c r="AK199" s="137"/>
      <c r="AL199" s="132" t="n">
        <f aca="false">CHOOSE($G$3,AC199-AD199,AD199-AC199)</f>
        <v>0</v>
      </c>
      <c r="AM199" s="132" t="n">
        <f aca="false">CHOOSE($G$3,AF199-AG199,AG199-AF199)</f>
        <v>0</v>
      </c>
      <c r="AN199" s="132" t="n">
        <f aca="false">CHOOSE($G$3,AI199-AJ199,AJ199-AI199)</f>
        <v>0</v>
      </c>
      <c r="AO199" s="148" t="n">
        <f aca="false">SUM(AL199:AN199)</f>
        <v>0</v>
      </c>
      <c r="AQ199" s="132" t="n">
        <f aca="false">CHOOSE($G$3,AB199-AC199,AC199-AB199)</f>
        <v>0</v>
      </c>
      <c r="AR199" s="132" t="n">
        <f aca="false">CHOOSE($G$3,AE199-AF199,AF199-AE199)</f>
        <v>0</v>
      </c>
      <c r="AS199" s="132" t="n">
        <f aca="false">CHOOSE($G$3,AH199-AI199,AI199-AH199)</f>
        <v>0</v>
      </c>
      <c r="AT199" s="148" t="n">
        <f aca="false">AQ199+AR199+AS199</f>
        <v>0</v>
      </c>
      <c r="AU199" s="148"/>
      <c r="AV199" s="133" t="n">
        <f aca="false">AT199+AO199</f>
        <v>0</v>
      </c>
      <c r="AX199" s="133" t="n">
        <f aca="false">AJ199+AG199+AD199</f>
        <v>0</v>
      </c>
      <c r="AY199" s="149"/>
      <c r="AZ199" s="76" t="n">
        <f aca="false">R199*E199</f>
        <v>0</v>
      </c>
    </row>
    <row r="200" customFormat="false" ht="12" hidden="false" customHeight="true" outlineLevel="0" collapsed="false">
      <c r="A200" s="138" t="n">
        <f aca="false">EDATE(A199,1)</f>
        <v>42767</v>
      </c>
      <c r="B200" s="139" t="n">
        <f aca="false">VLOOKUP($A200,Table2,MATCH(I$3,Curves2,0))</f>
        <v>60900</v>
      </c>
      <c r="C200" s="140"/>
      <c r="D200" s="141" t="n">
        <f aca="false">B200+C200</f>
        <v>60900</v>
      </c>
      <c r="E200" s="126" t="n">
        <f aca="false">IF(Y200=0,0,IF(AND(Y200=1,$H$3=1),D200*T200,IF($H$3=2,D200,"N/A")))</f>
        <v>0</v>
      </c>
      <c r="F200" s="126" t="n">
        <f aca="false">E200*X200</f>
        <v>0</v>
      </c>
      <c r="G200" s="142" t="n">
        <f aca="false">VLOOKUP($A200,Table,MATCH(G$4,Curves,0))</f>
        <v>3.987</v>
      </c>
      <c r="H200" s="143" t="n">
        <f aca="false">G200</f>
        <v>3.987</v>
      </c>
      <c r="I200" s="142" t="n">
        <f aca="false">VLOOKUP($A200,Table1,MATCH(I$3,Curves1,0))</f>
        <v>3.7904</v>
      </c>
      <c r="J200" s="142" t="n">
        <f aca="false">VLOOKUP($A200,Table,MATCH(J$4,Curves,0))</f>
        <v>0.011</v>
      </c>
      <c r="K200" s="143" t="n">
        <f aca="false">J200</f>
        <v>0.011</v>
      </c>
      <c r="L200" s="144" t="n">
        <v>0</v>
      </c>
      <c r="M200" s="142" t="n">
        <f aca="false">VLOOKUP($A200,Table,MATCH(M$4,Curves,0))</f>
        <v>0.015</v>
      </c>
      <c r="N200" s="143" t="n">
        <f aca="false">M200</f>
        <v>0.015</v>
      </c>
      <c r="O200" s="144" t="n">
        <v>0</v>
      </c>
      <c r="P200" s="145"/>
      <c r="Q200" s="144" t="n">
        <f aca="false">M200+J200+G200</f>
        <v>4.013</v>
      </c>
      <c r="R200" s="144" t="n">
        <f aca="false">O200+L200+I200</f>
        <v>3.7904</v>
      </c>
      <c r="S200" s="145"/>
      <c r="T200" s="71" t="n">
        <f aca="false">A201-A200</f>
        <v>28</v>
      </c>
      <c r="U200" s="146" t="n">
        <f aca="false">CHOOSE(F$3,A201+24,A200)</f>
        <v>42819</v>
      </c>
      <c r="V200" s="71" t="n">
        <f aca="false">U200-C$3</f>
        <v>5931</v>
      </c>
      <c r="W200" s="142" t="n">
        <f aca="false">VLOOKUP($A200,Table,MATCH(W$4,Curves,0))</f>
        <v>0.058966861357273</v>
      </c>
      <c r="X200" s="147" t="n">
        <f aca="false">1/(1+CHOOSE(F$3,(W201+($K$3/10000))/2,(W200+($K$3/10000))/2))^(2*V200/365.25)</f>
        <v>0.389196347934837</v>
      </c>
      <c r="Y200" s="71" t="n">
        <f aca="false">IF(AND(mthbeg&lt;=A200,mthend&gt;=A200),1,0)</f>
        <v>0</v>
      </c>
      <c r="Z200" s="71" t="n">
        <f aca="false">T200*Y200</f>
        <v>0</v>
      </c>
      <c r="AB200" s="132" t="n">
        <f aca="false">F200*G200</f>
        <v>0</v>
      </c>
      <c r="AC200" s="132" t="n">
        <f aca="false">$F200*H200</f>
        <v>0</v>
      </c>
      <c r="AD200" s="132" t="n">
        <f aca="false">$F200*I200</f>
        <v>0</v>
      </c>
      <c r="AE200" s="132" t="n">
        <f aca="false">$F200*J200</f>
        <v>0</v>
      </c>
      <c r="AF200" s="132" t="n">
        <f aca="false">$F200*K200</f>
        <v>0</v>
      </c>
      <c r="AG200" s="132" t="n">
        <f aca="false">$F200*L200</f>
        <v>0</v>
      </c>
      <c r="AH200" s="132" t="n">
        <f aca="false">$F200*M200</f>
        <v>0</v>
      </c>
      <c r="AI200" s="132" t="n">
        <f aca="false">$F200*N200</f>
        <v>0</v>
      </c>
      <c r="AJ200" s="132" t="n">
        <f aca="false">F200*O200</f>
        <v>0</v>
      </c>
      <c r="AK200" s="137"/>
      <c r="AL200" s="132" t="n">
        <f aca="false">CHOOSE($G$3,AC200-AD200,AD200-AC200)</f>
        <v>0</v>
      </c>
      <c r="AM200" s="132" t="n">
        <f aca="false">CHOOSE($G$3,AF200-AG200,AG200-AF200)</f>
        <v>0</v>
      </c>
      <c r="AN200" s="132" t="n">
        <f aca="false">CHOOSE($G$3,AI200-AJ200,AJ200-AI200)</f>
        <v>0</v>
      </c>
      <c r="AO200" s="148" t="n">
        <f aca="false">SUM(AL200:AN200)</f>
        <v>0</v>
      </c>
      <c r="AQ200" s="132" t="n">
        <f aca="false">CHOOSE($G$3,AB200-AC200,AC200-AB200)</f>
        <v>0</v>
      </c>
      <c r="AR200" s="132" t="n">
        <f aca="false">CHOOSE($G$3,AE200-AF200,AF200-AE200)</f>
        <v>0</v>
      </c>
      <c r="AS200" s="132" t="n">
        <f aca="false">CHOOSE($G$3,AH200-AI200,AI200-AH200)</f>
        <v>0</v>
      </c>
      <c r="AT200" s="148" t="n">
        <f aca="false">AQ200+AR200+AS200</f>
        <v>0</v>
      </c>
      <c r="AU200" s="148"/>
      <c r="AV200" s="133" t="n">
        <f aca="false">AT200+AO200</f>
        <v>0</v>
      </c>
      <c r="AX200" s="133" t="n">
        <f aca="false">AJ200+AG200+AD200</f>
        <v>0</v>
      </c>
      <c r="AY200" s="149"/>
      <c r="AZ200" s="76" t="n">
        <f aca="false">R200*E200</f>
        <v>0</v>
      </c>
    </row>
    <row r="201" customFormat="false" ht="12" hidden="false" customHeight="true" outlineLevel="0" collapsed="false">
      <c r="A201" s="138" t="n">
        <f aca="false">EDATE(A200,1)</f>
        <v>42795</v>
      </c>
      <c r="B201" s="139" t="n">
        <f aca="false">VLOOKUP($A201,Table2,MATCH(I$3,Curves2,0))</f>
        <v>60900</v>
      </c>
      <c r="C201" s="140"/>
      <c r="D201" s="141" t="n">
        <f aca="false">B201+C201</f>
        <v>60900</v>
      </c>
      <c r="E201" s="126" t="n">
        <f aca="false">IF(Y201=0,0,IF(AND(Y201=1,$H$3=1),D201*T201,IF($H$3=2,D201,"N/A")))</f>
        <v>0</v>
      </c>
      <c r="F201" s="126" t="n">
        <f aca="false">E201*X201</f>
        <v>0</v>
      </c>
      <c r="G201" s="142" t="n">
        <f aca="false">VLOOKUP($A201,Table,MATCH(G$4,Curves,0))</f>
        <v>3.987</v>
      </c>
      <c r="H201" s="143" t="n">
        <f aca="false">G201</f>
        <v>3.987</v>
      </c>
      <c r="I201" s="142" t="n">
        <f aca="false">VLOOKUP($A201,Table1,MATCH(I$3,Curves1,0))</f>
        <v>3.7904</v>
      </c>
      <c r="J201" s="142" t="n">
        <f aca="false">VLOOKUP($A201,Table,MATCH(J$4,Curves,0))</f>
        <v>0.011</v>
      </c>
      <c r="K201" s="143" t="n">
        <f aca="false">J201</f>
        <v>0.011</v>
      </c>
      <c r="L201" s="144" t="n">
        <v>0</v>
      </c>
      <c r="M201" s="142" t="n">
        <f aca="false">VLOOKUP($A201,Table,MATCH(M$4,Curves,0))</f>
        <v>0.015</v>
      </c>
      <c r="N201" s="143" t="n">
        <f aca="false">M201</f>
        <v>0.015</v>
      </c>
      <c r="O201" s="144" t="n">
        <v>0</v>
      </c>
      <c r="P201" s="145"/>
      <c r="Q201" s="144" t="n">
        <f aca="false">M201+J201+G201</f>
        <v>4.013</v>
      </c>
      <c r="R201" s="144" t="n">
        <f aca="false">O201+L201+I201</f>
        <v>3.7904</v>
      </c>
      <c r="S201" s="145"/>
      <c r="T201" s="71" t="n">
        <f aca="false">A202-A201</f>
        <v>31</v>
      </c>
      <c r="U201" s="146" t="n">
        <f aca="false">CHOOSE(F$3,A202+24,A201)</f>
        <v>42850</v>
      </c>
      <c r="V201" s="71" t="n">
        <f aca="false">U201-C$3</f>
        <v>5962</v>
      </c>
      <c r="W201" s="142" t="n">
        <f aca="false">VLOOKUP($A201,Table,MATCH(W$4,Curves,0))</f>
        <v>0.058966861357273</v>
      </c>
      <c r="X201" s="147" t="n">
        <f aca="false">1/(1+CHOOSE(F$3,(W202+($K$3/10000))/2,(W201+($K$3/10000))/2))^(2*V201/365.25)</f>
        <v>0.387281418956727</v>
      </c>
      <c r="Y201" s="71" t="n">
        <f aca="false">IF(AND(mthbeg&lt;=A201,mthend&gt;=A201),1,0)</f>
        <v>0</v>
      </c>
      <c r="Z201" s="71" t="n">
        <f aca="false">T201*Y201</f>
        <v>0</v>
      </c>
      <c r="AB201" s="132" t="n">
        <f aca="false">F201*G201</f>
        <v>0</v>
      </c>
      <c r="AC201" s="132" t="n">
        <f aca="false">$F201*H201</f>
        <v>0</v>
      </c>
      <c r="AD201" s="132" t="n">
        <f aca="false">$F201*I201</f>
        <v>0</v>
      </c>
      <c r="AE201" s="132" t="n">
        <f aca="false">$F201*J201</f>
        <v>0</v>
      </c>
      <c r="AF201" s="132" t="n">
        <f aca="false">$F201*K201</f>
        <v>0</v>
      </c>
      <c r="AG201" s="132" t="n">
        <f aca="false">$F201*L201</f>
        <v>0</v>
      </c>
      <c r="AH201" s="132" t="n">
        <f aca="false">$F201*M201</f>
        <v>0</v>
      </c>
      <c r="AI201" s="132" t="n">
        <f aca="false">$F201*N201</f>
        <v>0</v>
      </c>
      <c r="AJ201" s="132" t="n">
        <f aca="false">F201*O201</f>
        <v>0</v>
      </c>
      <c r="AK201" s="137"/>
      <c r="AL201" s="132" t="n">
        <f aca="false">CHOOSE($G$3,AC201-AD201,AD201-AC201)</f>
        <v>0</v>
      </c>
      <c r="AM201" s="132" t="n">
        <f aca="false">CHOOSE($G$3,AF201-AG201,AG201-AF201)</f>
        <v>0</v>
      </c>
      <c r="AN201" s="132" t="n">
        <f aca="false">CHOOSE($G$3,AI201-AJ201,AJ201-AI201)</f>
        <v>0</v>
      </c>
      <c r="AO201" s="148" t="n">
        <f aca="false">SUM(AL201:AN201)</f>
        <v>0</v>
      </c>
      <c r="AQ201" s="132" t="n">
        <f aca="false">CHOOSE($G$3,AB201-AC201,AC201-AB201)</f>
        <v>0</v>
      </c>
      <c r="AR201" s="132" t="n">
        <f aca="false">CHOOSE($G$3,AE201-AF201,AF201-AE201)</f>
        <v>0</v>
      </c>
      <c r="AS201" s="132" t="n">
        <f aca="false">CHOOSE($G$3,AH201-AI201,AI201-AH201)</f>
        <v>0</v>
      </c>
      <c r="AT201" s="148" t="n">
        <f aca="false">AQ201+AR201+AS201</f>
        <v>0</v>
      </c>
      <c r="AU201" s="148"/>
      <c r="AV201" s="133" t="n">
        <f aca="false">AT201+AO201</f>
        <v>0</v>
      </c>
      <c r="AX201" s="133" t="n">
        <f aca="false">AJ201+AG201+AD201</f>
        <v>0</v>
      </c>
      <c r="AY201" s="149"/>
      <c r="AZ201" s="76" t="n">
        <f aca="false">R201*E201</f>
        <v>0</v>
      </c>
    </row>
    <row r="202" customFormat="false" ht="12" hidden="false" customHeight="true" outlineLevel="0" collapsed="false">
      <c r="A202" s="138" t="n">
        <f aca="false">EDATE(A201,1)</f>
        <v>42826</v>
      </c>
      <c r="B202" s="139" t="n">
        <f aca="false">VLOOKUP($A202,Table2,MATCH(I$3,Curves2,0))</f>
        <v>60900</v>
      </c>
      <c r="C202" s="140"/>
      <c r="D202" s="141" t="n">
        <f aca="false">B202+C202</f>
        <v>60900</v>
      </c>
      <c r="E202" s="126" t="n">
        <f aca="false">IF(Y202=0,0,IF(AND(Y202=1,$H$3=1),D202*T202,IF($H$3=2,D202,"N/A")))</f>
        <v>0</v>
      </c>
      <c r="F202" s="126" t="n">
        <f aca="false">E202*X202</f>
        <v>0</v>
      </c>
      <c r="G202" s="142" t="n">
        <f aca="false">VLOOKUP($A202,Table,MATCH(G$4,Curves,0))</f>
        <v>3.987</v>
      </c>
      <c r="H202" s="143" t="n">
        <f aca="false">G202</f>
        <v>3.987</v>
      </c>
      <c r="I202" s="142" t="n">
        <f aca="false">VLOOKUP($A202,Table1,MATCH(I$3,Curves1,0))</f>
        <v>3.7904</v>
      </c>
      <c r="J202" s="142" t="n">
        <f aca="false">VLOOKUP($A202,Table,MATCH(J$4,Curves,0))</f>
        <v>0.011</v>
      </c>
      <c r="K202" s="143" t="n">
        <f aca="false">J202</f>
        <v>0.011</v>
      </c>
      <c r="L202" s="144" t="n">
        <v>0</v>
      </c>
      <c r="M202" s="142" t="n">
        <f aca="false">VLOOKUP($A202,Table,MATCH(M$4,Curves,0))</f>
        <v>0.015</v>
      </c>
      <c r="N202" s="143" t="n">
        <f aca="false">M202</f>
        <v>0.015</v>
      </c>
      <c r="O202" s="144" t="n">
        <v>0</v>
      </c>
      <c r="P202" s="145"/>
      <c r="Q202" s="144" t="n">
        <f aca="false">M202+J202+G202</f>
        <v>4.013</v>
      </c>
      <c r="R202" s="144" t="n">
        <f aca="false">O202+L202+I202</f>
        <v>3.7904</v>
      </c>
      <c r="S202" s="145"/>
      <c r="T202" s="71" t="n">
        <f aca="false">A203-A202</f>
        <v>30</v>
      </c>
      <c r="U202" s="146" t="n">
        <f aca="false">CHOOSE(F$3,A203+24,A202)</f>
        <v>42880</v>
      </c>
      <c r="V202" s="71" t="n">
        <f aca="false">U202-C$3</f>
        <v>5992</v>
      </c>
      <c r="W202" s="142" t="n">
        <f aca="false">VLOOKUP($A202,Table,MATCH(W$4,Curves,0))</f>
        <v>0.058966861357273</v>
      </c>
      <c r="X202" s="147" t="n">
        <f aca="false">1/(1+CHOOSE(F$3,(W203+($K$3/10000))/2,(W202+($K$3/10000))/2))^(2*V202/365.25)</f>
        <v>0.385437233220758</v>
      </c>
      <c r="Y202" s="71" t="n">
        <f aca="false">IF(AND(mthbeg&lt;=A202,mthend&gt;=A202),1,0)</f>
        <v>0</v>
      </c>
      <c r="Z202" s="71" t="n">
        <f aca="false">T202*Y202</f>
        <v>0</v>
      </c>
      <c r="AB202" s="132" t="n">
        <f aca="false">F202*G202</f>
        <v>0</v>
      </c>
      <c r="AC202" s="132" t="n">
        <f aca="false">$F202*H202</f>
        <v>0</v>
      </c>
      <c r="AD202" s="132" t="n">
        <f aca="false">$F202*I202</f>
        <v>0</v>
      </c>
      <c r="AE202" s="132" t="n">
        <f aca="false">$F202*J202</f>
        <v>0</v>
      </c>
      <c r="AF202" s="132" t="n">
        <f aca="false">$F202*K202</f>
        <v>0</v>
      </c>
      <c r="AG202" s="132" t="n">
        <f aca="false">$F202*L202</f>
        <v>0</v>
      </c>
      <c r="AH202" s="132" t="n">
        <f aca="false">$F202*M202</f>
        <v>0</v>
      </c>
      <c r="AI202" s="132" t="n">
        <f aca="false">$F202*N202</f>
        <v>0</v>
      </c>
      <c r="AJ202" s="132" t="n">
        <f aca="false">F202*O202</f>
        <v>0</v>
      </c>
      <c r="AK202" s="137"/>
      <c r="AL202" s="132" t="n">
        <f aca="false">CHOOSE($G$3,AC202-AD202,AD202-AC202)</f>
        <v>0</v>
      </c>
      <c r="AM202" s="132" t="n">
        <f aca="false">CHOOSE($G$3,AF202-AG202,AG202-AF202)</f>
        <v>0</v>
      </c>
      <c r="AN202" s="132" t="n">
        <f aca="false">CHOOSE($G$3,AI202-AJ202,AJ202-AI202)</f>
        <v>0</v>
      </c>
      <c r="AO202" s="148" t="n">
        <f aca="false">SUM(AL202:AN202)</f>
        <v>0</v>
      </c>
      <c r="AQ202" s="132" t="n">
        <f aca="false">CHOOSE($G$3,AB202-AC202,AC202-AB202)</f>
        <v>0</v>
      </c>
      <c r="AR202" s="132" t="n">
        <f aca="false">CHOOSE($G$3,AE202-AF202,AF202-AE202)</f>
        <v>0</v>
      </c>
      <c r="AS202" s="132" t="n">
        <f aca="false">CHOOSE($G$3,AH202-AI202,AI202-AH202)</f>
        <v>0</v>
      </c>
      <c r="AT202" s="148" t="n">
        <f aca="false">AQ202+AR202+AS202</f>
        <v>0</v>
      </c>
      <c r="AU202" s="148"/>
      <c r="AV202" s="133" t="n">
        <f aca="false">AT202+AO202</f>
        <v>0</v>
      </c>
      <c r="AX202" s="133" t="n">
        <f aca="false">AJ202+AG202+AD202</f>
        <v>0</v>
      </c>
      <c r="AY202" s="149"/>
      <c r="AZ202" s="76" t="n">
        <f aca="false">R202*E202</f>
        <v>0</v>
      </c>
    </row>
    <row r="203" customFormat="false" ht="12" hidden="false" customHeight="true" outlineLevel="0" collapsed="false">
      <c r="A203" s="138" t="n">
        <f aca="false">EDATE(A202,1)</f>
        <v>42856</v>
      </c>
      <c r="B203" s="139" t="n">
        <f aca="false">VLOOKUP($A203,Table2,MATCH(I$3,Curves2,0))</f>
        <v>60900</v>
      </c>
      <c r="C203" s="140"/>
      <c r="D203" s="141" t="n">
        <f aca="false">B203+C203</f>
        <v>60900</v>
      </c>
      <c r="E203" s="126" t="n">
        <f aca="false">IF(Y203=0,0,IF(AND(Y203=1,$H$3=1),D203*T203,IF($H$3=2,D203,"N/A")))</f>
        <v>0</v>
      </c>
      <c r="F203" s="126" t="n">
        <f aca="false">E203*X203</f>
        <v>0</v>
      </c>
      <c r="G203" s="142" t="n">
        <f aca="false">VLOOKUP($A203,Table,MATCH(G$4,Curves,0))</f>
        <v>3.987</v>
      </c>
      <c r="H203" s="143" t="n">
        <f aca="false">G203</f>
        <v>3.987</v>
      </c>
      <c r="I203" s="142" t="n">
        <f aca="false">VLOOKUP($A203,Table1,MATCH(I$3,Curves1,0))</f>
        <v>3.7904</v>
      </c>
      <c r="J203" s="142" t="n">
        <f aca="false">VLOOKUP($A203,Table,MATCH(J$4,Curves,0))</f>
        <v>0.011</v>
      </c>
      <c r="K203" s="143" t="n">
        <f aca="false">J203</f>
        <v>0.011</v>
      </c>
      <c r="L203" s="144" t="n">
        <v>0</v>
      </c>
      <c r="M203" s="142" t="n">
        <f aca="false">VLOOKUP($A203,Table,MATCH(M$4,Curves,0))</f>
        <v>0.015</v>
      </c>
      <c r="N203" s="143" t="n">
        <f aca="false">M203</f>
        <v>0.015</v>
      </c>
      <c r="O203" s="144" t="n">
        <v>0</v>
      </c>
      <c r="P203" s="145"/>
      <c r="Q203" s="144" t="n">
        <f aca="false">M203+J203+G203</f>
        <v>4.013</v>
      </c>
      <c r="R203" s="144" t="n">
        <f aca="false">O203+L203+I203</f>
        <v>3.7904</v>
      </c>
      <c r="S203" s="145"/>
      <c r="T203" s="71" t="n">
        <f aca="false">A204-A203</f>
        <v>31</v>
      </c>
      <c r="U203" s="146" t="n">
        <f aca="false">CHOOSE(F$3,A204+24,A203)</f>
        <v>42911</v>
      </c>
      <c r="V203" s="71" t="n">
        <f aca="false">U203-C$3</f>
        <v>6023</v>
      </c>
      <c r="W203" s="142" t="n">
        <f aca="false">VLOOKUP($A203,Table,MATCH(W$4,Curves,0))</f>
        <v>0.058966861357273</v>
      </c>
      <c r="X203" s="147" t="n">
        <f aca="false">1/(1+CHOOSE(F$3,(W204+($K$3/10000))/2,(W203+($K$3/10000))/2))^(2*V203/365.25)</f>
        <v>0.383540799888191</v>
      </c>
      <c r="Y203" s="71" t="n">
        <f aca="false">IF(AND(mthbeg&lt;=A203,mthend&gt;=A203),1,0)</f>
        <v>0</v>
      </c>
      <c r="Z203" s="71" t="n">
        <f aca="false">T203*Y203</f>
        <v>0</v>
      </c>
      <c r="AB203" s="132" t="n">
        <f aca="false">F203*G203</f>
        <v>0</v>
      </c>
      <c r="AC203" s="132" t="n">
        <f aca="false">$F203*H203</f>
        <v>0</v>
      </c>
      <c r="AD203" s="132" t="n">
        <f aca="false">$F203*I203</f>
        <v>0</v>
      </c>
      <c r="AE203" s="132" t="n">
        <f aca="false">$F203*J203</f>
        <v>0</v>
      </c>
      <c r="AF203" s="132" t="n">
        <f aca="false">$F203*K203</f>
        <v>0</v>
      </c>
      <c r="AG203" s="132" t="n">
        <f aca="false">$F203*L203</f>
        <v>0</v>
      </c>
      <c r="AH203" s="132" t="n">
        <f aca="false">$F203*M203</f>
        <v>0</v>
      </c>
      <c r="AI203" s="132" t="n">
        <f aca="false">$F203*N203</f>
        <v>0</v>
      </c>
      <c r="AJ203" s="132" t="n">
        <f aca="false">F203*O203</f>
        <v>0</v>
      </c>
      <c r="AK203" s="137"/>
      <c r="AL203" s="132" t="n">
        <f aca="false">CHOOSE($G$3,AC203-AD203,AD203-AC203)</f>
        <v>0</v>
      </c>
      <c r="AM203" s="132" t="n">
        <f aca="false">CHOOSE($G$3,AF203-AG203,AG203-AF203)</f>
        <v>0</v>
      </c>
      <c r="AN203" s="132" t="n">
        <f aca="false">CHOOSE($G$3,AI203-AJ203,AJ203-AI203)</f>
        <v>0</v>
      </c>
      <c r="AO203" s="148" t="n">
        <f aca="false">SUM(AL203:AN203)</f>
        <v>0</v>
      </c>
      <c r="AQ203" s="132" t="n">
        <f aca="false">CHOOSE($G$3,AB203-AC203,AC203-AB203)</f>
        <v>0</v>
      </c>
      <c r="AR203" s="132" t="n">
        <f aca="false">CHOOSE($G$3,AE203-AF203,AF203-AE203)</f>
        <v>0</v>
      </c>
      <c r="AS203" s="132" t="n">
        <f aca="false">CHOOSE($G$3,AH203-AI203,AI203-AH203)</f>
        <v>0</v>
      </c>
      <c r="AT203" s="148" t="n">
        <f aca="false">AQ203+AR203+AS203</f>
        <v>0</v>
      </c>
      <c r="AU203" s="148"/>
      <c r="AV203" s="133" t="n">
        <f aca="false">AT203+AO203</f>
        <v>0</v>
      </c>
      <c r="AX203" s="133" t="n">
        <f aca="false">AJ203+AG203+AD203</f>
        <v>0</v>
      </c>
      <c r="AY203" s="149"/>
      <c r="AZ203" s="76" t="n">
        <f aca="false">R203*E203</f>
        <v>0</v>
      </c>
    </row>
    <row r="204" customFormat="false" ht="12" hidden="false" customHeight="true" outlineLevel="0" collapsed="false">
      <c r="A204" s="138" t="n">
        <f aca="false">EDATE(A203,1)</f>
        <v>42887</v>
      </c>
      <c r="B204" s="139" t="n">
        <f aca="false">VLOOKUP($A204,Table2,MATCH(I$3,Curves2,0))</f>
        <v>60900</v>
      </c>
      <c r="C204" s="140"/>
      <c r="D204" s="141" t="n">
        <f aca="false">B204+C204</f>
        <v>60900</v>
      </c>
      <c r="E204" s="126" t="n">
        <f aca="false">IF(Y204=0,0,IF(AND(Y204=1,$H$3=1),D204*T204,IF($H$3=2,D204,"N/A")))</f>
        <v>0</v>
      </c>
      <c r="F204" s="126" t="n">
        <f aca="false">E204*X204</f>
        <v>0</v>
      </c>
      <c r="G204" s="142" t="n">
        <f aca="false">VLOOKUP($A204,Table,MATCH(G$4,Curves,0))</f>
        <v>3.987</v>
      </c>
      <c r="H204" s="143" t="n">
        <f aca="false">G204</f>
        <v>3.987</v>
      </c>
      <c r="I204" s="142" t="n">
        <f aca="false">VLOOKUP($A204,Table1,MATCH(I$3,Curves1,0))</f>
        <v>3.7904</v>
      </c>
      <c r="J204" s="142" t="n">
        <f aca="false">VLOOKUP($A204,Table,MATCH(J$4,Curves,0))</f>
        <v>0.011</v>
      </c>
      <c r="K204" s="143" t="n">
        <f aca="false">J204</f>
        <v>0.011</v>
      </c>
      <c r="L204" s="144" t="n">
        <v>0</v>
      </c>
      <c r="M204" s="142" t="n">
        <f aca="false">VLOOKUP($A204,Table,MATCH(M$4,Curves,0))</f>
        <v>0.015</v>
      </c>
      <c r="N204" s="143" t="n">
        <f aca="false">M204</f>
        <v>0.015</v>
      </c>
      <c r="O204" s="144" t="n">
        <v>0</v>
      </c>
      <c r="P204" s="145"/>
      <c r="Q204" s="144" t="n">
        <f aca="false">M204+J204+G204</f>
        <v>4.013</v>
      </c>
      <c r="R204" s="144" t="n">
        <f aca="false">O204+L204+I204</f>
        <v>3.7904</v>
      </c>
      <c r="S204" s="145"/>
      <c r="T204" s="71" t="n">
        <f aca="false">A205-A204</f>
        <v>30</v>
      </c>
      <c r="U204" s="146" t="n">
        <f aca="false">CHOOSE(F$3,A205+24,A204)</f>
        <v>42941</v>
      </c>
      <c r="V204" s="71" t="n">
        <f aca="false">U204-C$3</f>
        <v>6053</v>
      </c>
      <c r="W204" s="142" t="n">
        <f aca="false">VLOOKUP($A204,Table,MATCH(W$4,Curves,0))</f>
        <v>0.058966861357273</v>
      </c>
      <c r="X204" s="147" t="n">
        <f aca="false">1/(1+CHOOSE(F$3,(W205+($K$3/10000))/2,(W204+($K$3/10000))/2))^(2*V204/365.25)</f>
        <v>0.38171442651293</v>
      </c>
      <c r="Y204" s="71" t="n">
        <f aca="false">IF(AND(mthbeg&lt;=A204,mthend&gt;=A204),1,0)</f>
        <v>0</v>
      </c>
      <c r="Z204" s="71" t="n">
        <f aca="false">T204*Y204</f>
        <v>0</v>
      </c>
      <c r="AB204" s="132" t="n">
        <f aca="false">F204*G204</f>
        <v>0</v>
      </c>
      <c r="AC204" s="132" t="n">
        <f aca="false">$F204*H204</f>
        <v>0</v>
      </c>
      <c r="AD204" s="132" t="n">
        <f aca="false">$F204*I204</f>
        <v>0</v>
      </c>
      <c r="AE204" s="132" t="n">
        <f aca="false">$F204*J204</f>
        <v>0</v>
      </c>
      <c r="AF204" s="132" t="n">
        <f aca="false">$F204*K204</f>
        <v>0</v>
      </c>
      <c r="AG204" s="132" t="n">
        <f aca="false">$F204*L204</f>
        <v>0</v>
      </c>
      <c r="AH204" s="132" t="n">
        <f aca="false">$F204*M204</f>
        <v>0</v>
      </c>
      <c r="AI204" s="132" t="n">
        <f aca="false">$F204*N204</f>
        <v>0</v>
      </c>
      <c r="AJ204" s="132" t="n">
        <f aca="false">F204*O204</f>
        <v>0</v>
      </c>
      <c r="AK204" s="137"/>
      <c r="AL204" s="132" t="n">
        <f aca="false">CHOOSE($G$3,AC204-AD204,AD204-AC204)</f>
        <v>0</v>
      </c>
      <c r="AM204" s="132" t="n">
        <f aca="false">CHOOSE($G$3,AF204-AG204,AG204-AF204)</f>
        <v>0</v>
      </c>
      <c r="AN204" s="132" t="n">
        <f aca="false">CHOOSE($G$3,AI204-AJ204,AJ204-AI204)</f>
        <v>0</v>
      </c>
      <c r="AO204" s="148" t="n">
        <f aca="false">SUM(AL204:AN204)</f>
        <v>0</v>
      </c>
      <c r="AQ204" s="132" t="n">
        <f aca="false">CHOOSE($G$3,AB204-AC204,AC204-AB204)</f>
        <v>0</v>
      </c>
      <c r="AR204" s="132" t="n">
        <f aca="false">CHOOSE($G$3,AE204-AF204,AF204-AE204)</f>
        <v>0</v>
      </c>
      <c r="AS204" s="132" t="n">
        <f aca="false">CHOOSE($G$3,AH204-AI204,AI204-AH204)</f>
        <v>0</v>
      </c>
      <c r="AT204" s="148" t="n">
        <f aca="false">AQ204+AR204+AS204</f>
        <v>0</v>
      </c>
      <c r="AU204" s="148"/>
      <c r="AV204" s="133" t="n">
        <f aca="false">AT204+AO204</f>
        <v>0</v>
      </c>
      <c r="AX204" s="133" t="n">
        <f aca="false">AJ204+AG204+AD204</f>
        <v>0</v>
      </c>
      <c r="AY204" s="149"/>
      <c r="AZ204" s="76" t="n">
        <f aca="false">R204*E204</f>
        <v>0</v>
      </c>
    </row>
    <row r="205" customFormat="false" ht="12" hidden="false" customHeight="true" outlineLevel="0" collapsed="false">
      <c r="A205" s="138" t="n">
        <f aca="false">EDATE(A204,1)</f>
        <v>42917</v>
      </c>
      <c r="B205" s="139" t="n">
        <f aca="false">VLOOKUP($A205,Table2,MATCH(I$3,Curves2,0))</f>
        <v>60900</v>
      </c>
      <c r="C205" s="140"/>
      <c r="D205" s="141" t="n">
        <f aca="false">B205+C205</f>
        <v>60900</v>
      </c>
      <c r="E205" s="126" t="n">
        <f aca="false">IF(Y205=0,0,IF(AND(Y205=1,$H$3=1),D205*T205,IF($H$3=2,D205,"N/A")))</f>
        <v>0</v>
      </c>
      <c r="F205" s="126" t="n">
        <f aca="false">E205*X205</f>
        <v>0</v>
      </c>
      <c r="G205" s="142" t="n">
        <f aca="false">VLOOKUP($A205,Table,MATCH(G$4,Curves,0))</f>
        <v>3.987</v>
      </c>
      <c r="H205" s="143" t="n">
        <f aca="false">G205</f>
        <v>3.987</v>
      </c>
      <c r="I205" s="142" t="n">
        <f aca="false">VLOOKUP($A205,Table1,MATCH(I$3,Curves1,0))</f>
        <v>3.7904</v>
      </c>
      <c r="J205" s="142" t="n">
        <f aca="false">VLOOKUP($A205,Table,MATCH(J$4,Curves,0))</f>
        <v>0.011</v>
      </c>
      <c r="K205" s="143" t="n">
        <f aca="false">J205</f>
        <v>0.011</v>
      </c>
      <c r="L205" s="144" t="n">
        <v>0</v>
      </c>
      <c r="M205" s="142" t="n">
        <f aca="false">VLOOKUP($A205,Table,MATCH(M$4,Curves,0))</f>
        <v>0.015</v>
      </c>
      <c r="N205" s="143" t="n">
        <f aca="false">M205</f>
        <v>0.015</v>
      </c>
      <c r="O205" s="144" t="n">
        <v>0</v>
      </c>
      <c r="P205" s="145"/>
      <c r="Q205" s="144" t="n">
        <f aca="false">M205+J205+G205</f>
        <v>4.013</v>
      </c>
      <c r="R205" s="144" t="n">
        <f aca="false">O205+L205+I205</f>
        <v>3.7904</v>
      </c>
      <c r="S205" s="145"/>
      <c r="T205" s="71" t="n">
        <f aca="false">A206-A205</f>
        <v>31</v>
      </c>
      <c r="U205" s="146" t="n">
        <f aca="false">CHOOSE(F$3,A206+24,A205)</f>
        <v>42972</v>
      </c>
      <c r="V205" s="71" t="n">
        <f aca="false">U205-C$3</f>
        <v>6084</v>
      </c>
      <c r="W205" s="142" t="n">
        <f aca="false">VLOOKUP($A205,Table,MATCH(W$4,Curves,0))</f>
        <v>0.058966861357273</v>
      </c>
      <c r="X205" s="147" t="n">
        <f aca="false">1/(1+CHOOSE(F$3,(W206+($K$3/10000))/2,(W205+($K$3/10000))/2))^(2*V205/365.25)</f>
        <v>0.379836310182777</v>
      </c>
      <c r="Y205" s="71" t="n">
        <f aca="false">IF(AND(mthbeg&lt;=A205,mthend&gt;=A205),1,0)</f>
        <v>0</v>
      </c>
      <c r="Z205" s="71" t="n">
        <f aca="false">T205*Y205</f>
        <v>0</v>
      </c>
      <c r="AB205" s="132" t="n">
        <f aca="false">F205*G205</f>
        <v>0</v>
      </c>
      <c r="AC205" s="132" t="n">
        <f aca="false">$F205*H205</f>
        <v>0</v>
      </c>
      <c r="AD205" s="132" t="n">
        <f aca="false">$F205*I205</f>
        <v>0</v>
      </c>
      <c r="AE205" s="132" t="n">
        <f aca="false">$F205*J205</f>
        <v>0</v>
      </c>
      <c r="AF205" s="132" t="n">
        <f aca="false">$F205*K205</f>
        <v>0</v>
      </c>
      <c r="AG205" s="132" t="n">
        <f aca="false">$F205*L205</f>
        <v>0</v>
      </c>
      <c r="AH205" s="132" t="n">
        <f aca="false">$F205*M205</f>
        <v>0</v>
      </c>
      <c r="AI205" s="132" t="n">
        <f aca="false">$F205*N205</f>
        <v>0</v>
      </c>
      <c r="AJ205" s="132" t="n">
        <f aca="false">F205*O205</f>
        <v>0</v>
      </c>
      <c r="AK205" s="137"/>
      <c r="AL205" s="132" t="n">
        <f aca="false">CHOOSE($G$3,AC205-AD205,AD205-AC205)</f>
        <v>0</v>
      </c>
      <c r="AM205" s="132" t="n">
        <f aca="false">CHOOSE($G$3,AF205-AG205,AG205-AF205)</f>
        <v>0</v>
      </c>
      <c r="AN205" s="132" t="n">
        <f aca="false">CHOOSE($G$3,AI205-AJ205,AJ205-AI205)</f>
        <v>0</v>
      </c>
      <c r="AO205" s="148" t="n">
        <f aca="false">SUM(AL205:AN205)</f>
        <v>0</v>
      </c>
      <c r="AQ205" s="132" t="n">
        <f aca="false">CHOOSE($G$3,AB205-AC205,AC205-AB205)</f>
        <v>0</v>
      </c>
      <c r="AR205" s="132" t="n">
        <f aca="false">CHOOSE($G$3,AE205-AF205,AF205-AE205)</f>
        <v>0</v>
      </c>
      <c r="AS205" s="132" t="n">
        <f aca="false">CHOOSE($G$3,AH205-AI205,AI205-AH205)</f>
        <v>0</v>
      </c>
      <c r="AT205" s="148" t="n">
        <f aca="false">AQ205+AR205+AS205</f>
        <v>0</v>
      </c>
      <c r="AU205" s="148"/>
      <c r="AV205" s="133" t="n">
        <f aca="false">AT205+AO205</f>
        <v>0</v>
      </c>
      <c r="AX205" s="133" t="n">
        <f aca="false">AJ205+AG205+AD205</f>
        <v>0</v>
      </c>
      <c r="AY205" s="149"/>
      <c r="AZ205" s="76" t="n">
        <f aca="false">R205*E205</f>
        <v>0</v>
      </c>
    </row>
    <row r="206" customFormat="false" ht="12" hidden="false" customHeight="true" outlineLevel="0" collapsed="false">
      <c r="A206" s="138" t="n">
        <f aca="false">EDATE(A205,1)</f>
        <v>42948</v>
      </c>
      <c r="B206" s="139" t="n">
        <f aca="false">VLOOKUP($A206,Table2,MATCH(I$3,Curves2,0))</f>
        <v>60900</v>
      </c>
      <c r="C206" s="140"/>
      <c r="D206" s="141" t="n">
        <f aca="false">B206+C206</f>
        <v>60900</v>
      </c>
      <c r="E206" s="126" t="n">
        <f aca="false">IF(Y206=0,0,IF(AND(Y206=1,$H$3=1),D206*T206,IF($H$3=2,D206,"N/A")))</f>
        <v>0</v>
      </c>
      <c r="F206" s="126" t="n">
        <f aca="false">E206*X206</f>
        <v>0</v>
      </c>
      <c r="G206" s="142" t="n">
        <f aca="false">VLOOKUP($A206,Table,MATCH(G$4,Curves,0))</f>
        <v>3.987</v>
      </c>
      <c r="H206" s="143" t="n">
        <f aca="false">G206</f>
        <v>3.987</v>
      </c>
      <c r="I206" s="142" t="n">
        <f aca="false">VLOOKUP($A206,Table1,MATCH(I$3,Curves1,0))</f>
        <v>3.7904</v>
      </c>
      <c r="J206" s="142" t="n">
        <f aca="false">VLOOKUP($A206,Table,MATCH(J$4,Curves,0))</f>
        <v>0.011</v>
      </c>
      <c r="K206" s="143" t="n">
        <f aca="false">J206</f>
        <v>0.011</v>
      </c>
      <c r="L206" s="144" t="n">
        <v>0</v>
      </c>
      <c r="M206" s="142" t="n">
        <f aca="false">VLOOKUP($A206,Table,MATCH(M$4,Curves,0))</f>
        <v>0.015</v>
      </c>
      <c r="N206" s="143" t="n">
        <f aca="false">M206</f>
        <v>0.015</v>
      </c>
      <c r="O206" s="144" t="n">
        <v>0</v>
      </c>
      <c r="P206" s="145"/>
      <c r="Q206" s="144" t="n">
        <f aca="false">M206+J206+G206</f>
        <v>4.013</v>
      </c>
      <c r="R206" s="144" t="n">
        <f aca="false">O206+L206+I206</f>
        <v>3.7904</v>
      </c>
      <c r="S206" s="145"/>
      <c r="T206" s="71" t="n">
        <f aca="false">A207-A206</f>
        <v>31</v>
      </c>
      <c r="U206" s="146" t="n">
        <f aca="false">CHOOSE(F$3,A207+24,A206)</f>
        <v>43003</v>
      </c>
      <c r="V206" s="71" t="n">
        <f aca="false">U206-C$3</f>
        <v>6115</v>
      </c>
      <c r="W206" s="142" t="n">
        <f aca="false">VLOOKUP($A206,Table,MATCH(W$4,Curves,0))</f>
        <v>0.058966861357273</v>
      </c>
      <c r="X206" s="147" t="n">
        <f aca="false">1/(1+CHOOSE(F$3,(W207+($K$3/10000))/2,(W206+($K$3/10000))/2))^(2*V206/365.25)</f>
        <v>0.377967434585236</v>
      </c>
      <c r="Y206" s="71" t="n">
        <f aca="false">IF(AND(mthbeg&lt;=A206,mthend&gt;=A206),1,0)</f>
        <v>0</v>
      </c>
      <c r="Z206" s="71" t="n">
        <f aca="false">T206*Y206</f>
        <v>0</v>
      </c>
      <c r="AB206" s="132" t="n">
        <f aca="false">F206*G206</f>
        <v>0</v>
      </c>
      <c r="AC206" s="132" t="n">
        <f aca="false">$F206*H206</f>
        <v>0</v>
      </c>
      <c r="AD206" s="132" t="n">
        <f aca="false">$F206*I206</f>
        <v>0</v>
      </c>
      <c r="AE206" s="132" t="n">
        <f aca="false">$F206*J206</f>
        <v>0</v>
      </c>
      <c r="AF206" s="132" t="n">
        <f aca="false">$F206*K206</f>
        <v>0</v>
      </c>
      <c r="AG206" s="132" t="n">
        <f aca="false">$F206*L206</f>
        <v>0</v>
      </c>
      <c r="AH206" s="132" t="n">
        <f aca="false">$F206*M206</f>
        <v>0</v>
      </c>
      <c r="AI206" s="132" t="n">
        <f aca="false">$F206*N206</f>
        <v>0</v>
      </c>
      <c r="AJ206" s="132" t="n">
        <f aca="false">F206*O206</f>
        <v>0</v>
      </c>
      <c r="AK206" s="137"/>
      <c r="AL206" s="132" t="n">
        <f aca="false">CHOOSE($G$3,AC206-AD206,AD206-AC206)</f>
        <v>0</v>
      </c>
      <c r="AM206" s="132" t="n">
        <f aca="false">CHOOSE($G$3,AF206-AG206,AG206-AF206)</f>
        <v>0</v>
      </c>
      <c r="AN206" s="132" t="n">
        <f aca="false">CHOOSE($G$3,AI206-AJ206,AJ206-AI206)</f>
        <v>0</v>
      </c>
      <c r="AO206" s="148" t="n">
        <f aca="false">SUM(AL206:AN206)</f>
        <v>0</v>
      </c>
      <c r="AQ206" s="132" t="n">
        <f aca="false">CHOOSE($G$3,AB206-AC206,AC206-AB206)</f>
        <v>0</v>
      </c>
      <c r="AR206" s="132" t="n">
        <f aca="false">CHOOSE($G$3,AE206-AF206,AF206-AE206)</f>
        <v>0</v>
      </c>
      <c r="AS206" s="132" t="n">
        <f aca="false">CHOOSE($G$3,AH206-AI206,AI206-AH206)</f>
        <v>0</v>
      </c>
      <c r="AT206" s="148" t="n">
        <f aca="false">AQ206+AR206+AS206</f>
        <v>0</v>
      </c>
      <c r="AU206" s="148"/>
      <c r="AV206" s="133" t="n">
        <f aca="false">AT206+AO206</f>
        <v>0</v>
      </c>
      <c r="AX206" s="133" t="n">
        <f aca="false">AJ206+AG206+AD206</f>
        <v>0</v>
      </c>
      <c r="AY206" s="149"/>
      <c r="AZ206" s="76" t="n">
        <f aca="false">R206*E206</f>
        <v>0</v>
      </c>
    </row>
    <row r="207" customFormat="false" ht="12" hidden="false" customHeight="true" outlineLevel="0" collapsed="false">
      <c r="A207" s="138" t="n">
        <f aca="false">EDATE(A206,1)</f>
        <v>42979</v>
      </c>
      <c r="B207" s="139" t="n">
        <f aca="false">VLOOKUP($A207,Table2,MATCH(I$3,Curves2,0))</f>
        <v>60900</v>
      </c>
      <c r="C207" s="140"/>
      <c r="D207" s="141" t="n">
        <f aca="false">B207+C207</f>
        <v>60900</v>
      </c>
      <c r="E207" s="126" t="n">
        <f aca="false">IF(Y207=0,0,IF(AND(Y207=1,$H$3=1),D207*T207,IF($H$3=2,D207,"N/A")))</f>
        <v>0</v>
      </c>
      <c r="F207" s="126" t="n">
        <f aca="false">E207*X207</f>
        <v>0</v>
      </c>
      <c r="G207" s="142" t="n">
        <f aca="false">VLOOKUP($A207,Table,MATCH(G$4,Curves,0))</f>
        <v>3.987</v>
      </c>
      <c r="H207" s="143" t="n">
        <f aca="false">G207</f>
        <v>3.987</v>
      </c>
      <c r="I207" s="142" t="n">
        <f aca="false">VLOOKUP($A207,Table1,MATCH(I$3,Curves1,0))</f>
        <v>3.7904</v>
      </c>
      <c r="J207" s="142" t="n">
        <f aca="false">VLOOKUP($A207,Table,MATCH(J$4,Curves,0))</f>
        <v>0.011</v>
      </c>
      <c r="K207" s="143" t="n">
        <f aca="false">J207</f>
        <v>0.011</v>
      </c>
      <c r="L207" s="144" t="n">
        <v>0</v>
      </c>
      <c r="M207" s="142" t="n">
        <f aca="false">VLOOKUP($A207,Table,MATCH(M$4,Curves,0))</f>
        <v>0.015</v>
      </c>
      <c r="N207" s="143" t="n">
        <f aca="false">M207</f>
        <v>0.015</v>
      </c>
      <c r="O207" s="144" t="n">
        <v>0</v>
      </c>
      <c r="P207" s="145"/>
      <c r="Q207" s="144" t="n">
        <f aca="false">M207+J207+G207</f>
        <v>4.013</v>
      </c>
      <c r="R207" s="144" t="n">
        <f aca="false">O207+L207+I207</f>
        <v>3.7904</v>
      </c>
      <c r="S207" s="145"/>
      <c r="T207" s="71" t="n">
        <f aca="false">A208-A207</f>
        <v>30</v>
      </c>
      <c r="U207" s="146" t="n">
        <f aca="false">CHOOSE(F$3,A208+24,A207)</f>
        <v>43033</v>
      </c>
      <c r="V207" s="71" t="n">
        <f aca="false">U207-C$3</f>
        <v>6145</v>
      </c>
      <c r="W207" s="142" t="n">
        <f aca="false">VLOOKUP($A207,Table,MATCH(W$4,Curves,0))</f>
        <v>0.058966861357273</v>
      </c>
      <c r="X207" s="147" t="n">
        <f aca="false">1/(1+CHOOSE(F$3,(W208+($K$3/10000))/2,(W207+($K$3/10000))/2))^(2*V207/365.25)</f>
        <v>0.376167600879295</v>
      </c>
      <c r="Y207" s="71" t="n">
        <f aca="false">IF(AND(mthbeg&lt;=A207,mthend&gt;=A207),1,0)</f>
        <v>0</v>
      </c>
      <c r="Z207" s="71" t="n">
        <f aca="false">T207*Y207</f>
        <v>0</v>
      </c>
      <c r="AB207" s="132" t="n">
        <f aca="false">F207*G207</f>
        <v>0</v>
      </c>
      <c r="AC207" s="132" t="n">
        <f aca="false">$F207*H207</f>
        <v>0</v>
      </c>
      <c r="AD207" s="132" t="n">
        <f aca="false">$F207*I207</f>
        <v>0</v>
      </c>
      <c r="AE207" s="132" t="n">
        <f aca="false">$F207*J207</f>
        <v>0</v>
      </c>
      <c r="AF207" s="132" t="n">
        <f aca="false">$F207*K207</f>
        <v>0</v>
      </c>
      <c r="AG207" s="132" t="n">
        <f aca="false">$F207*L207</f>
        <v>0</v>
      </c>
      <c r="AH207" s="132" t="n">
        <f aca="false">$F207*M207</f>
        <v>0</v>
      </c>
      <c r="AI207" s="132" t="n">
        <f aca="false">$F207*N207</f>
        <v>0</v>
      </c>
      <c r="AJ207" s="132" t="n">
        <f aca="false">F207*O207</f>
        <v>0</v>
      </c>
      <c r="AK207" s="137"/>
      <c r="AL207" s="132" t="n">
        <f aca="false">CHOOSE($G$3,AC207-AD207,AD207-AC207)</f>
        <v>0</v>
      </c>
      <c r="AM207" s="132" t="n">
        <f aca="false">CHOOSE($G$3,AF207-AG207,AG207-AF207)</f>
        <v>0</v>
      </c>
      <c r="AN207" s="132" t="n">
        <f aca="false">CHOOSE($G$3,AI207-AJ207,AJ207-AI207)</f>
        <v>0</v>
      </c>
      <c r="AO207" s="148" t="n">
        <f aca="false">SUM(AL207:AN207)</f>
        <v>0</v>
      </c>
      <c r="AQ207" s="132" t="n">
        <f aca="false">CHOOSE($G$3,AB207-AC207,AC207-AB207)</f>
        <v>0</v>
      </c>
      <c r="AR207" s="132" t="n">
        <f aca="false">CHOOSE($G$3,AE207-AF207,AF207-AE207)</f>
        <v>0</v>
      </c>
      <c r="AS207" s="132" t="n">
        <f aca="false">CHOOSE($G$3,AH207-AI207,AI207-AH207)</f>
        <v>0</v>
      </c>
      <c r="AT207" s="148" t="n">
        <f aca="false">AQ207+AR207+AS207</f>
        <v>0</v>
      </c>
      <c r="AU207" s="148"/>
      <c r="AV207" s="133" t="n">
        <f aca="false">AT207+AO207</f>
        <v>0</v>
      </c>
      <c r="AX207" s="133" t="n">
        <f aca="false">AJ207+AG207+AD207</f>
        <v>0</v>
      </c>
      <c r="AY207" s="149"/>
      <c r="AZ207" s="76" t="n">
        <f aca="false">R207*E207</f>
        <v>0</v>
      </c>
    </row>
    <row r="208" customFormat="false" ht="12" hidden="false" customHeight="true" outlineLevel="0" collapsed="false">
      <c r="A208" s="138" t="n">
        <f aca="false">EDATE(A207,1)</f>
        <v>43009</v>
      </c>
      <c r="B208" s="139" t="n">
        <f aca="false">VLOOKUP($A208,Table2,MATCH(I$3,Curves2,0))</f>
        <v>60900</v>
      </c>
      <c r="C208" s="140"/>
      <c r="D208" s="141" t="n">
        <f aca="false">B208+C208</f>
        <v>60900</v>
      </c>
      <c r="E208" s="126" t="n">
        <f aca="false">IF(Y208=0,0,IF(AND(Y208=1,$H$3=1),D208*T208,IF($H$3=2,D208,"N/A")))</f>
        <v>0</v>
      </c>
      <c r="F208" s="126" t="n">
        <f aca="false">E208*X208</f>
        <v>0</v>
      </c>
      <c r="G208" s="142" t="n">
        <f aca="false">VLOOKUP($A208,Table,MATCH(G$4,Curves,0))</f>
        <v>3.987</v>
      </c>
      <c r="H208" s="143" t="n">
        <f aca="false">G208</f>
        <v>3.987</v>
      </c>
      <c r="I208" s="142" t="n">
        <f aca="false">VLOOKUP($A208,Table1,MATCH(I$3,Curves1,0))</f>
        <v>3.7904</v>
      </c>
      <c r="J208" s="142" t="n">
        <f aca="false">VLOOKUP($A208,Table,MATCH(J$4,Curves,0))</f>
        <v>0.011</v>
      </c>
      <c r="K208" s="143" t="n">
        <f aca="false">J208</f>
        <v>0.011</v>
      </c>
      <c r="L208" s="144" t="n">
        <v>0</v>
      </c>
      <c r="M208" s="142" t="n">
        <f aca="false">VLOOKUP($A208,Table,MATCH(M$4,Curves,0))</f>
        <v>0.015</v>
      </c>
      <c r="N208" s="143" t="n">
        <f aca="false">M208</f>
        <v>0.015</v>
      </c>
      <c r="O208" s="144" t="n">
        <v>0</v>
      </c>
      <c r="P208" s="145"/>
      <c r="Q208" s="144" t="n">
        <f aca="false">M208+J208+G208</f>
        <v>4.013</v>
      </c>
      <c r="R208" s="144" t="n">
        <f aca="false">O208+L208+I208</f>
        <v>3.7904</v>
      </c>
      <c r="S208" s="145"/>
      <c r="T208" s="71" t="n">
        <f aca="false">A209-A208</f>
        <v>31</v>
      </c>
      <c r="U208" s="146" t="n">
        <f aca="false">CHOOSE(F$3,A209+24,A208)</f>
        <v>43064</v>
      </c>
      <c r="V208" s="71" t="n">
        <f aca="false">U208-C$3</f>
        <v>6176</v>
      </c>
      <c r="W208" s="142" t="n">
        <f aca="false">VLOOKUP($A208,Table,MATCH(W$4,Curves,0))</f>
        <v>0.058966861357273</v>
      </c>
      <c r="X208" s="147" t="n">
        <f aca="false">1/(1+CHOOSE(F$3,(W209+($K$3/10000))/2,(W208+($K$3/10000))/2))^(2*V208/365.25)</f>
        <v>0.374316776113409</v>
      </c>
      <c r="Y208" s="71" t="n">
        <f aca="false">IF(AND(mthbeg&lt;=A208,mthend&gt;=A208),1,0)</f>
        <v>0</v>
      </c>
      <c r="Z208" s="71" t="n">
        <f aca="false">T208*Y208</f>
        <v>0</v>
      </c>
      <c r="AB208" s="132" t="n">
        <f aca="false">F208*G208</f>
        <v>0</v>
      </c>
      <c r="AC208" s="132" t="n">
        <f aca="false">$F208*H208</f>
        <v>0</v>
      </c>
      <c r="AD208" s="132" t="n">
        <f aca="false">$F208*I208</f>
        <v>0</v>
      </c>
      <c r="AE208" s="132" t="n">
        <f aca="false">$F208*J208</f>
        <v>0</v>
      </c>
      <c r="AF208" s="132" t="n">
        <f aca="false">$F208*K208</f>
        <v>0</v>
      </c>
      <c r="AG208" s="132" t="n">
        <f aca="false">$F208*L208</f>
        <v>0</v>
      </c>
      <c r="AH208" s="132" t="n">
        <f aca="false">$F208*M208</f>
        <v>0</v>
      </c>
      <c r="AI208" s="132" t="n">
        <f aca="false">$F208*N208</f>
        <v>0</v>
      </c>
      <c r="AJ208" s="132" t="n">
        <f aca="false">F208*O208</f>
        <v>0</v>
      </c>
      <c r="AK208" s="137"/>
      <c r="AL208" s="132" t="n">
        <f aca="false">CHOOSE($G$3,AC208-AD208,AD208-AC208)</f>
        <v>0</v>
      </c>
      <c r="AM208" s="132" t="n">
        <f aca="false">CHOOSE($G$3,AF208-AG208,AG208-AF208)</f>
        <v>0</v>
      </c>
      <c r="AN208" s="132" t="n">
        <f aca="false">CHOOSE($G$3,AI208-AJ208,AJ208-AI208)</f>
        <v>0</v>
      </c>
      <c r="AO208" s="148" t="n">
        <f aca="false">SUM(AL208:AN208)</f>
        <v>0</v>
      </c>
      <c r="AQ208" s="132" t="n">
        <f aca="false">CHOOSE($G$3,AB208-AC208,AC208-AB208)</f>
        <v>0</v>
      </c>
      <c r="AR208" s="132" t="n">
        <f aca="false">CHOOSE($G$3,AE208-AF208,AF208-AE208)</f>
        <v>0</v>
      </c>
      <c r="AS208" s="132" t="n">
        <f aca="false">CHOOSE($G$3,AH208-AI208,AI208-AH208)</f>
        <v>0</v>
      </c>
      <c r="AT208" s="148" t="n">
        <f aca="false">AQ208+AR208+AS208</f>
        <v>0</v>
      </c>
      <c r="AU208" s="148"/>
      <c r="AV208" s="133" t="n">
        <f aca="false">AT208+AO208</f>
        <v>0</v>
      </c>
      <c r="AX208" s="133" t="n">
        <f aca="false">AJ208+AG208+AD208</f>
        <v>0</v>
      </c>
      <c r="AY208" s="149"/>
      <c r="AZ208" s="76" t="n">
        <f aca="false">R208*E208</f>
        <v>0</v>
      </c>
    </row>
    <row r="209" customFormat="false" ht="12" hidden="false" customHeight="true" outlineLevel="0" collapsed="false">
      <c r="A209" s="138" t="n">
        <f aca="false">EDATE(A208,1)</f>
        <v>43040</v>
      </c>
      <c r="B209" s="139" t="n">
        <f aca="false">VLOOKUP($A209,Table2,MATCH(I$3,Curves2,0))</f>
        <v>60900</v>
      </c>
      <c r="C209" s="140"/>
      <c r="D209" s="141" t="n">
        <f aca="false">B209+C209</f>
        <v>60900</v>
      </c>
      <c r="E209" s="126" t="n">
        <f aca="false">IF(Y209=0,0,IF(AND(Y209=1,$H$3=1),D209*T209,IF($H$3=2,D209,"N/A")))</f>
        <v>0</v>
      </c>
      <c r="F209" s="126" t="n">
        <f aca="false">E209*X209</f>
        <v>0</v>
      </c>
      <c r="G209" s="142" t="n">
        <f aca="false">VLOOKUP($A209,Table,MATCH(G$4,Curves,0))</f>
        <v>3.987</v>
      </c>
      <c r="H209" s="143" t="n">
        <f aca="false">G209</f>
        <v>3.987</v>
      </c>
      <c r="I209" s="142" t="n">
        <f aca="false">VLOOKUP($A209,Table1,MATCH(I$3,Curves1,0))</f>
        <v>3.7904</v>
      </c>
      <c r="J209" s="142" t="n">
        <f aca="false">VLOOKUP($A209,Table,MATCH(J$4,Curves,0))</f>
        <v>0.011</v>
      </c>
      <c r="K209" s="143" t="n">
        <f aca="false">J209</f>
        <v>0.011</v>
      </c>
      <c r="L209" s="144" t="n">
        <v>0</v>
      </c>
      <c r="M209" s="142" t="n">
        <f aca="false">VLOOKUP($A209,Table,MATCH(M$4,Curves,0))</f>
        <v>0.015</v>
      </c>
      <c r="N209" s="143" t="n">
        <f aca="false">M209</f>
        <v>0.015</v>
      </c>
      <c r="O209" s="144" t="n">
        <v>0</v>
      </c>
      <c r="P209" s="145"/>
      <c r="Q209" s="144" t="n">
        <f aca="false">M209+J209+G209</f>
        <v>4.013</v>
      </c>
      <c r="R209" s="144" t="n">
        <f aca="false">O209+L209+I209</f>
        <v>3.7904</v>
      </c>
      <c r="S209" s="145"/>
      <c r="T209" s="71" t="n">
        <f aca="false">A210-A209</f>
        <v>30</v>
      </c>
      <c r="U209" s="146" t="n">
        <f aca="false">CHOOSE(F$3,A210+24,A209)</f>
        <v>43094</v>
      </c>
      <c r="V209" s="71" t="n">
        <f aca="false">U209-C$3</f>
        <v>6206</v>
      </c>
      <c r="W209" s="142" t="n">
        <f aca="false">VLOOKUP($A209,Table,MATCH(W$4,Curves,0))</f>
        <v>0.058966861357273</v>
      </c>
      <c r="X209" s="147" t="n">
        <f aca="false">1/(1+CHOOSE(F$3,(W210+($K$3/10000))/2,(W209+($K$3/10000))/2))^(2*V209/365.25)</f>
        <v>0.372534326387053</v>
      </c>
      <c r="Y209" s="71" t="n">
        <f aca="false">IF(AND(mthbeg&lt;=A209,mthend&gt;=A209),1,0)</f>
        <v>0</v>
      </c>
      <c r="Z209" s="71" t="n">
        <f aca="false">T209*Y209</f>
        <v>0</v>
      </c>
      <c r="AB209" s="132" t="n">
        <f aca="false">F209*G209</f>
        <v>0</v>
      </c>
      <c r="AC209" s="132" t="n">
        <f aca="false">$F209*H209</f>
        <v>0</v>
      </c>
      <c r="AD209" s="132" t="n">
        <f aca="false">$F209*I209</f>
        <v>0</v>
      </c>
      <c r="AE209" s="132" t="n">
        <f aca="false">$F209*J209</f>
        <v>0</v>
      </c>
      <c r="AF209" s="132" t="n">
        <f aca="false">$F209*K209</f>
        <v>0</v>
      </c>
      <c r="AG209" s="132" t="n">
        <f aca="false">$F209*L209</f>
        <v>0</v>
      </c>
      <c r="AH209" s="132" t="n">
        <f aca="false">$F209*M209</f>
        <v>0</v>
      </c>
      <c r="AI209" s="132" t="n">
        <f aca="false">$F209*N209</f>
        <v>0</v>
      </c>
      <c r="AJ209" s="132" t="n">
        <f aca="false">F209*O209</f>
        <v>0</v>
      </c>
      <c r="AK209" s="137"/>
      <c r="AL209" s="132" t="n">
        <f aca="false">CHOOSE($G$3,AC209-AD209,AD209-AC209)</f>
        <v>0</v>
      </c>
      <c r="AM209" s="132" t="n">
        <f aca="false">CHOOSE($G$3,AF209-AG209,AG209-AF209)</f>
        <v>0</v>
      </c>
      <c r="AN209" s="132" t="n">
        <f aca="false">CHOOSE($G$3,AI209-AJ209,AJ209-AI209)</f>
        <v>0</v>
      </c>
      <c r="AO209" s="148" t="n">
        <f aca="false">SUM(AL209:AN209)</f>
        <v>0</v>
      </c>
      <c r="AQ209" s="132" t="n">
        <f aca="false">CHOOSE($G$3,AB209-AC209,AC209-AB209)</f>
        <v>0</v>
      </c>
      <c r="AR209" s="132" t="n">
        <f aca="false">CHOOSE($G$3,AE209-AF209,AF209-AE209)</f>
        <v>0</v>
      </c>
      <c r="AS209" s="132" t="n">
        <f aca="false">CHOOSE($G$3,AH209-AI209,AI209-AH209)</f>
        <v>0</v>
      </c>
      <c r="AT209" s="148" t="n">
        <f aca="false">AQ209+AR209+AS209</f>
        <v>0</v>
      </c>
      <c r="AU209" s="148"/>
      <c r="AV209" s="133" t="n">
        <f aca="false">AT209+AO209</f>
        <v>0</v>
      </c>
      <c r="AX209" s="133" t="n">
        <f aca="false">AJ209+AG209+AD209</f>
        <v>0</v>
      </c>
      <c r="AY209" s="149"/>
      <c r="AZ209" s="76" t="n">
        <f aca="false">R209*E209</f>
        <v>0</v>
      </c>
    </row>
    <row r="210" customFormat="false" ht="12" hidden="false" customHeight="true" outlineLevel="0" collapsed="false">
      <c r="A210" s="138" t="n">
        <f aca="false">EDATE(A209,1)</f>
        <v>43070</v>
      </c>
      <c r="B210" s="139" t="n">
        <f aca="false">VLOOKUP($A210,Table2,MATCH(I$3,Curves2,0))</f>
        <v>60900</v>
      </c>
      <c r="C210" s="140"/>
      <c r="D210" s="141" t="n">
        <f aca="false">B210+C210</f>
        <v>60900</v>
      </c>
      <c r="E210" s="126" t="n">
        <f aca="false">IF(Y210=0,0,IF(AND(Y210=1,$H$3=1),D210*T210,IF($H$3=2,D210,"N/A")))</f>
        <v>0</v>
      </c>
      <c r="F210" s="126" t="n">
        <f aca="false">E210*X210</f>
        <v>0</v>
      </c>
      <c r="G210" s="142" t="n">
        <f aca="false">VLOOKUP($A210,Table,MATCH(G$4,Curves,0))</f>
        <v>3.987</v>
      </c>
      <c r="H210" s="143" t="n">
        <f aca="false">G210</f>
        <v>3.987</v>
      </c>
      <c r="I210" s="142" t="n">
        <f aca="false">VLOOKUP($A210,Table1,MATCH(I$3,Curves1,0))</f>
        <v>3.7904</v>
      </c>
      <c r="J210" s="142" t="n">
        <f aca="false">VLOOKUP($A210,Table,MATCH(J$4,Curves,0))</f>
        <v>0.011</v>
      </c>
      <c r="K210" s="143" t="n">
        <f aca="false">J210</f>
        <v>0.011</v>
      </c>
      <c r="L210" s="144" t="n">
        <v>0</v>
      </c>
      <c r="M210" s="142" t="n">
        <f aca="false">VLOOKUP($A210,Table,MATCH(M$4,Curves,0))</f>
        <v>0.015</v>
      </c>
      <c r="N210" s="143" t="n">
        <f aca="false">M210</f>
        <v>0.015</v>
      </c>
      <c r="O210" s="144" t="n">
        <v>0</v>
      </c>
      <c r="P210" s="145"/>
      <c r="Q210" s="144" t="n">
        <f aca="false">M210+J210+G210</f>
        <v>4.013</v>
      </c>
      <c r="R210" s="144" t="n">
        <f aca="false">O210+L210+I210</f>
        <v>3.7904</v>
      </c>
      <c r="S210" s="145"/>
      <c r="T210" s="71" t="n">
        <f aca="false">A211-A210</f>
        <v>31</v>
      </c>
      <c r="U210" s="146" t="n">
        <f aca="false">CHOOSE(F$3,A211+24,A210)</f>
        <v>43125</v>
      </c>
      <c r="V210" s="71" t="n">
        <f aca="false">U210-C$3</f>
        <v>6237</v>
      </c>
      <c r="W210" s="142" t="n">
        <f aca="false">VLOOKUP($A210,Table,MATCH(W$4,Curves,0))</f>
        <v>0.058966861357273</v>
      </c>
      <c r="X210" s="147" t="n">
        <f aca="false">1/(1+CHOOSE(F$3,(W211+($K$3/10000))/2,(W210+($K$3/10000))/2))^(2*V210/365.25)</f>
        <v>0.370701378106</v>
      </c>
      <c r="Y210" s="71" t="n">
        <f aca="false">IF(AND(mthbeg&lt;=A210,mthend&gt;=A210),1,0)</f>
        <v>0</v>
      </c>
      <c r="Z210" s="71" t="n">
        <f aca="false">T210*Y210</f>
        <v>0</v>
      </c>
      <c r="AB210" s="132" t="n">
        <f aca="false">F210*G210</f>
        <v>0</v>
      </c>
      <c r="AC210" s="132" t="n">
        <f aca="false">$F210*H210</f>
        <v>0</v>
      </c>
      <c r="AD210" s="132" t="n">
        <f aca="false">$F210*I210</f>
        <v>0</v>
      </c>
      <c r="AE210" s="132" t="n">
        <f aca="false">$F210*J210</f>
        <v>0</v>
      </c>
      <c r="AF210" s="132" t="n">
        <f aca="false">$F210*K210</f>
        <v>0</v>
      </c>
      <c r="AG210" s="132" t="n">
        <f aca="false">$F210*L210</f>
        <v>0</v>
      </c>
      <c r="AH210" s="132" t="n">
        <f aca="false">$F210*M210</f>
        <v>0</v>
      </c>
      <c r="AI210" s="132" t="n">
        <f aca="false">$F210*N210</f>
        <v>0</v>
      </c>
      <c r="AJ210" s="132" t="n">
        <f aca="false">F210*O210</f>
        <v>0</v>
      </c>
      <c r="AK210" s="137"/>
      <c r="AL210" s="132" t="n">
        <f aca="false">CHOOSE($G$3,AC210-AD210,AD210-AC210)</f>
        <v>0</v>
      </c>
      <c r="AM210" s="132" t="n">
        <f aca="false">CHOOSE($G$3,AF210-AG210,AG210-AF210)</f>
        <v>0</v>
      </c>
      <c r="AN210" s="132" t="n">
        <f aca="false">CHOOSE($G$3,AI210-AJ210,AJ210-AI210)</f>
        <v>0</v>
      </c>
      <c r="AO210" s="148" t="n">
        <f aca="false">SUM(AL210:AN210)</f>
        <v>0</v>
      </c>
      <c r="AQ210" s="132" t="n">
        <f aca="false">CHOOSE($G$3,AB210-AC210,AC210-AB210)</f>
        <v>0</v>
      </c>
      <c r="AR210" s="132" t="n">
        <f aca="false">CHOOSE($G$3,AE210-AF210,AF210-AE210)</f>
        <v>0</v>
      </c>
      <c r="AS210" s="132" t="n">
        <f aca="false">CHOOSE($G$3,AH210-AI210,AI210-AH210)</f>
        <v>0</v>
      </c>
      <c r="AT210" s="148" t="n">
        <f aca="false">AQ210+AR210+AS210</f>
        <v>0</v>
      </c>
      <c r="AU210" s="148"/>
      <c r="AV210" s="133" t="n">
        <f aca="false">AT210+AO210</f>
        <v>0</v>
      </c>
      <c r="AX210" s="133" t="n">
        <f aca="false">AJ210+AG210+AD210</f>
        <v>0</v>
      </c>
      <c r="AY210" s="149"/>
      <c r="AZ210" s="76" t="n">
        <f aca="false">R210*E210</f>
        <v>0</v>
      </c>
    </row>
    <row r="211" customFormat="false" ht="12" hidden="false" customHeight="true" outlineLevel="0" collapsed="false">
      <c r="A211" s="138" t="n">
        <f aca="false">EDATE(A210,1)</f>
        <v>43101</v>
      </c>
      <c r="B211" s="139" t="n">
        <f aca="false">VLOOKUP($A211,Table2,MATCH(I$3,Curves2,0))</f>
        <v>60900</v>
      </c>
      <c r="C211" s="140"/>
      <c r="D211" s="141" t="n">
        <f aca="false">B211+C211</f>
        <v>60900</v>
      </c>
      <c r="E211" s="126" t="n">
        <f aca="false">IF(Y211=0,0,IF(AND(Y211=1,$H$3=1),D211*T211,IF($H$3=2,D211,"N/A")))</f>
        <v>0</v>
      </c>
      <c r="F211" s="126" t="n">
        <f aca="false">E211*X211</f>
        <v>0</v>
      </c>
      <c r="G211" s="142" t="n">
        <f aca="false">VLOOKUP($A211,Table,MATCH(G$4,Curves,0))</f>
        <v>3.987</v>
      </c>
      <c r="H211" s="143" t="n">
        <f aca="false">G211</f>
        <v>3.987</v>
      </c>
      <c r="I211" s="142" t="n">
        <f aca="false">VLOOKUP($A211,Table1,MATCH(I$3,Curves1,0))</f>
        <v>3.7904</v>
      </c>
      <c r="J211" s="142" t="n">
        <f aca="false">VLOOKUP($A211,Table,MATCH(J$4,Curves,0))</f>
        <v>0.011</v>
      </c>
      <c r="K211" s="143" t="n">
        <f aca="false">J211</f>
        <v>0.011</v>
      </c>
      <c r="L211" s="144" t="n">
        <v>0</v>
      </c>
      <c r="M211" s="142" t="n">
        <f aca="false">VLOOKUP($A211,Table,MATCH(M$4,Curves,0))</f>
        <v>0.015</v>
      </c>
      <c r="N211" s="143" t="n">
        <f aca="false">M211</f>
        <v>0.015</v>
      </c>
      <c r="O211" s="144" t="n">
        <v>0</v>
      </c>
      <c r="P211" s="145"/>
      <c r="Q211" s="144" t="n">
        <f aca="false">M211+J211+G211</f>
        <v>4.013</v>
      </c>
      <c r="R211" s="144" t="n">
        <f aca="false">O211+L211+I211</f>
        <v>3.7904</v>
      </c>
      <c r="S211" s="145"/>
      <c r="T211" s="71" t="n">
        <f aca="false">A212-A211</f>
        <v>31</v>
      </c>
      <c r="U211" s="146" t="n">
        <f aca="false">CHOOSE(F$3,A212+24,A211)</f>
        <v>43156</v>
      </c>
      <c r="V211" s="71" t="n">
        <f aca="false">U211-C$3</f>
        <v>6268</v>
      </c>
      <c r="W211" s="142" t="n">
        <f aca="false">VLOOKUP($A211,Table,MATCH(W$4,Curves,0))</f>
        <v>0.058966861357273</v>
      </c>
      <c r="X211" s="147" t="n">
        <f aca="false">1/(1+CHOOSE(F$3,(W212+($K$3/10000))/2,(W211+($K$3/10000))/2))^(2*V211/365.25)</f>
        <v>0.368877448321131</v>
      </c>
      <c r="Y211" s="71" t="n">
        <f aca="false">IF(AND(mthbeg&lt;=A211,mthend&gt;=A211),1,0)</f>
        <v>0</v>
      </c>
      <c r="Z211" s="71" t="n">
        <f aca="false">T211*Y211</f>
        <v>0</v>
      </c>
      <c r="AB211" s="132" t="n">
        <f aca="false">F211*G211</f>
        <v>0</v>
      </c>
      <c r="AC211" s="132" t="n">
        <f aca="false">$F211*H211</f>
        <v>0</v>
      </c>
      <c r="AD211" s="132" t="n">
        <f aca="false">$F211*I211</f>
        <v>0</v>
      </c>
      <c r="AE211" s="132" t="n">
        <f aca="false">$F211*J211</f>
        <v>0</v>
      </c>
      <c r="AF211" s="132" t="n">
        <f aca="false">$F211*K211</f>
        <v>0</v>
      </c>
      <c r="AG211" s="132" t="n">
        <f aca="false">$F211*L211</f>
        <v>0</v>
      </c>
      <c r="AH211" s="132" t="n">
        <f aca="false">$F211*M211</f>
        <v>0</v>
      </c>
      <c r="AI211" s="132" t="n">
        <f aca="false">$F211*N211</f>
        <v>0</v>
      </c>
      <c r="AJ211" s="132" t="n">
        <f aca="false">F211*O211</f>
        <v>0</v>
      </c>
      <c r="AK211" s="137"/>
      <c r="AL211" s="132" t="n">
        <f aca="false">CHOOSE($G$3,AC211-AD211,AD211-AC211)</f>
        <v>0</v>
      </c>
      <c r="AM211" s="132" t="n">
        <f aca="false">CHOOSE($G$3,AF211-AG211,AG211-AF211)</f>
        <v>0</v>
      </c>
      <c r="AN211" s="132" t="n">
        <f aca="false">CHOOSE($G$3,AI211-AJ211,AJ211-AI211)</f>
        <v>0</v>
      </c>
      <c r="AO211" s="148" t="n">
        <f aca="false">SUM(AL211:AN211)</f>
        <v>0</v>
      </c>
      <c r="AQ211" s="132" t="n">
        <f aca="false">CHOOSE($G$3,AB211-AC211,AC211-AB211)</f>
        <v>0</v>
      </c>
      <c r="AR211" s="132" t="n">
        <f aca="false">CHOOSE($G$3,AE211-AF211,AF211-AE211)</f>
        <v>0</v>
      </c>
      <c r="AS211" s="132" t="n">
        <f aca="false">CHOOSE($G$3,AH211-AI211,AI211-AH211)</f>
        <v>0</v>
      </c>
      <c r="AT211" s="148" t="n">
        <f aca="false">AQ211+AR211+AS211</f>
        <v>0</v>
      </c>
      <c r="AU211" s="148"/>
      <c r="AV211" s="133" t="n">
        <f aca="false">AT211+AO211</f>
        <v>0</v>
      </c>
      <c r="AX211" s="133" t="n">
        <f aca="false">AJ211+AG211+AD211</f>
        <v>0</v>
      </c>
      <c r="AY211" s="149"/>
      <c r="AZ211" s="76" t="n">
        <f aca="false">R211*E211</f>
        <v>0</v>
      </c>
    </row>
    <row r="212" customFormat="false" ht="12" hidden="false" customHeight="true" outlineLevel="0" collapsed="false">
      <c r="A212" s="138" t="n">
        <f aca="false">EDATE(A211,1)</f>
        <v>43132</v>
      </c>
      <c r="B212" s="139" t="n">
        <f aca="false">VLOOKUP($A212,Table2,MATCH(I$3,Curves2,0))</f>
        <v>60900</v>
      </c>
      <c r="C212" s="140"/>
      <c r="D212" s="141" t="n">
        <f aca="false">B212+C212</f>
        <v>60900</v>
      </c>
      <c r="E212" s="126" t="n">
        <f aca="false">IF(Y212=0,0,IF(AND(Y212=1,$H$3=1),D212*T212,IF($H$3=2,D212,"N/A")))</f>
        <v>0</v>
      </c>
      <c r="F212" s="126" t="n">
        <f aca="false">E212*X212</f>
        <v>0</v>
      </c>
      <c r="G212" s="142" t="n">
        <f aca="false">VLOOKUP($A212,Table,MATCH(G$4,Curves,0))</f>
        <v>3.987</v>
      </c>
      <c r="H212" s="143" t="n">
        <f aca="false">G212</f>
        <v>3.987</v>
      </c>
      <c r="I212" s="142" t="n">
        <f aca="false">VLOOKUP($A212,Table1,MATCH(I$3,Curves1,0))</f>
        <v>3.7904</v>
      </c>
      <c r="J212" s="142" t="n">
        <f aca="false">VLOOKUP($A212,Table,MATCH(J$4,Curves,0))</f>
        <v>0.011</v>
      </c>
      <c r="K212" s="143" t="n">
        <f aca="false">J212</f>
        <v>0.011</v>
      </c>
      <c r="L212" s="144" t="n">
        <v>0</v>
      </c>
      <c r="M212" s="142" t="n">
        <f aca="false">VLOOKUP($A212,Table,MATCH(M$4,Curves,0))</f>
        <v>0.015</v>
      </c>
      <c r="N212" s="143" t="n">
        <f aca="false">M212</f>
        <v>0.015</v>
      </c>
      <c r="O212" s="144" t="n">
        <v>0</v>
      </c>
      <c r="P212" s="145"/>
      <c r="Q212" s="144" t="n">
        <f aca="false">M212+J212+G212</f>
        <v>4.013</v>
      </c>
      <c r="R212" s="144" t="n">
        <f aca="false">O212+L212+I212</f>
        <v>3.7904</v>
      </c>
      <c r="S212" s="145"/>
      <c r="T212" s="71" t="n">
        <f aca="false">A213-A212</f>
        <v>28</v>
      </c>
      <c r="U212" s="146" t="n">
        <f aca="false">CHOOSE(F$3,A213+24,A212)</f>
        <v>43184</v>
      </c>
      <c r="V212" s="71" t="n">
        <f aca="false">U212-C$3</f>
        <v>6296</v>
      </c>
      <c r="W212" s="142" t="n">
        <f aca="false">VLOOKUP($A212,Table,MATCH(W$4,Curves,0))</f>
        <v>0.058966861357273</v>
      </c>
      <c r="X212" s="147" t="n">
        <f aca="false">1/(1+CHOOSE(F$3,(W213+($K$3/10000))/2,(W212+($K$3/10000))/2))^(2*V212/365.25)</f>
        <v>0.367237742546567</v>
      </c>
      <c r="Y212" s="71" t="n">
        <f aca="false">IF(AND(mthbeg&lt;=A212,mthend&gt;=A212),1,0)</f>
        <v>0</v>
      </c>
      <c r="Z212" s="71" t="n">
        <f aca="false">T212*Y212</f>
        <v>0</v>
      </c>
      <c r="AB212" s="132" t="n">
        <f aca="false">F212*G212</f>
        <v>0</v>
      </c>
      <c r="AC212" s="132" t="n">
        <f aca="false">$F212*H212</f>
        <v>0</v>
      </c>
      <c r="AD212" s="132" t="n">
        <f aca="false">$F212*I212</f>
        <v>0</v>
      </c>
      <c r="AE212" s="132" t="n">
        <f aca="false">$F212*J212</f>
        <v>0</v>
      </c>
      <c r="AF212" s="132" t="n">
        <f aca="false">$F212*K212</f>
        <v>0</v>
      </c>
      <c r="AG212" s="132" t="n">
        <f aca="false">$F212*L212</f>
        <v>0</v>
      </c>
      <c r="AH212" s="132" t="n">
        <f aca="false">$F212*M212</f>
        <v>0</v>
      </c>
      <c r="AI212" s="132" t="n">
        <f aca="false">$F212*N212</f>
        <v>0</v>
      </c>
      <c r="AJ212" s="132" t="n">
        <f aca="false">F212*O212</f>
        <v>0</v>
      </c>
      <c r="AK212" s="137"/>
      <c r="AL212" s="132" t="n">
        <f aca="false">CHOOSE($G$3,AC212-AD212,AD212-AC212)</f>
        <v>0</v>
      </c>
      <c r="AM212" s="132" t="n">
        <f aca="false">CHOOSE($G$3,AF212-AG212,AG212-AF212)</f>
        <v>0</v>
      </c>
      <c r="AN212" s="132" t="n">
        <f aca="false">CHOOSE($G$3,AI212-AJ212,AJ212-AI212)</f>
        <v>0</v>
      </c>
      <c r="AO212" s="148" t="n">
        <f aca="false">SUM(AL212:AN212)</f>
        <v>0</v>
      </c>
      <c r="AQ212" s="132" t="n">
        <f aca="false">CHOOSE($G$3,AB212-AC212,AC212-AB212)</f>
        <v>0</v>
      </c>
      <c r="AR212" s="132" t="n">
        <f aca="false">CHOOSE($G$3,AE212-AF212,AF212-AE212)</f>
        <v>0</v>
      </c>
      <c r="AS212" s="132" t="n">
        <f aca="false">CHOOSE($G$3,AH212-AI212,AI212-AH212)</f>
        <v>0</v>
      </c>
      <c r="AT212" s="148" t="n">
        <f aca="false">AQ212+AR212+AS212</f>
        <v>0</v>
      </c>
      <c r="AU212" s="148"/>
      <c r="AV212" s="133" t="n">
        <f aca="false">AT212+AO212</f>
        <v>0</v>
      </c>
      <c r="AX212" s="133" t="n">
        <f aca="false">AJ212+AG212+AD212</f>
        <v>0</v>
      </c>
      <c r="AY212" s="149"/>
      <c r="AZ212" s="76" t="n">
        <f aca="false">R212*E212</f>
        <v>0</v>
      </c>
    </row>
    <row r="213" customFormat="false" ht="12" hidden="false" customHeight="true" outlineLevel="0" collapsed="false">
      <c r="A213" s="138" t="n">
        <f aca="false">EDATE(A212,1)</f>
        <v>43160</v>
      </c>
      <c r="B213" s="139" t="n">
        <f aca="false">VLOOKUP($A213,Table2,MATCH(I$3,Curves2,0))</f>
        <v>60900</v>
      </c>
      <c r="C213" s="140"/>
      <c r="D213" s="141" t="n">
        <f aca="false">B213+C213</f>
        <v>60900</v>
      </c>
      <c r="E213" s="126" t="n">
        <f aca="false">IF(Y213=0,0,IF(AND(Y213=1,$H$3=1),D213*T213,IF($H$3=2,D213,"N/A")))</f>
        <v>0</v>
      </c>
      <c r="F213" s="126" t="n">
        <f aca="false">E213*X213</f>
        <v>0</v>
      </c>
      <c r="G213" s="142" t="n">
        <f aca="false">VLOOKUP($A213,Table,MATCH(G$4,Curves,0))</f>
        <v>3.987</v>
      </c>
      <c r="H213" s="143" t="n">
        <f aca="false">G213</f>
        <v>3.987</v>
      </c>
      <c r="I213" s="142" t="n">
        <f aca="false">VLOOKUP($A213,Table1,MATCH(I$3,Curves1,0))</f>
        <v>3.7904</v>
      </c>
      <c r="J213" s="142" t="n">
        <f aca="false">VLOOKUP($A213,Table,MATCH(J$4,Curves,0))</f>
        <v>0.011</v>
      </c>
      <c r="K213" s="143" t="n">
        <f aca="false">J213</f>
        <v>0.011</v>
      </c>
      <c r="L213" s="144" t="n">
        <v>0</v>
      </c>
      <c r="M213" s="142" t="n">
        <f aca="false">VLOOKUP($A213,Table,MATCH(M$4,Curves,0))</f>
        <v>0.015</v>
      </c>
      <c r="N213" s="143" t="n">
        <f aca="false">M213</f>
        <v>0.015</v>
      </c>
      <c r="O213" s="144" t="n">
        <v>0</v>
      </c>
      <c r="P213" s="145"/>
      <c r="Q213" s="144" t="n">
        <f aca="false">M213+J213+G213</f>
        <v>4.013</v>
      </c>
      <c r="R213" s="144" t="n">
        <f aca="false">O213+L213+I213</f>
        <v>3.7904</v>
      </c>
      <c r="S213" s="145"/>
      <c r="T213" s="71" t="n">
        <f aca="false">A214-A213</f>
        <v>31</v>
      </c>
      <c r="U213" s="146" t="n">
        <f aca="false">CHOOSE(F$3,A214+24,A213)</f>
        <v>43215</v>
      </c>
      <c r="V213" s="71" t="n">
        <f aca="false">U213-C$3</f>
        <v>6327</v>
      </c>
      <c r="W213" s="142" t="n">
        <f aca="false">VLOOKUP($A213,Table,MATCH(W$4,Curves,0))</f>
        <v>0.058966861357273</v>
      </c>
      <c r="X213" s="147" t="n">
        <f aca="false">1/(1+CHOOSE(F$3,(W214+($K$3/10000))/2,(W213+($K$3/10000))/2))^(2*V213/365.25)</f>
        <v>0.365430854586828</v>
      </c>
      <c r="Y213" s="71" t="n">
        <f aca="false">IF(AND(mthbeg&lt;=A213,mthend&gt;=A213),1,0)</f>
        <v>0</v>
      </c>
      <c r="Z213" s="71" t="n">
        <f aca="false">T213*Y213</f>
        <v>0</v>
      </c>
      <c r="AB213" s="132" t="n">
        <f aca="false">F213*G213</f>
        <v>0</v>
      </c>
      <c r="AC213" s="132" t="n">
        <f aca="false">$F213*H213</f>
        <v>0</v>
      </c>
      <c r="AD213" s="132" t="n">
        <f aca="false">$F213*I213</f>
        <v>0</v>
      </c>
      <c r="AE213" s="132" t="n">
        <f aca="false">$F213*J213</f>
        <v>0</v>
      </c>
      <c r="AF213" s="132" t="n">
        <f aca="false">$F213*K213</f>
        <v>0</v>
      </c>
      <c r="AG213" s="132" t="n">
        <f aca="false">$F213*L213</f>
        <v>0</v>
      </c>
      <c r="AH213" s="132" t="n">
        <f aca="false">$F213*M213</f>
        <v>0</v>
      </c>
      <c r="AI213" s="132" t="n">
        <f aca="false">$F213*N213</f>
        <v>0</v>
      </c>
      <c r="AJ213" s="132" t="n">
        <f aca="false">F213*O213</f>
        <v>0</v>
      </c>
      <c r="AK213" s="137"/>
      <c r="AL213" s="132" t="n">
        <f aca="false">CHOOSE($G$3,AC213-AD213,AD213-AC213)</f>
        <v>0</v>
      </c>
      <c r="AM213" s="132" t="n">
        <f aca="false">CHOOSE($G$3,AF213-AG213,AG213-AF213)</f>
        <v>0</v>
      </c>
      <c r="AN213" s="132" t="n">
        <f aca="false">CHOOSE($G$3,AI213-AJ213,AJ213-AI213)</f>
        <v>0</v>
      </c>
      <c r="AO213" s="148" t="n">
        <f aca="false">SUM(AL213:AN213)</f>
        <v>0</v>
      </c>
      <c r="AQ213" s="132" t="n">
        <f aca="false">CHOOSE($G$3,AB213-AC213,AC213-AB213)</f>
        <v>0</v>
      </c>
      <c r="AR213" s="132" t="n">
        <f aca="false">CHOOSE($G$3,AE213-AF213,AF213-AE213)</f>
        <v>0</v>
      </c>
      <c r="AS213" s="132" t="n">
        <f aca="false">CHOOSE($G$3,AH213-AI213,AI213-AH213)</f>
        <v>0</v>
      </c>
      <c r="AT213" s="148" t="n">
        <f aca="false">AQ213+AR213+AS213</f>
        <v>0</v>
      </c>
      <c r="AU213" s="148"/>
      <c r="AV213" s="133" t="n">
        <f aca="false">AT213+AO213</f>
        <v>0</v>
      </c>
      <c r="AX213" s="133" t="n">
        <f aca="false">AJ213+AG213+AD213</f>
        <v>0</v>
      </c>
      <c r="AY213" s="149"/>
      <c r="AZ213" s="76" t="n">
        <f aca="false">R213*E213</f>
        <v>0</v>
      </c>
    </row>
    <row r="214" customFormat="false" ht="12" hidden="false" customHeight="true" outlineLevel="0" collapsed="false">
      <c r="A214" s="138" t="n">
        <f aca="false">EDATE(A213,1)</f>
        <v>43191</v>
      </c>
      <c r="B214" s="139" t="n">
        <f aca="false">VLOOKUP($A214,Table2,MATCH(I$3,Curves2,0))</f>
        <v>60900</v>
      </c>
      <c r="C214" s="140"/>
      <c r="D214" s="141" t="n">
        <f aca="false">B214+C214</f>
        <v>60900</v>
      </c>
      <c r="E214" s="126" t="n">
        <f aca="false">IF(Y214=0,0,IF(AND(Y214=1,$H$3=1),D214*T214,IF($H$3=2,D214,"N/A")))</f>
        <v>0</v>
      </c>
      <c r="F214" s="126" t="n">
        <f aca="false">E214*X214</f>
        <v>0</v>
      </c>
      <c r="G214" s="142" t="n">
        <f aca="false">VLOOKUP($A214,Table,MATCH(G$4,Curves,0))</f>
        <v>3.987</v>
      </c>
      <c r="H214" s="143" t="n">
        <f aca="false">G214</f>
        <v>3.987</v>
      </c>
      <c r="I214" s="142" t="n">
        <f aca="false">VLOOKUP($A214,Table1,MATCH(I$3,Curves1,0))</f>
        <v>3.7904</v>
      </c>
      <c r="J214" s="142" t="n">
        <f aca="false">VLOOKUP($A214,Table,MATCH(J$4,Curves,0))</f>
        <v>0.011</v>
      </c>
      <c r="K214" s="143" t="n">
        <f aca="false">J214</f>
        <v>0.011</v>
      </c>
      <c r="L214" s="144" t="n">
        <v>0</v>
      </c>
      <c r="M214" s="142" t="n">
        <f aca="false">VLOOKUP($A214,Table,MATCH(M$4,Curves,0))</f>
        <v>0.015</v>
      </c>
      <c r="N214" s="143" t="n">
        <f aca="false">M214</f>
        <v>0.015</v>
      </c>
      <c r="O214" s="144" t="n">
        <v>0</v>
      </c>
      <c r="P214" s="145"/>
      <c r="Q214" s="144" t="n">
        <f aca="false">M214+J214+G214</f>
        <v>4.013</v>
      </c>
      <c r="R214" s="144" t="n">
        <f aca="false">O214+L214+I214</f>
        <v>3.7904</v>
      </c>
      <c r="S214" s="145"/>
      <c r="T214" s="71" t="n">
        <f aca="false">A215-A214</f>
        <v>30</v>
      </c>
      <c r="U214" s="146" t="n">
        <f aca="false">CHOOSE(F$3,A215+24,A214)</f>
        <v>43245</v>
      </c>
      <c r="V214" s="71" t="n">
        <f aca="false">U214-C$3</f>
        <v>6357</v>
      </c>
      <c r="W214" s="142" t="n">
        <f aca="false">VLOOKUP($A214,Table,MATCH(W$4,Curves,0))</f>
        <v>0.058966861357273</v>
      </c>
      <c r="X214" s="147" t="n">
        <f aca="false">1/(1+CHOOSE(F$3,(W215+($K$3/10000))/2,(W214+($K$3/10000))/2))^(2*V214/365.25)</f>
        <v>0.363690718508708</v>
      </c>
      <c r="Y214" s="71" t="n">
        <f aca="false">IF(AND(mthbeg&lt;=A214,mthend&gt;=A214),1,0)</f>
        <v>0</v>
      </c>
      <c r="Z214" s="71" t="n">
        <f aca="false">T214*Y214</f>
        <v>0</v>
      </c>
      <c r="AB214" s="132" t="n">
        <f aca="false">F214*G214</f>
        <v>0</v>
      </c>
      <c r="AC214" s="132" t="n">
        <f aca="false">$F214*H214</f>
        <v>0</v>
      </c>
      <c r="AD214" s="132" t="n">
        <f aca="false">$F214*I214</f>
        <v>0</v>
      </c>
      <c r="AE214" s="132" t="n">
        <f aca="false">$F214*J214</f>
        <v>0</v>
      </c>
      <c r="AF214" s="132" t="n">
        <f aca="false">$F214*K214</f>
        <v>0</v>
      </c>
      <c r="AG214" s="132" t="n">
        <f aca="false">$F214*L214</f>
        <v>0</v>
      </c>
      <c r="AH214" s="132" t="n">
        <f aca="false">$F214*M214</f>
        <v>0</v>
      </c>
      <c r="AI214" s="132" t="n">
        <f aca="false">$F214*N214</f>
        <v>0</v>
      </c>
      <c r="AJ214" s="132" t="n">
        <f aca="false">F214*O214</f>
        <v>0</v>
      </c>
      <c r="AK214" s="137"/>
      <c r="AL214" s="132" t="n">
        <f aca="false">CHOOSE($G$3,AC214-AD214,AD214-AC214)</f>
        <v>0</v>
      </c>
      <c r="AM214" s="132" t="n">
        <f aca="false">CHOOSE($G$3,AF214-AG214,AG214-AF214)</f>
        <v>0</v>
      </c>
      <c r="AN214" s="132" t="n">
        <f aca="false">CHOOSE($G$3,AI214-AJ214,AJ214-AI214)</f>
        <v>0</v>
      </c>
      <c r="AO214" s="148" t="n">
        <f aca="false">SUM(AL214:AN214)</f>
        <v>0</v>
      </c>
      <c r="AQ214" s="132" t="n">
        <f aca="false">CHOOSE($G$3,AB214-AC214,AC214-AB214)</f>
        <v>0</v>
      </c>
      <c r="AR214" s="132" t="n">
        <f aca="false">CHOOSE($G$3,AE214-AF214,AF214-AE214)</f>
        <v>0</v>
      </c>
      <c r="AS214" s="132" t="n">
        <f aca="false">CHOOSE($G$3,AH214-AI214,AI214-AH214)</f>
        <v>0</v>
      </c>
      <c r="AT214" s="148" t="n">
        <f aca="false">AQ214+AR214+AS214</f>
        <v>0</v>
      </c>
      <c r="AU214" s="148"/>
      <c r="AV214" s="133" t="n">
        <f aca="false">AT214+AO214</f>
        <v>0</v>
      </c>
      <c r="AX214" s="133" t="n">
        <f aca="false">AJ214+AG214+AD214</f>
        <v>0</v>
      </c>
      <c r="AY214" s="149"/>
      <c r="AZ214" s="76" t="n">
        <f aca="false">R214*E214</f>
        <v>0</v>
      </c>
    </row>
    <row r="215" customFormat="false" ht="12" hidden="false" customHeight="true" outlineLevel="0" collapsed="false">
      <c r="A215" s="138" t="n">
        <f aca="false">EDATE(A214,1)</f>
        <v>43221</v>
      </c>
      <c r="B215" s="139" t="n">
        <f aca="false">VLOOKUP($A215,Table2,MATCH(I$3,Curves2,0))</f>
        <v>60900</v>
      </c>
      <c r="C215" s="140"/>
      <c r="D215" s="141" t="n">
        <f aca="false">B215+C215</f>
        <v>60900</v>
      </c>
      <c r="E215" s="126" t="n">
        <f aca="false">IF(Y215=0,0,IF(AND(Y215=1,$H$3=1),D215*T215,IF($H$3=2,D215,"N/A")))</f>
        <v>0</v>
      </c>
      <c r="F215" s="126" t="n">
        <f aca="false">E215*X215</f>
        <v>0</v>
      </c>
      <c r="G215" s="142" t="n">
        <f aca="false">VLOOKUP($A215,Table,MATCH(G$4,Curves,0))</f>
        <v>3.987</v>
      </c>
      <c r="H215" s="143" t="n">
        <f aca="false">G215</f>
        <v>3.987</v>
      </c>
      <c r="I215" s="142" t="n">
        <f aca="false">VLOOKUP($A215,Table1,MATCH(I$3,Curves1,0))</f>
        <v>3.7904</v>
      </c>
      <c r="J215" s="142" t="n">
        <f aca="false">VLOOKUP($A215,Table,MATCH(J$4,Curves,0))</f>
        <v>0.011</v>
      </c>
      <c r="K215" s="143" t="n">
        <f aca="false">J215</f>
        <v>0.011</v>
      </c>
      <c r="L215" s="144" t="n">
        <v>0</v>
      </c>
      <c r="M215" s="142" t="n">
        <f aca="false">VLOOKUP($A215,Table,MATCH(M$4,Curves,0))</f>
        <v>0.015</v>
      </c>
      <c r="N215" s="143" t="n">
        <f aca="false">M215</f>
        <v>0.015</v>
      </c>
      <c r="O215" s="144" t="n">
        <v>0</v>
      </c>
      <c r="P215" s="145"/>
      <c r="Q215" s="144" t="n">
        <f aca="false">M215+J215+G215</f>
        <v>4.013</v>
      </c>
      <c r="R215" s="144" t="n">
        <f aca="false">O215+L215+I215</f>
        <v>3.7904</v>
      </c>
      <c r="S215" s="145"/>
      <c r="T215" s="71" t="n">
        <f aca="false">A216-A215</f>
        <v>31</v>
      </c>
      <c r="U215" s="146" t="n">
        <f aca="false">CHOOSE(F$3,A216+24,A215)</f>
        <v>43276</v>
      </c>
      <c r="V215" s="71" t="n">
        <f aca="false">U215-C$3</f>
        <v>6388</v>
      </c>
      <c r="W215" s="142" t="n">
        <f aca="false">VLOOKUP($A215,Table,MATCH(W$4,Curves,0))</f>
        <v>0.058966861357273</v>
      </c>
      <c r="X215" s="147" t="n">
        <f aca="false">1/(1+CHOOSE(F$3,(W216+($K$3/10000))/2,(W215+($K$3/10000))/2))^(2*V215/365.25)</f>
        <v>0.361901282663183</v>
      </c>
      <c r="Y215" s="71" t="n">
        <f aca="false">IF(AND(mthbeg&lt;=A215,mthend&gt;=A215),1,0)</f>
        <v>0</v>
      </c>
      <c r="Z215" s="71" t="n">
        <f aca="false">T215*Y215</f>
        <v>0</v>
      </c>
      <c r="AB215" s="132" t="n">
        <f aca="false">F215*G215</f>
        <v>0</v>
      </c>
      <c r="AC215" s="132" t="n">
        <f aca="false">$F215*H215</f>
        <v>0</v>
      </c>
      <c r="AD215" s="132" t="n">
        <f aca="false">$F215*I215</f>
        <v>0</v>
      </c>
      <c r="AE215" s="132" t="n">
        <f aca="false">$F215*J215</f>
        <v>0</v>
      </c>
      <c r="AF215" s="132" t="n">
        <f aca="false">$F215*K215</f>
        <v>0</v>
      </c>
      <c r="AG215" s="132" t="n">
        <f aca="false">$F215*L215</f>
        <v>0</v>
      </c>
      <c r="AH215" s="132" t="n">
        <f aca="false">$F215*M215</f>
        <v>0</v>
      </c>
      <c r="AI215" s="132" t="n">
        <f aca="false">$F215*N215</f>
        <v>0</v>
      </c>
      <c r="AJ215" s="132" t="n">
        <f aca="false">F215*O215</f>
        <v>0</v>
      </c>
      <c r="AK215" s="137"/>
      <c r="AL215" s="132" t="n">
        <f aca="false">CHOOSE($G$3,AC215-AD215,AD215-AC215)</f>
        <v>0</v>
      </c>
      <c r="AM215" s="132" t="n">
        <f aca="false">CHOOSE($G$3,AF215-AG215,AG215-AF215)</f>
        <v>0</v>
      </c>
      <c r="AN215" s="132" t="n">
        <f aca="false">CHOOSE($G$3,AI215-AJ215,AJ215-AI215)</f>
        <v>0</v>
      </c>
      <c r="AO215" s="148" t="n">
        <f aca="false">SUM(AL215:AN215)</f>
        <v>0</v>
      </c>
      <c r="AQ215" s="132" t="n">
        <f aca="false">CHOOSE($G$3,AB215-AC215,AC215-AB215)</f>
        <v>0</v>
      </c>
      <c r="AR215" s="132" t="n">
        <f aca="false">CHOOSE($G$3,AE215-AF215,AF215-AE215)</f>
        <v>0</v>
      </c>
      <c r="AS215" s="132" t="n">
        <f aca="false">CHOOSE($G$3,AH215-AI215,AI215-AH215)</f>
        <v>0</v>
      </c>
      <c r="AT215" s="148" t="n">
        <f aca="false">AQ215+AR215+AS215</f>
        <v>0</v>
      </c>
      <c r="AU215" s="148"/>
      <c r="AV215" s="133" t="n">
        <f aca="false">AT215+AO215</f>
        <v>0</v>
      </c>
      <c r="AX215" s="133" t="n">
        <f aca="false">AJ215+AG215+AD215</f>
        <v>0</v>
      </c>
      <c r="AY215" s="149"/>
      <c r="AZ215" s="76" t="n">
        <f aca="false">R215*E215</f>
        <v>0</v>
      </c>
    </row>
    <row r="216" customFormat="false" ht="12" hidden="false" customHeight="true" outlineLevel="0" collapsed="false">
      <c r="A216" s="138" t="n">
        <f aca="false">EDATE(A215,1)</f>
        <v>43252</v>
      </c>
      <c r="B216" s="139" t="n">
        <f aca="false">VLOOKUP($A216,Table2,MATCH(I$3,Curves2,0))</f>
        <v>60900</v>
      </c>
      <c r="C216" s="140"/>
      <c r="D216" s="141" t="n">
        <f aca="false">B216+C216</f>
        <v>60900</v>
      </c>
      <c r="E216" s="126" t="n">
        <f aca="false">IF(Y216=0,0,IF(AND(Y216=1,$H$3=1),D216*T216,IF($H$3=2,D216,"N/A")))</f>
        <v>0</v>
      </c>
      <c r="F216" s="126" t="n">
        <f aca="false">E216*X216</f>
        <v>0</v>
      </c>
      <c r="G216" s="142" t="n">
        <f aca="false">VLOOKUP($A216,Table,MATCH(G$4,Curves,0))</f>
        <v>3.987</v>
      </c>
      <c r="H216" s="143" t="n">
        <f aca="false">G216</f>
        <v>3.987</v>
      </c>
      <c r="I216" s="142" t="n">
        <f aca="false">VLOOKUP($A216,Table1,MATCH(I$3,Curves1,0))</f>
        <v>3.7904</v>
      </c>
      <c r="J216" s="142" t="n">
        <f aca="false">VLOOKUP($A216,Table,MATCH(J$4,Curves,0))</f>
        <v>0.011</v>
      </c>
      <c r="K216" s="143" t="n">
        <f aca="false">J216</f>
        <v>0.011</v>
      </c>
      <c r="L216" s="144" t="n">
        <v>0</v>
      </c>
      <c r="M216" s="142" t="n">
        <f aca="false">VLOOKUP($A216,Table,MATCH(M$4,Curves,0))</f>
        <v>0.015</v>
      </c>
      <c r="N216" s="143" t="n">
        <f aca="false">M216</f>
        <v>0.015</v>
      </c>
      <c r="O216" s="144" t="n">
        <v>0</v>
      </c>
      <c r="P216" s="145"/>
      <c r="Q216" s="144" t="n">
        <f aca="false">M216+J216+G216</f>
        <v>4.013</v>
      </c>
      <c r="R216" s="144" t="n">
        <f aca="false">O216+L216+I216</f>
        <v>3.7904</v>
      </c>
      <c r="S216" s="145"/>
      <c r="T216" s="71" t="n">
        <f aca="false">A217-A216</f>
        <v>30</v>
      </c>
      <c r="U216" s="146" t="n">
        <f aca="false">CHOOSE(F$3,A217+24,A216)</f>
        <v>43306</v>
      </c>
      <c r="V216" s="71" t="n">
        <f aca="false">U216-C$3</f>
        <v>6418</v>
      </c>
      <c r="W216" s="142" t="n">
        <f aca="false">VLOOKUP($A216,Table,MATCH(W$4,Curves,0))</f>
        <v>0.058966861357273</v>
      </c>
      <c r="X216" s="147" t="n">
        <f aca="false">1/(1+CHOOSE(F$3,(W217+($K$3/10000))/2,(W216+($K$3/10000))/2))^(2*V216/365.25)</f>
        <v>0.360177953965632</v>
      </c>
      <c r="Y216" s="71" t="n">
        <f aca="false">IF(AND(mthbeg&lt;=A216,mthend&gt;=A216),1,0)</f>
        <v>0</v>
      </c>
      <c r="Z216" s="71" t="n">
        <f aca="false">T216*Y216</f>
        <v>0</v>
      </c>
      <c r="AB216" s="132" t="n">
        <f aca="false">F216*G216</f>
        <v>0</v>
      </c>
      <c r="AC216" s="132" t="n">
        <f aca="false">$F216*H216</f>
        <v>0</v>
      </c>
      <c r="AD216" s="132" t="n">
        <f aca="false">$F216*I216</f>
        <v>0</v>
      </c>
      <c r="AE216" s="132" t="n">
        <f aca="false">$F216*J216</f>
        <v>0</v>
      </c>
      <c r="AF216" s="132" t="n">
        <f aca="false">$F216*K216</f>
        <v>0</v>
      </c>
      <c r="AG216" s="132" t="n">
        <f aca="false">$F216*L216</f>
        <v>0</v>
      </c>
      <c r="AH216" s="132" t="n">
        <f aca="false">$F216*M216</f>
        <v>0</v>
      </c>
      <c r="AI216" s="132" t="n">
        <f aca="false">$F216*N216</f>
        <v>0</v>
      </c>
      <c r="AJ216" s="132" t="n">
        <f aca="false">F216*O216</f>
        <v>0</v>
      </c>
      <c r="AK216" s="137"/>
      <c r="AL216" s="132" t="n">
        <f aca="false">CHOOSE($G$3,AC216-AD216,AD216-AC216)</f>
        <v>0</v>
      </c>
      <c r="AM216" s="132" t="n">
        <f aca="false">CHOOSE($G$3,AF216-AG216,AG216-AF216)</f>
        <v>0</v>
      </c>
      <c r="AN216" s="132" t="n">
        <f aca="false">CHOOSE($G$3,AI216-AJ216,AJ216-AI216)</f>
        <v>0</v>
      </c>
      <c r="AO216" s="148" t="n">
        <f aca="false">SUM(AL216:AN216)</f>
        <v>0</v>
      </c>
      <c r="AQ216" s="132" t="n">
        <f aca="false">CHOOSE($G$3,AB216-AC216,AC216-AB216)</f>
        <v>0</v>
      </c>
      <c r="AR216" s="132" t="n">
        <f aca="false">CHOOSE($G$3,AE216-AF216,AF216-AE216)</f>
        <v>0</v>
      </c>
      <c r="AS216" s="132" t="n">
        <f aca="false">CHOOSE($G$3,AH216-AI216,AI216-AH216)</f>
        <v>0</v>
      </c>
      <c r="AT216" s="148" t="n">
        <f aca="false">AQ216+AR216+AS216</f>
        <v>0</v>
      </c>
      <c r="AU216" s="148"/>
      <c r="AV216" s="133" t="n">
        <f aca="false">AT216+AO216</f>
        <v>0</v>
      </c>
      <c r="AX216" s="133" t="n">
        <f aca="false">AJ216+AG216+AD216</f>
        <v>0</v>
      </c>
      <c r="AY216" s="149"/>
      <c r="AZ216" s="76" t="n">
        <f aca="false">R216*E216</f>
        <v>0</v>
      </c>
    </row>
    <row r="217" customFormat="false" ht="12" hidden="false" customHeight="true" outlineLevel="0" collapsed="false">
      <c r="A217" s="138" t="n">
        <f aca="false">EDATE(A216,1)</f>
        <v>43282</v>
      </c>
      <c r="B217" s="139" t="n">
        <f aca="false">VLOOKUP($A217,Table2,MATCH(I$3,Curves2,0))</f>
        <v>60900</v>
      </c>
      <c r="C217" s="140"/>
      <c r="D217" s="141" t="n">
        <f aca="false">B217+C217</f>
        <v>60900</v>
      </c>
      <c r="E217" s="126" t="n">
        <f aca="false">IF(Y217=0,0,IF(AND(Y217=1,$H$3=1),D217*T217,IF($H$3=2,D217,"N/A")))</f>
        <v>0</v>
      </c>
      <c r="F217" s="126" t="n">
        <f aca="false">E217*X217</f>
        <v>0</v>
      </c>
      <c r="G217" s="142" t="n">
        <f aca="false">VLOOKUP($A217,Table,MATCH(G$4,Curves,0))</f>
        <v>3.987</v>
      </c>
      <c r="H217" s="143" t="n">
        <f aca="false">G217</f>
        <v>3.987</v>
      </c>
      <c r="I217" s="142" t="n">
        <f aca="false">VLOOKUP($A217,Table1,MATCH(I$3,Curves1,0))</f>
        <v>3.7904</v>
      </c>
      <c r="J217" s="142" t="n">
        <f aca="false">VLOOKUP($A217,Table,MATCH(J$4,Curves,0))</f>
        <v>0.011</v>
      </c>
      <c r="K217" s="143" t="n">
        <f aca="false">J217</f>
        <v>0.011</v>
      </c>
      <c r="L217" s="144" t="n">
        <v>0</v>
      </c>
      <c r="M217" s="142" t="n">
        <f aca="false">VLOOKUP($A217,Table,MATCH(M$4,Curves,0))</f>
        <v>0.015</v>
      </c>
      <c r="N217" s="143" t="n">
        <f aca="false">M217</f>
        <v>0.015</v>
      </c>
      <c r="O217" s="144" t="n">
        <v>0</v>
      </c>
      <c r="P217" s="145"/>
      <c r="Q217" s="144" t="n">
        <f aca="false">M217+J217+G217</f>
        <v>4.013</v>
      </c>
      <c r="R217" s="144" t="n">
        <f aca="false">O217+L217+I217</f>
        <v>3.7904</v>
      </c>
      <c r="S217" s="145"/>
      <c r="T217" s="71" t="n">
        <f aca="false">A218-A217</f>
        <v>31</v>
      </c>
      <c r="U217" s="146" t="n">
        <f aca="false">CHOOSE(F$3,A218+24,A217)</f>
        <v>43337</v>
      </c>
      <c r="V217" s="71" t="n">
        <f aca="false">U217-C$3</f>
        <v>6449</v>
      </c>
      <c r="W217" s="142" t="n">
        <f aca="false">VLOOKUP($A217,Table,MATCH(W$4,Curves,0))</f>
        <v>0.058966861357273</v>
      </c>
      <c r="X217" s="147" t="n">
        <f aca="false">1/(1+CHOOSE(F$3,(W218+($K$3/10000))/2,(W217+($K$3/10000))/2))^(2*V217/365.25)</f>
        <v>0.358405801670306</v>
      </c>
      <c r="Y217" s="71" t="n">
        <f aca="false">IF(AND(mthbeg&lt;=A217,mthend&gt;=A217),1,0)</f>
        <v>0</v>
      </c>
      <c r="Z217" s="71" t="n">
        <f aca="false">T217*Y217</f>
        <v>0</v>
      </c>
      <c r="AB217" s="132" t="n">
        <f aca="false">F217*G217</f>
        <v>0</v>
      </c>
      <c r="AC217" s="132" t="n">
        <f aca="false">$F217*H217</f>
        <v>0</v>
      </c>
      <c r="AD217" s="132" t="n">
        <f aca="false">$F217*I217</f>
        <v>0</v>
      </c>
      <c r="AE217" s="132" t="n">
        <f aca="false">$F217*J217</f>
        <v>0</v>
      </c>
      <c r="AF217" s="132" t="n">
        <f aca="false">$F217*K217</f>
        <v>0</v>
      </c>
      <c r="AG217" s="132" t="n">
        <f aca="false">$F217*L217</f>
        <v>0</v>
      </c>
      <c r="AH217" s="132" t="n">
        <f aca="false">$F217*M217</f>
        <v>0</v>
      </c>
      <c r="AI217" s="132" t="n">
        <f aca="false">$F217*N217</f>
        <v>0</v>
      </c>
      <c r="AJ217" s="132" t="n">
        <f aca="false">F217*O217</f>
        <v>0</v>
      </c>
      <c r="AK217" s="137"/>
      <c r="AL217" s="132" t="n">
        <f aca="false">CHOOSE($G$3,AC217-AD217,AD217-AC217)</f>
        <v>0</v>
      </c>
      <c r="AM217" s="132" t="n">
        <f aca="false">CHOOSE($G$3,AF217-AG217,AG217-AF217)</f>
        <v>0</v>
      </c>
      <c r="AN217" s="132" t="n">
        <f aca="false">CHOOSE($G$3,AI217-AJ217,AJ217-AI217)</f>
        <v>0</v>
      </c>
      <c r="AO217" s="148" t="n">
        <f aca="false">SUM(AL217:AN217)</f>
        <v>0</v>
      </c>
      <c r="AQ217" s="132" t="n">
        <f aca="false">CHOOSE($G$3,AB217-AC217,AC217-AB217)</f>
        <v>0</v>
      </c>
      <c r="AR217" s="132" t="n">
        <f aca="false">CHOOSE($G$3,AE217-AF217,AF217-AE217)</f>
        <v>0</v>
      </c>
      <c r="AS217" s="132" t="n">
        <f aca="false">CHOOSE($G$3,AH217-AI217,AI217-AH217)</f>
        <v>0</v>
      </c>
      <c r="AT217" s="148" t="n">
        <f aca="false">AQ217+AR217+AS217</f>
        <v>0</v>
      </c>
      <c r="AU217" s="148"/>
      <c r="AV217" s="133" t="n">
        <f aca="false">AT217+AO217</f>
        <v>0</v>
      </c>
      <c r="AX217" s="133" t="n">
        <f aca="false">AJ217+AG217+AD217</f>
        <v>0</v>
      </c>
      <c r="AY217" s="149"/>
      <c r="AZ217" s="76" t="n">
        <f aca="false">R217*E217</f>
        <v>0</v>
      </c>
    </row>
    <row r="218" customFormat="false" ht="12" hidden="false" customHeight="true" outlineLevel="0" collapsed="false">
      <c r="A218" s="138" t="n">
        <f aca="false">EDATE(A217,1)</f>
        <v>43313</v>
      </c>
      <c r="B218" s="139" t="n">
        <f aca="false">VLOOKUP($A218,Table2,MATCH(I$3,Curves2,0))</f>
        <v>60900</v>
      </c>
      <c r="C218" s="140"/>
      <c r="D218" s="141" t="n">
        <f aca="false">B218+C218</f>
        <v>60900</v>
      </c>
      <c r="E218" s="126" t="n">
        <f aca="false">IF(Y218=0,0,IF(AND(Y218=1,$H$3=1),D218*T218,IF($H$3=2,D218,"N/A")))</f>
        <v>0</v>
      </c>
      <c r="F218" s="126" t="n">
        <f aca="false">E218*X218</f>
        <v>0</v>
      </c>
      <c r="G218" s="142" t="n">
        <f aca="false">VLOOKUP($A218,Table,MATCH(G$4,Curves,0))</f>
        <v>3.987</v>
      </c>
      <c r="H218" s="143" t="n">
        <f aca="false">G218</f>
        <v>3.987</v>
      </c>
      <c r="I218" s="142" t="n">
        <f aca="false">VLOOKUP($A218,Table1,MATCH(I$3,Curves1,0))</f>
        <v>3.7904</v>
      </c>
      <c r="J218" s="142" t="n">
        <f aca="false">VLOOKUP($A218,Table,MATCH(J$4,Curves,0))</f>
        <v>0.011</v>
      </c>
      <c r="K218" s="143" t="n">
        <f aca="false">J218</f>
        <v>0.011</v>
      </c>
      <c r="L218" s="144" t="n">
        <v>0</v>
      </c>
      <c r="M218" s="142" t="n">
        <f aca="false">VLOOKUP($A218,Table,MATCH(M$4,Curves,0))</f>
        <v>0.015</v>
      </c>
      <c r="N218" s="143" t="n">
        <f aca="false">M218</f>
        <v>0.015</v>
      </c>
      <c r="O218" s="144" t="n">
        <v>0</v>
      </c>
      <c r="P218" s="145"/>
      <c r="Q218" s="144" t="n">
        <f aca="false">M218+J218+G218</f>
        <v>4.013</v>
      </c>
      <c r="R218" s="144" t="n">
        <f aca="false">O218+L218+I218</f>
        <v>3.7904</v>
      </c>
      <c r="S218" s="145"/>
      <c r="T218" s="71" t="n">
        <f aca="false">A219-A218</f>
        <v>31</v>
      </c>
      <c r="U218" s="146" t="n">
        <f aca="false">CHOOSE(F$3,A219+24,A218)</f>
        <v>43368</v>
      </c>
      <c r="V218" s="71" t="n">
        <f aca="false">U218-C$3</f>
        <v>6480</v>
      </c>
      <c r="W218" s="142" t="n">
        <f aca="false">VLOOKUP($A218,Table,MATCH(W$4,Curves,0))</f>
        <v>0.058966861357273</v>
      </c>
      <c r="X218" s="147" t="n">
        <f aca="false">1/(1+CHOOSE(F$3,(W219+($K$3/10000))/2,(W218+($K$3/10000))/2))^(2*V218/365.25)</f>
        <v>0.356642368741957</v>
      </c>
      <c r="Y218" s="71" t="n">
        <f aca="false">IF(AND(mthbeg&lt;=A218,mthend&gt;=A218),1,0)</f>
        <v>0</v>
      </c>
      <c r="Z218" s="71" t="n">
        <f aca="false">T218*Y218</f>
        <v>0</v>
      </c>
      <c r="AB218" s="132" t="n">
        <f aca="false">F218*G218</f>
        <v>0</v>
      </c>
      <c r="AC218" s="132" t="n">
        <f aca="false">$F218*H218</f>
        <v>0</v>
      </c>
      <c r="AD218" s="132" t="n">
        <f aca="false">$F218*I218</f>
        <v>0</v>
      </c>
      <c r="AE218" s="132" t="n">
        <f aca="false">$F218*J218</f>
        <v>0</v>
      </c>
      <c r="AF218" s="132" t="n">
        <f aca="false">$F218*K218</f>
        <v>0</v>
      </c>
      <c r="AG218" s="132" t="n">
        <f aca="false">$F218*L218</f>
        <v>0</v>
      </c>
      <c r="AH218" s="132" t="n">
        <f aca="false">$F218*M218</f>
        <v>0</v>
      </c>
      <c r="AI218" s="132" t="n">
        <f aca="false">$F218*N218</f>
        <v>0</v>
      </c>
      <c r="AJ218" s="132" t="n">
        <f aca="false">F218*O218</f>
        <v>0</v>
      </c>
      <c r="AK218" s="137"/>
      <c r="AL218" s="132" t="n">
        <f aca="false">CHOOSE($G$3,AC218-AD218,AD218-AC218)</f>
        <v>0</v>
      </c>
      <c r="AM218" s="132" t="n">
        <f aca="false">CHOOSE($G$3,AF218-AG218,AG218-AF218)</f>
        <v>0</v>
      </c>
      <c r="AN218" s="132" t="n">
        <f aca="false">CHOOSE($G$3,AI218-AJ218,AJ218-AI218)</f>
        <v>0</v>
      </c>
      <c r="AO218" s="148" t="n">
        <f aca="false">SUM(AL218:AN218)</f>
        <v>0</v>
      </c>
      <c r="AQ218" s="132" t="n">
        <f aca="false">CHOOSE($G$3,AB218-AC218,AC218-AB218)</f>
        <v>0</v>
      </c>
      <c r="AR218" s="132" t="n">
        <f aca="false">CHOOSE($G$3,AE218-AF218,AF218-AE218)</f>
        <v>0</v>
      </c>
      <c r="AS218" s="132" t="n">
        <f aca="false">CHOOSE($G$3,AH218-AI218,AI218-AH218)</f>
        <v>0</v>
      </c>
      <c r="AT218" s="148" t="n">
        <f aca="false">AQ218+AR218+AS218</f>
        <v>0</v>
      </c>
      <c r="AU218" s="148"/>
      <c r="AV218" s="133" t="n">
        <f aca="false">AT218+AO218</f>
        <v>0</v>
      </c>
      <c r="AX218" s="133" t="n">
        <f aca="false">AJ218+AG218+AD218</f>
        <v>0</v>
      </c>
      <c r="AY218" s="149"/>
      <c r="AZ218" s="76" t="n">
        <f aca="false">R218*E218</f>
        <v>0</v>
      </c>
    </row>
    <row r="219" customFormat="false" ht="12" hidden="false" customHeight="true" outlineLevel="0" collapsed="false">
      <c r="A219" s="138" t="n">
        <f aca="false">EDATE(A218,1)</f>
        <v>43344</v>
      </c>
      <c r="B219" s="139" t="n">
        <f aca="false">VLOOKUP($A219,Table2,MATCH(I$3,Curves2,0))</f>
        <v>60900</v>
      </c>
      <c r="C219" s="140"/>
      <c r="D219" s="141" t="n">
        <f aca="false">B219+C219</f>
        <v>60900</v>
      </c>
      <c r="E219" s="126" t="n">
        <f aca="false">IF(Y219=0,0,IF(AND(Y219=1,$H$3=1),D219*T219,IF($H$3=2,D219,"N/A")))</f>
        <v>0</v>
      </c>
      <c r="F219" s="126" t="n">
        <f aca="false">E219*X219</f>
        <v>0</v>
      </c>
      <c r="G219" s="142" t="n">
        <f aca="false">VLOOKUP($A219,Table,MATCH(G$4,Curves,0))</f>
        <v>3.987</v>
      </c>
      <c r="H219" s="143" t="n">
        <f aca="false">G219</f>
        <v>3.987</v>
      </c>
      <c r="I219" s="142" t="n">
        <f aca="false">VLOOKUP($A219,Table1,MATCH(I$3,Curves1,0))</f>
        <v>3.7904</v>
      </c>
      <c r="J219" s="142" t="n">
        <f aca="false">VLOOKUP($A219,Table,MATCH(J$4,Curves,0))</f>
        <v>0.011</v>
      </c>
      <c r="K219" s="143" t="n">
        <f aca="false">J219</f>
        <v>0.011</v>
      </c>
      <c r="L219" s="144" t="n">
        <v>0</v>
      </c>
      <c r="M219" s="142" t="n">
        <f aca="false">VLOOKUP($A219,Table,MATCH(M$4,Curves,0))</f>
        <v>0.015</v>
      </c>
      <c r="N219" s="143" t="n">
        <f aca="false">M219</f>
        <v>0.015</v>
      </c>
      <c r="O219" s="144" t="n">
        <v>0</v>
      </c>
      <c r="P219" s="145"/>
      <c r="Q219" s="144" t="n">
        <f aca="false">M219+J219+G219</f>
        <v>4.013</v>
      </c>
      <c r="R219" s="144" t="n">
        <f aca="false">O219+L219+I219</f>
        <v>3.7904</v>
      </c>
      <c r="S219" s="145"/>
      <c r="T219" s="71" t="n">
        <f aca="false">A220-A219</f>
        <v>30</v>
      </c>
      <c r="U219" s="146" t="n">
        <f aca="false">CHOOSE(F$3,A220+24,A219)</f>
        <v>43398</v>
      </c>
      <c r="V219" s="71" t="n">
        <f aca="false">U219-C$3</f>
        <v>6510</v>
      </c>
      <c r="W219" s="142" t="n">
        <f aca="false">VLOOKUP($A219,Table,MATCH(W$4,Curves,0))</f>
        <v>0.058966861357273</v>
      </c>
      <c r="X219" s="147" t="n">
        <f aca="false">1/(1+CHOOSE(F$3,(W220+($K$3/10000))/2,(W219+($K$3/10000))/2))^(2*V219/365.25)</f>
        <v>0.35494408233553</v>
      </c>
      <c r="Y219" s="71" t="n">
        <f aca="false">IF(AND(mthbeg&lt;=A219,mthend&gt;=A219),1,0)</f>
        <v>0</v>
      </c>
      <c r="Z219" s="71" t="n">
        <f aca="false">T219*Y219</f>
        <v>0</v>
      </c>
      <c r="AB219" s="132" t="n">
        <f aca="false">F219*G219</f>
        <v>0</v>
      </c>
      <c r="AC219" s="132" t="n">
        <f aca="false">$F219*H219</f>
        <v>0</v>
      </c>
      <c r="AD219" s="132" t="n">
        <f aca="false">$F219*I219</f>
        <v>0</v>
      </c>
      <c r="AE219" s="132" t="n">
        <f aca="false">$F219*J219</f>
        <v>0</v>
      </c>
      <c r="AF219" s="132" t="n">
        <f aca="false">$F219*K219</f>
        <v>0</v>
      </c>
      <c r="AG219" s="132" t="n">
        <f aca="false">$F219*L219</f>
        <v>0</v>
      </c>
      <c r="AH219" s="132" t="n">
        <f aca="false">$F219*M219</f>
        <v>0</v>
      </c>
      <c r="AI219" s="132" t="n">
        <f aca="false">$F219*N219</f>
        <v>0</v>
      </c>
      <c r="AJ219" s="132" t="n">
        <f aca="false">F219*O219</f>
        <v>0</v>
      </c>
      <c r="AK219" s="137"/>
      <c r="AL219" s="132" t="n">
        <f aca="false">CHOOSE($G$3,AC219-AD219,AD219-AC219)</f>
        <v>0</v>
      </c>
      <c r="AM219" s="132" t="n">
        <f aca="false">CHOOSE($G$3,AF219-AG219,AG219-AF219)</f>
        <v>0</v>
      </c>
      <c r="AN219" s="132" t="n">
        <f aca="false">CHOOSE($G$3,AI219-AJ219,AJ219-AI219)</f>
        <v>0</v>
      </c>
      <c r="AO219" s="148" t="n">
        <f aca="false">SUM(AL219:AN219)</f>
        <v>0</v>
      </c>
      <c r="AQ219" s="132" t="n">
        <f aca="false">CHOOSE($G$3,AB219-AC219,AC219-AB219)</f>
        <v>0</v>
      </c>
      <c r="AR219" s="132" t="n">
        <f aca="false">CHOOSE($G$3,AE219-AF219,AF219-AE219)</f>
        <v>0</v>
      </c>
      <c r="AS219" s="132" t="n">
        <f aca="false">CHOOSE($G$3,AH219-AI219,AI219-AH219)</f>
        <v>0</v>
      </c>
      <c r="AT219" s="148" t="n">
        <f aca="false">AQ219+AR219+AS219</f>
        <v>0</v>
      </c>
      <c r="AU219" s="148"/>
      <c r="AV219" s="133" t="n">
        <f aca="false">AT219+AO219</f>
        <v>0</v>
      </c>
      <c r="AX219" s="133" t="n">
        <f aca="false">AJ219+AG219+AD219</f>
        <v>0</v>
      </c>
      <c r="AY219" s="149"/>
      <c r="AZ219" s="76" t="n">
        <f aca="false">R219*E219</f>
        <v>0</v>
      </c>
    </row>
    <row r="220" customFormat="false" ht="12" hidden="false" customHeight="true" outlineLevel="0" collapsed="false">
      <c r="A220" s="138" t="n">
        <f aca="false">EDATE(A219,1)</f>
        <v>43374</v>
      </c>
      <c r="B220" s="139" t="n">
        <f aca="false">VLOOKUP($A220,Table2,MATCH(I$3,Curves2,0))</f>
        <v>60900</v>
      </c>
      <c r="C220" s="140"/>
      <c r="D220" s="141" t="n">
        <f aca="false">B220+C220</f>
        <v>60900</v>
      </c>
      <c r="E220" s="126" t="n">
        <f aca="false">IF(Y220=0,0,IF(AND(Y220=1,$H$3=1),D220*T220,IF($H$3=2,D220,"N/A")))</f>
        <v>0</v>
      </c>
      <c r="F220" s="126" t="n">
        <f aca="false">E220*X220</f>
        <v>0</v>
      </c>
      <c r="G220" s="142" t="n">
        <f aca="false">VLOOKUP($A220,Table,MATCH(G$4,Curves,0))</f>
        <v>3.987</v>
      </c>
      <c r="H220" s="143" t="n">
        <f aca="false">G220</f>
        <v>3.987</v>
      </c>
      <c r="I220" s="142" t="n">
        <f aca="false">VLOOKUP($A220,Table1,MATCH(I$3,Curves1,0))</f>
        <v>3.7904</v>
      </c>
      <c r="J220" s="142" t="n">
        <f aca="false">VLOOKUP($A220,Table,MATCH(J$4,Curves,0))</f>
        <v>0.011</v>
      </c>
      <c r="K220" s="143" t="n">
        <f aca="false">J220</f>
        <v>0.011</v>
      </c>
      <c r="L220" s="144" t="n">
        <v>0</v>
      </c>
      <c r="M220" s="142" t="n">
        <f aca="false">VLOOKUP($A220,Table,MATCH(M$4,Curves,0))</f>
        <v>0.015</v>
      </c>
      <c r="N220" s="143" t="n">
        <f aca="false">M220</f>
        <v>0.015</v>
      </c>
      <c r="O220" s="144" t="n">
        <v>0</v>
      </c>
      <c r="P220" s="145"/>
      <c r="Q220" s="144" t="n">
        <f aca="false">M220+J220+G220</f>
        <v>4.013</v>
      </c>
      <c r="R220" s="144" t="n">
        <f aca="false">O220+L220+I220</f>
        <v>3.7904</v>
      </c>
      <c r="S220" s="145"/>
      <c r="T220" s="71" t="n">
        <f aca="false">A221-A220</f>
        <v>31</v>
      </c>
      <c r="U220" s="146" t="n">
        <f aca="false">CHOOSE(F$3,A221+24,A220)</f>
        <v>43429</v>
      </c>
      <c r="V220" s="71" t="n">
        <f aca="false">U220-C$3</f>
        <v>6541</v>
      </c>
      <c r="W220" s="142" t="n">
        <f aca="false">VLOOKUP($A220,Table,MATCH(W$4,Curves,0))</f>
        <v>0.058966861357273</v>
      </c>
      <c r="X220" s="147" t="n">
        <f aca="false">1/(1+CHOOSE(F$3,(W221+($K$3/10000))/2,(W220+($K$3/10000))/2))^(2*V220/365.25)</f>
        <v>0.353197681804077</v>
      </c>
      <c r="Y220" s="71" t="n">
        <f aca="false">IF(AND(mthbeg&lt;=A220,mthend&gt;=A220),1,0)</f>
        <v>0</v>
      </c>
      <c r="Z220" s="71" t="n">
        <f aca="false">T220*Y220</f>
        <v>0</v>
      </c>
      <c r="AB220" s="132" t="n">
        <f aca="false">F220*G220</f>
        <v>0</v>
      </c>
      <c r="AC220" s="132" t="n">
        <f aca="false">$F220*H220</f>
        <v>0</v>
      </c>
      <c r="AD220" s="132" t="n">
        <f aca="false">$F220*I220</f>
        <v>0</v>
      </c>
      <c r="AE220" s="132" t="n">
        <f aca="false">$F220*J220</f>
        <v>0</v>
      </c>
      <c r="AF220" s="132" t="n">
        <f aca="false">$F220*K220</f>
        <v>0</v>
      </c>
      <c r="AG220" s="132" t="n">
        <f aca="false">$F220*L220</f>
        <v>0</v>
      </c>
      <c r="AH220" s="132" t="n">
        <f aca="false">$F220*M220</f>
        <v>0</v>
      </c>
      <c r="AI220" s="132" t="n">
        <f aca="false">$F220*N220</f>
        <v>0</v>
      </c>
      <c r="AJ220" s="132" t="n">
        <f aca="false">F220*O220</f>
        <v>0</v>
      </c>
      <c r="AK220" s="137"/>
      <c r="AL220" s="132" t="n">
        <f aca="false">CHOOSE($G$3,AC220-AD220,AD220-AC220)</f>
        <v>0</v>
      </c>
      <c r="AM220" s="132" t="n">
        <f aca="false">CHOOSE($G$3,AF220-AG220,AG220-AF220)</f>
        <v>0</v>
      </c>
      <c r="AN220" s="132" t="n">
        <f aca="false">CHOOSE($G$3,AI220-AJ220,AJ220-AI220)</f>
        <v>0</v>
      </c>
      <c r="AO220" s="148" t="n">
        <f aca="false">SUM(AL220:AN220)</f>
        <v>0</v>
      </c>
      <c r="AQ220" s="132" t="n">
        <f aca="false">CHOOSE($G$3,AB220-AC220,AC220-AB220)</f>
        <v>0</v>
      </c>
      <c r="AR220" s="132" t="n">
        <f aca="false">CHOOSE($G$3,AE220-AF220,AF220-AE220)</f>
        <v>0</v>
      </c>
      <c r="AS220" s="132" t="n">
        <f aca="false">CHOOSE($G$3,AH220-AI220,AI220-AH220)</f>
        <v>0</v>
      </c>
      <c r="AT220" s="148" t="n">
        <f aca="false">AQ220+AR220+AS220</f>
        <v>0</v>
      </c>
      <c r="AU220" s="148"/>
      <c r="AV220" s="133" t="n">
        <f aca="false">AT220+AO220</f>
        <v>0</v>
      </c>
      <c r="AX220" s="133" t="n">
        <f aca="false">AJ220+AG220+AD220</f>
        <v>0</v>
      </c>
      <c r="AY220" s="149"/>
      <c r="AZ220" s="76" t="n">
        <f aca="false">R220*E220</f>
        <v>0</v>
      </c>
    </row>
    <row r="221" customFormat="false" ht="12" hidden="false" customHeight="true" outlineLevel="0" collapsed="false">
      <c r="A221" s="138" t="n">
        <f aca="false">EDATE(A220,1)</f>
        <v>43405</v>
      </c>
      <c r="B221" s="139" t="n">
        <f aca="false">VLOOKUP($A221,Table2,MATCH(I$3,Curves2,0))</f>
        <v>60900</v>
      </c>
      <c r="C221" s="140"/>
      <c r="D221" s="141" t="n">
        <f aca="false">B221+C221</f>
        <v>60900</v>
      </c>
      <c r="E221" s="126" t="n">
        <f aca="false">IF(Y221=0,0,IF(AND(Y221=1,$H$3=1),D221*T221,IF($H$3=2,D221,"N/A")))</f>
        <v>0</v>
      </c>
      <c r="F221" s="126" t="n">
        <f aca="false">E221*X221</f>
        <v>0</v>
      </c>
      <c r="G221" s="142" t="n">
        <f aca="false">VLOOKUP($A221,Table,MATCH(G$4,Curves,0))</f>
        <v>3.987</v>
      </c>
      <c r="H221" s="143" t="n">
        <f aca="false">G221</f>
        <v>3.987</v>
      </c>
      <c r="I221" s="142" t="n">
        <f aca="false">VLOOKUP($A221,Table1,MATCH(I$3,Curves1,0))</f>
        <v>3.7904</v>
      </c>
      <c r="J221" s="142" t="n">
        <f aca="false">VLOOKUP($A221,Table,MATCH(J$4,Curves,0))</f>
        <v>0.011</v>
      </c>
      <c r="K221" s="143" t="n">
        <f aca="false">J221</f>
        <v>0.011</v>
      </c>
      <c r="L221" s="144" t="n">
        <v>0</v>
      </c>
      <c r="M221" s="142" t="n">
        <f aca="false">VLOOKUP($A221,Table,MATCH(M$4,Curves,0))</f>
        <v>0.015</v>
      </c>
      <c r="N221" s="143" t="n">
        <f aca="false">M221</f>
        <v>0.015</v>
      </c>
      <c r="O221" s="144" t="n">
        <v>0</v>
      </c>
      <c r="P221" s="145"/>
      <c r="Q221" s="144" t="n">
        <f aca="false">M221+J221+G221</f>
        <v>4.013</v>
      </c>
      <c r="R221" s="144" t="n">
        <f aca="false">O221+L221+I221</f>
        <v>3.7904</v>
      </c>
      <c r="S221" s="145"/>
      <c r="T221" s="71" t="n">
        <f aca="false">A222-A221</f>
        <v>30</v>
      </c>
      <c r="U221" s="146" t="n">
        <f aca="false">CHOOSE(F$3,A222+24,A221)</f>
        <v>43459</v>
      </c>
      <c r="V221" s="71" t="n">
        <f aca="false">U221-C$3</f>
        <v>6571</v>
      </c>
      <c r="W221" s="142" t="n">
        <f aca="false">VLOOKUP($A221,Table,MATCH(W$4,Curves,0))</f>
        <v>0.058966861357273</v>
      </c>
      <c r="X221" s="147" t="n">
        <f aca="false">1/(1+CHOOSE(F$3,(W222+($K$3/10000))/2,(W221+($K$3/10000))/2))^(2*V221/365.25)</f>
        <v>0.35151579856652</v>
      </c>
      <c r="Y221" s="71" t="n">
        <f aca="false">IF(AND(mthbeg&lt;=A221,mthend&gt;=A221),1,0)</f>
        <v>0</v>
      </c>
      <c r="Z221" s="71" t="n">
        <f aca="false">T221*Y221</f>
        <v>0</v>
      </c>
      <c r="AB221" s="132" t="n">
        <f aca="false">F221*G221</f>
        <v>0</v>
      </c>
      <c r="AC221" s="132" t="n">
        <f aca="false">$F221*H221</f>
        <v>0</v>
      </c>
      <c r="AD221" s="132" t="n">
        <f aca="false">$F221*I221</f>
        <v>0</v>
      </c>
      <c r="AE221" s="132" t="n">
        <f aca="false">$F221*J221</f>
        <v>0</v>
      </c>
      <c r="AF221" s="132" t="n">
        <f aca="false">$F221*K221</f>
        <v>0</v>
      </c>
      <c r="AG221" s="132" t="n">
        <f aca="false">$F221*L221</f>
        <v>0</v>
      </c>
      <c r="AH221" s="132" t="n">
        <f aca="false">$F221*M221</f>
        <v>0</v>
      </c>
      <c r="AI221" s="132" t="n">
        <f aca="false">$F221*N221</f>
        <v>0</v>
      </c>
      <c r="AJ221" s="132" t="n">
        <f aca="false">F221*O221</f>
        <v>0</v>
      </c>
      <c r="AK221" s="137"/>
      <c r="AL221" s="132" t="n">
        <f aca="false">CHOOSE($G$3,AC221-AD221,AD221-AC221)</f>
        <v>0</v>
      </c>
      <c r="AM221" s="132" t="n">
        <f aca="false">CHOOSE($G$3,AF221-AG221,AG221-AF221)</f>
        <v>0</v>
      </c>
      <c r="AN221" s="132" t="n">
        <f aca="false">CHOOSE($G$3,AI221-AJ221,AJ221-AI221)</f>
        <v>0</v>
      </c>
      <c r="AO221" s="148" t="n">
        <f aca="false">SUM(AL221:AN221)</f>
        <v>0</v>
      </c>
      <c r="AQ221" s="132" t="n">
        <f aca="false">CHOOSE($G$3,AB221-AC221,AC221-AB221)</f>
        <v>0</v>
      </c>
      <c r="AR221" s="132" t="n">
        <f aca="false">CHOOSE($G$3,AE221-AF221,AF221-AE221)</f>
        <v>0</v>
      </c>
      <c r="AS221" s="132" t="n">
        <f aca="false">CHOOSE($G$3,AH221-AI221,AI221-AH221)</f>
        <v>0</v>
      </c>
      <c r="AT221" s="148" t="n">
        <f aca="false">AQ221+AR221+AS221</f>
        <v>0</v>
      </c>
      <c r="AU221" s="148"/>
      <c r="AV221" s="133" t="n">
        <f aca="false">AT221+AO221</f>
        <v>0</v>
      </c>
      <c r="AX221" s="133" t="n">
        <f aca="false">AJ221+AG221+AD221</f>
        <v>0</v>
      </c>
      <c r="AY221" s="149"/>
      <c r="AZ221" s="76" t="n">
        <f aca="false">R221*E221</f>
        <v>0</v>
      </c>
    </row>
    <row r="222" customFormat="false" ht="12" hidden="false" customHeight="true" outlineLevel="0" collapsed="false">
      <c r="A222" s="138" t="n">
        <f aca="false">EDATE(A221,1)</f>
        <v>43435</v>
      </c>
      <c r="B222" s="139" t="n">
        <f aca="false">VLOOKUP($A222,Table2,MATCH(I$3,Curves2,0))</f>
        <v>60900</v>
      </c>
      <c r="C222" s="140"/>
      <c r="D222" s="141" t="n">
        <f aca="false">B222+C222</f>
        <v>60900</v>
      </c>
      <c r="E222" s="126" t="n">
        <f aca="false">IF(Y222=0,0,IF(AND(Y222=1,$H$3=1),D222*T222,IF($H$3=2,D222,"N/A")))</f>
        <v>0</v>
      </c>
      <c r="F222" s="126" t="n">
        <f aca="false">E222*X222</f>
        <v>0</v>
      </c>
      <c r="G222" s="142" t="n">
        <f aca="false">VLOOKUP($A222,Table,MATCH(G$4,Curves,0))</f>
        <v>3.987</v>
      </c>
      <c r="H222" s="143" t="n">
        <f aca="false">G222</f>
        <v>3.987</v>
      </c>
      <c r="I222" s="142" t="n">
        <f aca="false">VLOOKUP($A222,Table1,MATCH(I$3,Curves1,0))</f>
        <v>3.7904</v>
      </c>
      <c r="J222" s="142" t="n">
        <f aca="false">VLOOKUP($A222,Table,MATCH(J$4,Curves,0))</f>
        <v>0.011</v>
      </c>
      <c r="K222" s="143" t="n">
        <f aca="false">J222</f>
        <v>0.011</v>
      </c>
      <c r="L222" s="144" t="n">
        <v>0</v>
      </c>
      <c r="M222" s="142" t="n">
        <f aca="false">VLOOKUP($A222,Table,MATCH(M$4,Curves,0))</f>
        <v>0.015</v>
      </c>
      <c r="N222" s="143" t="n">
        <f aca="false">M222</f>
        <v>0.015</v>
      </c>
      <c r="O222" s="144" t="n">
        <v>0</v>
      </c>
      <c r="P222" s="145"/>
      <c r="Q222" s="144" t="n">
        <f aca="false">M222+J222+G222</f>
        <v>4.013</v>
      </c>
      <c r="R222" s="144" t="n">
        <f aca="false">O222+L222+I222</f>
        <v>3.7904</v>
      </c>
      <c r="S222" s="145"/>
      <c r="T222" s="71" t="n">
        <f aca="false">A223-A222</f>
        <v>31</v>
      </c>
      <c r="U222" s="146" t="n">
        <f aca="false">CHOOSE(F$3,A223+24,A222)</f>
        <v>43490</v>
      </c>
      <c r="V222" s="71" t="n">
        <f aca="false">U222-C$3</f>
        <v>6602</v>
      </c>
      <c r="W222" s="142" t="n">
        <f aca="false">VLOOKUP($A222,Table,MATCH(W$4,Curves,0))</f>
        <v>0.058966861357273</v>
      </c>
      <c r="X222" s="147" t="n">
        <f aca="false">1/(1+CHOOSE(F$3,(W223+($K$3/10000))/2,(W222+($K$3/10000))/2))^(2*V222/365.25)</f>
        <v>0.349786265921853</v>
      </c>
      <c r="Y222" s="71" t="n">
        <f aca="false">IF(AND(mthbeg&lt;=A222,mthend&gt;=A222),1,0)</f>
        <v>0</v>
      </c>
      <c r="Z222" s="71" t="n">
        <f aca="false">T222*Y222</f>
        <v>0</v>
      </c>
      <c r="AB222" s="132" t="n">
        <f aca="false">F222*G222</f>
        <v>0</v>
      </c>
      <c r="AC222" s="132" t="n">
        <f aca="false">$F222*H222</f>
        <v>0</v>
      </c>
      <c r="AD222" s="132" t="n">
        <f aca="false">$F222*I222</f>
        <v>0</v>
      </c>
      <c r="AE222" s="132" t="n">
        <f aca="false">$F222*J222</f>
        <v>0</v>
      </c>
      <c r="AF222" s="132" t="n">
        <f aca="false">$F222*K222</f>
        <v>0</v>
      </c>
      <c r="AG222" s="132" t="n">
        <f aca="false">$F222*L222</f>
        <v>0</v>
      </c>
      <c r="AH222" s="132" t="n">
        <f aca="false">$F222*M222</f>
        <v>0</v>
      </c>
      <c r="AI222" s="132" t="n">
        <f aca="false">$F222*N222</f>
        <v>0</v>
      </c>
      <c r="AJ222" s="132" t="n">
        <f aca="false">F222*O222</f>
        <v>0</v>
      </c>
      <c r="AK222" s="137"/>
      <c r="AL222" s="132" t="n">
        <f aca="false">CHOOSE($G$3,AC222-AD222,AD222-AC222)</f>
        <v>0</v>
      </c>
      <c r="AM222" s="132" t="n">
        <f aca="false">CHOOSE($G$3,AF222-AG222,AG222-AF222)</f>
        <v>0</v>
      </c>
      <c r="AN222" s="132" t="n">
        <f aca="false">CHOOSE($G$3,AI222-AJ222,AJ222-AI222)</f>
        <v>0</v>
      </c>
      <c r="AO222" s="148" t="n">
        <f aca="false">SUM(AL222:AN222)</f>
        <v>0</v>
      </c>
      <c r="AQ222" s="132" t="n">
        <f aca="false">CHOOSE($G$3,AB222-AC222,AC222-AB222)</f>
        <v>0</v>
      </c>
      <c r="AR222" s="132" t="n">
        <f aca="false">CHOOSE($G$3,AE222-AF222,AF222-AE222)</f>
        <v>0</v>
      </c>
      <c r="AS222" s="132" t="n">
        <f aca="false">CHOOSE($G$3,AH222-AI222,AI222-AH222)</f>
        <v>0</v>
      </c>
      <c r="AT222" s="148" t="n">
        <f aca="false">AQ222+AR222+AS222</f>
        <v>0</v>
      </c>
      <c r="AU222" s="148"/>
      <c r="AV222" s="133" t="n">
        <f aca="false">AT222+AO222</f>
        <v>0</v>
      </c>
      <c r="AX222" s="133" t="n">
        <f aca="false">AJ222+AG222+AD222</f>
        <v>0</v>
      </c>
      <c r="AY222" s="149"/>
      <c r="AZ222" s="76" t="n">
        <f aca="false">R222*E222</f>
        <v>0</v>
      </c>
    </row>
    <row r="223" customFormat="false" ht="12" hidden="false" customHeight="true" outlineLevel="0" collapsed="false">
      <c r="A223" s="138" t="n">
        <f aca="false">EDATE(A222,1)</f>
        <v>43466</v>
      </c>
      <c r="B223" s="139" t="n">
        <f aca="false">VLOOKUP($A223,Table2,MATCH(I$3,Curves2,0))</f>
        <v>60900</v>
      </c>
      <c r="C223" s="140"/>
      <c r="D223" s="141" t="n">
        <f aca="false">B223+C223</f>
        <v>60900</v>
      </c>
      <c r="E223" s="126" t="n">
        <f aca="false">IF(Y223=0,0,IF(AND(Y223=1,$H$3=1),D223*T223,IF($H$3=2,D223,"N/A")))</f>
        <v>0</v>
      </c>
      <c r="F223" s="126" t="n">
        <f aca="false">E223*X223</f>
        <v>0</v>
      </c>
      <c r="G223" s="142" t="n">
        <f aca="false">VLOOKUP($A223,Table,MATCH(G$4,Curves,0))</f>
        <v>3.987</v>
      </c>
      <c r="H223" s="143" t="n">
        <f aca="false">G223</f>
        <v>3.987</v>
      </c>
      <c r="I223" s="142" t="n">
        <f aca="false">VLOOKUP($A223,Table1,MATCH(I$3,Curves1,0))</f>
        <v>3.7904</v>
      </c>
      <c r="J223" s="142" t="n">
        <f aca="false">VLOOKUP($A223,Table,MATCH(J$4,Curves,0))</f>
        <v>0.011</v>
      </c>
      <c r="K223" s="143" t="n">
        <f aca="false">J223</f>
        <v>0.011</v>
      </c>
      <c r="L223" s="144" t="n">
        <v>0</v>
      </c>
      <c r="M223" s="142" t="n">
        <f aca="false">VLOOKUP($A223,Table,MATCH(M$4,Curves,0))</f>
        <v>0.015</v>
      </c>
      <c r="N223" s="143" t="n">
        <f aca="false">M223</f>
        <v>0.015</v>
      </c>
      <c r="O223" s="144" t="n">
        <v>0</v>
      </c>
      <c r="P223" s="145"/>
      <c r="Q223" s="144" t="n">
        <f aca="false">M223+J223+G223</f>
        <v>4.013</v>
      </c>
      <c r="R223" s="144" t="n">
        <f aca="false">O223+L223+I223</f>
        <v>3.7904</v>
      </c>
      <c r="S223" s="145"/>
      <c r="T223" s="71" t="n">
        <f aca="false">A224-A223</f>
        <v>31</v>
      </c>
      <c r="U223" s="146" t="n">
        <f aca="false">CHOOSE(F$3,A224+24,A223)</f>
        <v>43521</v>
      </c>
      <c r="V223" s="71" t="n">
        <f aca="false">U223-C$3</f>
        <v>6633</v>
      </c>
      <c r="W223" s="142" t="n">
        <f aca="false">VLOOKUP($A223,Table,MATCH(W$4,Curves,0))</f>
        <v>0.058966861357273</v>
      </c>
      <c r="X223" s="147" t="n">
        <f aca="false">1/(1+CHOOSE(F$3,(W224+($K$3/10000))/2,(W223+($K$3/10000))/2))^(2*V223/365.25)</f>
        <v>0.348065242946399</v>
      </c>
      <c r="Y223" s="71" t="n">
        <f aca="false">IF(AND(mthbeg&lt;=A223,mthend&gt;=A223),1,0)</f>
        <v>0</v>
      </c>
      <c r="Z223" s="71" t="n">
        <f aca="false">T223*Y223</f>
        <v>0</v>
      </c>
      <c r="AB223" s="132" t="n">
        <f aca="false">F223*G223</f>
        <v>0</v>
      </c>
      <c r="AC223" s="132" t="n">
        <f aca="false">$F223*H223</f>
        <v>0</v>
      </c>
      <c r="AD223" s="132" t="n">
        <f aca="false">$F223*I223</f>
        <v>0</v>
      </c>
      <c r="AE223" s="132" t="n">
        <f aca="false">$F223*J223</f>
        <v>0</v>
      </c>
      <c r="AF223" s="132" t="n">
        <f aca="false">$F223*K223</f>
        <v>0</v>
      </c>
      <c r="AG223" s="132" t="n">
        <f aca="false">$F223*L223</f>
        <v>0</v>
      </c>
      <c r="AH223" s="132" t="n">
        <f aca="false">$F223*M223</f>
        <v>0</v>
      </c>
      <c r="AI223" s="132" t="n">
        <f aca="false">$F223*N223</f>
        <v>0</v>
      </c>
      <c r="AJ223" s="132" t="n">
        <f aca="false">F223*O223</f>
        <v>0</v>
      </c>
      <c r="AK223" s="137"/>
      <c r="AL223" s="132" t="n">
        <f aca="false">CHOOSE($G$3,AC223-AD223,AD223-AC223)</f>
        <v>0</v>
      </c>
      <c r="AM223" s="132" t="n">
        <f aca="false">CHOOSE($G$3,AF223-AG223,AG223-AF223)</f>
        <v>0</v>
      </c>
      <c r="AN223" s="132" t="n">
        <f aca="false">CHOOSE($G$3,AI223-AJ223,AJ223-AI223)</f>
        <v>0</v>
      </c>
      <c r="AO223" s="148" t="n">
        <f aca="false">SUM(AL223:AN223)</f>
        <v>0</v>
      </c>
      <c r="AQ223" s="132" t="n">
        <f aca="false">CHOOSE($G$3,AB223-AC223,AC223-AB223)</f>
        <v>0</v>
      </c>
      <c r="AR223" s="132" t="n">
        <f aca="false">CHOOSE($G$3,AE223-AF223,AF223-AE223)</f>
        <v>0</v>
      </c>
      <c r="AS223" s="132" t="n">
        <f aca="false">CHOOSE($G$3,AH223-AI223,AI223-AH223)</f>
        <v>0</v>
      </c>
      <c r="AT223" s="148" t="n">
        <f aca="false">AQ223+AR223+AS223</f>
        <v>0</v>
      </c>
      <c r="AU223" s="148"/>
      <c r="AV223" s="133" t="n">
        <f aca="false">AT223+AO223</f>
        <v>0</v>
      </c>
      <c r="AX223" s="133" t="n">
        <f aca="false">AJ223+AG223+AD223</f>
        <v>0</v>
      </c>
      <c r="AY223" s="149"/>
      <c r="AZ223" s="76" t="n">
        <f aca="false">R223*E223</f>
        <v>0</v>
      </c>
    </row>
    <row r="224" customFormat="false" ht="12" hidden="false" customHeight="true" outlineLevel="0" collapsed="false">
      <c r="A224" s="138" t="n">
        <f aca="false">EDATE(A223,1)</f>
        <v>43497</v>
      </c>
      <c r="B224" s="139" t="n">
        <f aca="false">VLOOKUP($A224,Table2,MATCH(I$3,Curves2,0))</f>
        <v>60900</v>
      </c>
      <c r="C224" s="140"/>
      <c r="D224" s="141" t="n">
        <f aca="false">B224+C224</f>
        <v>60900</v>
      </c>
      <c r="E224" s="126" t="n">
        <f aca="false">IF(Y224=0,0,IF(AND(Y224=1,$H$3=1),D224*T224,IF($H$3=2,D224,"N/A")))</f>
        <v>0</v>
      </c>
      <c r="F224" s="126" t="n">
        <f aca="false">E224*X224</f>
        <v>0</v>
      </c>
      <c r="G224" s="142" t="n">
        <f aca="false">VLOOKUP($A224,Table,MATCH(G$4,Curves,0))</f>
        <v>3.987</v>
      </c>
      <c r="H224" s="143" t="n">
        <f aca="false">G224</f>
        <v>3.987</v>
      </c>
      <c r="I224" s="142" t="n">
        <f aca="false">VLOOKUP($A224,Table1,MATCH(I$3,Curves1,0))</f>
        <v>3.7904</v>
      </c>
      <c r="J224" s="142" t="n">
        <f aca="false">VLOOKUP($A224,Table,MATCH(J$4,Curves,0))</f>
        <v>0.011</v>
      </c>
      <c r="K224" s="143" t="n">
        <f aca="false">J224</f>
        <v>0.011</v>
      </c>
      <c r="L224" s="144" t="n">
        <v>0</v>
      </c>
      <c r="M224" s="142" t="n">
        <f aca="false">VLOOKUP($A224,Table,MATCH(M$4,Curves,0))</f>
        <v>0.015</v>
      </c>
      <c r="N224" s="143" t="n">
        <f aca="false">M224</f>
        <v>0.015</v>
      </c>
      <c r="O224" s="144" t="n">
        <v>0</v>
      </c>
      <c r="P224" s="145"/>
      <c r="Q224" s="144" t="n">
        <f aca="false">M224+J224+G224</f>
        <v>4.013</v>
      </c>
      <c r="R224" s="144" t="n">
        <f aca="false">O224+L224+I224</f>
        <v>3.7904</v>
      </c>
      <c r="S224" s="145"/>
      <c r="T224" s="71" t="n">
        <f aca="false">A225-A224</f>
        <v>28</v>
      </c>
      <c r="U224" s="146" t="n">
        <f aca="false">CHOOSE(F$3,A225+24,A224)</f>
        <v>43549</v>
      </c>
      <c r="V224" s="71" t="n">
        <f aca="false">U224-C$3</f>
        <v>6661</v>
      </c>
      <c r="W224" s="142" t="n">
        <f aca="false">VLOOKUP($A224,Table,MATCH(W$4,Curves,0))</f>
        <v>0.058966861357273</v>
      </c>
      <c r="X224" s="147" t="n">
        <f aca="false">1/(1+CHOOSE(F$3,(W225+($K$3/10000))/2,(W224+($K$3/10000))/2))^(2*V224/365.25)</f>
        <v>0.346518049992799</v>
      </c>
      <c r="Y224" s="71" t="n">
        <f aca="false">IF(AND(mthbeg&lt;=A224,mthend&gt;=A224),1,0)</f>
        <v>0</v>
      </c>
      <c r="Z224" s="71" t="n">
        <f aca="false">T224*Y224</f>
        <v>0</v>
      </c>
      <c r="AB224" s="132" t="n">
        <f aca="false">F224*G224</f>
        <v>0</v>
      </c>
      <c r="AC224" s="132" t="n">
        <f aca="false">$F224*H224</f>
        <v>0</v>
      </c>
      <c r="AD224" s="132" t="n">
        <f aca="false">$F224*I224</f>
        <v>0</v>
      </c>
      <c r="AE224" s="132" t="n">
        <f aca="false">$F224*J224</f>
        <v>0</v>
      </c>
      <c r="AF224" s="132" t="n">
        <f aca="false">$F224*K224</f>
        <v>0</v>
      </c>
      <c r="AG224" s="132" t="n">
        <f aca="false">$F224*L224</f>
        <v>0</v>
      </c>
      <c r="AH224" s="132" t="n">
        <f aca="false">$F224*M224</f>
        <v>0</v>
      </c>
      <c r="AI224" s="132" t="n">
        <f aca="false">$F224*N224</f>
        <v>0</v>
      </c>
      <c r="AJ224" s="132" t="n">
        <f aca="false">F224*O224</f>
        <v>0</v>
      </c>
      <c r="AK224" s="137"/>
      <c r="AL224" s="132" t="n">
        <f aca="false">CHOOSE($G$3,AC224-AD224,AD224-AC224)</f>
        <v>0</v>
      </c>
      <c r="AM224" s="132" t="n">
        <f aca="false">CHOOSE($G$3,AF224-AG224,AG224-AF224)</f>
        <v>0</v>
      </c>
      <c r="AN224" s="132" t="n">
        <f aca="false">CHOOSE($G$3,AI224-AJ224,AJ224-AI224)</f>
        <v>0</v>
      </c>
      <c r="AO224" s="148" t="n">
        <f aca="false">SUM(AL224:AN224)</f>
        <v>0</v>
      </c>
      <c r="AQ224" s="132" t="n">
        <f aca="false">CHOOSE($G$3,AB224-AC224,AC224-AB224)</f>
        <v>0</v>
      </c>
      <c r="AR224" s="132" t="n">
        <f aca="false">CHOOSE($G$3,AE224-AF224,AF224-AE224)</f>
        <v>0</v>
      </c>
      <c r="AS224" s="132" t="n">
        <f aca="false">CHOOSE($G$3,AH224-AI224,AI224-AH224)</f>
        <v>0</v>
      </c>
      <c r="AT224" s="148" t="n">
        <f aca="false">AQ224+AR224+AS224</f>
        <v>0</v>
      </c>
      <c r="AU224" s="148"/>
      <c r="AV224" s="133" t="n">
        <f aca="false">AT224+AO224</f>
        <v>0</v>
      </c>
      <c r="AX224" s="133" t="n">
        <f aca="false">AJ224+AG224+AD224</f>
        <v>0</v>
      </c>
      <c r="AY224" s="149"/>
      <c r="AZ224" s="76" t="n">
        <f aca="false">R224*E224</f>
        <v>0</v>
      </c>
    </row>
    <row r="225" customFormat="false" ht="12" hidden="false" customHeight="true" outlineLevel="0" collapsed="false">
      <c r="A225" s="138" t="n">
        <f aca="false">EDATE(A224,1)</f>
        <v>43525</v>
      </c>
      <c r="B225" s="139" t="n">
        <f aca="false">VLOOKUP($A225,Table2,MATCH(I$3,Curves2,0))</f>
        <v>60900</v>
      </c>
      <c r="C225" s="140"/>
      <c r="D225" s="141" t="n">
        <f aca="false">B225+C225</f>
        <v>60900</v>
      </c>
      <c r="E225" s="126" t="n">
        <f aca="false">IF(Y225=0,0,IF(AND(Y225=1,$H$3=1),D225*T225,IF($H$3=2,D225,"N/A")))</f>
        <v>0</v>
      </c>
      <c r="F225" s="126" t="n">
        <f aca="false">E225*X225</f>
        <v>0</v>
      </c>
      <c r="G225" s="142" t="n">
        <f aca="false">VLOOKUP($A225,Table,MATCH(G$4,Curves,0))</f>
        <v>3.987</v>
      </c>
      <c r="H225" s="143" t="n">
        <f aca="false">G225</f>
        <v>3.987</v>
      </c>
      <c r="I225" s="142" t="n">
        <f aca="false">VLOOKUP($A225,Table1,MATCH(I$3,Curves1,0))</f>
        <v>3.7904</v>
      </c>
      <c r="J225" s="142" t="n">
        <f aca="false">VLOOKUP($A225,Table,MATCH(J$4,Curves,0))</f>
        <v>0.011</v>
      </c>
      <c r="K225" s="143" t="n">
        <f aca="false">J225</f>
        <v>0.011</v>
      </c>
      <c r="L225" s="144" t="n">
        <v>0</v>
      </c>
      <c r="M225" s="142" t="n">
        <f aca="false">VLOOKUP($A225,Table,MATCH(M$4,Curves,0))</f>
        <v>0.015</v>
      </c>
      <c r="N225" s="143" t="n">
        <f aca="false">M225</f>
        <v>0.015</v>
      </c>
      <c r="O225" s="144" t="n">
        <v>0</v>
      </c>
      <c r="P225" s="145"/>
      <c r="Q225" s="144" t="n">
        <f aca="false">M225+J225+G225</f>
        <v>4.013</v>
      </c>
      <c r="R225" s="144" t="n">
        <f aca="false">O225+L225+I225</f>
        <v>3.7904</v>
      </c>
      <c r="S225" s="145"/>
      <c r="T225" s="71" t="n">
        <f aca="false">A226-A225</f>
        <v>31</v>
      </c>
      <c r="U225" s="146" t="n">
        <f aca="false">CHOOSE(F$3,A226+24,A225)</f>
        <v>43580</v>
      </c>
      <c r="V225" s="71" t="n">
        <f aca="false">U225-C$3</f>
        <v>6692</v>
      </c>
      <c r="W225" s="142" t="n">
        <f aca="false">VLOOKUP($A225,Table,MATCH(W$4,Curves,0))</f>
        <v>0.058966861357273</v>
      </c>
      <c r="X225" s="147" t="n">
        <f aca="false">1/(1+CHOOSE(F$3,(W226+($K$3/10000))/2,(W225+($K$3/10000))/2))^(2*V225/365.25)</f>
        <v>0.344813107336245</v>
      </c>
      <c r="Y225" s="71" t="n">
        <f aca="false">IF(AND(mthbeg&lt;=A225,mthend&gt;=A225),1,0)</f>
        <v>0</v>
      </c>
      <c r="Z225" s="71" t="n">
        <f aca="false">T225*Y225</f>
        <v>0</v>
      </c>
      <c r="AB225" s="132" t="n">
        <f aca="false">F225*G225</f>
        <v>0</v>
      </c>
      <c r="AC225" s="132" t="n">
        <f aca="false">$F225*H225</f>
        <v>0</v>
      </c>
      <c r="AD225" s="132" t="n">
        <f aca="false">$F225*I225</f>
        <v>0</v>
      </c>
      <c r="AE225" s="132" t="n">
        <f aca="false">$F225*J225</f>
        <v>0</v>
      </c>
      <c r="AF225" s="132" t="n">
        <f aca="false">$F225*K225</f>
        <v>0</v>
      </c>
      <c r="AG225" s="132" t="n">
        <f aca="false">$F225*L225</f>
        <v>0</v>
      </c>
      <c r="AH225" s="132" t="n">
        <f aca="false">$F225*M225</f>
        <v>0</v>
      </c>
      <c r="AI225" s="132" t="n">
        <f aca="false">$F225*N225</f>
        <v>0</v>
      </c>
      <c r="AJ225" s="132" t="n">
        <f aca="false">F225*O225</f>
        <v>0</v>
      </c>
      <c r="AK225" s="137"/>
      <c r="AL225" s="132" t="n">
        <f aca="false">CHOOSE($G$3,AC225-AD225,AD225-AC225)</f>
        <v>0</v>
      </c>
      <c r="AM225" s="132" t="n">
        <f aca="false">CHOOSE($G$3,AF225-AG225,AG225-AF225)</f>
        <v>0</v>
      </c>
      <c r="AN225" s="132" t="n">
        <f aca="false">CHOOSE($G$3,AI225-AJ225,AJ225-AI225)</f>
        <v>0</v>
      </c>
      <c r="AO225" s="148" t="n">
        <f aca="false">SUM(AL225:AN225)</f>
        <v>0</v>
      </c>
      <c r="AQ225" s="132" t="n">
        <f aca="false">CHOOSE($G$3,AB225-AC225,AC225-AB225)</f>
        <v>0</v>
      </c>
      <c r="AR225" s="132" t="n">
        <f aca="false">CHOOSE($G$3,AE225-AF225,AF225-AE225)</f>
        <v>0</v>
      </c>
      <c r="AS225" s="132" t="n">
        <f aca="false">CHOOSE($G$3,AH225-AI225,AI225-AH225)</f>
        <v>0</v>
      </c>
      <c r="AT225" s="148" t="n">
        <f aca="false">AQ225+AR225+AS225</f>
        <v>0</v>
      </c>
      <c r="AU225" s="148"/>
      <c r="AV225" s="133" t="n">
        <f aca="false">AT225+AO225</f>
        <v>0</v>
      </c>
      <c r="AX225" s="133" t="n">
        <f aca="false">AJ225+AG225+AD225</f>
        <v>0</v>
      </c>
      <c r="AY225" s="149"/>
      <c r="AZ225" s="76" t="n">
        <f aca="false">R225*E225</f>
        <v>0</v>
      </c>
    </row>
    <row r="226" customFormat="false" ht="12" hidden="false" customHeight="true" outlineLevel="0" collapsed="false">
      <c r="A226" s="138" t="n">
        <f aca="false">EDATE(A225,1)</f>
        <v>43556</v>
      </c>
      <c r="B226" s="139" t="n">
        <f aca="false">VLOOKUP($A226,Table2,MATCH(I$3,Curves2,0))</f>
        <v>60900</v>
      </c>
      <c r="C226" s="140"/>
      <c r="D226" s="141" t="n">
        <f aca="false">B226+C226</f>
        <v>60900</v>
      </c>
      <c r="E226" s="126" t="n">
        <f aca="false">IF(Y226=0,0,IF(AND(Y226=1,$H$3=1),D226*T226,IF($H$3=2,D226,"N/A")))</f>
        <v>0</v>
      </c>
      <c r="F226" s="126" t="n">
        <f aca="false">E226*X226</f>
        <v>0</v>
      </c>
      <c r="G226" s="142" t="n">
        <f aca="false">VLOOKUP($A226,Table,MATCH(G$4,Curves,0))</f>
        <v>3.987</v>
      </c>
      <c r="H226" s="143" t="n">
        <f aca="false">G226</f>
        <v>3.987</v>
      </c>
      <c r="I226" s="142" t="n">
        <f aca="false">VLOOKUP($A226,Table1,MATCH(I$3,Curves1,0))</f>
        <v>3.7904</v>
      </c>
      <c r="J226" s="142" t="n">
        <f aca="false">VLOOKUP($A226,Table,MATCH(J$4,Curves,0))</f>
        <v>0.011</v>
      </c>
      <c r="K226" s="143" t="n">
        <f aca="false">J226</f>
        <v>0.011</v>
      </c>
      <c r="L226" s="144" t="n">
        <v>0</v>
      </c>
      <c r="M226" s="142" t="n">
        <f aca="false">VLOOKUP($A226,Table,MATCH(M$4,Curves,0))</f>
        <v>0.015</v>
      </c>
      <c r="N226" s="143" t="n">
        <f aca="false">M226</f>
        <v>0.015</v>
      </c>
      <c r="O226" s="144" t="n">
        <v>0</v>
      </c>
      <c r="P226" s="145"/>
      <c r="Q226" s="144" t="n">
        <f aca="false">M226+J226+G226</f>
        <v>4.013</v>
      </c>
      <c r="R226" s="144" t="n">
        <f aca="false">O226+L226+I226</f>
        <v>3.7904</v>
      </c>
      <c r="S226" s="145"/>
      <c r="T226" s="71" t="n">
        <f aca="false">A227-A226</f>
        <v>30</v>
      </c>
      <c r="U226" s="146" t="n">
        <f aca="false">CHOOSE(F$3,A227+24,A226)</f>
        <v>43610</v>
      </c>
      <c r="V226" s="71" t="n">
        <f aca="false">U226-C$3</f>
        <v>6722</v>
      </c>
      <c r="W226" s="142" t="n">
        <f aca="false">VLOOKUP($A226,Table,MATCH(W$4,Curves,0))</f>
        <v>0.058966861357273</v>
      </c>
      <c r="X226" s="147" t="n">
        <f aca="false">1/(1+CHOOSE(F$3,(W227+($K$3/10000))/2,(W226+($K$3/10000))/2))^(2*V226/365.25)</f>
        <v>0.343171150394862</v>
      </c>
      <c r="Y226" s="71" t="n">
        <f aca="false">IF(AND(mthbeg&lt;=A226,mthend&gt;=A226),1,0)</f>
        <v>0</v>
      </c>
      <c r="Z226" s="71" t="n">
        <f aca="false">T226*Y226</f>
        <v>0</v>
      </c>
      <c r="AB226" s="132" t="n">
        <f aca="false">F226*G226</f>
        <v>0</v>
      </c>
      <c r="AC226" s="132" t="n">
        <f aca="false">$F226*H226</f>
        <v>0</v>
      </c>
      <c r="AD226" s="132" t="n">
        <f aca="false">$F226*I226</f>
        <v>0</v>
      </c>
      <c r="AE226" s="132" t="n">
        <f aca="false">$F226*J226</f>
        <v>0</v>
      </c>
      <c r="AF226" s="132" t="n">
        <f aca="false">$F226*K226</f>
        <v>0</v>
      </c>
      <c r="AG226" s="132" t="n">
        <f aca="false">$F226*L226</f>
        <v>0</v>
      </c>
      <c r="AH226" s="132" t="n">
        <f aca="false">$F226*M226</f>
        <v>0</v>
      </c>
      <c r="AI226" s="132" t="n">
        <f aca="false">$F226*N226</f>
        <v>0</v>
      </c>
      <c r="AJ226" s="132" t="n">
        <f aca="false">F226*O226</f>
        <v>0</v>
      </c>
      <c r="AK226" s="137"/>
      <c r="AL226" s="132" t="n">
        <f aca="false">CHOOSE($G$3,AC226-AD226,AD226-AC226)</f>
        <v>0</v>
      </c>
      <c r="AM226" s="132" t="n">
        <f aca="false">CHOOSE($G$3,AF226-AG226,AG226-AF226)</f>
        <v>0</v>
      </c>
      <c r="AN226" s="132" t="n">
        <f aca="false">CHOOSE($G$3,AI226-AJ226,AJ226-AI226)</f>
        <v>0</v>
      </c>
      <c r="AO226" s="148" t="n">
        <f aca="false">SUM(AL226:AN226)</f>
        <v>0</v>
      </c>
      <c r="AQ226" s="132" t="n">
        <f aca="false">CHOOSE($G$3,AB226-AC226,AC226-AB226)</f>
        <v>0</v>
      </c>
      <c r="AR226" s="132" t="n">
        <f aca="false">CHOOSE($G$3,AE226-AF226,AF226-AE226)</f>
        <v>0</v>
      </c>
      <c r="AS226" s="132" t="n">
        <f aca="false">CHOOSE($G$3,AH226-AI226,AI226-AH226)</f>
        <v>0</v>
      </c>
      <c r="AT226" s="148" t="n">
        <f aca="false">AQ226+AR226+AS226</f>
        <v>0</v>
      </c>
      <c r="AU226" s="148"/>
      <c r="AV226" s="133" t="n">
        <f aca="false">AT226+AO226</f>
        <v>0</v>
      </c>
      <c r="AX226" s="133" t="n">
        <f aca="false">AJ226+AG226+AD226</f>
        <v>0</v>
      </c>
      <c r="AY226" s="149"/>
      <c r="AZ226" s="76" t="n">
        <f aca="false">R226*E226</f>
        <v>0</v>
      </c>
    </row>
    <row r="227" customFormat="false" ht="12" hidden="false" customHeight="true" outlineLevel="0" collapsed="false">
      <c r="A227" s="138" t="n">
        <f aca="false">EDATE(A226,1)</f>
        <v>43586</v>
      </c>
      <c r="B227" s="139" t="n">
        <f aca="false">VLOOKUP($A227,Table2,MATCH(I$3,Curves2,0))</f>
        <v>60900</v>
      </c>
      <c r="C227" s="140"/>
      <c r="D227" s="141" t="n">
        <f aca="false">B227+C227</f>
        <v>60900</v>
      </c>
      <c r="E227" s="126" t="n">
        <f aca="false">IF(Y227=0,0,IF(AND(Y227=1,$H$3=1),D227*T227,IF($H$3=2,D227,"N/A")))</f>
        <v>0</v>
      </c>
      <c r="F227" s="126" t="n">
        <f aca="false">E227*X227</f>
        <v>0</v>
      </c>
      <c r="G227" s="142" t="n">
        <f aca="false">VLOOKUP($A227,Table,MATCH(G$4,Curves,0))</f>
        <v>3.987</v>
      </c>
      <c r="H227" s="143" t="n">
        <f aca="false">G227</f>
        <v>3.987</v>
      </c>
      <c r="I227" s="142" t="n">
        <f aca="false">VLOOKUP($A227,Table1,MATCH(I$3,Curves1,0))</f>
        <v>3.7904</v>
      </c>
      <c r="J227" s="142" t="n">
        <f aca="false">VLOOKUP($A227,Table,MATCH(J$4,Curves,0))</f>
        <v>0.011</v>
      </c>
      <c r="K227" s="143" t="n">
        <f aca="false">J227</f>
        <v>0.011</v>
      </c>
      <c r="L227" s="144" t="n">
        <v>0</v>
      </c>
      <c r="M227" s="142" t="n">
        <f aca="false">VLOOKUP($A227,Table,MATCH(M$4,Curves,0))</f>
        <v>0.015</v>
      </c>
      <c r="N227" s="143" t="n">
        <f aca="false">M227</f>
        <v>0.015</v>
      </c>
      <c r="O227" s="144" t="n">
        <v>0</v>
      </c>
      <c r="P227" s="145"/>
      <c r="Q227" s="144" t="n">
        <f aca="false">M227+J227+G227</f>
        <v>4.013</v>
      </c>
      <c r="R227" s="144" t="n">
        <f aca="false">O227+L227+I227</f>
        <v>3.7904</v>
      </c>
      <c r="S227" s="145"/>
      <c r="T227" s="71" t="n">
        <f aca="false">A228-A227</f>
        <v>31</v>
      </c>
      <c r="U227" s="146" t="n">
        <f aca="false">CHOOSE(F$3,A228+24,A227)</f>
        <v>43641</v>
      </c>
      <c r="V227" s="71" t="n">
        <f aca="false">U227-C$3</f>
        <v>6753</v>
      </c>
      <c r="W227" s="142" t="n">
        <f aca="false">VLOOKUP($A227,Table,MATCH(W$4,Curves,0))</f>
        <v>0.058966861357273</v>
      </c>
      <c r="X227" s="147" t="n">
        <f aca="false">1/(1+CHOOSE(F$3,(W228+($K$3/10000))/2,(W227+($K$3/10000))/2))^(2*V227/365.25)</f>
        <v>0.341482675197626</v>
      </c>
      <c r="Y227" s="71" t="n">
        <f aca="false">IF(AND(mthbeg&lt;=A227,mthend&gt;=A227),1,0)</f>
        <v>0</v>
      </c>
      <c r="Z227" s="71" t="n">
        <f aca="false">T227*Y227</f>
        <v>0</v>
      </c>
      <c r="AB227" s="132" t="n">
        <f aca="false">F227*G227</f>
        <v>0</v>
      </c>
      <c r="AC227" s="132" t="n">
        <f aca="false">$F227*H227</f>
        <v>0</v>
      </c>
      <c r="AD227" s="132" t="n">
        <f aca="false">$F227*I227</f>
        <v>0</v>
      </c>
      <c r="AE227" s="132" t="n">
        <f aca="false">$F227*J227</f>
        <v>0</v>
      </c>
      <c r="AF227" s="132" t="n">
        <f aca="false">$F227*K227</f>
        <v>0</v>
      </c>
      <c r="AG227" s="132" t="n">
        <f aca="false">$F227*L227</f>
        <v>0</v>
      </c>
      <c r="AH227" s="132" t="n">
        <f aca="false">$F227*M227</f>
        <v>0</v>
      </c>
      <c r="AI227" s="132" t="n">
        <f aca="false">$F227*N227</f>
        <v>0</v>
      </c>
      <c r="AJ227" s="132" t="n">
        <f aca="false">F227*O227</f>
        <v>0</v>
      </c>
      <c r="AK227" s="137"/>
      <c r="AL227" s="132" t="n">
        <f aca="false">CHOOSE($G$3,AC227-AD227,AD227-AC227)</f>
        <v>0</v>
      </c>
      <c r="AM227" s="132" t="n">
        <f aca="false">CHOOSE($G$3,AF227-AG227,AG227-AF227)</f>
        <v>0</v>
      </c>
      <c r="AN227" s="132" t="n">
        <f aca="false">CHOOSE($G$3,AI227-AJ227,AJ227-AI227)</f>
        <v>0</v>
      </c>
      <c r="AO227" s="148" t="n">
        <f aca="false">SUM(AL227:AN227)</f>
        <v>0</v>
      </c>
      <c r="AQ227" s="132" t="n">
        <f aca="false">CHOOSE($G$3,AB227-AC227,AC227-AB227)</f>
        <v>0</v>
      </c>
      <c r="AR227" s="132" t="n">
        <f aca="false">CHOOSE($G$3,AE227-AF227,AF227-AE227)</f>
        <v>0</v>
      </c>
      <c r="AS227" s="132" t="n">
        <f aca="false">CHOOSE($G$3,AH227-AI227,AI227-AH227)</f>
        <v>0</v>
      </c>
      <c r="AT227" s="148" t="n">
        <f aca="false">AQ227+AR227+AS227</f>
        <v>0</v>
      </c>
      <c r="AU227" s="148"/>
      <c r="AV227" s="133" t="n">
        <f aca="false">AT227+AO227</f>
        <v>0</v>
      </c>
      <c r="AX227" s="133" t="n">
        <f aca="false">AJ227+AG227+AD227</f>
        <v>0</v>
      </c>
      <c r="AY227" s="149"/>
      <c r="AZ227" s="76" t="n">
        <f aca="false">R227*E227</f>
        <v>0</v>
      </c>
    </row>
    <row r="228" customFormat="false" ht="12" hidden="false" customHeight="true" outlineLevel="0" collapsed="false">
      <c r="A228" s="138" t="n">
        <f aca="false">EDATE(A227,1)</f>
        <v>43617</v>
      </c>
      <c r="B228" s="139" t="n">
        <f aca="false">VLOOKUP($A228,Table2,MATCH(I$3,Curves2,0))</f>
        <v>60900</v>
      </c>
      <c r="C228" s="140"/>
      <c r="D228" s="141" t="n">
        <f aca="false">B228+C228</f>
        <v>60900</v>
      </c>
      <c r="E228" s="126" t="n">
        <f aca="false">IF(Y228=0,0,IF(AND(Y228=1,$H$3=1),D228*T228,IF($H$3=2,D228,"N/A")))</f>
        <v>0</v>
      </c>
      <c r="F228" s="126" t="n">
        <f aca="false">E228*X228</f>
        <v>0</v>
      </c>
      <c r="G228" s="142" t="n">
        <f aca="false">VLOOKUP($A228,Table,MATCH(G$4,Curves,0))</f>
        <v>3.987</v>
      </c>
      <c r="H228" s="143" t="n">
        <f aca="false">G228</f>
        <v>3.987</v>
      </c>
      <c r="I228" s="142" t="n">
        <f aca="false">VLOOKUP($A228,Table1,MATCH(I$3,Curves1,0))</f>
        <v>3.7904</v>
      </c>
      <c r="J228" s="142" t="n">
        <f aca="false">VLOOKUP($A228,Table,MATCH(J$4,Curves,0))</f>
        <v>0.011</v>
      </c>
      <c r="K228" s="143" t="n">
        <f aca="false">J228</f>
        <v>0.011</v>
      </c>
      <c r="L228" s="144" t="n">
        <v>0</v>
      </c>
      <c r="M228" s="142" t="n">
        <f aca="false">VLOOKUP($A228,Table,MATCH(M$4,Curves,0))</f>
        <v>0.015</v>
      </c>
      <c r="N228" s="143" t="n">
        <f aca="false">M228</f>
        <v>0.015</v>
      </c>
      <c r="O228" s="144" t="n">
        <v>0</v>
      </c>
      <c r="P228" s="145"/>
      <c r="Q228" s="144" t="n">
        <f aca="false">M228+J228+G228</f>
        <v>4.013</v>
      </c>
      <c r="R228" s="144" t="n">
        <f aca="false">O228+L228+I228</f>
        <v>3.7904</v>
      </c>
      <c r="S228" s="145"/>
      <c r="T228" s="71" t="n">
        <f aca="false">A229-A228</f>
        <v>30</v>
      </c>
      <c r="U228" s="146" t="n">
        <f aca="false">CHOOSE(F$3,A229+24,A228)</f>
        <v>43671</v>
      </c>
      <c r="V228" s="71" t="n">
        <f aca="false">U228-C$3</f>
        <v>6783</v>
      </c>
      <c r="W228" s="142" t="n">
        <f aca="false">VLOOKUP($A228,Table,MATCH(W$4,Curves,0))</f>
        <v>0.058966861357273</v>
      </c>
      <c r="X228" s="147" t="n">
        <f aca="false">1/(1+CHOOSE(F$3,(W229+($K$3/10000))/2,(W228+($K$3/10000))/2))^(2*V228/365.25)</f>
        <v>0.339856577358033</v>
      </c>
      <c r="Y228" s="71" t="n">
        <f aca="false">IF(AND(mthbeg&lt;=A228,mthend&gt;=A228),1,0)</f>
        <v>0</v>
      </c>
      <c r="Z228" s="71" t="n">
        <f aca="false">T228*Y228</f>
        <v>0</v>
      </c>
      <c r="AB228" s="132" t="n">
        <f aca="false">F228*G228</f>
        <v>0</v>
      </c>
      <c r="AC228" s="132" t="n">
        <f aca="false">$F228*H228</f>
        <v>0</v>
      </c>
      <c r="AD228" s="132" t="n">
        <f aca="false">$F228*I228</f>
        <v>0</v>
      </c>
      <c r="AE228" s="132" t="n">
        <f aca="false">$F228*J228</f>
        <v>0</v>
      </c>
      <c r="AF228" s="132" t="n">
        <f aca="false">$F228*K228</f>
        <v>0</v>
      </c>
      <c r="AG228" s="132" t="n">
        <f aca="false">$F228*L228</f>
        <v>0</v>
      </c>
      <c r="AH228" s="132" t="n">
        <f aca="false">$F228*M228</f>
        <v>0</v>
      </c>
      <c r="AI228" s="132" t="n">
        <f aca="false">$F228*N228</f>
        <v>0</v>
      </c>
      <c r="AJ228" s="132" t="n">
        <f aca="false">F228*O228</f>
        <v>0</v>
      </c>
      <c r="AK228" s="137"/>
      <c r="AL228" s="132" t="n">
        <f aca="false">CHOOSE($G$3,AC228-AD228,AD228-AC228)</f>
        <v>0</v>
      </c>
      <c r="AM228" s="132" t="n">
        <f aca="false">CHOOSE($G$3,AF228-AG228,AG228-AF228)</f>
        <v>0</v>
      </c>
      <c r="AN228" s="132" t="n">
        <f aca="false">CHOOSE($G$3,AI228-AJ228,AJ228-AI228)</f>
        <v>0</v>
      </c>
      <c r="AO228" s="148" t="n">
        <f aca="false">SUM(AL228:AN228)</f>
        <v>0</v>
      </c>
      <c r="AQ228" s="132" t="n">
        <f aca="false">CHOOSE($G$3,AB228-AC228,AC228-AB228)</f>
        <v>0</v>
      </c>
      <c r="AR228" s="132" t="n">
        <f aca="false">CHOOSE($G$3,AE228-AF228,AF228-AE228)</f>
        <v>0</v>
      </c>
      <c r="AS228" s="132" t="n">
        <f aca="false">CHOOSE($G$3,AH228-AI228,AI228-AH228)</f>
        <v>0</v>
      </c>
      <c r="AT228" s="148" t="n">
        <f aca="false">AQ228+AR228+AS228</f>
        <v>0</v>
      </c>
      <c r="AU228" s="148"/>
      <c r="AV228" s="133" t="n">
        <f aca="false">AT228+AO228</f>
        <v>0</v>
      </c>
      <c r="AX228" s="133" t="n">
        <f aca="false">AJ228+AG228+AD228</f>
        <v>0</v>
      </c>
      <c r="AY228" s="149"/>
      <c r="AZ228" s="76" t="n">
        <f aca="false">R228*E228</f>
        <v>0</v>
      </c>
    </row>
    <row r="229" customFormat="false" ht="12" hidden="false" customHeight="true" outlineLevel="0" collapsed="false">
      <c r="A229" s="138" t="n">
        <f aca="false">EDATE(A228,1)</f>
        <v>43647</v>
      </c>
      <c r="B229" s="139" t="n">
        <f aca="false">VLOOKUP($A229,Table2,MATCH(I$3,Curves2,0))</f>
        <v>60900</v>
      </c>
      <c r="C229" s="140"/>
      <c r="D229" s="141" t="n">
        <f aca="false">B229+C229</f>
        <v>60900</v>
      </c>
      <c r="E229" s="126" t="n">
        <f aca="false">IF(Y229=0,0,IF(AND(Y229=1,$H$3=1),D229*T229,IF($H$3=2,D229,"N/A")))</f>
        <v>0</v>
      </c>
      <c r="F229" s="126" t="n">
        <f aca="false">E229*X229</f>
        <v>0</v>
      </c>
      <c r="G229" s="142" t="n">
        <f aca="false">VLOOKUP($A229,Table,MATCH(G$4,Curves,0))</f>
        <v>3.987</v>
      </c>
      <c r="H229" s="143" t="n">
        <f aca="false">G229</f>
        <v>3.987</v>
      </c>
      <c r="I229" s="142" t="n">
        <f aca="false">VLOOKUP($A229,Table1,MATCH(I$3,Curves1,0))</f>
        <v>3.7904</v>
      </c>
      <c r="J229" s="142" t="n">
        <f aca="false">VLOOKUP($A229,Table,MATCH(J$4,Curves,0))</f>
        <v>0.011</v>
      </c>
      <c r="K229" s="143" t="n">
        <f aca="false">J229</f>
        <v>0.011</v>
      </c>
      <c r="L229" s="144" t="n">
        <v>0</v>
      </c>
      <c r="M229" s="142" t="n">
        <f aca="false">VLOOKUP($A229,Table,MATCH(M$4,Curves,0))</f>
        <v>0.015</v>
      </c>
      <c r="N229" s="143" t="n">
        <f aca="false">M229</f>
        <v>0.015</v>
      </c>
      <c r="O229" s="144" t="n">
        <v>0</v>
      </c>
      <c r="P229" s="145"/>
      <c r="Q229" s="144" t="n">
        <f aca="false">M229+J229+G229</f>
        <v>4.013</v>
      </c>
      <c r="R229" s="144" t="n">
        <f aca="false">O229+L229+I229</f>
        <v>3.7904</v>
      </c>
      <c r="S229" s="145"/>
      <c r="T229" s="71" t="n">
        <f aca="false">A230-A229</f>
        <v>31</v>
      </c>
      <c r="U229" s="146" t="n">
        <f aca="false">CHOOSE(F$3,A230+24,A229)</f>
        <v>43702</v>
      </c>
      <c r="V229" s="71" t="n">
        <f aca="false">U229-C$3</f>
        <v>6814</v>
      </c>
      <c r="W229" s="142" t="n">
        <f aca="false">VLOOKUP($A229,Table,MATCH(W$4,Curves,0))</f>
        <v>0.058966861357273</v>
      </c>
      <c r="X229" s="147" t="n">
        <f aca="false">1/(1+CHOOSE(F$3,(W230+($K$3/10000))/2,(W229+($K$3/10000))/2))^(2*V229/365.25)</f>
        <v>0.338184410566547</v>
      </c>
      <c r="Y229" s="71" t="n">
        <f aca="false">IF(AND(mthbeg&lt;=A229,mthend&gt;=A229),1,0)</f>
        <v>0</v>
      </c>
      <c r="Z229" s="71" t="n">
        <f aca="false">T229*Y229</f>
        <v>0</v>
      </c>
      <c r="AB229" s="132" t="n">
        <f aca="false">F229*G229</f>
        <v>0</v>
      </c>
      <c r="AC229" s="132" t="n">
        <f aca="false">$F229*H229</f>
        <v>0</v>
      </c>
      <c r="AD229" s="132" t="n">
        <f aca="false">$F229*I229</f>
        <v>0</v>
      </c>
      <c r="AE229" s="132" t="n">
        <f aca="false">$F229*J229</f>
        <v>0</v>
      </c>
      <c r="AF229" s="132" t="n">
        <f aca="false">$F229*K229</f>
        <v>0</v>
      </c>
      <c r="AG229" s="132" t="n">
        <f aca="false">$F229*L229</f>
        <v>0</v>
      </c>
      <c r="AH229" s="132" t="n">
        <f aca="false">$F229*M229</f>
        <v>0</v>
      </c>
      <c r="AI229" s="132" t="n">
        <f aca="false">$F229*N229</f>
        <v>0</v>
      </c>
      <c r="AJ229" s="132" t="n">
        <f aca="false">F229*O229</f>
        <v>0</v>
      </c>
      <c r="AK229" s="137"/>
      <c r="AL229" s="132" t="n">
        <f aca="false">CHOOSE($G$3,AC229-AD229,AD229-AC229)</f>
        <v>0</v>
      </c>
      <c r="AM229" s="132" t="n">
        <f aca="false">CHOOSE($G$3,AF229-AG229,AG229-AF229)</f>
        <v>0</v>
      </c>
      <c r="AN229" s="132" t="n">
        <f aca="false">CHOOSE($G$3,AI229-AJ229,AJ229-AI229)</f>
        <v>0</v>
      </c>
      <c r="AO229" s="148" t="n">
        <f aca="false">SUM(AL229:AN229)</f>
        <v>0</v>
      </c>
      <c r="AQ229" s="132" t="n">
        <f aca="false">CHOOSE($G$3,AB229-AC229,AC229-AB229)</f>
        <v>0</v>
      </c>
      <c r="AR229" s="132" t="n">
        <f aca="false">CHOOSE($G$3,AE229-AF229,AF229-AE229)</f>
        <v>0</v>
      </c>
      <c r="AS229" s="132" t="n">
        <f aca="false">CHOOSE($G$3,AH229-AI229,AI229-AH229)</f>
        <v>0</v>
      </c>
      <c r="AT229" s="148" t="n">
        <f aca="false">AQ229+AR229+AS229</f>
        <v>0</v>
      </c>
      <c r="AU229" s="148"/>
      <c r="AV229" s="133" t="n">
        <f aca="false">AT229+AO229</f>
        <v>0</v>
      </c>
      <c r="AX229" s="133" t="n">
        <f aca="false">AJ229+AG229+AD229</f>
        <v>0</v>
      </c>
      <c r="AY229" s="149"/>
      <c r="AZ229" s="76" t="n">
        <f aca="false">R229*E229</f>
        <v>0</v>
      </c>
    </row>
    <row r="230" customFormat="false" ht="12" hidden="false" customHeight="true" outlineLevel="0" collapsed="false">
      <c r="A230" s="138" t="n">
        <f aca="false">EDATE(A229,1)</f>
        <v>43678</v>
      </c>
      <c r="B230" s="139" t="n">
        <f aca="false">VLOOKUP($A230,Table2,MATCH(I$3,Curves2,0))</f>
        <v>60900</v>
      </c>
      <c r="C230" s="140"/>
      <c r="D230" s="141" t="n">
        <f aca="false">B230+C230</f>
        <v>60900</v>
      </c>
      <c r="E230" s="126" t="n">
        <f aca="false">IF(Y230=0,0,IF(AND(Y230=1,$H$3=1),D230*T230,IF($H$3=2,D230,"N/A")))</f>
        <v>0</v>
      </c>
      <c r="F230" s="126" t="n">
        <f aca="false">E230*X230</f>
        <v>0</v>
      </c>
      <c r="G230" s="142" t="n">
        <f aca="false">VLOOKUP($A230,Table,MATCH(G$4,Curves,0))</f>
        <v>3.987</v>
      </c>
      <c r="H230" s="143" t="n">
        <f aca="false">G230</f>
        <v>3.987</v>
      </c>
      <c r="I230" s="142" t="n">
        <f aca="false">VLOOKUP($A230,Table1,MATCH(I$3,Curves1,0))</f>
        <v>3.7904</v>
      </c>
      <c r="J230" s="142" t="n">
        <f aca="false">VLOOKUP($A230,Table,MATCH(J$4,Curves,0))</f>
        <v>0.011</v>
      </c>
      <c r="K230" s="143" t="n">
        <f aca="false">J230</f>
        <v>0.011</v>
      </c>
      <c r="L230" s="144" t="n">
        <v>0</v>
      </c>
      <c r="M230" s="142" t="n">
        <f aca="false">VLOOKUP($A230,Table,MATCH(M$4,Curves,0))</f>
        <v>0.015</v>
      </c>
      <c r="N230" s="143" t="n">
        <f aca="false">M230</f>
        <v>0.015</v>
      </c>
      <c r="O230" s="144" t="n">
        <v>0</v>
      </c>
      <c r="P230" s="145"/>
      <c r="Q230" s="144" t="n">
        <f aca="false">M230+J230+G230</f>
        <v>4.013</v>
      </c>
      <c r="R230" s="144" t="n">
        <f aca="false">O230+L230+I230</f>
        <v>3.7904</v>
      </c>
      <c r="S230" s="145"/>
      <c r="T230" s="71" t="n">
        <f aca="false">A231-A230</f>
        <v>31</v>
      </c>
      <c r="U230" s="146" t="n">
        <f aca="false">CHOOSE(F$3,A231+24,A230)</f>
        <v>43733</v>
      </c>
      <c r="V230" s="71" t="n">
        <f aca="false">U230-C$3</f>
        <v>6845</v>
      </c>
      <c r="W230" s="142" t="n">
        <f aca="false">VLOOKUP($A230,Table,MATCH(W$4,Curves,0))</f>
        <v>0.058966861357273</v>
      </c>
      <c r="X230" s="147" t="n">
        <f aca="false">1/(1+CHOOSE(F$3,(W231+($K$3/10000))/2,(W230+($K$3/10000))/2))^(2*V230/365.25)</f>
        <v>0.336520471192051</v>
      </c>
      <c r="Y230" s="71" t="n">
        <f aca="false">IF(AND(mthbeg&lt;=A230,mthend&gt;=A230),1,0)</f>
        <v>0</v>
      </c>
      <c r="Z230" s="71" t="n">
        <f aca="false">T230*Y230</f>
        <v>0</v>
      </c>
      <c r="AB230" s="132" t="n">
        <f aca="false">F230*G230</f>
        <v>0</v>
      </c>
      <c r="AC230" s="132" t="n">
        <f aca="false">$F230*H230</f>
        <v>0</v>
      </c>
      <c r="AD230" s="132" t="n">
        <f aca="false">$F230*I230</f>
        <v>0</v>
      </c>
      <c r="AE230" s="132" t="n">
        <f aca="false">$F230*J230</f>
        <v>0</v>
      </c>
      <c r="AF230" s="132" t="n">
        <f aca="false">$F230*K230</f>
        <v>0</v>
      </c>
      <c r="AG230" s="132" t="n">
        <f aca="false">$F230*L230</f>
        <v>0</v>
      </c>
      <c r="AH230" s="132" t="n">
        <f aca="false">$F230*M230</f>
        <v>0</v>
      </c>
      <c r="AI230" s="132" t="n">
        <f aca="false">$F230*N230</f>
        <v>0</v>
      </c>
      <c r="AJ230" s="132" t="n">
        <f aca="false">F230*O230</f>
        <v>0</v>
      </c>
      <c r="AK230" s="137"/>
      <c r="AL230" s="132" t="n">
        <f aca="false">CHOOSE($G$3,AC230-AD230,AD230-AC230)</f>
        <v>0</v>
      </c>
      <c r="AM230" s="132" t="n">
        <f aca="false">CHOOSE($G$3,AF230-AG230,AG230-AF230)</f>
        <v>0</v>
      </c>
      <c r="AN230" s="132" t="n">
        <f aca="false">CHOOSE($G$3,AI230-AJ230,AJ230-AI230)</f>
        <v>0</v>
      </c>
      <c r="AO230" s="148" t="n">
        <f aca="false">SUM(AL230:AN230)</f>
        <v>0</v>
      </c>
      <c r="AQ230" s="132" t="n">
        <f aca="false">CHOOSE($G$3,AB230-AC230,AC230-AB230)</f>
        <v>0</v>
      </c>
      <c r="AR230" s="132" t="n">
        <f aca="false">CHOOSE($G$3,AE230-AF230,AF230-AE230)</f>
        <v>0</v>
      </c>
      <c r="AS230" s="132" t="n">
        <f aca="false">CHOOSE($G$3,AH230-AI230,AI230-AH230)</f>
        <v>0</v>
      </c>
      <c r="AT230" s="148" t="n">
        <f aca="false">AQ230+AR230+AS230</f>
        <v>0</v>
      </c>
      <c r="AU230" s="148"/>
      <c r="AV230" s="133" t="n">
        <f aca="false">AT230+AO230</f>
        <v>0</v>
      </c>
      <c r="AX230" s="133" t="n">
        <f aca="false">AJ230+AG230+AD230</f>
        <v>0</v>
      </c>
      <c r="AY230" s="149"/>
      <c r="AZ230" s="76" t="n">
        <f aca="false">R230*E230</f>
        <v>0</v>
      </c>
    </row>
    <row r="231" customFormat="false" ht="12" hidden="false" customHeight="true" outlineLevel="0" collapsed="false">
      <c r="A231" s="138" t="n">
        <f aca="false">EDATE(A230,1)</f>
        <v>43709</v>
      </c>
      <c r="B231" s="139" t="n">
        <f aca="false">VLOOKUP($A231,Table2,MATCH(I$3,Curves2,0))</f>
        <v>60900</v>
      </c>
      <c r="C231" s="140"/>
      <c r="D231" s="141" t="n">
        <f aca="false">B231+C231</f>
        <v>60900</v>
      </c>
      <c r="E231" s="126" t="n">
        <f aca="false">IF(Y231=0,0,IF(AND(Y231=1,$H$3=1),D231*T231,IF($H$3=2,D231,"N/A")))</f>
        <v>0</v>
      </c>
      <c r="F231" s="126" t="n">
        <f aca="false">E231*X231</f>
        <v>0</v>
      </c>
      <c r="G231" s="142" t="n">
        <f aca="false">VLOOKUP($A231,Table,MATCH(G$4,Curves,0))</f>
        <v>3.987</v>
      </c>
      <c r="H231" s="143" t="n">
        <f aca="false">G231</f>
        <v>3.987</v>
      </c>
      <c r="I231" s="142" t="n">
        <f aca="false">VLOOKUP($A231,Table1,MATCH(I$3,Curves1,0))</f>
        <v>3.7904</v>
      </c>
      <c r="J231" s="142" t="n">
        <f aca="false">VLOOKUP($A231,Table,MATCH(J$4,Curves,0))</f>
        <v>0.011</v>
      </c>
      <c r="K231" s="143" t="n">
        <f aca="false">J231</f>
        <v>0.011</v>
      </c>
      <c r="L231" s="144" t="n">
        <v>0</v>
      </c>
      <c r="M231" s="142" t="n">
        <f aca="false">VLOOKUP($A231,Table,MATCH(M$4,Curves,0))</f>
        <v>0.015</v>
      </c>
      <c r="N231" s="143" t="n">
        <f aca="false">M231</f>
        <v>0.015</v>
      </c>
      <c r="O231" s="144" t="n">
        <v>0</v>
      </c>
      <c r="P231" s="145"/>
      <c r="Q231" s="144" t="n">
        <f aca="false">M231+J231+G231</f>
        <v>4.013</v>
      </c>
      <c r="R231" s="144" t="n">
        <f aca="false">O231+L231+I231</f>
        <v>3.7904</v>
      </c>
      <c r="S231" s="145"/>
      <c r="T231" s="71" t="n">
        <f aca="false">A232-A231</f>
        <v>30</v>
      </c>
      <c r="U231" s="146" t="n">
        <f aca="false">CHOOSE(F$3,A232+24,A231)</f>
        <v>43763</v>
      </c>
      <c r="V231" s="71" t="n">
        <f aca="false">U231-C$3</f>
        <v>6875</v>
      </c>
      <c r="W231" s="142" t="n">
        <f aca="false">VLOOKUP($A231,Table,MATCH(W$4,Curves,0))</f>
        <v>0.058966861357273</v>
      </c>
      <c r="X231" s="147" t="n">
        <f aca="false">1/(1+CHOOSE(F$3,(W232+($K$3/10000))/2,(W231+($K$3/10000))/2))^(2*V231/365.25)</f>
        <v>0.33491800274803</v>
      </c>
      <c r="Y231" s="71" t="n">
        <f aca="false">IF(AND(mthbeg&lt;=A231,mthend&gt;=A231),1,0)</f>
        <v>0</v>
      </c>
      <c r="Z231" s="71" t="n">
        <f aca="false">T231*Y231</f>
        <v>0</v>
      </c>
      <c r="AB231" s="132" t="n">
        <f aca="false">F231*G231</f>
        <v>0</v>
      </c>
      <c r="AC231" s="132" t="n">
        <f aca="false">$F231*H231</f>
        <v>0</v>
      </c>
      <c r="AD231" s="132" t="n">
        <f aca="false">$F231*I231</f>
        <v>0</v>
      </c>
      <c r="AE231" s="132" t="n">
        <f aca="false">$F231*J231</f>
        <v>0</v>
      </c>
      <c r="AF231" s="132" t="n">
        <f aca="false">$F231*K231</f>
        <v>0</v>
      </c>
      <c r="AG231" s="132" t="n">
        <f aca="false">$F231*L231</f>
        <v>0</v>
      </c>
      <c r="AH231" s="132" t="n">
        <f aca="false">$F231*M231</f>
        <v>0</v>
      </c>
      <c r="AI231" s="132" t="n">
        <f aca="false">$F231*N231</f>
        <v>0</v>
      </c>
      <c r="AJ231" s="132" t="n">
        <f aca="false">F231*O231</f>
        <v>0</v>
      </c>
      <c r="AK231" s="137"/>
      <c r="AL231" s="132" t="n">
        <f aca="false">CHOOSE($G$3,AC231-AD231,AD231-AC231)</f>
        <v>0</v>
      </c>
      <c r="AM231" s="132" t="n">
        <f aca="false">CHOOSE($G$3,AF231-AG231,AG231-AF231)</f>
        <v>0</v>
      </c>
      <c r="AN231" s="132" t="n">
        <f aca="false">CHOOSE($G$3,AI231-AJ231,AJ231-AI231)</f>
        <v>0</v>
      </c>
      <c r="AO231" s="148" t="n">
        <f aca="false">SUM(AL231:AN231)</f>
        <v>0</v>
      </c>
      <c r="AQ231" s="132" t="n">
        <f aca="false">CHOOSE($G$3,AB231-AC231,AC231-AB231)</f>
        <v>0</v>
      </c>
      <c r="AR231" s="132" t="n">
        <f aca="false">CHOOSE($G$3,AE231-AF231,AF231-AE231)</f>
        <v>0</v>
      </c>
      <c r="AS231" s="132" t="n">
        <f aca="false">CHOOSE($G$3,AH231-AI231,AI231-AH231)</f>
        <v>0</v>
      </c>
      <c r="AT231" s="148" t="n">
        <f aca="false">AQ231+AR231+AS231</f>
        <v>0</v>
      </c>
      <c r="AU231" s="148"/>
      <c r="AV231" s="133" t="n">
        <f aca="false">AT231+AO231</f>
        <v>0</v>
      </c>
      <c r="AX231" s="133" t="n">
        <f aca="false">AJ231+AG231+AD231</f>
        <v>0</v>
      </c>
      <c r="AY231" s="149"/>
      <c r="AZ231" s="76" t="n">
        <f aca="false">R231*E231</f>
        <v>0</v>
      </c>
    </row>
    <row r="232" customFormat="false" ht="12" hidden="false" customHeight="true" outlineLevel="0" collapsed="false">
      <c r="A232" s="138" t="n">
        <f aca="false">EDATE(A231,1)</f>
        <v>43739</v>
      </c>
      <c r="B232" s="139" t="n">
        <f aca="false">VLOOKUP($A232,Table2,MATCH(I$3,Curves2,0))</f>
        <v>60900</v>
      </c>
      <c r="C232" s="140"/>
      <c r="D232" s="141" t="n">
        <f aca="false">B232+C232</f>
        <v>60900</v>
      </c>
      <c r="E232" s="126" t="n">
        <f aca="false">IF(Y232=0,0,IF(AND(Y232=1,$H$3=1),D232*T232,IF($H$3=2,D232,"N/A")))</f>
        <v>0</v>
      </c>
      <c r="F232" s="126" t="n">
        <f aca="false">E232*X232</f>
        <v>0</v>
      </c>
      <c r="G232" s="142" t="n">
        <f aca="false">VLOOKUP($A232,Table,MATCH(G$4,Curves,0))</f>
        <v>3.987</v>
      </c>
      <c r="H232" s="143" t="n">
        <f aca="false">G232</f>
        <v>3.987</v>
      </c>
      <c r="I232" s="142" t="n">
        <f aca="false">VLOOKUP($A232,Table1,MATCH(I$3,Curves1,0))</f>
        <v>3.7904</v>
      </c>
      <c r="J232" s="142" t="n">
        <f aca="false">VLOOKUP($A232,Table,MATCH(J$4,Curves,0))</f>
        <v>0.011</v>
      </c>
      <c r="K232" s="143" t="n">
        <f aca="false">J232</f>
        <v>0.011</v>
      </c>
      <c r="L232" s="144" t="n">
        <v>0</v>
      </c>
      <c r="M232" s="142" t="n">
        <f aca="false">VLOOKUP($A232,Table,MATCH(M$4,Curves,0))</f>
        <v>0.015</v>
      </c>
      <c r="N232" s="143" t="n">
        <f aca="false">M232</f>
        <v>0.015</v>
      </c>
      <c r="O232" s="144" t="n">
        <v>0</v>
      </c>
      <c r="P232" s="145"/>
      <c r="Q232" s="144" t="n">
        <f aca="false">M232+J232+G232</f>
        <v>4.013</v>
      </c>
      <c r="R232" s="144" t="n">
        <f aca="false">O232+L232+I232</f>
        <v>3.7904</v>
      </c>
      <c r="S232" s="145"/>
      <c r="T232" s="71" t="n">
        <f aca="false">A233-A232</f>
        <v>31</v>
      </c>
      <c r="U232" s="146" t="n">
        <f aca="false">CHOOSE(F$3,A233+24,A232)</f>
        <v>43794</v>
      </c>
      <c r="V232" s="71" t="n">
        <f aca="false">U232-C$3</f>
        <v>6906</v>
      </c>
      <c r="W232" s="142" t="n">
        <f aca="false">VLOOKUP($A232,Table,MATCH(W$4,Curves,0))</f>
        <v>0.058966861357273</v>
      </c>
      <c r="X232" s="147" t="n">
        <f aca="false">1/(1+CHOOSE(F$3,(W233+($K$3/10000))/2,(W232+($K$3/10000))/2))^(2*V232/365.25)</f>
        <v>0.333270134796143</v>
      </c>
      <c r="Y232" s="71" t="n">
        <f aca="false">IF(AND(mthbeg&lt;=A232,mthend&gt;=A232),1,0)</f>
        <v>0</v>
      </c>
      <c r="Z232" s="71" t="n">
        <f aca="false">T232*Y232</f>
        <v>0</v>
      </c>
      <c r="AB232" s="132" t="n">
        <f aca="false">F232*G232</f>
        <v>0</v>
      </c>
      <c r="AC232" s="132" t="n">
        <f aca="false">$F232*H232</f>
        <v>0</v>
      </c>
      <c r="AD232" s="132" t="n">
        <f aca="false">$F232*I232</f>
        <v>0</v>
      </c>
      <c r="AE232" s="132" t="n">
        <f aca="false">$F232*J232</f>
        <v>0</v>
      </c>
      <c r="AF232" s="132" t="n">
        <f aca="false">$F232*K232</f>
        <v>0</v>
      </c>
      <c r="AG232" s="132" t="n">
        <f aca="false">$F232*L232</f>
        <v>0</v>
      </c>
      <c r="AH232" s="132" t="n">
        <f aca="false">$F232*M232</f>
        <v>0</v>
      </c>
      <c r="AI232" s="132" t="n">
        <f aca="false">$F232*N232</f>
        <v>0</v>
      </c>
      <c r="AJ232" s="132" t="n">
        <f aca="false">F232*O232</f>
        <v>0</v>
      </c>
      <c r="AK232" s="137"/>
      <c r="AL232" s="132" t="n">
        <f aca="false">CHOOSE($G$3,AC232-AD232,AD232-AC232)</f>
        <v>0</v>
      </c>
      <c r="AM232" s="132" t="n">
        <f aca="false">CHOOSE($G$3,AF232-AG232,AG232-AF232)</f>
        <v>0</v>
      </c>
      <c r="AN232" s="132" t="n">
        <f aca="false">CHOOSE($G$3,AI232-AJ232,AJ232-AI232)</f>
        <v>0</v>
      </c>
      <c r="AO232" s="148" t="n">
        <f aca="false">SUM(AL232:AN232)</f>
        <v>0</v>
      </c>
      <c r="AQ232" s="132" t="n">
        <f aca="false">CHOOSE($G$3,AB232-AC232,AC232-AB232)</f>
        <v>0</v>
      </c>
      <c r="AR232" s="132" t="n">
        <f aca="false">CHOOSE($G$3,AE232-AF232,AF232-AE232)</f>
        <v>0</v>
      </c>
      <c r="AS232" s="132" t="n">
        <f aca="false">CHOOSE($G$3,AH232-AI232,AI232-AH232)</f>
        <v>0</v>
      </c>
      <c r="AT232" s="148" t="n">
        <f aca="false">AQ232+AR232+AS232</f>
        <v>0</v>
      </c>
      <c r="AU232" s="148"/>
      <c r="AV232" s="133" t="n">
        <f aca="false">AT232+AO232</f>
        <v>0</v>
      </c>
      <c r="AX232" s="133" t="n">
        <f aca="false">AJ232+AG232+AD232</f>
        <v>0</v>
      </c>
      <c r="AY232" s="149"/>
      <c r="AZ232" s="76" t="n">
        <f aca="false">R232*E232</f>
        <v>0</v>
      </c>
    </row>
    <row r="233" customFormat="false" ht="12" hidden="false" customHeight="true" outlineLevel="0" collapsed="false">
      <c r="A233" s="138" t="n">
        <f aca="false">EDATE(A232,1)</f>
        <v>43770</v>
      </c>
      <c r="B233" s="139" t="n">
        <f aca="false">VLOOKUP($A233,Table2,MATCH(I$3,Curves2,0))</f>
        <v>60900</v>
      </c>
      <c r="C233" s="140"/>
      <c r="D233" s="141" t="n">
        <f aca="false">B233+C233</f>
        <v>60900</v>
      </c>
      <c r="E233" s="126" t="n">
        <f aca="false">IF(Y233=0,0,IF(AND(Y233=1,$H$3=1),D233*T233,IF($H$3=2,D233,"N/A")))</f>
        <v>0</v>
      </c>
      <c r="F233" s="126" t="n">
        <f aca="false">E233*X233</f>
        <v>0</v>
      </c>
      <c r="G233" s="142" t="n">
        <f aca="false">VLOOKUP($A233,Table,MATCH(G$4,Curves,0))</f>
        <v>3.987</v>
      </c>
      <c r="H233" s="143" t="n">
        <f aca="false">G233</f>
        <v>3.987</v>
      </c>
      <c r="I233" s="142" t="n">
        <f aca="false">VLOOKUP($A233,Table1,MATCH(I$3,Curves1,0))</f>
        <v>3.7904</v>
      </c>
      <c r="J233" s="142" t="n">
        <f aca="false">VLOOKUP($A233,Table,MATCH(J$4,Curves,0))</f>
        <v>0.011</v>
      </c>
      <c r="K233" s="143" t="n">
        <f aca="false">J233</f>
        <v>0.011</v>
      </c>
      <c r="L233" s="144" t="n">
        <v>0</v>
      </c>
      <c r="M233" s="142" t="n">
        <f aca="false">VLOOKUP($A233,Table,MATCH(M$4,Curves,0))</f>
        <v>0.015</v>
      </c>
      <c r="N233" s="143" t="n">
        <f aca="false">M233</f>
        <v>0.015</v>
      </c>
      <c r="O233" s="144" t="n">
        <v>0</v>
      </c>
      <c r="P233" s="145"/>
      <c r="Q233" s="144" t="n">
        <f aca="false">M233+J233+G233</f>
        <v>4.013</v>
      </c>
      <c r="R233" s="144" t="n">
        <f aca="false">O233+L233+I233</f>
        <v>3.7904</v>
      </c>
      <c r="S233" s="145"/>
      <c r="T233" s="71" t="n">
        <f aca="false">A234-A233</f>
        <v>30</v>
      </c>
      <c r="U233" s="146" t="n">
        <f aca="false">CHOOSE(F$3,A234+24,A233)</f>
        <v>43824</v>
      </c>
      <c r="V233" s="71" t="n">
        <f aca="false">U233-C$3</f>
        <v>6936</v>
      </c>
      <c r="W233" s="142" t="n">
        <f aca="false">VLOOKUP($A233,Table,MATCH(W$4,Curves,0))</f>
        <v>0.058966861357273</v>
      </c>
      <c r="X233" s="147" t="n">
        <f aca="false">1/(1+CHOOSE(F$3,(W234+($K$3/10000))/2,(W233+($K$3/10000))/2))^(2*V233/365.25)</f>
        <v>0.331683144047991</v>
      </c>
      <c r="Y233" s="71" t="n">
        <f aca="false">IF(AND(mthbeg&lt;=A233,mthend&gt;=A233),1,0)</f>
        <v>0</v>
      </c>
      <c r="Z233" s="71" t="n">
        <f aca="false">T233*Y233</f>
        <v>0</v>
      </c>
      <c r="AB233" s="132" t="n">
        <f aca="false">F233*G233</f>
        <v>0</v>
      </c>
      <c r="AC233" s="132" t="n">
        <f aca="false">$F233*H233</f>
        <v>0</v>
      </c>
      <c r="AD233" s="132" t="n">
        <f aca="false">$F233*I233</f>
        <v>0</v>
      </c>
      <c r="AE233" s="132" t="n">
        <f aca="false">$F233*J233</f>
        <v>0</v>
      </c>
      <c r="AF233" s="132" t="n">
        <f aca="false">$F233*K233</f>
        <v>0</v>
      </c>
      <c r="AG233" s="132" t="n">
        <f aca="false">$F233*L233</f>
        <v>0</v>
      </c>
      <c r="AH233" s="132" t="n">
        <f aca="false">$F233*M233</f>
        <v>0</v>
      </c>
      <c r="AI233" s="132" t="n">
        <f aca="false">$F233*N233</f>
        <v>0</v>
      </c>
      <c r="AJ233" s="132" t="n">
        <f aca="false">F233*O233</f>
        <v>0</v>
      </c>
      <c r="AK233" s="137"/>
      <c r="AL233" s="132" t="n">
        <f aca="false">CHOOSE($G$3,AC233-AD233,AD233-AC233)</f>
        <v>0</v>
      </c>
      <c r="AM233" s="132" t="n">
        <f aca="false">CHOOSE($G$3,AF233-AG233,AG233-AF233)</f>
        <v>0</v>
      </c>
      <c r="AN233" s="132" t="n">
        <f aca="false">CHOOSE($G$3,AI233-AJ233,AJ233-AI233)</f>
        <v>0</v>
      </c>
      <c r="AO233" s="148" t="n">
        <f aca="false">SUM(AL233:AN233)</f>
        <v>0</v>
      </c>
      <c r="AQ233" s="132" t="n">
        <f aca="false">CHOOSE($G$3,AB233-AC233,AC233-AB233)</f>
        <v>0</v>
      </c>
      <c r="AR233" s="132" t="n">
        <f aca="false">CHOOSE($G$3,AE233-AF233,AF233-AE233)</f>
        <v>0</v>
      </c>
      <c r="AS233" s="132" t="n">
        <f aca="false">CHOOSE($G$3,AH233-AI233,AI233-AH233)</f>
        <v>0</v>
      </c>
      <c r="AT233" s="148" t="n">
        <f aca="false">AQ233+AR233+AS233</f>
        <v>0</v>
      </c>
      <c r="AU233" s="148"/>
      <c r="AV233" s="133" t="n">
        <f aca="false">AT233+AO233</f>
        <v>0</v>
      </c>
      <c r="AX233" s="133" t="n">
        <f aca="false">AJ233+AG233+AD233</f>
        <v>0</v>
      </c>
      <c r="AY233" s="149"/>
      <c r="AZ233" s="76" t="n">
        <f aca="false">R233*E233</f>
        <v>0</v>
      </c>
    </row>
    <row r="234" customFormat="false" ht="12" hidden="false" customHeight="true" outlineLevel="0" collapsed="false">
      <c r="A234" s="138" t="n">
        <f aca="false">EDATE(A233,1)</f>
        <v>43800</v>
      </c>
      <c r="B234" s="139" t="n">
        <f aca="false">VLOOKUP($A234,Table2,MATCH(I$3,Curves2,0))</f>
        <v>60900</v>
      </c>
      <c r="C234" s="140"/>
      <c r="D234" s="141" t="n">
        <f aca="false">B234+C234</f>
        <v>60900</v>
      </c>
      <c r="E234" s="126" t="n">
        <f aca="false">IF(Y234=0,0,IF(AND(Y234=1,$H$3=1),D234*T234,IF($H$3=2,D234,"N/A")))</f>
        <v>0</v>
      </c>
      <c r="F234" s="126" t="n">
        <f aca="false">E234*X234</f>
        <v>0</v>
      </c>
      <c r="G234" s="142" t="n">
        <f aca="false">VLOOKUP($A234,Table,MATCH(G$4,Curves,0))</f>
        <v>3.987</v>
      </c>
      <c r="H234" s="143" t="n">
        <f aca="false">G234</f>
        <v>3.987</v>
      </c>
      <c r="I234" s="142" t="n">
        <f aca="false">VLOOKUP($A234,Table1,MATCH(I$3,Curves1,0))</f>
        <v>3.7904</v>
      </c>
      <c r="J234" s="142" t="n">
        <f aca="false">VLOOKUP($A234,Table,MATCH(J$4,Curves,0))</f>
        <v>0.011</v>
      </c>
      <c r="K234" s="143" t="n">
        <f aca="false">J234</f>
        <v>0.011</v>
      </c>
      <c r="L234" s="144" t="n">
        <v>0</v>
      </c>
      <c r="M234" s="142" t="n">
        <f aca="false">VLOOKUP($A234,Table,MATCH(M$4,Curves,0))</f>
        <v>0.015</v>
      </c>
      <c r="N234" s="143" t="n">
        <f aca="false">M234</f>
        <v>0.015</v>
      </c>
      <c r="O234" s="144" t="n">
        <v>0</v>
      </c>
      <c r="P234" s="145"/>
      <c r="Q234" s="144" t="n">
        <f aca="false">M234+J234+G234</f>
        <v>4.013</v>
      </c>
      <c r="R234" s="144" t="n">
        <f aca="false">O234+L234+I234</f>
        <v>3.7904</v>
      </c>
      <c r="S234" s="145"/>
      <c r="T234" s="71" t="n">
        <f aca="false">A235-A234</f>
        <v>31</v>
      </c>
      <c r="U234" s="146" t="n">
        <f aca="false">CHOOSE(F$3,A235+24,A234)</f>
        <v>43855</v>
      </c>
      <c r="V234" s="71" t="n">
        <f aca="false">U234-C$3</f>
        <v>6967</v>
      </c>
      <c r="W234" s="142" t="n">
        <f aca="false">VLOOKUP($A234,Table,MATCH(W$4,Curves,0))</f>
        <v>0.058966861357273</v>
      </c>
      <c r="X234" s="147" t="n">
        <f aca="false">1/(1+CHOOSE(F$3,(W235+($K$3/10000))/2,(W234+($K$3/10000))/2))^(2*V234/365.25)</f>
        <v>0.330051192290329</v>
      </c>
      <c r="Y234" s="71" t="n">
        <f aca="false">IF(AND(mthbeg&lt;=A234,mthend&gt;=A234),1,0)</f>
        <v>0</v>
      </c>
      <c r="Z234" s="71" t="n">
        <f aca="false">T234*Y234</f>
        <v>0</v>
      </c>
      <c r="AB234" s="132" t="n">
        <f aca="false">F234*G234</f>
        <v>0</v>
      </c>
      <c r="AC234" s="132" t="n">
        <f aca="false">$F234*H234</f>
        <v>0</v>
      </c>
      <c r="AD234" s="132" t="n">
        <f aca="false">$F234*I234</f>
        <v>0</v>
      </c>
      <c r="AE234" s="132" t="n">
        <f aca="false">$F234*J234</f>
        <v>0</v>
      </c>
      <c r="AF234" s="132" t="n">
        <f aca="false">$F234*K234</f>
        <v>0</v>
      </c>
      <c r="AG234" s="132" t="n">
        <f aca="false">$F234*L234</f>
        <v>0</v>
      </c>
      <c r="AH234" s="132" t="n">
        <f aca="false">$F234*M234</f>
        <v>0</v>
      </c>
      <c r="AI234" s="132" t="n">
        <f aca="false">$F234*N234</f>
        <v>0</v>
      </c>
      <c r="AJ234" s="132" t="n">
        <f aca="false">F234*O234</f>
        <v>0</v>
      </c>
      <c r="AK234" s="137"/>
      <c r="AL234" s="132" t="n">
        <f aca="false">CHOOSE($G$3,AC234-AD234,AD234-AC234)</f>
        <v>0</v>
      </c>
      <c r="AM234" s="132" t="n">
        <f aca="false">CHOOSE($G$3,AF234-AG234,AG234-AF234)</f>
        <v>0</v>
      </c>
      <c r="AN234" s="132" t="n">
        <f aca="false">CHOOSE($G$3,AI234-AJ234,AJ234-AI234)</f>
        <v>0</v>
      </c>
      <c r="AO234" s="148" t="n">
        <f aca="false">SUM(AL234:AN234)</f>
        <v>0</v>
      </c>
      <c r="AQ234" s="132" t="n">
        <f aca="false">CHOOSE($G$3,AB234-AC234,AC234-AB234)</f>
        <v>0</v>
      </c>
      <c r="AR234" s="132" t="n">
        <f aca="false">CHOOSE($G$3,AE234-AF234,AF234-AE234)</f>
        <v>0</v>
      </c>
      <c r="AS234" s="132" t="n">
        <f aca="false">CHOOSE($G$3,AH234-AI234,AI234-AH234)</f>
        <v>0</v>
      </c>
      <c r="AT234" s="148" t="n">
        <f aca="false">AQ234+AR234+AS234</f>
        <v>0</v>
      </c>
      <c r="AU234" s="148"/>
      <c r="AV234" s="133" t="n">
        <f aca="false">AT234+AO234</f>
        <v>0</v>
      </c>
      <c r="AX234" s="133" t="n">
        <f aca="false">AJ234+AG234+AD234</f>
        <v>0</v>
      </c>
      <c r="AY234" s="149"/>
      <c r="AZ234" s="76" t="n">
        <f aca="false">R234*E234</f>
        <v>0</v>
      </c>
    </row>
    <row r="235" customFormat="false" ht="12" hidden="false" customHeight="true" outlineLevel="0" collapsed="false">
      <c r="A235" s="138" t="n">
        <f aca="false">EDATE(A234,1)</f>
        <v>43831</v>
      </c>
      <c r="B235" s="139" t="n">
        <f aca="false">VLOOKUP($A235,Table2,MATCH(I$3,Curves2,0))</f>
        <v>60900</v>
      </c>
      <c r="C235" s="140"/>
      <c r="D235" s="141" t="n">
        <f aca="false">B235+C235</f>
        <v>60900</v>
      </c>
      <c r="E235" s="126" t="n">
        <f aca="false">IF(Y235=0,0,IF(AND(Y235=1,$H$3=1),D235*T235,IF($H$3=2,D235,"N/A")))</f>
        <v>0</v>
      </c>
      <c r="F235" s="126" t="n">
        <f aca="false">E235*X235</f>
        <v>0</v>
      </c>
      <c r="G235" s="142" t="n">
        <f aca="false">VLOOKUP($A235,Table,MATCH(G$4,Curves,0))</f>
        <v>3.987</v>
      </c>
      <c r="H235" s="143" t="n">
        <f aca="false">G235</f>
        <v>3.987</v>
      </c>
      <c r="I235" s="142" t="n">
        <f aca="false">VLOOKUP($A235,Table1,MATCH(I$3,Curves1,0))</f>
        <v>3.7904</v>
      </c>
      <c r="J235" s="142" t="n">
        <f aca="false">VLOOKUP($A235,Table,MATCH(J$4,Curves,0))</f>
        <v>0.011</v>
      </c>
      <c r="K235" s="143" t="n">
        <f aca="false">J235</f>
        <v>0.011</v>
      </c>
      <c r="L235" s="144" t="n">
        <v>0</v>
      </c>
      <c r="M235" s="142" t="n">
        <f aca="false">VLOOKUP($A235,Table,MATCH(M$4,Curves,0))</f>
        <v>0.015</v>
      </c>
      <c r="N235" s="143" t="n">
        <f aca="false">M235</f>
        <v>0.015</v>
      </c>
      <c r="O235" s="144" t="n">
        <v>0</v>
      </c>
      <c r="P235" s="145"/>
      <c r="Q235" s="144" t="n">
        <f aca="false">M235+J235+G235</f>
        <v>4.013</v>
      </c>
      <c r="R235" s="144" t="n">
        <f aca="false">O235+L235+I235</f>
        <v>3.7904</v>
      </c>
      <c r="S235" s="145"/>
      <c r="T235" s="71" t="n">
        <f aca="false">A236-A235</f>
        <v>31</v>
      </c>
      <c r="U235" s="146" t="n">
        <f aca="false">CHOOSE(F$3,A236+24,A235)</f>
        <v>43886</v>
      </c>
      <c r="V235" s="71" t="n">
        <f aca="false">U235-C$3</f>
        <v>6998</v>
      </c>
      <c r="W235" s="142" t="n">
        <f aca="false">VLOOKUP($A235,Table,MATCH(W$4,Curves,0))</f>
        <v>0.058966861357273</v>
      </c>
      <c r="X235" s="147" t="n">
        <f aca="false">1/(1+CHOOSE(F$3,(W236+($K$3/10000))/2,(W235+($K$3/10000))/2))^(2*V235/365.25)</f>
        <v>0.328427270083118</v>
      </c>
      <c r="Y235" s="71" t="n">
        <f aca="false">IF(AND(mthbeg&lt;=A235,mthend&gt;=A235),1,0)</f>
        <v>0</v>
      </c>
      <c r="Z235" s="71" t="n">
        <f aca="false">T235*Y235</f>
        <v>0</v>
      </c>
      <c r="AB235" s="132" t="n">
        <f aca="false">F235*G235</f>
        <v>0</v>
      </c>
      <c r="AC235" s="132" t="n">
        <f aca="false">$F235*H235</f>
        <v>0</v>
      </c>
      <c r="AD235" s="132" t="n">
        <f aca="false">$F235*I235</f>
        <v>0</v>
      </c>
      <c r="AE235" s="132" t="n">
        <f aca="false">$F235*J235</f>
        <v>0</v>
      </c>
      <c r="AF235" s="132" t="n">
        <f aca="false">$F235*K235</f>
        <v>0</v>
      </c>
      <c r="AG235" s="132" t="n">
        <f aca="false">$F235*L235</f>
        <v>0</v>
      </c>
      <c r="AH235" s="132" t="n">
        <f aca="false">$F235*M235</f>
        <v>0</v>
      </c>
      <c r="AI235" s="132" t="n">
        <f aca="false">$F235*N235</f>
        <v>0</v>
      </c>
      <c r="AJ235" s="132" t="n">
        <f aca="false">F235*O235</f>
        <v>0</v>
      </c>
      <c r="AK235" s="137"/>
      <c r="AL235" s="132" t="n">
        <f aca="false">CHOOSE($G$3,AC235-AD235,AD235-AC235)</f>
        <v>0</v>
      </c>
      <c r="AM235" s="132" t="n">
        <f aca="false">CHOOSE($G$3,AF235-AG235,AG235-AF235)</f>
        <v>0</v>
      </c>
      <c r="AN235" s="132" t="n">
        <f aca="false">CHOOSE($G$3,AI235-AJ235,AJ235-AI235)</f>
        <v>0</v>
      </c>
      <c r="AO235" s="148" t="n">
        <f aca="false">SUM(AL235:AN235)</f>
        <v>0</v>
      </c>
      <c r="AQ235" s="132" t="n">
        <f aca="false">CHOOSE($G$3,AB235-AC235,AC235-AB235)</f>
        <v>0</v>
      </c>
      <c r="AR235" s="132" t="n">
        <f aca="false">CHOOSE($G$3,AE235-AF235,AF235-AE235)</f>
        <v>0</v>
      </c>
      <c r="AS235" s="132" t="n">
        <f aca="false">CHOOSE($G$3,AH235-AI235,AI235-AH235)</f>
        <v>0</v>
      </c>
      <c r="AT235" s="148" t="n">
        <f aca="false">AQ235+AR235+AS235</f>
        <v>0</v>
      </c>
      <c r="AU235" s="148"/>
      <c r="AV235" s="133" t="n">
        <f aca="false">AT235+AO235</f>
        <v>0</v>
      </c>
      <c r="AX235" s="133" t="n">
        <f aca="false">AJ235+AG235+AD235</f>
        <v>0</v>
      </c>
      <c r="AY235" s="149"/>
      <c r="AZ235" s="76" t="n">
        <f aca="false">R235*E235</f>
        <v>0</v>
      </c>
    </row>
    <row r="236" customFormat="false" ht="12" hidden="false" customHeight="true" outlineLevel="0" collapsed="false">
      <c r="A236" s="138" t="n">
        <f aca="false">EDATE(A235,1)</f>
        <v>43862</v>
      </c>
      <c r="B236" s="139" t="n">
        <f aca="false">VLOOKUP($A236,Table2,MATCH(I$3,Curves2,0))</f>
        <v>60900</v>
      </c>
      <c r="C236" s="140"/>
      <c r="D236" s="141" t="n">
        <f aca="false">B236+C236</f>
        <v>60900</v>
      </c>
      <c r="E236" s="126" t="n">
        <f aca="false">IF(Y236=0,0,IF(AND(Y236=1,$H$3=1),D236*T236,IF($H$3=2,D236,"N/A")))</f>
        <v>0</v>
      </c>
      <c r="F236" s="126" t="n">
        <f aca="false">E236*X236</f>
        <v>0</v>
      </c>
      <c r="G236" s="142" t="n">
        <f aca="false">VLOOKUP($A236,Table,MATCH(G$4,Curves,0))</f>
        <v>3.987</v>
      </c>
      <c r="H236" s="143" t="n">
        <f aca="false">G236</f>
        <v>3.987</v>
      </c>
      <c r="I236" s="142" t="n">
        <f aca="false">VLOOKUP($A236,Table1,MATCH(I$3,Curves1,0))</f>
        <v>3.7904</v>
      </c>
      <c r="J236" s="142" t="n">
        <f aca="false">VLOOKUP($A236,Table,MATCH(J$4,Curves,0))</f>
        <v>0.011</v>
      </c>
      <c r="K236" s="143" t="n">
        <f aca="false">J236</f>
        <v>0.011</v>
      </c>
      <c r="L236" s="144" t="n">
        <v>0</v>
      </c>
      <c r="M236" s="142" t="n">
        <f aca="false">VLOOKUP($A236,Table,MATCH(M$4,Curves,0))</f>
        <v>0.015</v>
      </c>
      <c r="N236" s="143" t="n">
        <f aca="false">M236</f>
        <v>0.015</v>
      </c>
      <c r="O236" s="144" t="n">
        <v>0</v>
      </c>
      <c r="P236" s="145"/>
      <c r="Q236" s="144" t="n">
        <f aca="false">M236+J236+G236</f>
        <v>4.013</v>
      </c>
      <c r="R236" s="144" t="n">
        <f aca="false">O236+L236+I236</f>
        <v>3.7904</v>
      </c>
      <c r="S236" s="145"/>
      <c r="T236" s="71" t="n">
        <f aca="false">A237-A236</f>
        <v>29</v>
      </c>
      <c r="U236" s="146" t="n">
        <f aca="false">CHOOSE(F$3,A237+24,A236)</f>
        <v>43915</v>
      </c>
      <c r="V236" s="71" t="n">
        <f aca="false">U236-C$3</f>
        <v>7027</v>
      </c>
      <c r="W236" s="142" t="n">
        <f aca="false">VLOOKUP($A236,Table,MATCH(W$4,Curves,0))</f>
        <v>0.058966861357273</v>
      </c>
      <c r="X236" s="147" t="n">
        <f aca="false">1/(1+CHOOSE(F$3,(W237+($K$3/10000))/2,(W236+($K$3/10000))/2))^(2*V236/365.25)</f>
        <v>0.326915351258902</v>
      </c>
      <c r="Y236" s="71" t="n">
        <f aca="false">IF(AND(mthbeg&lt;=A236,mthend&gt;=A236),1,0)</f>
        <v>0</v>
      </c>
      <c r="Z236" s="71" t="n">
        <f aca="false">T236*Y236</f>
        <v>0</v>
      </c>
      <c r="AB236" s="132" t="n">
        <f aca="false">F236*G236</f>
        <v>0</v>
      </c>
      <c r="AC236" s="132" t="n">
        <f aca="false">$F236*H236</f>
        <v>0</v>
      </c>
      <c r="AD236" s="132" t="n">
        <f aca="false">$F236*I236</f>
        <v>0</v>
      </c>
      <c r="AE236" s="132" t="n">
        <f aca="false">$F236*J236</f>
        <v>0</v>
      </c>
      <c r="AF236" s="132" t="n">
        <f aca="false">$F236*K236</f>
        <v>0</v>
      </c>
      <c r="AG236" s="132" t="n">
        <f aca="false">$F236*L236</f>
        <v>0</v>
      </c>
      <c r="AH236" s="132" t="n">
        <f aca="false">$F236*M236</f>
        <v>0</v>
      </c>
      <c r="AI236" s="132" t="n">
        <f aca="false">$F236*N236</f>
        <v>0</v>
      </c>
      <c r="AJ236" s="132" t="n">
        <f aca="false">F236*O236</f>
        <v>0</v>
      </c>
      <c r="AK236" s="137"/>
      <c r="AL236" s="132" t="n">
        <f aca="false">CHOOSE($G$3,AC236-AD236,AD236-AC236)</f>
        <v>0</v>
      </c>
      <c r="AM236" s="132" t="n">
        <f aca="false">CHOOSE($G$3,AF236-AG236,AG236-AF236)</f>
        <v>0</v>
      </c>
      <c r="AN236" s="132" t="n">
        <f aca="false">CHOOSE($G$3,AI236-AJ236,AJ236-AI236)</f>
        <v>0</v>
      </c>
      <c r="AO236" s="148" t="n">
        <f aca="false">SUM(AL236:AN236)</f>
        <v>0</v>
      </c>
      <c r="AQ236" s="132" t="n">
        <f aca="false">CHOOSE($G$3,AB236-AC236,AC236-AB236)</f>
        <v>0</v>
      </c>
      <c r="AR236" s="132" t="n">
        <f aca="false">CHOOSE($G$3,AE236-AF236,AF236-AE236)</f>
        <v>0</v>
      </c>
      <c r="AS236" s="132" t="n">
        <f aca="false">CHOOSE($G$3,AH236-AI236,AI236-AH236)</f>
        <v>0</v>
      </c>
      <c r="AT236" s="148" t="n">
        <f aca="false">AQ236+AR236+AS236</f>
        <v>0</v>
      </c>
      <c r="AU236" s="148"/>
      <c r="AV236" s="133" t="n">
        <f aca="false">AT236+AO236</f>
        <v>0</v>
      </c>
      <c r="AX236" s="133" t="n">
        <f aca="false">AJ236+AG236+AD236</f>
        <v>0</v>
      </c>
      <c r="AY236" s="149"/>
      <c r="AZ236" s="76" t="n">
        <f aca="false">R236*E236</f>
        <v>0</v>
      </c>
    </row>
    <row r="237" customFormat="false" ht="12" hidden="false" customHeight="true" outlineLevel="0" collapsed="false">
      <c r="A237" s="138" t="n">
        <f aca="false">EDATE(A236,1)</f>
        <v>43891</v>
      </c>
      <c r="B237" s="139" t="n">
        <f aca="false">VLOOKUP($A237,Table2,MATCH(I$3,Curves2,0))</f>
        <v>60900</v>
      </c>
      <c r="C237" s="140"/>
      <c r="D237" s="141" t="n">
        <f aca="false">B237+C237</f>
        <v>60900</v>
      </c>
      <c r="E237" s="126" t="n">
        <f aca="false">IF(Y237=0,0,IF(AND(Y237=1,$H$3=1),D237*T237,IF($H$3=2,D237,"N/A")))</f>
        <v>0</v>
      </c>
      <c r="F237" s="126" t="n">
        <f aca="false">E237*X237</f>
        <v>0</v>
      </c>
      <c r="G237" s="142" t="n">
        <f aca="false">VLOOKUP($A237,Table,MATCH(G$4,Curves,0))</f>
        <v>3.987</v>
      </c>
      <c r="H237" s="143" t="n">
        <f aca="false">G237</f>
        <v>3.987</v>
      </c>
      <c r="I237" s="142" t="n">
        <f aca="false">VLOOKUP($A237,Table1,MATCH(I$3,Curves1,0))</f>
        <v>3.7904</v>
      </c>
      <c r="J237" s="142" t="n">
        <f aca="false">VLOOKUP($A237,Table,MATCH(J$4,Curves,0))</f>
        <v>0.011</v>
      </c>
      <c r="K237" s="143" t="n">
        <f aca="false">J237</f>
        <v>0.011</v>
      </c>
      <c r="L237" s="144" t="n">
        <v>0</v>
      </c>
      <c r="M237" s="142" t="n">
        <f aca="false">VLOOKUP($A237,Table,MATCH(M$4,Curves,0))</f>
        <v>0.015</v>
      </c>
      <c r="N237" s="143" t="n">
        <f aca="false">M237</f>
        <v>0.015</v>
      </c>
      <c r="O237" s="144" t="n">
        <v>0</v>
      </c>
      <c r="P237" s="145"/>
      <c r="Q237" s="144" t="n">
        <f aca="false">M237+J237+G237</f>
        <v>4.013</v>
      </c>
      <c r="R237" s="144" t="n">
        <f aca="false">O237+L237+I237</f>
        <v>3.7904</v>
      </c>
      <c r="S237" s="145"/>
      <c r="T237" s="71" t="n">
        <f aca="false">A238-A237</f>
        <v>31</v>
      </c>
      <c r="U237" s="146" t="n">
        <f aca="false">CHOOSE(F$3,A238+24,A237)</f>
        <v>43946</v>
      </c>
      <c r="V237" s="71" t="n">
        <f aca="false">U237-C$3</f>
        <v>7058</v>
      </c>
      <c r="W237" s="142" t="n">
        <f aca="false">VLOOKUP($A237,Table,MATCH(W$4,Curves,0))</f>
        <v>0.058966861357273</v>
      </c>
      <c r="X237" s="147" t="n">
        <f aca="false">1/(1+CHOOSE(F$3,(W238+($K$3/10000))/2,(W237+($K$3/10000))/2))^(2*V237/365.25)</f>
        <v>0.325306858057883</v>
      </c>
      <c r="Y237" s="71" t="n">
        <f aca="false">IF(AND(mthbeg&lt;=A237,mthend&gt;=A237),1,0)</f>
        <v>0</v>
      </c>
      <c r="Z237" s="71" t="n">
        <f aca="false">T237*Y237</f>
        <v>0</v>
      </c>
      <c r="AB237" s="132" t="n">
        <f aca="false">F237*G237</f>
        <v>0</v>
      </c>
      <c r="AC237" s="132" t="n">
        <f aca="false">$F237*H237</f>
        <v>0</v>
      </c>
      <c r="AD237" s="132" t="n">
        <f aca="false">$F237*I237</f>
        <v>0</v>
      </c>
      <c r="AE237" s="132" t="n">
        <f aca="false">$F237*J237</f>
        <v>0</v>
      </c>
      <c r="AF237" s="132" t="n">
        <f aca="false">$F237*K237</f>
        <v>0</v>
      </c>
      <c r="AG237" s="132" t="n">
        <f aca="false">$F237*L237</f>
        <v>0</v>
      </c>
      <c r="AH237" s="132" t="n">
        <f aca="false">$F237*M237</f>
        <v>0</v>
      </c>
      <c r="AI237" s="132" t="n">
        <f aca="false">$F237*N237</f>
        <v>0</v>
      </c>
      <c r="AJ237" s="132" t="n">
        <f aca="false">F237*O237</f>
        <v>0</v>
      </c>
      <c r="AK237" s="137"/>
      <c r="AL237" s="132" t="n">
        <f aca="false">CHOOSE($G$3,AC237-AD237,AD237-AC237)</f>
        <v>0</v>
      </c>
      <c r="AM237" s="132" t="n">
        <f aca="false">CHOOSE($G$3,AF237-AG237,AG237-AF237)</f>
        <v>0</v>
      </c>
      <c r="AN237" s="132" t="n">
        <f aca="false">CHOOSE($G$3,AI237-AJ237,AJ237-AI237)</f>
        <v>0</v>
      </c>
      <c r="AO237" s="148" t="n">
        <f aca="false">SUM(AL237:AN237)</f>
        <v>0</v>
      </c>
      <c r="AQ237" s="132" t="n">
        <f aca="false">CHOOSE($G$3,AB237-AC237,AC237-AB237)</f>
        <v>0</v>
      </c>
      <c r="AR237" s="132" t="n">
        <f aca="false">CHOOSE($G$3,AE237-AF237,AF237-AE237)</f>
        <v>0</v>
      </c>
      <c r="AS237" s="132" t="n">
        <f aca="false">CHOOSE($G$3,AH237-AI237,AI237-AH237)</f>
        <v>0</v>
      </c>
      <c r="AT237" s="148" t="n">
        <f aca="false">AQ237+AR237+AS237</f>
        <v>0</v>
      </c>
      <c r="AU237" s="148"/>
      <c r="AV237" s="133" t="n">
        <f aca="false">AT237+AO237</f>
        <v>0</v>
      </c>
      <c r="AX237" s="133" t="n">
        <f aca="false">AJ237+AG237+AD237</f>
        <v>0</v>
      </c>
      <c r="AY237" s="149"/>
      <c r="AZ237" s="76" t="n">
        <f aca="false">R237*E237</f>
        <v>0</v>
      </c>
    </row>
    <row r="238" customFormat="false" ht="12" hidden="false" customHeight="true" outlineLevel="0" collapsed="false">
      <c r="A238" s="138" t="n">
        <f aca="false">EDATE(A237,1)</f>
        <v>43922</v>
      </c>
      <c r="B238" s="139" t="n">
        <f aca="false">VLOOKUP($A238,Table2,MATCH(I$3,Curves2,0))</f>
        <v>60900</v>
      </c>
      <c r="C238" s="140"/>
      <c r="D238" s="141" t="n">
        <f aca="false">B238+C238</f>
        <v>60900</v>
      </c>
      <c r="E238" s="126" t="n">
        <f aca="false">IF(Y238=0,0,IF(AND(Y238=1,$H$3=1),D238*T238,IF($H$3=2,D238,"N/A")))</f>
        <v>0</v>
      </c>
      <c r="F238" s="126" t="n">
        <f aca="false">E238*X238</f>
        <v>0</v>
      </c>
      <c r="G238" s="142" t="n">
        <f aca="false">VLOOKUP($A238,Table,MATCH(G$4,Curves,0))</f>
        <v>3.987</v>
      </c>
      <c r="H238" s="143" t="n">
        <f aca="false">G238</f>
        <v>3.987</v>
      </c>
      <c r="I238" s="142" t="n">
        <f aca="false">VLOOKUP($A238,Table1,MATCH(I$3,Curves1,0))</f>
        <v>3.7904</v>
      </c>
      <c r="J238" s="142" t="n">
        <f aca="false">VLOOKUP($A238,Table,MATCH(J$4,Curves,0))</f>
        <v>0.011</v>
      </c>
      <c r="K238" s="143" t="n">
        <f aca="false">J238</f>
        <v>0.011</v>
      </c>
      <c r="L238" s="144" t="n">
        <v>0</v>
      </c>
      <c r="M238" s="142" t="n">
        <f aca="false">VLOOKUP($A238,Table,MATCH(M$4,Curves,0))</f>
        <v>0.015</v>
      </c>
      <c r="N238" s="143" t="n">
        <f aca="false">M238</f>
        <v>0.015</v>
      </c>
      <c r="O238" s="144" t="n">
        <v>0</v>
      </c>
      <c r="P238" s="145"/>
      <c r="Q238" s="144" t="n">
        <f aca="false">M238+J238+G238</f>
        <v>4.013</v>
      </c>
      <c r="R238" s="144" t="n">
        <f aca="false">O238+L238+I238</f>
        <v>3.7904</v>
      </c>
      <c r="S238" s="145"/>
      <c r="T238" s="71" t="n">
        <f aca="false">A239-A238</f>
        <v>30</v>
      </c>
      <c r="U238" s="146" t="n">
        <f aca="false">CHOOSE(F$3,A239+24,A238)</f>
        <v>43976</v>
      </c>
      <c r="V238" s="71" t="n">
        <f aca="false">U238-C$3</f>
        <v>7088</v>
      </c>
      <c r="W238" s="142" t="n">
        <f aca="false">VLOOKUP($A238,Table,MATCH(W$4,Curves,0))</f>
        <v>0.058966861357273</v>
      </c>
      <c r="X238" s="147" t="n">
        <f aca="false">1/(1+CHOOSE(F$3,(W239+($K$3/10000))/2,(W238+($K$3/10000))/2))^(2*V238/365.25)</f>
        <v>0.323757787438746</v>
      </c>
      <c r="Y238" s="71" t="n">
        <f aca="false">IF(AND(mthbeg&lt;=A238,mthend&gt;=A238),1,0)</f>
        <v>0</v>
      </c>
      <c r="Z238" s="71" t="n">
        <f aca="false">T238*Y238</f>
        <v>0</v>
      </c>
      <c r="AB238" s="132" t="n">
        <f aca="false">F238*G238</f>
        <v>0</v>
      </c>
      <c r="AC238" s="132" t="n">
        <f aca="false">$F238*H238</f>
        <v>0</v>
      </c>
      <c r="AD238" s="132" t="n">
        <f aca="false">$F238*I238</f>
        <v>0</v>
      </c>
      <c r="AE238" s="132" t="n">
        <f aca="false">$F238*J238</f>
        <v>0</v>
      </c>
      <c r="AF238" s="132" t="n">
        <f aca="false">$F238*K238</f>
        <v>0</v>
      </c>
      <c r="AG238" s="132" t="n">
        <f aca="false">$F238*L238</f>
        <v>0</v>
      </c>
      <c r="AH238" s="132" t="n">
        <f aca="false">$F238*M238</f>
        <v>0</v>
      </c>
      <c r="AI238" s="132" t="n">
        <f aca="false">$F238*N238</f>
        <v>0</v>
      </c>
      <c r="AJ238" s="132" t="n">
        <f aca="false">F238*O238</f>
        <v>0</v>
      </c>
      <c r="AK238" s="137"/>
      <c r="AL238" s="132" t="n">
        <f aca="false">CHOOSE($G$3,AC238-AD238,AD238-AC238)</f>
        <v>0</v>
      </c>
      <c r="AM238" s="132" t="n">
        <f aca="false">CHOOSE($G$3,AF238-AG238,AG238-AF238)</f>
        <v>0</v>
      </c>
      <c r="AN238" s="132" t="n">
        <f aca="false">CHOOSE($G$3,AI238-AJ238,AJ238-AI238)</f>
        <v>0</v>
      </c>
      <c r="AO238" s="148" t="n">
        <f aca="false">SUM(AL238:AN238)</f>
        <v>0</v>
      </c>
      <c r="AQ238" s="132" t="n">
        <f aca="false">CHOOSE($G$3,AB238-AC238,AC238-AB238)</f>
        <v>0</v>
      </c>
      <c r="AR238" s="132" t="n">
        <f aca="false">CHOOSE($G$3,AE238-AF238,AF238-AE238)</f>
        <v>0</v>
      </c>
      <c r="AS238" s="132" t="n">
        <f aca="false">CHOOSE($G$3,AH238-AI238,AI238-AH238)</f>
        <v>0</v>
      </c>
      <c r="AT238" s="148" t="n">
        <f aca="false">AQ238+AR238+AS238</f>
        <v>0</v>
      </c>
      <c r="AU238" s="148"/>
      <c r="AV238" s="133" t="n">
        <f aca="false">AT238+AO238</f>
        <v>0</v>
      </c>
      <c r="AX238" s="133" t="n">
        <f aca="false">AJ238+AG238+AD238</f>
        <v>0</v>
      </c>
      <c r="AY238" s="149"/>
      <c r="AZ238" s="76" t="n">
        <f aca="false">R238*E238</f>
        <v>0</v>
      </c>
    </row>
    <row r="239" customFormat="false" ht="12" hidden="false" customHeight="true" outlineLevel="0" collapsed="false">
      <c r="A239" s="138" t="n">
        <f aca="false">EDATE(A238,1)</f>
        <v>43952</v>
      </c>
      <c r="B239" s="139" t="n">
        <f aca="false">VLOOKUP($A239,Table2,MATCH(I$3,Curves2,0))</f>
        <v>60900</v>
      </c>
      <c r="C239" s="140"/>
      <c r="D239" s="141" t="n">
        <f aca="false">B239+C239</f>
        <v>60900</v>
      </c>
      <c r="E239" s="126" t="n">
        <f aca="false">IF(Y239=0,0,IF(AND(Y239=1,$H$3=1),D239*T239,IF($H$3=2,D239,"N/A")))</f>
        <v>0</v>
      </c>
      <c r="F239" s="126" t="n">
        <f aca="false">E239*X239</f>
        <v>0</v>
      </c>
      <c r="G239" s="142" t="n">
        <f aca="false">VLOOKUP($A239,Table,MATCH(G$4,Curves,0))</f>
        <v>3.987</v>
      </c>
      <c r="H239" s="143" t="n">
        <f aca="false">G239</f>
        <v>3.987</v>
      </c>
      <c r="I239" s="142" t="n">
        <f aca="false">VLOOKUP($A239,Table1,MATCH(I$3,Curves1,0))</f>
        <v>3.7904</v>
      </c>
      <c r="J239" s="142" t="n">
        <f aca="false">VLOOKUP($A239,Table,MATCH(J$4,Curves,0))</f>
        <v>0.011</v>
      </c>
      <c r="K239" s="143" t="n">
        <f aca="false">J239</f>
        <v>0.011</v>
      </c>
      <c r="L239" s="144" t="n">
        <v>0</v>
      </c>
      <c r="M239" s="142" t="n">
        <f aca="false">VLOOKUP($A239,Table,MATCH(M$4,Curves,0))</f>
        <v>0.015</v>
      </c>
      <c r="N239" s="143" t="n">
        <f aca="false">M239</f>
        <v>0.015</v>
      </c>
      <c r="O239" s="144" t="n">
        <v>0</v>
      </c>
      <c r="P239" s="145"/>
      <c r="Q239" s="144" t="n">
        <f aca="false">M239+J239+G239</f>
        <v>4.013</v>
      </c>
      <c r="R239" s="144" t="n">
        <f aca="false">O239+L239+I239</f>
        <v>3.7904</v>
      </c>
      <c r="S239" s="145"/>
      <c r="T239" s="71" t="n">
        <f aca="false">A240-A239</f>
        <v>31</v>
      </c>
      <c r="U239" s="146" t="n">
        <f aca="false">CHOOSE(F$3,A240+24,A239)</f>
        <v>44007</v>
      </c>
      <c r="V239" s="71" t="n">
        <f aca="false">U239-C$3</f>
        <v>7119</v>
      </c>
      <c r="W239" s="142" t="n">
        <f aca="false">VLOOKUP($A239,Table,MATCH(W$4,Curves,0))</f>
        <v>0.058966861357273</v>
      </c>
      <c r="X239" s="147" t="n">
        <f aca="false">1/(1+CHOOSE(F$3,(W240+($K$3/10000))/2,(W239+($K$3/10000))/2))^(2*V239/365.25)</f>
        <v>0.322164830124668</v>
      </c>
      <c r="Y239" s="71" t="n">
        <f aca="false">IF(AND(mthbeg&lt;=A239,mthend&gt;=A239),1,0)</f>
        <v>0</v>
      </c>
      <c r="Z239" s="71" t="n">
        <f aca="false">T239*Y239</f>
        <v>0</v>
      </c>
      <c r="AB239" s="132" t="n">
        <f aca="false">F239*G239</f>
        <v>0</v>
      </c>
      <c r="AC239" s="132" t="n">
        <f aca="false">$F239*H239</f>
        <v>0</v>
      </c>
      <c r="AD239" s="132" t="n">
        <f aca="false">$F239*I239</f>
        <v>0</v>
      </c>
      <c r="AE239" s="132" t="n">
        <f aca="false">$F239*J239</f>
        <v>0</v>
      </c>
      <c r="AF239" s="132" t="n">
        <f aca="false">$F239*K239</f>
        <v>0</v>
      </c>
      <c r="AG239" s="132" t="n">
        <f aca="false">$F239*L239</f>
        <v>0</v>
      </c>
      <c r="AH239" s="132" t="n">
        <f aca="false">$F239*M239</f>
        <v>0</v>
      </c>
      <c r="AI239" s="132" t="n">
        <f aca="false">$F239*N239</f>
        <v>0</v>
      </c>
      <c r="AJ239" s="132" t="n">
        <f aca="false">F239*O239</f>
        <v>0</v>
      </c>
      <c r="AK239" s="137"/>
      <c r="AL239" s="132" t="n">
        <f aca="false">CHOOSE($G$3,AC239-AD239,AD239-AC239)</f>
        <v>0</v>
      </c>
      <c r="AM239" s="132" t="n">
        <f aca="false">CHOOSE($G$3,AF239-AG239,AG239-AF239)</f>
        <v>0</v>
      </c>
      <c r="AN239" s="132" t="n">
        <f aca="false">CHOOSE($G$3,AI239-AJ239,AJ239-AI239)</f>
        <v>0</v>
      </c>
      <c r="AO239" s="148" t="n">
        <f aca="false">SUM(AL239:AN239)</f>
        <v>0</v>
      </c>
      <c r="AQ239" s="132" t="n">
        <f aca="false">CHOOSE($G$3,AB239-AC239,AC239-AB239)</f>
        <v>0</v>
      </c>
      <c r="AR239" s="132" t="n">
        <f aca="false">CHOOSE($G$3,AE239-AF239,AF239-AE239)</f>
        <v>0</v>
      </c>
      <c r="AS239" s="132" t="n">
        <f aca="false">CHOOSE($G$3,AH239-AI239,AI239-AH239)</f>
        <v>0</v>
      </c>
      <c r="AT239" s="148" t="n">
        <f aca="false">AQ239+AR239+AS239</f>
        <v>0</v>
      </c>
      <c r="AU239" s="148"/>
      <c r="AV239" s="133" t="n">
        <f aca="false">AT239+AO239</f>
        <v>0</v>
      </c>
      <c r="AX239" s="133" t="n">
        <f aca="false">AJ239+AG239+AD239</f>
        <v>0</v>
      </c>
      <c r="AY239" s="149"/>
      <c r="AZ239" s="76" t="n">
        <f aca="false">R239*E239</f>
        <v>0</v>
      </c>
    </row>
    <row r="240" customFormat="false" ht="12" hidden="false" customHeight="true" outlineLevel="0" collapsed="false">
      <c r="A240" s="138" t="n">
        <f aca="false">EDATE(A239,1)</f>
        <v>43983</v>
      </c>
      <c r="B240" s="139" t="n">
        <f aca="false">VLOOKUP($A240,Table2,MATCH(I$3,Curves2,0))</f>
        <v>60900</v>
      </c>
      <c r="C240" s="140"/>
      <c r="D240" s="141" t="n">
        <f aca="false">B240+C240</f>
        <v>60900</v>
      </c>
      <c r="E240" s="126" t="n">
        <f aca="false">IF(Y240=0,0,IF(AND(Y240=1,$H$3=1),D240*T240,IF($H$3=2,D240,"N/A")))</f>
        <v>0</v>
      </c>
      <c r="F240" s="126" t="n">
        <f aca="false">E240*X240</f>
        <v>0</v>
      </c>
      <c r="G240" s="142" t="n">
        <f aca="false">VLOOKUP($A240,Table,MATCH(G$4,Curves,0))</f>
        <v>3.987</v>
      </c>
      <c r="H240" s="143" t="n">
        <f aca="false">G240</f>
        <v>3.987</v>
      </c>
      <c r="I240" s="142" t="n">
        <f aca="false">VLOOKUP($A240,Table1,MATCH(I$3,Curves1,0))</f>
        <v>3.7904</v>
      </c>
      <c r="J240" s="142" t="n">
        <f aca="false">VLOOKUP($A240,Table,MATCH(J$4,Curves,0))</f>
        <v>0.011</v>
      </c>
      <c r="K240" s="143" t="n">
        <f aca="false">J240</f>
        <v>0.011</v>
      </c>
      <c r="L240" s="144" t="n">
        <v>0</v>
      </c>
      <c r="M240" s="142" t="n">
        <f aca="false">VLOOKUP($A240,Table,MATCH(M$4,Curves,0))</f>
        <v>0.015</v>
      </c>
      <c r="N240" s="143" t="n">
        <f aca="false">M240</f>
        <v>0.015</v>
      </c>
      <c r="O240" s="144" t="n">
        <v>0</v>
      </c>
      <c r="P240" s="145"/>
      <c r="Q240" s="144" t="n">
        <f aca="false">M240+J240+G240</f>
        <v>4.013</v>
      </c>
      <c r="R240" s="144" t="n">
        <f aca="false">O240+L240+I240</f>
        <v>3.7904</v>
      </c>
      <c r="S240" s="145"/>
      <c r="T240" s="71" t="n">
        <f aca="false">A241-A240</f>
        <v>30</v>
      </c>
      <c r="U240" s="146" t="n">
        <f aca="false">CHOOSE(F$3,A241+24,A240)</f>
        <v>44037</v>
      </c>
      <c r="V240" s="71" t="n">
        <f aca="false">U240-C$3</f>
        <v>7149</v>
      </c>
      <c r="W240" s="142" t="n">
        <f aca="false">VLOOKUP($A240,Table,MATCH(W$4,Curves,0))</f>
        <v>0.058966861357273</v>
      </c>
      <c r="X240" s="147" t="n">
        <f aca="false">1/(1+CHOOSE(F$3,(W241+($K$3/10000))/2,(W240+($K$3/10000))/2))^(2*V240/365.25)</f>
        <v>0.320630721450032</v>
      </c>
      <c r="Y240" s="71" t="n">
        <f aca="false">IF(AND(mthbeg&lt;=A240,mthend&gt;=A240),1,0)</f>
        <v>0</v>
      </c>
      <c r="Z240" s="71" t="n">
        <f aca="false">T240*Y240</f>
        <v>0</v>
      </c>
      <c r="AB240" s="132" t="n">
        <f aca="false">F240*G240</f>
        <v>0</v>
      </c>
      <c r="AC240" s="132" t="n">
        <f aca="false">$F240*H240</f>
        <v>0</v>
      </c>
      <c r="AD240" s="132" t="n">
        <f aca="false">$F240*I240</f>
        <v>0</v>
      </c>
      <c r="AE240" s="132" t="n">
        <f aca="false">$F240*J240</f>
        <v>0</v>
      </c>
      <c r="AF240" s="132" t="n">
        <f aca="false">$F240*K240</f>
        <v>0</v>
      </c>
      <c r="AG240" s="132" t="n">
        <f aca="false">$F240*L240</f>
        <v>0</v>
      </c>
      <c r="AH240" s="132" t="n">
        <f aca="false">$F240*M240</f>
        <v>0</v>
      </c>
      <c r="AI240" s="132" t="n">
        <f aca="false">$F240*N240</f>
        <v>0</v>
      </c>
      <c r="AJ240" s="132" t="n">
        <f aca="false">F240*O240</f>
        <v>0</v>
      </c>
      <c r="AK240" s="137"/>
      <c r="AL240" s="132" t="n">
        <f aca="false">CHOOSE($G$3,AC240-AD240,AD240-AC240)</f>
        <v>0</v>
      </c>
      <c r="AM240" s="132" t="n">
        <f aca="false">CHOOSE($G$3,AF240-AG240,AG240-AF240)</f>
        <v>0</v>
      </c>
      <c r="AN240" s="132" t="n">
        <f aca="false">CHOOSE($G$3,AI240-AJ240,AJ240-AI240)</f>
        <v>0</v>
      </c>
      <c r="AO240" s="148" t="n">
        <f aca="false">SUM(AL240:AN240)</f>
        <v>0</v>
      </c>
      <c r="AQ240" s="132" t="n">
        <f aca="false">CHOOSE($G$3,AB240-AC240,AC240-AB240)</f>
        <v>0</v>
      </c>
      <c r="AR240" s="132" t="n">
        <f aca="false">CHOOSE($G$3,AE240-AF240,AF240-AE240)</f>
        <v>0</v>
      </c>
      <c r="AS240" s="132" t="n">
        <f aca="false">CHOOSE($G$3,AH240-AI240,AI240-AH240)</f>
        <v>0</v>
      </c>
      <c r="AT240" s="148" t="n">
        <f aca="false">AQ240+AR240+AS240</f>
        <v>0</v>
      </c>
      <c r="AU240" s="148"/>
      <c r="AV240" s="133" t="n">
        <f aca="false">AT240+AO240</f>
        <v>0</v>
      </c>
      <c r="AX240" s="133" t="n">
        <f aca="false">AJ240+AG240+AD240</f>
        <v>0</v>
      </c>
      <c r="AY240" s="149"/>
      <c r="AZ240" s="76" t="n">
        <f aca="false">R240*E240</f>
        <v>0</v>
      </c>
    </row>
    <row r="241" customFormat="false" ht="12" hidden="false" customHeight="true" outlineLevel="0" collapsed="false">
      <c r="A241" s="138" t="n">
        <f aca="false">EDATE(A240,1)</f>
        <v>44013</v>
      </c>
      <c r="B241" s="139" t="n">
        <f aca="false">VLOOKUP($A241,Table2,MATCH(I$3,Curves2,0))</f>
        <v>60900</v>
      </c>
      <c r="C241" s="140"/>
      <c r="D241" s="141" t="n">
        <f aca="false">B241+C241</f>
        <v>60900</v>
      </c>
      <c r="E241" s="126" t="n">
        <f aca="false">IF(Y241=0,0,IF(AND(Y241=1,$H$3=1),D241*T241,IF($H$3=2,D241,"N/A")))</f>
        <v>0</v>
      </c>
      <c r="F241" s="126" t="n">
        <f aca="false">E241*X241</f>
        <v>0</v>
      </c>
      <c r="G241" s="142" t="n">
        <f aca="false">VLOOKUP($A241,Table,MATCH(G$4,Curves,0))</f>
        <v>3.987</v>
      </c>
      <c r="H241" s="143" t="n">
        <f aca="false">G241</f>
        <v>3.987</v>
      </c>
      <c r="I241" s="142" t="n">
        <f aca="false">VLOOKUP($A241,Table1,MATCH(I$3,Curves1,0))</f>
        <v>3.7904</v>
      </c>
      <c r="J241" s="142" t="n">
        <f aca="false">VLOOKUP($A241,Table,MATCH(J$4,Curves,0))</f>
        <v>0.011</v>
      </c>
      <c r="K241" s="143" t="n">
        <f aca="false">J241</f>
        <v>0.011</v>
      </c>
      <c r="L241" s="144" t="n">
        <v>0</v>
      </c>
      <c r="M241" s="142" t="n">
        <f aca="false">VLOOKUP($A241,Table,MATCH(M$4,Curves,0))</f>
        <v>0.015</v>
      </c>
      <c r="N241" s="143" t="n">
        <f aca="false">M241</f>
        <v>0.015</v>
      </c>
      <c r="O241" s="144" t="n">
        <v>0</v>
      </c>
      <c r="P241" s="145"/>
      <c r="Q241" s="144" t="n">
        <f aca="false">M241+J241+G241</f>
        <v>4.013</v>
      </c>
      <c r="R241" s="144" t="n">
        <f aca="false">O241+L241+I241</f>
        <v>3.7904</v>
      </c>
      <c r="S241" s="145"/>
      <c r="T241" s="71" t="n">
        <f aca="false">A242-A241</f>
        <v>31</v>
      </c>
      <c r="U241" s="146" t="n">
        <f aca="false">CHOOSE(F$3,A242+24,A241)</f>
        <v>44068</v>
      </c>
      <c r="V241" s="71" t="n">
        <f aca="false">U241-C$3</f>
        <v>7180</v>
      </c>
      <c r="W241" s="142" t="n">
        <f aca="false">VLOOKUP($A241,Table,MATCH(W$4,Curves,0))</f>
        <v>0.058966861357273</v>
      </c>
      <c r="X241" s="147" t="n">
        <f aca="false">1/(1+CHOOSE(F$3,(W242+($K$3/10000))/2,(W241+($K$3/10000))/2))^(2*V241/365.25)</f>
        <v>0.319053149967065</v>
      </c>
      <c r="Y241" s="71" t="n">
        <f aca="false">IF(AND(mthbeg&lt;=A241,mthend&gt;=A241),1,0)</f>
        <v>0</v>
      </c>
      <c r="Z241" s="71" t="n">
        <f aca="false">T241*Y241</f>
        <v>0</v>
      </c>
      <c r="AB241" s="132" t="n">
        <f aca="false">F241*G241</f>
        <v>0</v>
      </c>
      <c r="AC241" s="132" t="n">
        <f aca="false">$F241*H241</f>
        <v>0</v>
      </c>
      <c r="AD241" s="132" t="n">
        <f aca="false">$F241*I241</f>
        <v>0</v>
      </c>
      <c r="AE241" s="132" t="n">
        <f aca="false">$F241*J241</f>
        <v>0</v>
      </c>
      <c r="AF241" s="132" t="n">
        <f aca="false">$F241*K241</f>
        <v>0</v>
      </c>
      <c r="AG241" s="132" t="n">
        <f aca="false">$F241*L241</f>
        <v>0</v>
      </c>
      <c r="AH241" s="132" t="n">
        <f aca="false">$F241*M241</f>
        <v>0</v>
      </c>
      <c r="AI241" s="132" t="n">
        <f aca="false">$F241*N241</f>
        <v>0</v>
      </c>
      <c r="AJ241" s="132" t="n">
        <f aca="false">F241*O241</f>
        <v>0</v>
      </c>
      <c r="AK241" s="137"/>
      <c r="AL241" s="132" t="n">
        <f aca="false">CHOOSE($G$3,AC241-AD241,AD241-AC241)</f>
        <v>0</v>
      </c>
      <c r="AM241" s="132" t="n">
        <f aca="false">CHOOSE($G$3,AF241-AG241,AG241-AF241)</f>
        <v>0</v>
      </c>
      <c r="AN241" s="132" t="n">
        <f aca="false">CHOOSE($G$3,AI241-AJ241,AJ241-AI241)</f>
        <v>0</v>
      </c>
      <c r="AO241" s="148" t="n">
        <f aca="false">SUM(AL241:AN241)</f>
        <v>0</v>
      </c>
      <c r="AQ241" s="132" t="n">
        <f aca="false">CHOOSE($G$3,AB241-AC241,AC241-AB241)</f>
        <v>0</v>
      </c>
      <c r="AR241" s="132" t="n">
        <f aca="false">CHOOSE($G$3,AE241-AF241,AF241-AE241)</f>
        <v>0</v>
      </c>
      <c r="AS241" s="132" t="n">
        <f aca="false">CHOOSE($G$3,AH241-AI241,AI241-AH241)</f>
        <v>0</v>
      </c>
      <c r="AT241" s="148" t="n">
        <f aca="false">AQ241+AR241+AS241</f>
        <v>0</v>
      </c>
      <c r="AU241" s="148"/>
      <c r="AV241" s="133" t="n">
        <f aca="false">AT241+AO241</f>
        <v>0</v>
      </c>
      <c r="AX241" s="133" t="n">
        <f aca="false">AJ241+AG241+AD241</f>
        <v>0</v>
      </c>
      <c r="AY241" s="149"/>
      <c r="AZ241" s="76" t="n">
        <f aca="false">R241*E241</f>
        <v>0</v>
      </c>
    </row>
    <row r="242" customFormat="false" ht="12" hidden="false" customHeight="true" outlineLevel="0" collapsed="false">
      <c r="A242" s="138" t="n">
        <f aca="false">EDATE(A241,1)</f>
        <v>44044</v>
      </c>
      <c r="B242" s="139" t="n">
        <f aca="false">VLOOKUP($A242,Table2,MATCH(I$3,Curves2,0))</f>
        <v>60900</v>
      </c>
      <c r="C242" s="140"/>
      <c r="D242" s="141" t="n">
        <f aca="false">B242+C242</f>
        <v>60900</v>
      </c>
      <c r="E242" s="126" t="n">
        <f aca="false">IF(Y242=0,0,IF(AND(Y242=1,$H$3=1),D242*T242,IF($H$3=2,D242,"N/A")))</f>
        <v>0</v>
      </c>
      <c r="F242" s="126" t="n">
        <f aca="false">E242*X242</f>
        <v>0</v>
      </c>
      <c r="G242" s="142" t="n">
        <f aca="false">VLOOKUP($A242,Table,MATCH(G$4,Curves,0))</f>
        <v>3.987</v>
      </c>
      <c r="H242" s="143" t="n">
        <f aca="false">G242</f>
        <v>3.987</v>
      </c>
      <c r="I242" s="142" t="n">
        <f aca="false">VLOOKUP($A242,Table1,MATCH(I$3,Curves1,0))</f>
        <v>3.7904</v>
      </c>
      <c r="J242" s="142" t="n">
        <f aca="false">VLOOKUP($A242,Table,MATCH(J$4,Curves,0))</f>
        <v>0.011</v>
      </c>
      <c r="K242" s="143" t="n">
        <f aca="false">J242</f>
        <v>0.011</v>
      </c>
      <c r="L242" s="144" t="n">
        <v>0</v>
      </c>
      <c r="M242" s="142" t="n">
        <f aca="false">VLOOKUP($A242,Table,MATCH(M$4,Curves,0))</f>
        <v>0.015</v>
      </c>
      <c r="N242" s="143" t="n">
        <f aca="false">M242</f>
        <v>0.015</v>
      </c>
      <c r="O242" s="144" t="n">
        <v>0</v>
      </c>
      <c r="P242" s="145"/>
      <c r="Q242" s="144" t="n">
        <f aca="false">M242+J242+G242</f>
        <v>4.013</v>
      </c>
      <c r="R242" s="144" t="n">
        <f aca="false">O242+L242+I242</f>
        <v>3.7904</v>
      </c>
      <c r="S242" s="145"/>
      <c r="T242" s="71" t="n">
        <f aca="false">A243-A242</f>
        <v>31</v>
      </c>
      <c r="U242" s="146" t="n">
        <f aca="false">CHOOSE(F$3,A243+24,A242)</f>
        <v>44099</v>
      </c>
      <c r="V242" s="71" t="n">
        <f aca="false">U242-C$3</f>
        <v>7211</v>
      </c>
      <c r="W242" s="142" t="n">
        <f aca="false">VLOOKUP($A242,Table,MATCH(W$4,Curves,0))</f>
        <v>0.058966861357273</v>
      </c>
      <c r="X242" s="147" t="n">
        <f aca="false">1/(1+CHOOSE(F$3,(W243+($K$3/10000))/2,(W242+($K$3/10000))/2))^(2*V242/365.25)</f>
        <v>0.317483340472009</v>
      </c>
      <c r="Y242" s="71" t="n">
        <f aca="false">IF(AND(mthbeg&lt;=A242,mthend&gt;=A242),1,0)</f>
        <v>0</v>
      </c>
      <c r="Z242" s="71" t="n">
        <f aca="false">T242*Y242</f>
        <v>0</v>
      </c>
      <c r="AB242" s="132" t="n">
        <f aca="false">F242*G242</f>
        <v>0</v>
      </c>
      <c r="AC242" s="132" t="n">
        <f aca="false">$F242*H242</f>
        <v>0</v>
      </c>
      <c r="AD242" s="132" t="n">
        <f aca="false">$F242*I242</f>
        <v>0</v>
      </c>
      <c r="AE242" s="132" t="n">
        <f aca="false">$F242*J242</f>
        <v>0</v>
      </c>
      <c r="AF242" s="132" t="n">
        <f aca="false">$F242*K242</f>
        <v>0</v>
      </c>
      <c r="AG242" s="132" t="n">
        <f aca="false">$F242*L242</f>
        <v>0</v>
      </c>
      <c r="AH242" s="132" t="n">
        <f aca="false">$F242*M242</f>
        <v>0</v>
      </c>
      <c r="AI242" s="132" t="n">
        <f aca="false">$F242*N242</f>
        <v>0</v>
      </c>
      <c r="AJ242" s="132" t="n">
        <f aca="false">F242*O242</f>
        <v>0</v>
      </c>
      <c r="AK242" s="137"/>
      <c r="AL242" s="132" t="n">
        <f aca="false">CHOOSE($G$3,AC242-AD242,AD242-AC242)</f>
        <v>0</v>
      </c>
      <c r="AM242" s="132" t="n">
        <f aca="false">CHOOSE($G$3,AF242-AG242,AG242-AF242)</f>
        <v>0</v>
      </c>
      <c r="AN242" s="132" t="n">
        <f aca="false">CHOOSE($G$3,AI242-AJ242,AJ242-AI242)</f>
        <v>0</v>
      </c>
      <c r="AO242" s="148" t="n">
        <f aca="false">SUM(AL242:AN242)</f>
        <v>0</v>
      </c>
      <c r="AQ242" s="132" t="n">
        <f aca="false">CHOOSE($G$3,AB242-AC242,AC242-AB242)</f>
        <v>0</v>
      </c>
      <c r="AR242" s="132" t="n">
        <f aca="false">CHOOSE($G$3,AE242-AF242,AF242-AE242)</f>
        <v>0</v>
      </c>
      <c r="AS242" s="132" t="n">
        <f aca="false">CHOOSE($G$3,AH242-AI242,AI242-AH242)</f>
        <v>0</v>
      </c>
      <c r="AT242" s="148" t="n">
        <f aca="false">AQ242+AR242+AS242</f>
        <v>0</v>
      </c>
      <c r="AU242" s="148"/>
      <c r="AV242" s="133" t="n">
        <f aca="false">AT242+AO242</f>
        <v>0</v>
      </c>
      <c r="AX242" s="133" t="n">
        <f aca="false">AJ242+AG242+AD242</f>
        <v>0</v>
      </c>
      <c r="AY242" s="149"/>
      <c r="AZ242" s="76" t="n">
        <f aca="false">R242*E242</f>
        <v>0</v>
      </c>
    </row>
    <row r="243" customFormat="false" ht="12" hidden="false" customHeight="true" outlineLevel="0" collapsed="false">
      <c r="A243" s="138" t="n">
        <f aca="false">EDATE(A242,1)</f>
        <v>44075</v>
      </c>
      <c r="B243" s="139" t="n">
        <f aca="false">VLOOKUP($A243,Table2,MATCH(I$3,Curves2,0))</f>
        <v>60900</v>
      </c>
      <c r="C243" s="140"/>
      <c r="D243" s="141" t="n">
        <f aca="false">B243+C243</f>
        <v>60900</v>
      </c>
      <c r="E243" s="126" t="n">
        <f aca="false">IF(Y243=0,0,IF(AND(Y243=1,$H$3=1),D243*T243,IF($H$3=2,D243,"N/A")))</f>
        <v>0</v>
      </c>
      <c r="F243" s="126" t="n">
        <f aca="false">E243*X243</f>
        <v>0</v>
      </c>
      <c r="G243" s="142" t="n">
        <f aca="false">VLOOKUP($A243,Table,MATCH(G$4,Curves,0))</f>
        <v>3.987</v>
      </c>
      <c r="H243" s="143" t="n">
        <f aca="false">G243</f>
        <v>3.987</v>
      </c>
      <c r="I243" s="142" t="n">
        <f aca="false">VLOOKUP($A243,Table1,MATCH(I$3,Curves1,0))</f>
        <v>3.7904</v>
      </c>
      <c r="J243" s="142" t="n">
        <f aca="false">VLOOKUP($A243,Table,MATCH(J$4,Curves,0))</f>
        <v>0.011</v>
      </c>
      <c r="K243" s="143" t="n">
        <f aca="false">J243</f>
        <v>0.011</v>
      </c>
      <c r="L243" s="144" t="n">
        <v>0</v>
      </c>
      <c r="M243" s="142" t="n">
        <f aca="false">VLOOKUP($A243,Table,MATCH(M$4,Curves,0))</f>
        <v>0.015</v>
      </c>
      <c r="N243" s="143" t="n">
        <f aca="false">M243</f>
        <v>0.015</v>
      </c>
      <c r="O243" s="144" t="n">
        <v>0</v>
      </c>
      <c r="P243" s="145"/>
      <c r="Q243" s="144" t="n">
        <f aca="false">M243+J243+G243</f>
        <v>4.013</v>
      </c>
      <c r="R243" s="144" t="n">
        <f aca="false">O243+L243+I243</f>
        <v>3.7904</v>
      </c>
      <c r="S243" s="145"/>
      <c r="T243" s="71" t="n">
        <f aca="false">A244-A243</f>
        <v>30</v>
      </c>
      <c r="U243" s="146" t="n">
        <f aca="false">CHOOSE(F$3,A244+24,A243)</f>
        <v>44129</v>
      </c>
      <c r="V243" s="71" t="n">
        <f aca="false">U243-C$3</f>
        <v>7241</v>
      </c>
      <c r="W243" s="142" t="n">
        <f aca="false">VLOOKUP($A243,Table,MATCH(W$4,Curves,0))</f>
        <v>0.058966861357273</v>
      </c>
      <c r="X243" s="147" t="n">
        <f aca="false">1/(1+CHOOSE(F$3,(W244+($K$3/10000))/2,(W243+($K$3/10000))/2))^(2*V243/365.25)</f>
        <v>0.315971524466264</v>
      </c>
      <c r="Y243" s="71" t="n">
        <f aca="false">IF(AND(mthbeg&lt;=A243,mthend&gt;=A243),1,0)</f>
        <v>0</v>
      </c>
      <c r="Z243" s="71" t="n">
        <f aca="false">T243*Y243</f>
        <v>0</v>
      </c>
      <c r="AB243" s="132" t="n">
        <f aca="false">F243*G243</f>
        <v>0</v>
      </c>
      <c r="AC243" s="132" t="n">
        <f aca="false">$F243*H243</f>
        <v>0</v>
      </c>
      <c r="AD243" s="132" t="n">
        <f aca="false">$F243*I243</f>
        <v>0</v>
      </c>
      <c r="AE243" s="132" t="n">
        <f aca="false">$F243*J243</f>
        <v>0</v>
      </c>
      <c r="AF243" s="132" t="n">
        <f aca="false">$F243*K243</f>
        <v>0</v>
      </c>
      <c r="AG243" s="132" t="n">
        <f aca="false">$F243*L243</f>
        <v>0</v>
      </c>
      <c r="AH243" s="132" t="n">
        <f aca="false">$F243*M243</f>
        <v>0</v>
      </c>
      <c r="AI243" s="132" t="n">
        <f aca="false">$F243*N243</f>
        <v>0</v>
      </c>
      <c r="AJ243" s="132" t="n">
        <f aca="false">F243*O243</f>
        <v>0</v>
      </c>
      <c r="AK243" s="137"/>
      <c r="AL243" s="132" t="n">
        <f aca="false">CHOOSE($G$3,AC243-AD243,AD243-AC243)</f>
        <v>0</v>
      </c>
      <c r="AM243" s="132" t="n">
        <f aca="false">CHOOSE($G$3,AF243-AG243,AG243-AF243)</f>
        <v>0</v>
      </c>
      <c r="AN243" s="132" t="n">
        <f aca="false">CHOOSE($G$3,AI243-AJ243,AJ243-AI243)</f>
        <v>0</v>
      </c>
      <c r="AO243" s="148" t="n">
        <f aca="false">SUM(AL243:AN243)</f>
        <v>0</v>
      </c>
      <c r="AQ243" s="132" t="n">
        <f aca="false">CHOOSE($G$3,AB243-AC243,AC243-AB243)</f>
        <v>0</v>
      </c>
      <c r="AR243" s="132" t="n">
        <f aca="false">CHOOSE($G$3,AE243-AF243,AF243-AE243)</f>
        <v>0</v>
      </c>
      <c r="AS243" s="132" t="n">
        <f aca="false">CHOOSE($G$3,AH243-AI243,AI243-AH243)</f>
        <v>0</v>
      </c>
      <c r="AT243" s="148" t="n">
        <f aca="false">AQ243+AR243+AS243</f>
        <v>0</v>
      </c>
      <c r="AU243" s="148"/>
      <c r="AV243" s="133" t="n">
        <f aca="false">AT243+AO243</f>
        <v>0</v>
      </c>
      <c r="AX243" s="133" t="n">
        <f aca="false">AJ243+AG243+AD243</f>
        <v>0</v>
      </c>
      <c r="AY243" s="149"/>
      <c r="AZ243" s="76" t="n">
        <f aca="false">R243*E243</f>
        <v>0</v>
      </c>
    </row>
    <row r="244" customFormat="false" ht="12" hidden="false" customHeight="true" outlineLevel="0" collapsed="false">
      <c r="A244" s="138" t="n">
        <f aca="false">EDATE(A243,1)</f>
        <v>44105</v>
      </c>
      <c r="B244" s="139" t="n">
        <f aca="false">VLOOKUP($A244,Table2,MATCH(I$3,Curves2,0))</f>
        <v>60900</v>
      </c>
      <c r="C244" s="140"/>
      <c r="D244" s="141" t="n">
        <f aca="false">B244+C244</f>
        <v>60900</v>
      </c>
      <c r="E244" s="126" t="n">
        <f aca="false">IF(Y244=0,0,IF(AND(Y244=1,$H$3=1),D244*T244,IF($H$3=2,D244,"N/A")))</f>
        <v>0</v>
      </c>
      <c r="F244" s="126" t="n">
        <f aca="false">E244*X244</f>
        <v>0</v>
      </c>
      <c r="G244" s="142" t="n">
        <f aca="false">VLOOKUP($A244,Table,MATCH(G$4,Curves,0))</f>
        <v>3.987</v>
      </c>
      <c r="H244" s="143" t="n">
        <f aca="false">G244</f>
        <v>3.987</v>
      </c>
      <c r="I244" s="142" t="n">
        <f aca="false">VLOOKUP($A244,Table1,MATCH(I$3,Curves1,0))</f>
        <v>3.7904</v>
      </c>
      <c r="J244" s="142" t="n">
        <f aca="false">VLOOKUP($A244,Table,MATCH(J$4,Curves,0))</f>
        <v>0.011</v>
      </c>
      <c r="K244" s="143" t="n">
        <f aca="false">J244</f>
        <v>0.011</v>
      </c>
      <c r="L244" s="144" t="n">
        <v>0</v>
      </c>
      <c r="M244" s="142" t="n">
        <f aca="false">VLOOKUP($A244,Table,MATCH(M$4,Curves,0))</f>
        <v>0.015</v>
      </c>
      <c r="N244" s="143" t="n">
        <f aca="false">M244</f>
        <v>0.015</v>
      </c>
      <c r="O244" s="144" t="n">
        <v>0</v>
      </c>
      <c r="P244" s="145"/>
      <c r="Q244" s="144" t="n">
        <f aca="false">M244+J244+G244</f>
        <v>4.013</v>
      </c>
      <c r="R244" s="144" t="n">
        <f aca="false">O244+L244+I244</f>
        <v>3.7904</v>
      </c>
      <c r="S244" s="145"/>
      <c r="T244" s="71" t="n">
        <f aca="false">A245-A244</f>
        <v>31</v>
      </c>
      <c r="U244" s="146" t="n">
        <f aca="false">CHOOSE(F$3,A245+24,A244)</f>
        <v>44160</v>
      </c>
      <c r="V244" s="71" t="n">
        <f aca="false">U244-C$3</f>
        <v>7272</v>
      </c>
      <c r="W244" s="142" t="n">
        <f aca="false">VLOOKUP($A244,Table,MATCH(W$4,Curves,0))</f>
        <v>0.058966861357273</v>
      </c>
      <c r="X244" s="147" t="n">
        <f aca="false">1/(1+CHOOSE(F$3,(W245+($K$3/10000))/2,(W244+($K$3/10000))/2))^(2*V244/365.25)</f>
        <v>0.314416877225434</v>
      </c>
      <c r="Y244" s="71" t="n">
        <f aca="false">IF(AND(mthbeg&lt;=A244,mthend&gt;=A244),1,0)</f>
        <v>0</v>
      </c>
      <c r="Z244" s="71" t="n">
        <f aca="false">T244*Y244</f>
        <v>0</v>
      </c>
      <c r="AB244" s="132" t="n">
        <f aca="false">F244*G244</f>
        <v>0</v>
      </c>
      <c r="AC244" s="132" t="n">
        <f aca="false">$F244*H244</f>
        <v>0</v>
      </c>
      <c r="AD244" s="132" t="n">
        <f aca="false">$F244*I244</f>
        <v>0</v>
      </c>
      <c r="AE244" s="132" t="n">
        <f aca="false">$F244*J244</f>
        <v>0</v>
      </c>
      <c r="AF244" s="132" t="n">
        <f aca="false">$F244*K244</f>
        <v>0</v>
      </c>
      <c r="AG244" s="132" t="n">
        <f aca="false">$F244*L244</f>
        <v>0</v>
      </c>
      <c r="AH244" s="132" t="n">
        <f aca="false">$F244*M244</f>
        <v>0</v>
      </c>
      <c r="AI244" s="132" t="n">
        <f aca="false">$F244*N244</f>
        <v>0</v>
      </c>
      <c r="AJ244" s="132" t="n">
        <f aca="false">F244*O244</f>
        <v>0</v>
      </c>
      <c r="AK244" s="137"/>
      <c r="AL244" s="132" t="n">
        <f aca="false">CHOOSE($G$3,AC244-AD244,AD244-AC244)</f>
        <v>0</v>
      </c>
      <c r="AM244" s="132" t="n">
        <f aca="false">CHOOSE($G$3,AF244-AG244,AG244-AF244)</f>
        <v>0</v>
      </c>
      <c r="AN244" s="132" t="n">
        <f aca="false">CHOOSE($G$3,AI244-AJ244,AJ244-AI244)</f>
        <v>0</v>
      </c>
      <c r="AO244" s="148" t="n">
        <f aca="false">SUM(AL244:AN244)</f>
        <v>0</v>
      </c>
      <c r="AQ244" s="132" t="n">
        <f aca="false">CHOOSE($G$3,AB244-AC244,AC244-AB244)</f>
        <v>0</v>
      </c>
      <c r="AR244" s="132" t="n">
        <f aca="false">CHOOSE($G$3,AE244-AF244,AF244-AE244)</f>
        <v>0</v>
      </c>
      <c r="AS244" s="132" t="n">
        <f aca="false">CHOOSE($G$3,AH244-AI244,AI244-AH244)</f>
        <v>0</v>
      </c>
      <c r="AT244" s="148" t="n">
        <f aca="false">AQ244+AR244+AS244</f>
        <v>0</v>
      </c>
      <c r="AU244" s="148"/>
      <c r="AV244" s="133" t="n">
        <f aca="false">AT244+AO244</f>
        <v>0</v>
      </c>
      <c r="AX244" s="133" t="n">
        <f aca="false">AJ244+AG244+AD244</f>
        <v>0</v>
      </c>
      <c r="AY244" s="149"/>
      <c r="AZ244" s="76" t="n">
        <f aca="false">R244*E244</f>
        <v>0</v>
      </c>
    </row>
    <row r="245" customFormat="false" ht="12" hidden="false" customHeight="true" outlineLevel="0" collapsed="false">
      <c r="A245" s="138" t="n">
        <f aca="false">EDATE(A244,1)</f>
        <v>44136</v>
      </c>
      <c r="B245" s="139" t="n">
        <f aca="false">VLOOKUP($A245,Table2,MATCH(I$3,Curves2,0))</f>
        <v>60900</v>
      </c>
      <c r="C245" s="140"/>
      <c r="D245" s="141" t="n">
        <f aca="false">B245+C245</f>
        <v>60900</v>
      </c>
      <c r="E245" s="126" t="n">
        <f aca="false">IF(Y245=0,0,IF(AND(Y245=1,$H$3=1),D245*T245,IF($H$3=2,D245,"N/A")))</f>
        <v>0</v>
      </c>
      <c r="F245" s="126" t="n">
        <f aca="false">E245*X245</f>
        <v>0</v>
      </c>
      <c r="G245" s="142" t="n">
        <f aca="false">VLOOKUP($A245,Table,MATCH(G$4,Curves,0))</f>
        <v>3.987</v>
      </c>
      <c r="H245" s="143" t="n">
        <f aca="false">G245</f>
        <v>3.987</v>
      </c>
      <c r="I245" s="142" t="n">
        <f aca="false">VLOOKUP($A245,Table1,MATCH(I$3,Curves1,0))</f>
        <v>3.7904</v>
      </c>
      <c r="J245" s="142" t="n">
        <f aca="false">VLOOKUP($A245,Table,MATCH(J$4,Curves,0))</f>
        <v>0.011</v>
      </c>
      <c r="K245" s="143" t="n">
        <f aca="false">J245</f>
        <v>0.011</v>
      </c>
      <c r="L245" s="144" t="n">
        <v>0</v>
      </c>
      <c r="M245" s="142" t="n">
        <f aca="false">VLOOKUP($A245,Table,MATCH(M$4,Curves,0))</f>
        <v>0.015</v>
      </c>
      <c r="N245" s="143" t="n">
        <f aca="false">M245</f>
        <v>0.015</v>
      </c>
      <c r="O245" s="144" t="n">
        <v>0</v>
      </c>
      <c r="P245" s="145"/>
      <c r="Q245" s="144" t="n">
        <f aca="false">M245+J245+G245</f>
        <v>4.013</v>
      </c>
      <c r="R245" s="144" t="n">
        <f aca="false">O245+L245+I245</f>
        <v>3.7904</v>
      </c>
      <c r="S245" s="145"/>
      <c r="T245" s="71" t="n">
        <f aca="false">A246-A245</f>
        <v>30</v>
      </c>
      <c r="U245" s="146" t="n">
        <f aca="false">CHOOSE(F$3,A246+24,A245)</f>
        <v>44190</v>
      </c>
      <c r="V245" s="71" t="n">
        <f aca="false">U245-C$3</f>
        <v>7302</v>
      </c>
      <c r="W245" s="142" t="n">
        <f aca="false">VLOOKUP($A245,Table,MATCH(W$4,Curves,0))</f>
        <v>0.058966861357273</v>
      </c>
      <c r="X245" s="147" t="n">
        <f aca="false">1/(1+CHOOSE(F$3,(W246+($K$3/10000))/2,(W245+($K$3/10000))/2))^(2*V245/365.25)</f>
        <v>0.312919663334592</v>
      </c>
      <c r="Y245" s="71" t="n">
        <f aca="false">IF(AND(mthbeg&lt;=A245,mthend&gt;=A245),1,0)</f>
        <v>0</v>
      </c>
      <c r="Z245" s="71" t="n">
        <f aca="false">T245*Y245</f>
        <v>0</v>
      </c>
      <c r="AB245" s="132" t="n">
        <f aca="false">F245*G245</f>
        <v>0</v>
      </c>
      <c r="AC245" s="132" t="n">
        <f aca="false">$F245*H245</f>
        <v>0</v>
      </c>
      <c r="AD245" s="132" t="n">
        <f aca="false">$F245*I245</f>
        <v>0</v>
      </c>
      <c r="AE245" s="132" t="n">
        <f aca="false">$F245*J245</f>
        <v>0</v>
      </c>
      <c r="AF245" s="132" t="n">
        <f aca="false">$F245*K245</f>
        <v>0</v>
      </c>
      <c r="AG245" s="132" t="n">
        <f aca="false">$F245*L245</f>
        <v>0</v>
      </c>
      <c r="AH245" s="132" t="n">
        <f aca="false">$F245*M245</f>
        <v>0</v>
      </c>
      <c r="AI245" s="132" t="n">
        <f aca="false">$F245*N245</f>
        <v>0</v>
      </c>
      <c r="AJ245" s="132" t="n">
        <f aca="false">F245*O245</f>
        <v>0</v>
      </c>
      <c r="AK245" s="137"/>
      <c r="AL245" s="132" t="n">
        <f aca="false">CHOOSE($G$3,AC245-AD245,AD245-AC245)</f>
        <v>0</v>
      </c>
      <c r="AM245" s="132" t="n">
        <f aca="false">CHOOSE($G$3,AF245-AG245,AG245-AF245)</f>
        <v>0</v>
      </c>
      <c r="AN245" s="132" t="n">
        <f aca="false">CHOOSE($G$3,AI245-AJ245,AJ245-AI245)</f>
        <v>0</v>
      </c>
      <c r="AO245" s="148" t="n">
        <f aca="false">SUM(AL245:AN245)</f>
        <v>0</v>
      </c>
      <c r="AQ245" s="132" t="n">
        <f aca="false">CHOOSE($G$3,AB245-AC245,AC245-AB245)</f>
        <v>0</v>
      </c>
      <c r="AR245" s="132" t="n">
        <f aca="false">CHOOSE($G$3,AE245-AF245,AF245-AE245)</f>
        <v>0</v>
      </c>
      <c r="AS245" s="132" t="n">
        <f aca="false">CHOOSE($G$3,AH245-AI245,AI245-AH245)</f>
        <v>0</v>
      </c>
      <c r="AT245" s="148" t="n">
        <f aca="false">AQ245+AR245+AS245</f>
        <v>0</v>
      </c>
      <c r="AU245" s="148"/>
      <c r="AV245" s="133" t="n">
        <f aca="false">AT245+AO245</f>
        <v>0</v>
      </c>
      <c r="AX245" s="133" t="n">
        <f aca="false">AJ245+AG245+AD245</f>
        <v>0</v>
      </c>
      <c r="AY245" s="149"/>
      <c r="AZ245" s="76" t="n">
        <f aca="false">R245*E245</f>
        <v>0</v>
      </c>
    </row>
    <row r="246" customFormat="false" ht="12" hidden="false" customHeight="true" outlineLevel="0" collapsed="false">
      <c r="A246" s="138" t="n">
        <f aca="false">EDATE(A245,1)</f>
        <v>44166</v>
      </c>
      <c r="B246" s="139" t="n">
        <f aca="false">VLOOKUP($A246,Table2,MATCH(I$3,Curves2,0))</f>
        <v>60900</v>
      </c>
      <c r="C246" s="140"/>
      <c r="D246" s="141" t="n">
        <f aca="false">B246+C246</f>
        <v>60900</v>
      </c>
      <c r="E246" s="126" t="n">
        <f aca="false">IF(Y246=0,0,IF(AND(Y246=1,$H$3=1),D246*T246,IF($H$3=2,D246,"N/A")))</f>
        <v>0</v>
      </c>
      <c r="F246" s="126" t="n">
        <f aca="false">E246*X246</f>
        <v>0</v>
      </c>
      <c r="G246" s="142" t="n">
        <f aca="false">VLOOKUP($A246,Table,MATCH(G$4,Curves,0))</f>
        <v>3.987</v>
      </c>
      <c r="H246" s="143" t="n">
        <f aca="false">G246</f>
        <v>3.987</v>
      </c>
      <c r="I246" s="142" t="n">
        <f aca="false">VLOOKUP($A246,Table1,MATCH(I$3,Curves1,0))</f>
        <v>3.7904</v>
      </c>
      <c r="J246" s="142" t="n">
        <f aca="false">VLOOKUP($A246,Table,MATCH(J$4,Curves,0))</f>
        <v>0.011</v>
      </c>
      <c r="K246" s="143" t="n">
        <f aca="false">J246</f>
        <v>0.011</v>
      </c>
      <c r="L246" s="144" t="n">
        <v>0</v>
      </c>
      <c r="M246" s="142" t="n">
        <f aca="false">VLOOKUP($A246,Table,MATCH(M$4,Curves,0))</f>
        <v>0.015</v>
      </c>
      <c r="N246" s="143" t="n">
        <f aca="false">M246</f>
        <v>0.015</v>
      </c>
      <c r="O246" s="144" t="n">
        <v>0</v>
      </c>
      <c r="P246" s="145"/>
      <c r="Q246" s="144" t="n">
        <f aca="false">M246+J246+G246</f>
        <v>4.013</v>
      </c>
      <c r="R246" s="144" t="n">
        <f aca="false">O246+L246+I246</f>
        <v>3.7904</v>
      </c>
      <c r="S246" s="145"/>
      <c r="T246" s="71" t="n">
        <f aca="false">A247-A246</f>
        <v>31</v>
      </c>
      <c r="U246" s="146" t="n">
        <f aca="false">CHOOSE(F$3,A247+24,A246)</f>
        <v>44221</v>
      </c>
      <c r="V246" s="71" t="n">
        <f aca="false">U246-C$3</f>
        <v>7333</v>
      </c>
      <c r="W246" s="142" t="n">
        <f aca="false">VLOOKUP($A246,Table,MATCH(W$4,Curves,0))</f>
        <v>0.058966861357273</v>
      </c>
      <c r="X246" s="147" t="n">
        <f aca="false">1/(1+CHOOSE(F$3,(W247+($K$3/10000))/2,(W246+($K$3/10000))/2))^(2*V246/365.25)</f>
        <v>0.311380031900948</v>
      </c>
      <c r="Y246" s="71" t="n">
        <f aca="false">IF(AND(mthbeg&lt;=A246,mthend&gt;=A246),1,0)</f>
        <v>0</v>
      </c>
      <c r="Z246" s="71" t="n">
        <f aca="false">T246*Y246</f>
        <v>0</v>
      </c>
      <c r="AB246" s="132" t="n">
        <f aca="false">F246*G246</f>
        <v>0</v>
      </c>
      <c r="AC246" s="132" t="n">
        <f aca="false">$F246*H246</f>
        <v>0</v>
      </c>
      <c r="AD246" s="132" t="n">
        <f aca="false">$F246*I246</f>
        <v>0</v>
      </c>
      <c r="AE246" s="132" t="n">
        <f aca="false">$F246*J246</f>
        <v>0</v>
      </c>
      <c r="AF246" s="132" t="n">
        <f aca="false">$F246*K246</f>
        <v>0</v>
      </c>
      <c r="AG246" s="132" t="n">
        <f aca="false">$F246*L246</f>
        <v>0</v>
      </c>
      <c r="AH246" s="132" t="n">
        <f aca="false">$F246*M246</f>
        <v>0</v>
      </c>
      <c r="AI246" s="132" t="n">
        <f aca="false">$F246*N246</f>
        <v>0</v>
      </c>
      <c r="AJ246" s="132" t="n">
        <f aca="false">F246*O246</f>
        <v>0</v>
      </c>
      <c r="AK246" s="137"/>
      <c r="AL246" s="132" t="n">
        <f aca="false">CHOOSE($G$3,AC246-AD246,AD246-AC246)</f>
        <v>0</v>
      </c>
      <c r="AM246" s="132" t="n">
        <f aca="false">CHOOSE($G$3,AF246-AG246,AG246-AF246)</f>
        <v>0</v>
      </c>
      <c r="AN246" s="132" t="n">
        <f aca="false">CHOOSE($G$3,AI246-AJ246,AJ246-AI246)</f>
        <v>0</v>
      </c>
      <c r="AO246" s="148" t="n">
        <f aca="false">SUM(AL246:AN246)</f>
        <v>0</v>
      </c>
      <c r="AQ246" s="132" t="n">
        <f aca="false">CHOOSE($G$3,AB246-AC246,AC246-AB246)</f>
        <v>0</v>
      </c>
      <c r="AR246" s="132" t="n">
        <f aca="false">CHOOSE($G$3,AE246-AF246,AF246-AE246)</f>
        <v>0</v>
      </c>
      <c r="AS246" s="132" t="n">
        <f aca="false">CHOOSE($G$3,AH246-AI246,AI246-AH246)</f>
        <v>0</v>
      </c>
      <c r="AT246" s="148" t="n">
        <f aca="false">AQ246+AR246+AS246</f>
        <v>0</v>
      </c>
      <c r="AU246" s="148"/>
      <c r="AV246" s="133" t="n">
        <f aca="false">AT246+AO246</f>
        <v>0</v>
      </c>
      <c r="AX246" s="133" t="n">
        <f aca="false">AJ246+AG246+AD246</f>
        <v>0</v>
      </c>
      <c r="AY246" s="149"/>
      <c r="AZ246" s="76" t="n">
        <f aca="false">R246*E246</f>
        <v>0</v>
      </c>
    </row>
    <row r="247" customFormat="false" ht="12" hidden="false" customHeight="true" outlineLevel="0" collapsed="false">
      <c r="A247" s="138" t="n">
        <f aca="false">EDATE(A246,1)</f>
        <v>44197</v>
      </c>
      <c r="B247" s="139" t="n">
        <f aca="false">VLOOKUP($A247,Table2,MATCH(I$3,Curves2,0))</f>
        <v>60900</v>
      </c>
      <c r="C247" s="140"/>
      <c r="D247" s="141" t="n">
        <f aca="false">B247+C247</f>
        <v>60900</v>
      </c>
      <c r="E247" s="126" t="n">
        <f aca="false">IF(Y247=0,0,IF(AND(Y247=1,$H$3=1),D247*T247,IF($H$3=2,D247,"N/A")))</f>
        <v>0</v>
      </c>
      <c r="F247" s="126" t="n">
        <f aca="false">E247*X247</f>
        <v>0</v>
      </c>
      <c r="G247" s="142" t="n">
        <f aca="false">VLOOKUP($A247,Table,MATCH(G$4,Curves,0))</f>
        <v>3.987</v>
      </c>
      <c r="H247" s="143" t="n">
        <f aca="false">G247</f>
        <v>3.987</v>
      </c>
      <c r="I247" s="142" t="n">
        <f aca="false">VLOOKUP($A247,Table1,MATCH(I$3,Curves1,0))</f>
        <v>3.7904</v>
      </c>
      <c r="J247" s="142" t="n">
        <f aca="false">VLOOKUP($A247,Table,MATCH(J$4,Curves,0))</f>
        <v>0.011</v>
      </c>
      <c r="K247" s="143" t="n">
        <f aca="false">J247</f>
        <v>0.011</v>
      </c>
      <c r="L247" s="144" t="n">
        <v>0</v>
      </c>
      <c r="M247" s="142" t="n">
        <f aca="false">VLOOKUP($A247,Table,MATCH(M$4,Curves,0))</f>
        <v>0.015</v>
      </c>
      <c r="N247" s="143" t="n">
        <f aca="false">M247</f>
        <v>0.015</v>
      </c>
      <c r="O247" s="144" t="n">
        <v>0</v>
      </c>
      <c r="P247" s="145"/>
      <c r="Q247" s="144" t="n">
        <f aca="false">M247+J247+G247</f>
        <v>4.013</v>
      </c>
      <c r="R247" s="144" t="n">
        <f aca="false">O247+L247+I247</f>
        <v>3.7904</v>
      </c>
      <c r="S247" s="145"/>
      <c r="T247" s="71" t="n">
        <f aca="false">A248-A247</f>
        <v>31</v>
      </c>
      <c r="U247" s="146" t="n">
        <f aca="false">CHOOSE(F$3,A248+24,A247)</f>
        <v>44252</v>
      </c>
      <c r="V247" s="71" t="n">
        <f aca="false">U247-C$3</f>
        <v>7364</v>
      </c>
      <c r="W247" s="142" t="n">
        <f aca="false">VLOOKUP($A247,Table,MATCH(W$4,Curves,0))</f>
        <v>0.058966861357273</v>
      </c>
      <c r="X247" s="147" t="n">
        <f aca="false">1/(1+CHOOSE(F$3,(W248+($K$3/10000))/2,(W247+($K$3/10000))/2))^(2*V247/365.25)</f>
        <v>0.309847975782087</v>
      </c>
      <c r="Y247" s="71" t="n">
        <f aca="false">IF(AND(mthbeg&lt;=A247,mthend&gt;=A247),1,0)</f>
        <v>0</v>
      </c>
      <c r="Z247" s="71" t="n">
        <f aca="false">T247*Y247</f>
        <v>0</v>
      </c>
      <c r="AB247" s="132" t="n">
        <f aca="false">F247*G247</f>
        <v>0</v>
      </c>
      <c r="AC247" s="132" t="n">
        <f aca="false">$F247*H247</f>
        <v>0</v>
      </c>
      <c r="AD247" s="132" t="n">
        <f aca="false">$F247*I247</f>
        <v>0</v>
      </c>
      <c r="AE247" s="132" t="n">
        <f aca="false">$F247*J247</f>
        <v>0</v>
      </c>
      <c r="AF247" s="132" t="n">
        <f aca="false">$F247*K247</f>
        <v>0</v>
      </c>
      <c r="AG247" s="132" t="n">
        <f aca="false">$F247*L247</f>
        <v>0</v>
      </c>
      <c r="AH247" s="132" t="n">
        <f aca="false">$F247*M247</f>
        <v>0</v>
      </c>
      <c r="AI247" s="132" t="n">
        <f aca="false">$F247*N247</f>
        <v>0</v>
      </c>
      <c r="AJ247" s="132" t="n">
        <f aca="false">F247*O247</f>
        <v>0</v>
      </c>
      <c r="AK247" s="137"/>
      <c r="AL247" s="132" t="n">
        <f aca="false">CHOOSE($G$3,AC247-AD247,AD247-AC247)</f>
        <v>0</v>
      </c>
      <c r="AM247" s="132" t="n">
        <f aca="false">CHOOSE($G$3,AF247-AG247,AG247-AF247)</f>
        <v>0</v>
      </c>
      <c r="AN247" s="132" t="n">
        <f aca="false">CHOOSE($G$3,AI247-AJ247,AJ247-AI247)</f>
        <v>0</v>
      </c>
      <c r="AO247" s="148" t="n">
        <f aca="false">SUM(AL247:AN247)</f>
        <v>0</v>
      </c>
      <c r="AQ247" s="132" t="n">
        <f aca="false">CHOOSE($G$3,AB247-AC247,AC247-AB247)</f>
        <v>0</v>
      </c>
      <c r="AR247" s="132" t="n">
        <f aca="false">CHOOSE($G$3,AE247-AF247,AF247-AE247)</f>
        <v>0</v>
      </c>
      <c r="AS247" s="132" t="n">
        <f aca="false">CHOOSE($G$3,AH247-AI247,AI247-AH247)</f>
        <v>0</v>
      </c>
      <c r="AT247" s="148" t="n">
        <f aca="false">AQ247+AR247+AS247</f>
        <v>0</v>
      </c>
      <c r="AU247" s="148"/>
      <c r="AV247" s="133" t="n">
        <f aca="false">AT247+AO247</f>
        <v>0</v>
      </c>
      <c r="AX247" s="133" t="n">
        <f aca="false">AJ247+AG247+AD247</f>
        <v>0</v>
      </c>
      <c r="AY247" s="149"/>
      <c r="AZ247" s="76" t="n">
        <f aca="false">R247*E247</f>
        <v>0</v>
      </c>
    </row>
    <row r="248" customFormat="false" ht="12" hidden="false" customHeight="true" outlineLevel="0" collapsed="false">
      <c r="A248" s="138" t="n">
        <f aca="false">EDATE(A247,1)</f>
        <v>44228</v>
      </c>
      <c r="B248" s="139" t="n">
        <f aca="false">VLOOKUP($A248,Table2,MATCH(I$3,Curves2,0))</f>
        <v>60900</v>
      </c>
      <c r="C248" s="140"/>
      <c r="D248" s="141" t="n">
        <f aca="false">B248+C248</f>
        <v>60900</v>
      </c>
      <c r="E248" s="126" t="n">
        <f aca="false">IF(Y248=0,0,IF(AND(Y248=1,$H$3=1),D248*T248,IF($H$3=2,D248,"N/A")))</f>
        <v>0</v>
      </c>
      <c r="F248" s="126" t="n">
        <f aca="false">E248*X248</f>
        <v>0</v>
      </c>
      <c r="G248" s="142" t="n">
        <f aca="false">VLOOKUP($A248,Table,MATCH(G$4,Curves,0))</f>
        <v>3.987</v>
      </c>
      <c r="H248" s="143" t="n">
        <f aca="false">G248</f>
        <v>3.987</v>
      </c>
      <c r="I248" s="142" t="n">
        <f aca="false">VLOOKUP($A248,Table1,MATCH(I$3,Curves1,0))</f>
        <v>3.7904</v>
      </c>
      <c r="J248" s="142" t="n">
        <f aca="false">VLOOKUP($A248,Table,MATCH(J$4,Curves,0))</f>
        <v>0.011</v>
      </c>
      <c r="K248" s="143" t="n">
        <f aca="false">J248</f>
        <v>0.011</v>
      </c>
      <c r="L248" s="144" t="n">
        <v>0</v>
      </c>
      <c r="M248" s="142" t="n">
        <f aca="false">VLOOKUP($A248,Table,MATCH(M$4,Curves,0))</f>
        <v>0.015</v>
      </c>
      <c r="N248" s="143" t="n">
        <f aca="false">M248</f>
        <v>0.015</v>
      </c>
      <c r="O248" s="144" t="n">
        <v>0</v>
      </c>
      <c r="P248" s="145"/>
      <c r="Q248" s="144" t="n">
        <f aca="false">M248+J248+G248</f>
        <v>4.013</v>
      </c>
      <c r="R248" s="144" t="n">
        <f aca="false">O248+L248+I248</f>
        <v>3.7904</v>
      </c>
      <c r="S248" s="145"/>
      <c r="T248" s="71" t="n">
        <f aca="false">A249-A248</f>
        <v>28</v>
      </c>
      <c r="U248" s="146" t="n">
        <f aca="false">CHOOSE(F$3,A249+24,A248)</f>
        <v>44280</v>
      </c>
      <c r="V248" s="71" t="n">
        <f aca="false">U248-C$3</f>
        <v>7392</v>
      </c>
      <c r="W248" s="142" t="n">
        <f aca="false">VLOOKUP($A248,Table,MATCH(W$4,Curves,0))</f>
        <v>0.058966861357273</v>
      </c>
      <c r="X248" s="147" t="n">
        <f aca="false">1/(1+CHOOSE(F$3,(W249+($K$3/10000))/2,(W248+($K$3/10000))/2))^(2*V248/365.25)</f>
        <v>0.308470663296764</v>
      </c>
      <c r="Y248" s="71" t="n">
        <f aca="false">IF(AND(mthbeg&lt;=A248,mthend&gt;=A248),1,0)</f>
        <v>0</v>
      </c>
      <c r="Z248" s="71" t="n">
        <f aca="false">T248*Y248</f>
        <v>0</v>
      </c>
      <c r="AB248" s="132" t="n">
        <f aca="false">F248*G248</f>
        <v>0</v>
      </c>
      <c r="AC248" s="132" t="n">
        <f aca="false">$F248*H248</f>
        <v>0</v>
      </c>
      <c r="AD248" s="132" t="n">
        <f aca="false">$F248*I248</f>
        <v>0</v>
      </c>
      <c r="AE248" s="132" t="n">
        <f aca="false">$F248*J248</f>
        <v>0</v>
      </c>
      <c r="AF248" s="132" t="n">
        <f aca="false">$F248*K248</f>
        <v>0</v>
      </c>
      <c r="AG248" s="132" t="n">
        <f aca="false">$F248*L248</f>
        <v>0</v>
      </c>
      <c r="AH248" s="132" t="n">
        <f aca="false">$F248*M248</f>
        <v>0</v>
      </c>
      <c r="AI248" s="132" t="n">
        <f aca="false">$F248*N248</f>
        <v>0</v>
      </c>
      <c r="AJ248" s="132" t="n">
        <f aca="false">F248*O248</f>
        <v>0</v>
      </c>
      <c r="AK248" s="137"/>
      <c r="AL248" s="132" t="n">
        <f aca="false">CHOOSE($G$3,AC248-AD248,AD248-AC248)</f>
        <v>0</v>
      </c>
      <c r="AM248" s="132" t="n">
        <f aca="false">CHOOSE($G$3,AF248-AG248,AG248-AF248)</f>
        <v>0</v>
      </c>
      <c r="AN248" s="132" t="n">
        <f aca="false">CHOOSE($G$3,AI248-AJ248,AJ248-AI248)</f>
        <v>0</v>
      </c>
      <c r="AO248" s="148" t="n">
        <f aca="false">SUM(AL248:AN248)</f>
        <v>0</v>
      </c>
      <c r="AQ248" s="132" t="n">
        <f aca="false">CHOOSE($G$3,AB248-AC248,AC248-AB248)</f>
        <v>0</v>
      </c>
      <c r="AR248" s="132" t="n">
        <f aca="false">CHOOSE($G$3,AE248-AF248,AF248-AE248)</f>
        <v>0</v>
      </c>
      <c r="AS248" s="132" t="n">
        <f aca="false">CHOOSE($G$3,AH248-AI248,AI248-AH248)</f>
        <v>0</v>
      </c>
      <c r="AT248" s="148" t="n">
        <f aca="false">AQ248+AR248+AS248</f>
        <v>0</v>
      </c>
      <c r="AU248" s="148"/>
      <c r="AV248" s="133" t="n">
        <f aca="false">AT248+AO248</f>
        <v>0</v>
      </c>
      <c r="AX248" s="133" t="n">
        <f aca="false">AJ248+AG248+AD248</f>
        <v>0</v>
      </c>
      <c r="AY248" s="149"/>
      <c r="AZ248" s="76" t="n">
        <f aca="false">R248*E248</f>
        <v>0</v>
      </c>
    </row>
    <row r="249" customFormat="false" ht="12" hidden="false" customHeight="true" outlineLevel="0" collapsed="false">
      <c r="A249" s="138" t="n">
        <f aca="false">EDATE(A248,1)</f>
        <v>44256</v>
      </c>
      <c r="B249" s="139" t="n">
        <f aca="false">VLOOKUP($A249,Table2,MATCH(I$3,Curves2,0))</f>
        <v>60900</v>
      </c>
      <c r="C249" s="140"/>
      <c r="D249" s="141" t="n">
        <f aca="false">B249+C249</f>
        <v>60900</v>
      </c>
      <c r="E249" s="126" t="n">
        <f aca="false">IF(Y249=0,0,IF(AND(Y249=1,$H$3=1),D249*T249,IF($H$3=2,D249,"N/A")))</f>
        <v>0</v>
      </c>
      <c r="F249" s="126" t="n">
        <f aca="false">E249*X249</f>
        <v>0</v>
      </c>
      <c r="G249" s="142" t="n">
        <f aca="false">VLOOKUP($A249,Table,MATCH(G$4,Curves,0))</f>
        <v>3.987</v>
      </c>
      <c r="H249" s="143" t="n">
        <f aca="false">G249</f>
        <v>3.987</v>
      </c>
      <c r="I249" s="142" t="n">
        <f aca="false">VLOOKUP($A249,Table1,MATCH(I$3,Curves1,0))</f>
        <v>3.7904</v>
      </c>
      <c r="J249" s="142" t="n">
        <f aca="false">VLOOKUP($A249,Table,MATCH(J$4,Curves,0))</f>
        <v>0.011</v>
      </c>
      <c r="K249" s="143" t="n">
        <f aca="false">J249</f>
        <v>0.011</v>
      </c>
      <c r="L249" s="144" t="n">
        <v>0</v>
      </c>
      <c r="M249" s="142" t="n">
        <f aca="false">VLOOKUP($A249,Table,MATCH(M$4,Curves,0))</f>
        <v>0.015</v>
      </c>
      <c r="N249" s="143" t="n">
        <f aca="false">M249</f>
        <v>0.015</v>
      </c>
      <c r="O249" s="144" t="n">
        <v>0</v>
      </c>
      <c r="P249" s="145"/>
      <c r="Q249" s="144" t="n">
        <f aca="false">M249+J249+G249</f>
        <v>4.013</v>
      </c>
      <c r="R249" s="144" t="n">
        <f aca="false">O249+L249+I249</f>
        <v>3.7904</v>
      </c>
      <c r="S249" s="145"/>
      <c r="T249" s="71" t="n">
        <f aca="false">A250-A249</f>
        <v>31</v>
      </c>
      <c r="U249" s="146" t="n">
        <f aca="false">CHOOSE(F$3,A250+24,A249)</f>
        <v>44311</v>
      </c>
      <c r="V249" s="71" t="n">
        <f aca="false">U249-C$3</f>
        <v>7423</v>
      </c>
      <c r="W249" s="142" t="n">
        <f aca="false">VLOOKUP($A249,Table,MATCH(W$4,Curves,0))</f>
        <v>0.058966861357273</v>
      </c>
      <c r="X249" s="147" t="n">
        <f aca="false">1/(1+CHOOSE(F$3,(W250+($K$3/10000))/2,(W249+($K$3/10000))/2))^(2*V249/365.25)</f>
        <v>0.306952921891485</v>
      </c>
      <c r="Y249" s="71" t="n">
        <f aca="false">IF(AND(mthbeg&lt;=A249,mthend&gt;=A249),1,0)</f>
        <v>0</v>
      </c>
      <c r="Z249" s="71" t="n">
        <f aca="false">T249*Y249</f>
        <v>0</v>
      </c>
      <c r="AB249" s="132" t="n">
        <f aca="false">F249*G249</f>
        <v>0</v>
      </c>
      <c r="AC249" s="132" t="n">
        <f aca="false">$F249*H249</f>
        <v>0</v>
      </c>
      <c r="AD249" s="132" t="n">
        <f aca="false">$F249*I249</f>
        <v>0</v>
      </c>
      <c r="AE249" s="132" t="n">
        <f aca="false">$F249*J249</f>
        <v>0</v>
      </c>
      <c r="AF249" s="132" t="n">
        <f aca="false">$F249*K249</f>
        <v>0</v>
      </c>
      <c r="AG249" s="132" t="n">
        <f aca="false">$F249*L249</f>
        <v>0</v>
      </c>
      <c r="AH249" s="132" t="n">
        <f aca="false">$F249*M249</f>
        <v>0</v>
      </c>
      <c r="AI249" s="132" t="n">
        <f aca="false">$F249*N249</f>
        <v>0</v>
      </c>
      <c r="AJ249" s="132" t="n">
        <f aca="false">F249*O249</f>
        <v>0</v>
      </c>
      <c r="AK249" s="137"/>
      <c r="AL249" s="132" t="n">
        <f aca="false">CHOOSE($G$3,AC249-AD249,AD249-AC249)</f>
        <v>0</v>
      </c>
      <c r="AM249" s="132" t="n">
        <f aca="false">CHOOSE($G$3,AF249-AG249,AG249-AF249)</f>
        <v>0</v>
      </c>
      <c r="AN249" s="132" t="n">
        <f aca="false">CHOOSE($G$3,AI249-AJ249,AJ249-AI249)</f>
        <v>0</v>
      </c>
      <c r="AO249" s="148" t="n">
        <f aca="false">SUM(AL249:AN249)</f>
        <v>0</v>
      </c>
      <c r="AQ249" s="132" t="n">
        <f aca="false">CHOOSE($G$3,AB249-AC249,AC249-AB249)</f>
        <v>0</v>
      </c>
      <c r="AR249" s="132" t="n">
        <f aca="false">CHOOSE($G$3,AE249-AF249,AF249-AE249)</f>
        <v>0</v>
      </c>
      <c r="AS249" s="132" t="n">
        <f aca="false">CHOOSE($G$3,AH249-AI249,AI249-AH249)</f>
        <v>0</v>
      </c>
      <c r="AT249" s="148" t="n">
        <f aca="false">AQ249+AR249+AS249</f>
        <v>0</v>
      </c>
      <c r="AU249" s="148"/>
      <c r="AV249" s="133" t="n">
        <f aca="false">AT249+AO249</f>
        <v>0</v>
      </c>
      <c r="AX249" s="133" t="n">
        <f aca="false">AJ249+AG249+AD249</f>
        <v>0</v>
      </c>
      <c r="AY249" s="149"/>
      <c r="AZ249" s="76" t="n">
        <f aca="false">R249*E249</f>
        <v>0</v>
      </c>
    </row>
    <row r="250" customFormat="false" ht="12" hidden="false" customHeight="true" outlineLevel="0" collapsed="false">
      <c r="A250" s="138" t="n">
        <f aca="false">EDATE(A249,1)</f>
        <v>44287</v>
      </c>
      <c r="B250" s="139" t="n">
        <f aca="false">VLOOKUP($A250,Table2,MATCH(I$3,Curves2,0))</f>
        <v>60900</v>
      </c>
      <c r="C250" s="140"/>
      <c r="D250" s="141" t="n">
        <f aca="false">B250+C250</f>
        <v>60900</v>
      </c>
      <c r="E250" s="126" t="n">
        <f aca="false">IF(Y250=0,0,IF(AND(Y250=1,$H$3=1),D250*T250,IF($H$3=2,D250,"N/A")))</f>
        <v>0</v>
      </c>
      <c r="F250" s="126" t="n">
        <f aca="false">E250*X250</f>
        <v>0</v>
      </c>
      <c r="G250" s="142" t="n">
        <f aca="false">VLOOKUP($A250,Table,MATCH(G$4,Curves,0))</f>
        <v>3.987</v>
      </c>
      <c r="H250" s="143" t="n">
        <f aca="false">G250</f>
        <v>3.987</v>
      </c>
      <c r="I250" s="142" t="n">
        <f aca="false">VLOOKUP($A250,Table1,MATCH(I$3,Curves1,0))</f>
        <v>3.7904</v>
      </c>
      <c r="J250" s="142" t="n">
        <f aca="false">VLOOKUP($A250,Table,MATCH(J$4,Curves,0))</f>
        <v>0.011</v>
      </c>
      <c r="K250" s="143" t="n">
        <f aca="false">J250</f>
        <v>0.011</v>
      </c>
      <c r="L250" s="144" t="n">
        <v>0</v>
      </c>
      <c r="M250" s="142" t="n">
        <f aca="false">VLOOKUP($A250,Table,MATCH(M$4,Curves,0))</f>
        <v>0.015</v>
      </c>
      <c r="N250" s="143" t="n">
        <f aca="false">M250</f>
        <v>0.015</v>
      </c>
      <c r="O250" s="144" t="n">
        <v>0</v>
      </c>
      <c r="P250" s="145"/>
      <c r="Q250" s="144" t="n">
        <f aca="false">M250+J250+G250</f>
        <v>4.013</v>
      </c>
      <c r="R250" s="144" t="n">
        <f aca="false">O250+L250+I250</f>
        <v>3.7904</v>
      </c>
      <c r="S250" s="145"/>
      <c r="T250" s="71" t="n">
        <f aca="false">A251-A250</f>
        <v>30</v>
      </c>
      <c r="U250" s="146" t="n">
        <f aca="false">CHOOSE(F$3,A251+24,A250)</f>
        <v>44341</v>
      </c>
      <c r="V250" s="71" t="n">
        <f aca="false">U250-C$3</f>
        <v>7453</v>
      </c>
      <c r="W250" s="142" t="n">
        <f aca="false">VLOOKUP($A250,Table,MATCH(W$4,Curves,0))</f>
        <v>0.058966861357273</v>
      </c>
      <c r="X250" s="147" t="n">
        <f aca="false">1/(1+CHOOSE(F$3,(W251+($K$3/10000))/2,(W250+($K$3/10000))/2))^(2*V250/365.25)</f>
        <v>0.305491250423509</v>
      </c>
      <c r="Y250" s="71" t="n">
        <f aca="false">IF(AND(mthbeg&lt;=A250,mthend&gt;=A250),1,0)</f>
        <v>0</v>
      </c>
      <c r="Z250" s="71" t="n">
        <f aca="false">T250*Y250</f>
        <v>0</v>
      </c>
      <c r="AB250" s="132" t="n">
        <f aca="false">F250*G250</f>
        <v>0</v>
      </c>
      <c r="AC250" s="132" t="n">
        <f aca="false">$F250*H250</f>
        <v>0</v>
      </c>
      <c r="AD250" s="132" t="n">
        <f aca="false">$F250*I250</f>
        <v>0</v>
      </c>
      <c r="AE250" s="132" t="n">
        <f aca="false">$F250*J250</f>
        <v>0</v>
      </c>
      <c r="AF250" s="132" t="n">
        <f aca="false">$F250*K250</f>
        <v>0</v>
      </c>
      <c r="AG250" s="132" t="n">
        <f aca="false">$F250*L250</f>
        <v>0</v>
      </c>
      <c r="AH250" s="132" t="n">
        <f aca="false">$F250*M250</f>
        <v>0</v>
      </c>
      <c r="AI250" s="132" t="n">
        <f aca="false">$F250*N250</f>
        <v>0</v>
      </c>
      <c r="AJ250" s="132" t="n">
        <f aca="false">F250*O250</f>
        <v>0</v>
      </c>
      <c r="AK250" s="137"/>
      <c r="AL250" s="132" t="n">
        <f aca="false">CHOOSE($G$3,AC250-AD250,AD250-AC250)</f>
        <v>0</v>
      </c>
      <c r="AM250" s="132" t="n">
        <f aca="false">CHOOSE($G$3,AF250-AG250,AG250-AF250)</f>
        <v>0</v>
      </c>
      <c r="AN250" s="132" t="n">
        <f aca="false">CHOOSE($G$3,AI250-AJ250,AJ250-AI250)</f>
        <v>0</v>
      </c>
      <c r="AO250" s="148" t="n">
        <f aca="false">SUM(AL250:AN250)</f>
        <v>0</v>
      </c>
      <c r="AQ250" s="132" t="n">
        <f aca="false">CHOOSE($G$3,AB250-AC250,AC250-AB250)</f>
        <v>0</v>
      </c>
      <c r="AR250" s="132" t="n">
        <f aca="false">CHOOSE($G$3,AE250-AF250,AF250-AE250)</f>
        <v>0</v>
      </c>
      <c r="AS250" s="132" t="n">
        <f aca="false">CHOOSE($G$3,AH250-AI250,AI250-AH250)</f>
        <v>0</v>
      </c>
      <c r="AT250" s="148" t="n">
        <f aca="false">AQ250+AR250+AS250</f>
        <v>0</v>
      </c>
      <c r="AU250" s="148"/>
      <c r="AV250" s="133" t="n">
        <f aca="false">AT250+AO250</f>
        <v>0</v>
      </c>
      <c r="AX250" s="133" t="n">
        <f aca="false">AJ250+AG250+AD250</f>
        <v>0</v>
      </c>
      <c r="AY250" s="149"/>
      <c r="AZ250" s="76" t="n">
        <f aca="false">R250*E250</f>
        <v>0</v>
      </c>
    </row>
    <row r="251" customFormat="false" ht="12" hidden="false" customHeight="true" outlineLevel="0" collapsed="false">
      <c r="A251" s="138" t="n">
        <f aca="false">EDATE(A250,1)</f>
        <v>44317</v>
      </c>
      <c r="B251" s="139" t="n">
        <f aca="false">VLOOKUP($A251,Table2,MATCH(I$3,Curves2,0))</f>
        <v>60900</v>
      </c>
      <c r="C251" s="140"/>
      <c r="D251" s="141" t="n">
        <f aca="false">B251+C251</f>
        <v>60900</v>
      </c>
      <c r="E251" s="126" t="n">
        <f aca="false">IF(Y251=0,0,IF(AND(Y251=1,$H$3=1),D251*T251,IF($H$3=2,D251,"N/A")))</f>
        <v>0</v>
      </c>
      <c r="F251" s="126" t="n">
        <f aca="false">E251*X251</f>
        <v>0</v>
      </c>
      <c r="G251" s="142" t="n">
        <f aca="false">VLOOKUP($A251,Table,MATCH(G$4,Curves,0))</f>
        <v>3.987</v>
      </c>
      <c r="H251" s="143" t="n">
        <f aca="false">G251</f>
        <v>3.987</v>
      </c>
      <c r="I251" s="142" t="n">
        <f aca="false">VLOOKUP($A251,Table1,MATCH(I$3,Curves1,0))</f>
        <v>3.7904</v>
      </c>
      <c r="J251" s="142" t="n">
        <f aca="false">VLOOKUP($A251,Table,MATCH(J$4,Curves,0))</f>
        <v>0.011</v>
      </c>
      <c r="K251" s="143" t="n">
        <f aca="false">J251</f>
        <v>0.011</v>
      </c>
      <c r="L251" s="144" t="n">
        <v>0</v>
      </c>
      <c r="M251" s="142" t="n">
        <f aca="false">VLOOKUP($A251,Table,MATCH(M$4,Curves,0))</f>
        <v>0.015</v>
      </c>
      <c r="N251" s="143" t="n">
        <f aca="false">M251</f>
        <v>0.015</v>
      </c>
      <c r="O251" s="144" t="n">
        <v>0</v>
      </c>
      <c r="P251" s="145"/>
      <c r="Q251" s="144" t="n">
        <f aca="false">M251+J251+G251</f>
        <v>4.013</v>
      </c>
      <c r="R251" s="144" t="n">
        <f aca="false">O251+L251+I251</f>
        <v>3.7904</v>
      </c>
      <c r="S251" s="145"/>
      <c r="T251" s="71" t="n">
        <f aca="false">A252-A251</f>
        <v>31</v>
      </c>
      <c r="U251" s="146" t="n">
        <f aca="false">CHOOSE(F$3,A252+24,A251)</f>
        <v>44372</v>
      </c>
      <c r="V251" s="71" t="n">
        <f aca="false">U251-C$3</f>
        <v>7484</v>
      </c>
      <c r="W251" s="142" t="n">
        <f aca="false">VLOOKUP($A251,Table,MATCH(W$4,Curves,0))</f>
        <v>0.058966861357273</v>
      </c>
      <c r="X251" s="147" t="n">
        <f aca="false">1/(1+CHOOSE(F$3,(W252+($K$3/10000))/2,(W251+($K$3/10000))/2))^(2*V251/365.25)</f>
        <v>0.303988168364545</v>
      </c>
      <c r="Y251" s="71" t="n">
        <f aca="false">IF(AND(mthbeg&lt;=A251,mthend&gt;=A251),1,0)</f>
        <v>0</v>
      </c>
      <c r="Z251" s="71" t="n">
        <f aca="false">T251*Y251</f>
        <v>0</v>
      </c>
      <c r="AB251" s="132" t="n">
        <f aca="false">F251*G251</f>
        <v>0</v>
      </c>
      <c r="AC251" s="132" t="n">
        <f aca="false">$F251*H251</f>
        <v>0</v>
      </c>
      <c r="AD251" s="132" t="n">
        <f aca="false">$F251*I251</f>
        <v>0</v>
      </c>
      <c r="AE251" s="132" t="n">
        <f aca="false">$F251*J251</f>
        <v>0</v>
      </c>
      <c r="AF251" s="132" t="n">
        <f aca="false">$F251*K251</f>
        <v>0</v>
      </c>
      <c r="AG251" s="132" t="n">
        <f aca="false">$F251*L251</f>
        <v>0</v>
      </c>
      <c r="AH251" s="132" t="n">
        <f aca="false">$F251*M251</f>
        <v>0</v>
      </c>
      <c r="AI251" s="132" t="n">
        <f aca="false">$F251*N251</f>
        <v>0</v>
      </c>
      <c r="AJ251" s="132" t="n">
        <f aca="false">F251*O251</f>
        <v>0</v>
      </c>
      <c r="AK251" s="137"/>
      <c r="AL251" s="132" t="n">
        <f aca="false">CHOOSE($G$3,AC251-AD251,AD251-AC251)</f>
        <v>0</v>
      </c>
      <c r="AM251" s="132" t="n">
        <f aca="false">CHOOSE($G$3,AF251-AG251,AG251-AF251)</f>
        <v>0</v>
      </c>
      <c r="AN251" s="132" t="n">
        <f aca="false">CHOOSE($G$3,AI251-AJ251,AJ251-AI251)</f>
        <v>0</v>
      </c>
      <c r="AO251" s="148" t="n">
        <f aca="false">SUM(AL251:AN251)</f>
        <v>0</v>
      </c>
      <c r="AQ251" s="132" t="n">
        <f aca="false">CHOOSE($G$3,AB251-AC251,AC251-AB251)</f>
        <v>0</v>
      </c>
      <c r="AR251" s="132" t="n">
        <f aca="false">CHOOSE($G$3,AE251-AF251,AF251-AE251)</f>
        <v>0</v>
      </c>
      <c r="AS251" s="132" t="n">
        <f aca="false">CHOOSE($G$3,AH251-AI251,AI251-AH251)</f>
        <v>0</v>
      </c>
      <c r="AT251" s="148" t="n">
        <f aca="false">AQ251+AR251+AS251</f>
        <v>0</v>
      </c>
      <c r="AU251" s="148"/>
      <c r="AV251" s="133" t="n">
        <f aca="false">AT251+AO251</f>
        <v>0</v>
      </c>
      <c r="AX251" s="133" t="n">
        <f aca="false">AJ251+AG251+AD251</f>
        <v>0</v>
      </c>
      <c r="AY251" s="149"/>
      <c r="AZ251" s="76" t="n">
        <f aca="false">R251*E251</f>
        <v>0</v>
      </c>
    </row>
    <row r="252" customFormat="false" ht="12" hidden="false" customHeight="true" outlineLevel="0" collapsed="false">
      <c r="A252" s="138" t="n">
        <f aca="false">EDATE(A251,1)</f>
        <v>44348</v>
      </c>
      <c r="B252" s="139" t="n">
        <f aca="false">VLOOKUP($A252,Table2,MATCH(I$3,Curves2,0))</f>
        <v>60900</v>
      </c>
      <c r="C252" s="140"/>
      <c r="D252" s="141" t="n">
        <f aca="false">B252+C252</f>
        <v>60900</v>
      </c>
      <c r="E252" s="126" t="n">
        <f aca="false">IF(Y252=0,0,IF(AND(Y252=1,$H$3=1),D252*T252,IF($H$3=2,D252,"N/A")))</f>
        <v>0</v>
      </c>
      <c r="F252" s="126" t="n">
        <f aca="false">E252*X252</f>
        <v>0</v>
      </c>
      <c r="G252" s="142" t="n">
        <f aca="false">VLOOKUP($A252,Table,MATCH(G$4,Curves,0))</f>
        <v>3.987</v>
      </c>
      <c r="H252" s="143" t="n">
        <f aca="false">G252</f>
        <v>3.987</v>
      </c>
      <c r="I252" s="142" t="n">
        <f aca="false">VLOOKUP($A252,Table1,MATCH(I$3,Curves1,0))</f>
        <v>3.7904</v>
      </c>
      <c r="J252" s="142" t="n">
        <f aca="false">VLOOKUP($A252,Table,MATCH(J$4,Curves,0))</f>
        <v>0.011</v>
      </c>
      <c r="K252" s="143" t="n">
        <f aca="false">J252</f>
        <v>0.011</v>
      </c>
      <c r="L252" s="144" t="n">
        <v>0</v>
      </c>
      <c r="M252" s="142" t="n">
        <f aca="false">VLOOKUP($A252,Table,MATCH(M$4,Curves,0))</f>
        <v>0.015</v>
      </c>
      <c r="N252" s="143" t="n">
        <f aca="false">M252</f>
        <v>0.015</v>
      </c>
      <c r="O252" s="144" t="n">
        <v>0</v>
      </c>
      <c r="P252" s="145"/>
      <c r="Q252" s="144" t="n">
        <f aca="false">M252+J252+G252</f>
        <v>4.013</v>
      </c>
      <c r="R252" s="144" t="n">
        <f aca="false">O252+L252+I252</f>
        <v>3.7904</v>
      </c>
      <c r="S252" s="145"/>
      <c r="T252" s="71" t="n">
        <f aca="false">A253-A252</f>
        <v>30</v>
      </c>
      <c r="U252" s="146" t="n">
        <f aca="false">CHOOSE(F$3,A253+24,A252)</f>
        <v>44402</v>
      </c>
      <c r="V252" s="71" t="n">
        <f aca="false">U252-C$3</f>
        <v>7514</v>
      </c>
      <c r="W252" s="142" t="n">
        <f aca="false">VLOOKUP($A252,Table,MATCH(W$4,Curves,0))</f>
        <v>0.058966861357273</v>
      </c>
      <c r="X252" s="147" t="n">
        <f aca="false">1/(1+CHOOSE(F$3,(W253+($K$3/10000))/2,(W252+($K$3/10000))/2))^(2*V252/365.25)</f>
        <v>0.302540614682493</v>
      </c>
      <c r="Y252" s="71" t="n">
        <f aca="false">IF(AND(mthbeg&lt;=A252,mthend&gt;=A252),1,0)</f>
        <v>0</v>
      </c>
      <c r="Z252" s="71" t="n">
        <f aca="false">T252*Y252</f>
        <v>0</v>
      </c>
      <c r="AB252" s="132" t="n">
        <f aca="false">F252*G252</f>
        <v>0</v>
      </c>
      <c r="AC252" s="132" t="n">
        <f aca="false">$F252*H252</f>
        <v>0</v>
      </c>
      <c r="AD252" s="132" t="n">
        <f aca="false">$F252*I252</f>
        <v>0</v>
      </c>
      <c r="AE252" s="132" t="n">
        <f aca="false">$F252*J252</f>
        <v>0</v>
      </c>
      <c r="AF252" s="132" t="n">
        <f aca="false">$F252*K252</f>
        <v>0</v>
      </c>
      <c r="AG252" s="132" t="n">
        <f aca="false">$F252*L252</f>
        <v>0</v>
      </c>
      <c r="AH252" s="132" t="n">
        <f aca="false">$F252*M252</f>
        <v>0</v>
      </c>
      <c r="AI252" s="132" t="n">
        <f aca="false">$F252*N252</f>
        <v>0</v>
      </c>
      <c r="AJ252" s="132" t="n">
        <f aca="false">F252*O252</f>
        <v>0</v>
      </c>
      <c r="AK252" s="137"/>
      <c r="AL252" s="132" t="n">
        <f aca="false">CHOOSE($G$3,AC252-AD252,AD252-AC252)</f>
        <v>0</v>
      </c>
      <c r="AM252" s="132" t="n">
        <f aca="false">CHOOSE($G$3,AF252-AG252,AG252-AF252)</f>
        <v>0</v>
      </c>
      <c r="AN252" s="132" t="n">
        <f aca="false">CHOOSE($G$3,AI252-AJ252,AJ252-AI252)</f>
        <v>0</v>
      </c>
      <c r="AO252" s="148" t="n">
        <f aca="false">SUM(AL252:AN252)</f>
        <v>0</v>
      </c>
      <c r="AQ252" s="132" t="n">
        <f aca="false">CHOOSE($G$3,AB252-AC252,AC252-AB252)</f>
        <v>0</v>
      </c>
      <c r="AR252" s="132" t="n">
        <f aca="false">CHOOSE($G$3,AE252-AF252,AF252-AE252)</f>
        <v>0</v>
      </c>
      <c r="AS252" s="132" t="n">
        <f aca="false">CHOOSE($G$3,AH252-AI252,AI252-AH252)</f>
        <v>0</v>
      </c>
      <c r="AT252" s="148" t="n">
        <f aca="false">AQ252+AR252+AS252</f>
        <v>0</v>
      </c>
      <c r="AU252" s="148"/>
      <c r="AV252" s="133" t="n">
        <f aca="false">AT252+AO252</f>
        <v>0</v>
      </c>
      <c r="AX252" s="133" t="n">
        <f aca="false">AJ252+AG252+AD252</f>
        <v>0</v>
      </c>
      <c r="AY252" s="149"/>
      <c r="AZ252" s="76" t="n">
        <f aca="false">R252*E252</f>
        <v>0</v>
      </c>
    </row>
    <row r="253" customFormat="false" ht="12" hidden="false" customHeight="true" outlineLevel="0" collapsed="false">
      <c r="A253" s="138" t="n">
        <f aca="false">EDATE(A252,1)</f>
        <v>44378</v>
      </c>
      <c r="B253" s="139" t="n">
        <f aca="false">VLOOKUP($A253,Table2,MATCH(I$3,Curves2,0))</f>
        <v>60900</v>
      </c>
      <c r="C253" s="140"/>
      <c r="D253" s="141" t="n">
        <f aca="false">B253+C253</f>
        <v>60900</v>
      </c>
      <c r="E253" s="126" t="n">
        <f aca="false">IF(Y253=0,0,IF(AND(Y253=1,$H$3=1),D253*T253,IF($H$3=2,D253,"N/A")))</f>
        <v>0</v>
      </c>
      <c r="F253" s="126" t="n">
        <f aca="false">E253*X253</f>
        <v>0</v>
      </c>
      <c r="G253" s="142" t="n">
        <f aca="false">VLOOKUP($A253,Table,MATCH(G$4,Curves,0))</f>
        <v>3.987</v>
      </c>
      <c r="H253" s="143" t="n">
        <f aca="false">G253</f>
        <v>3.987</v>
      </c>
      <c r="I253" s="142" t="n">
        <f aca="false">VLOOKUP($A253,Table1,MATCH(I$3,Curves1,0))</f>
        <v>3.7904</v>
      </c>
      <c r="J253" s="142" t="n">
        <f aca="false">VLOOKUP($A253,Table,MATCH(J$4,Curves,0))</f>
        <v>0.011</v>
      </c>
      <c r="K253" s="143" t="n">
        <f aca="false">J253</f>
        <v>0.011</v>
      </c>
      <c r="L253" s="144" t="n">
        <v>0</v>
      </c>
      <c r="M253" s="142" t="n">
        <f aca="false">VLOOKUP($A253,Table,MATCH(M$4,Curves,0))</f>
        <v>0.015</v>
      </c>
      <c r="N253" s="143" t="n">
        <f aca="false">M253</f>
        <v>0.015</v>
      </c>
      <c r="O253" s="144" t="n">
        <v>0</v>
      </c>
      <c r="P253" s="145"/>
      <c r="Q253" s="144" t="n">
        <f aca="false">M253+J253+G253</f>
        <v>4.013</v>
      </c>
      <c r="R253" s="144" t="n">
        <f aca="false">O253+L253+I253</f>
        <v>3.7904</v>
      </c>
      <c r="S253" s="145"/>
      <c r="T253" s="71" t="n">
        <f aca="false">A254-A253</f>
        <v>31</v>
      </c>
      <c r="U253" s="146" t="n">
        <f aca="false">CHOOSE(F$3,A254+24,A253)</f>
        <v>44433</v>
      </c>
      <c r="V253" s="71" t="n">
        <f aca="false">U253-C$3</f>
        <v>7545</v>
      </c>
      <c r="W253" s="142" t="n">
        <f aca="false">VLOOKUP($A253,Table,MATCH(W$4,Curves,0))</f>
        <v>0.058966861357273</v>
      </c>
      <c r="X253" s="147" t="n">
        <f aca="false">1/(1+CHOOSE(F$3,(W254+($K$3/10000))/2,(W253+($K$3/10000))/2))^(2*V253/365.25)</f>
        <v>0.30105205038022</v>
      </c>
      <c r="Y253" s="71" t="n">
        <f aca="false">IF(AND(mthbeg&lt;=A253,mthend&gt;=A253),1,0)</f>
        <v>0</v>
      </c>
      <c r="Z253" s="71" t="n">
        <f aca="false">T253*Y253</f>
        <v>0</v>
      </c>
      <c r="AB253" s="132" t="n">
        <f aca="false">F253*G253</f>
        <v>0</v>
      </c>
      <c r="AC253" s="132" t="n">
        <f aca="false">$F253*H253</f>
        <v>0</v>
      </c>
      <c r="AD253" s="132" t="n">
        <f aca="false">$F253*I253</f>
        <v>0</v>
      </c>
      <c r="AE253" s="132" t="n">
        <f aca="false">$F253*J253</f>
        <v>0</v>
      </c>
      <c r="AF253" s="132" t="n">
        <f aca="false">$F253*K253</f>
        <v>0</v>
      </c>
      <c r="AG253" s="132" t="n">
        <f aca="false">$F253*L253</f>
        <v>0</v>
      </c>
      <c r="AH253" s="132" t="n">
        <f aca="false">$F253*M253</f>
        <v>0</v>
      </c>
      <c r="AI253" s="132" t="n">
        <f aca="false">$F253*N253</f>
        <v>0</v>
      </c>
      <c r="AJ253" s="132" t="n">
        <f aca="false">F253*O253</f>
        <v>0</v>
      </c>
      <c r="AK253" s="137"/>
      <c r="AL253" s="132" t="n">
        <f aca="false">CHOOSE($G$3,AC253-AD253,AD253-AC253)</f>
        <v>0</v>
      </c>
      <c r="AM253" s="132" t="n">
        <f aca="false">CHOOSE($G$3,AF253-AG253,AG253-AF253)</f>
        <v>0</v>
      </c>
      <c r="AN253" s="132" t="n">
        <f aca="false">CHOOSE($G$3,AI253-AJ253,AJ253-AI253)</f>
        <v>0</v>
      </c>
      <c r="AO253" s="148" t="n">
        <f aca="false">SUM(AL253:AN253)</f>
        <v>0</v>
      </c>
      <c r="AQ253" s="132" t="n">
        <f aca="false">CHOOSE($G$3,AB253-AC253,AC253-AB253)</f>
        <v>0</v>
      </c>
      <c r="AR253" s="132" t="n">
        <f aca="false">CHOOSE($G$3,AE253-AF253,AF253-AE253)</f>
        <v>0</v>
      </c>
      <c r="AS253" s="132" t="n">
        <f aca="false">CHOOSE($G$3,AH253-AI253,AI253-AH253)</f>
        <v>0</v>
      </c>
      <c r="AT253" s="148" t="n">
        <f aca="false">AQ253+AR253+AS253</f>
        <v>0</v>
      </c>
      <c r="AU253" s="148"/>
      <c r="AV253" s="133" t="n">
        <f aca="false">AT253+AO253</f>
        <v>0</v>
      </c>
      <c r="AX253" s="133" t="n">
        <f aca="false">AJ253+AG253+AD253</f>
        <v>0</v>
      </c>
      <c r="AY253" s="149"/>
      <c r="AZ253" s="76" t="n">
        <f aca="false">R253*E253</f>
        <v>0</v>
      </c>
    </row>
    <row r="254" customFormat="false" ht="12" hidden="false" customHeight="true" outlineLevel="0" collapsed="false">
      <c r="A254" s="138" t="n">
        <f aca="false">EDATE(A253,1)</f>
        <v>44409</v>
      </c>
      <c r="B254" s="139" t="n">
        <f aca="false">VLOOKUP($A254,Table2,MATCH(I$3,Curves2,0))</f>
        <v>60900</v>
      </c>
      <c r="C254" s="140"/>
      <c r="D254" s="141" t="n">
        <f aca="false">B254+C254</f>
        <v>60900</v>
      </c>
      <c r="E254" s="126" t="n">
        <f aca="false">IF(Y254=0,0,IF(AND(Y254=1,$H$3=1),D254*T254,IF($H$3=2,D254,"N/A")))</f>
        <v>0</v>
      </c>
      <c r="F254" s="126" t="n">
        <f aca="false">E254*X254</f>
        <v>0</v>
      </c>
      <c r="G254" s="142" t="n">
        <f aca="false">VLOOKUP($A254,Table,MATCH(G$4,Curves,0))</f>
        <v>3.987</v>
      </c>
      <c r="H254" s="143" t="n">
        <f aca="false">G254</f>
        <v>3.987</v>
      </c>
      <c r="I254" s="142" t="n">
        <f aca="false">VLOOKUP($A254,Table1,MATCH(I$3,Curves1,0))</f>
        <v>3.7904</v>
      </c>
      <c r="J254" s="142" t="n">
        <f aca="false">VLOOKUP($A254,Table,MATCH(J$4,Curves,0))</f>
        <v>0.011</v>
      </c>
      <c r="K254" s="143" t="n">
        <f aca="false">J254</f>
        <v>0.011</v>
      </c>
      <c r="L254" s="144" t="n">
        <v>0</v>
      </c>
      <c r="M254" s="142" t="n">
        <f aca="false">VLOOKUP($A254,Table,MATCH(M$4,Curves,0))</f>
        <v>0.015</v>
      </c>
      <c r="N254" s="143" t="n">
        <f aca="false">M254</f>
        <v>0.015</v>
      </c>
      <c r="O254" s="144" t="n">
        <v>0</v>
      </c>
      <c r="P254" s="145"/>
      <c r="Q254" s="144" t="n">
        <f aca="false">M254+J254+G254</f>
        <v>4.013</v>
      </c>
      <c r="R254" s="144" t="n">
        <f aca="false">O254+L254+I254</f>
        <v>3.7904</v>
      </c>
      <c r="S254" s="145"/>
      <c r="T254" s="71" t="n">
        <f aca="false">A255-A254</f>
        <v>31</v>
      </c>
      <c r="U254" s="146" t="n">
        <f aca="false">CHOOSE(F$3,A255+24,A254)</f>
        <v>44464</v>
      </c>
      <c r="V254" s="71" t="n">
        <f aca="false">U254-C$3</f>
        <v>7576</v>
      </c>
      <c r="W254" s="142" t="n">
        <f aca="false">VLOOKUP($A254,Table,MATCH(W$4,Curves,0))</f>
        <v>0.058966861357273</v>
      </c>
      <c r="X254" s="147" t="n">
        <f aca="false">1/(1+CHOOSE(F$3,(W255+($K$3/10000))/2,(W254+($K$3/10000))/2))^(2*V254/365.25)</f>
        <v>0.29957081013156</v>
      </c>
      <c r="Y254" s="71" t="n">
        <f aca="false">IF(AND(mthbeg&lt;=A254,mthend&gt;=A254),1,0)</f>
        <v>0</v>
      </c>
      <c r="Z254" s="71" t="n">
        <f aca="false">T254*Y254</f>
        <v>0</v>
      </c>
      <c r="AB254" s="132" t="n">
        <f aca="false">F254*G254</f>
        <v>0</v>
      </c>
      <c r="AC254" s="132" t="n">
        <f aca="false">$F254*H254</f>
        <v>0</v>
      </c>
      <c r="AD254" s="132" t="n">
        <f aca="false">$F254*I254</f>
        <v>0</v>
      </c>
      <c r="AE254" s="132" t="n">
        <f aca="false">$F254*J254</f>
        <v>0</v>
      </c>
      <c r="AF254" s="132" t="n">
        <f aca="false">$F254*K254</f>
        <v>0</v>
      </c>
      <c r="AG254" s="132" t="n">
        <f aca="false">$F254*L254</f>
        <v>0</v>
      </c>
      <c r="AH254" s="132" t="n">
        <f aca="false">$F254*M254</f>
        <v>0</v>
      </c>
      <c r="AI254" s="132" t="n">
        <f aca="false">$F254*N254</f>
        <v>0</v>
      </c>
      <c r="AJ254" s="132" t="n">
        <f aca="false">F254*O254</f>
        <v>0</v>
      </c>
      <c r="AK254" s="137"/>
      <c r="AL254" s="132" t="n">
        <f aca="false">CHOOSE($G$3,AC254-AD254,AD254-AC254)</f>
        <v>0</v>
      </c>
      <c r="AM254" s="132" t="n">
        <f aca="false">CHOOSE($G$3,AF254-AG254,AG254-AF254)</f>
        <v>0</v>
      </c>
      <c r="AN254" s="132" t="n">
        <f aca="false">CHOOSE($G$3,AI254-AJ254,AJ254-AI254)</f>
        <v>0</v>
      </c>
      <c r="AO254" s="148" t="n">
        <f aca="false">SUM(AL254:AN254)</f>
        <v>0</v>
      </c>
      <c r="AQ254" s="132" t="n">
        <f aca="false">CHOOSE($G$3,AB254-AC254,AC254-AB254)</f>
        <v>0</v>
      </c>
      <c r="AR254" s="132" t="n">
        <f aca="false">CHOOSE($G$3,AE254-AF254,AF254-AE254)</f>
        <v>0</v>
      </c>
      <c r="AS254" s="132" t="n">
        <f aca="false">CHOOSE($G$3,AH254-AI254,AI254-AH254)</f>
        <v>0</v>
      </c>
      <c r="AT254" s="148" t="n">
        <f aca="false">AQ254+AR254+AS254</f>
        <v>0</v>
      </c>
      <c r="AU254" s="148"/>
      <c r="AV254" s="133" t="n">
        <f aca="false">AT254+AO254</f>
        <v>0</v>
      </c>
      <c r="AX254" s="133" t="n">
        <f aca="false">AJ254+AG254+AD254</f>
        <v>0</v>
      </c>
      <c r="AY254" s="149"/>
      <c r="AZ254" s="76" t="n">
        <f aca="false">R254*E254</f>
        <v>0</v>
      </c>
    </row>
    <row r="255" customFormat="false" ht="12" hidden="false" customHeight="true" outlineLevel="0" collapsed="false">
      <c r="A255" s="138" t="n">
        <f aca="false">EDATE(A254,1)</f>
        <v>44440</v>
      </c>
      <c r="B255" s="139" t="n">
        <f aca="false">VLOOKUP($A255,Table2,MATCH(I$3,Curves2,0))</f>
        <v>60900</v>
      </c>
      <c r="C255" s="140"/>
      <c r="D255" s="141" t="n">
        <f aca="false">B255+C255</f>
        <v>60900</v>
      </c>
      <c r="E255" s="126" t="n">
        <f aca="false">IF(Y255=0,0,IF(AND(Y255=1,$H$3=1),D255*T255,IF($H$3=2,D255,"N/A")))</f>
        <v>0</v>
      </c>
      <c r="F255" s="126" t="n">
        <f aca="false">E255*X255</f>
        <v>0</v>
      </c>
      <c r="G255" s="142" t="n">
        <f aca="false">VLOOKUP($A255,Table,MATCH(G$4,Curves,0))</f>
        <v>3.987</v>
      </c>
      <c r="H255" s="143" t="n">
        <f aca="false">G255</f>
        <v>3.987</v>
      </c>
      <c r="I255" s="142" t="n">
        <f aca="false">VLOOKUP($A255,Table1,MATCH(I$3,Curves1,0))</f>
        <v>3.7904</v>
      </c>
      <c r="J255" s="142" t="n">
        <f aca="false">VLOOKUP($A255,Table,MATCH(J$4,Curves,0))</f>
        <v>0.011</v>
      </c>
      <c r="K255" s="143" t="n">
        <f aca="false">J255</f>
        <v>0.011</v>
      </c>
      <c r="L255" s="144" t="n">
        <v>0</v>
      </c>
      <c r="M255" s="142" t="n">
        <f aca="false">VLOOKUP($A255,Table,MATCH(M$4,Curves,0))</f>
        <v>0.015</v>
      </c>
      <c r="N255" s="143" t="n">
        <f aca="false">M255</f>
        <v>0.015</v>
      </c>
      <c r="O255" s="144" t="n">
        <v>0</v>
      </c>
      <c r="P255" s="145"/>
      <c r="Q255" s="144" t="n">
        <f aca="false">M255+J255+G255</f>
        <v>4.013</v>
      </c>
      <c r="R255" s="144" t="n">
        <f aca="false">O255+L255+I255</f>
        <v>3.7904</v>
      </c>
      <c r="S255" s="145"/>
      <c r="T255" s="71" t="n">
        <f aca="false">A256-A255</f>
        <v>30</v>
      </c>
      <c r="U255" s="146" t="n">
        <f aca="false">CHOOSE(F$3,A256+24,A255)</f>
        <v>44494</v>
      </c>
      <c r="V255" s="71" t="n">
        <f aca="false">U255-C$3</f>
        <v>7606</v>
      </c>
      <c r="W255" s="142" t="n">
        <f aca="false">VLOOKUP($A255,Table,MATCH(W$4,Curves,0))</f>
        <v>0.058966861357273</v>
      </c>
      <c r="X255" s="147" t="n">
        <f aca="false">1/(1+CHOOSE(F$3,(W256+($K$3/10000))/2,(W255+($K$3/10000))/2))^(2*V255/365.25)</f>
        <v>0.298144291357575</v>
      </c>
      <c r="Y255" s="71" t="n">
        <f aca="false">IF(AND(mthbeg&lt;=A255,mthend&gt;=A255),1,0)</f>
        <v>0</v>
      </c>
      <c r="Z255" s="71" t="n">
        <f aca="false">T255*Y255</f>
        <v>0</v>
      </c>
      <c r="AB255" s="132" t="n">
        <f aca="false">F255*G255</f>
        <v>0</v>
      </c>
      <c r="AC255" s="132" t="n">
        <f aca="false">$F255*H255</f>
        <v>0</v>
      </c>
      <c r="AD255" s="132" t="n">
        <f aca="false">$F255*I255</f>
        <v>0</v>
      </c>
      <c r="AE255" s="132" t="n">
        <f aca="false">$F255*J255</f>
        <v>0</v>
      </c>
      <c r="AF255" s="132" t="n">
        <f aca="false">$F255*K255</f>
        <v>0</v>
      </c>
      <c r="AG255" s="132" t="n">
        <f aca="false">$F255*L255</f>
        <v>0</v>
      </c>
      <c r="AH255" s="132" t="n">
        <f aca="false">$F255*M255</f>
        <v>0</v>
      </c>
      <c r="AI255" s="132" t="n">
        <f aca="false">$F255*N255</f>
        <v>0</v>
      </c>
      <c r="AJ255" s="132" t="n">
        <f aca="false">F255*O255</f>
        <v>0</v>
      </c>
      <c r="AK255" s="137"/>
      <c r="AL255" s="132" t="n">
        <f aca="false">CHOOSE($G$3,AC255-AD255,AD255-AC255)</f>
        <v>0</v>
      </c>
      <c r="AM255" s="132" t="n">
        <f aca="false">CHOOSE($G$3,AF255-AG255,AG255-AF255)</f>
        <v>0</v>
      </c>
      <c r="AN255" s="132" t="n">
        <f aca="false">CHOOSE($G$3,AI255-AJ255,AJ255-AI255)</f>
        <v>0</v>
      </c>
      <c r="AO255" s="148" t="n">
        <f aca="false">SUM(AL255:AN255)</f>
        <v>0</v>
      </c>
      <c r="AQ255" s="132" t="n">
        <f aca="false">CHOOSE($G$3,AB255-AC255,AC255-AB255)</f>
        <v>0</v>
      </c>
      <c r="AR255" s="132" t="n">
        <f aca="false">CHOOSE($G$3,AE255-AF255,AF255-AE255)</f>
        <v>0</v>
      </c>
      <c r="AS255" s="132" t="n">
        <f aca="false">CHOOSE($G$3,AH255-AI255,AI255-AH255)</f>
        <v>0</v>
      </c>
      <c r="AT255" s="148" t="n">
        <f aca="false">AQ255+AR255+AS255</f>
        <v>0</v>
      </c>
      <c r="AU255" s="148"/>
      <c r="AV255" s="133" t="n">
        <f aca="false">AT255+AO255</f>
        <v>0</v>
      </c>
      <c r="AX255" s="133" t="n">
        <f aca="false">AJ255+AG255+AD255</f>
        <v>0</v>
      </c>
      <c r="AY255" s="149"/>
      <c r="AZ255" s="76" t="n">
        <f aca="false">R255*E255</f>
        <v>0</v>
      </c>
    </row>
    <row r="256" customFormat="false" ht="12" hidden="false" customHeight="true" outlineLevel="0" collapsed="false">
      <c r="A256" s="138" t="n">
        <f aca="false">EDATE(A255,1)</f>
        <v>44470</v>
      </c>
      <c r="B256" s="139" t="n">
        <f aca="false">VLOOKUP($A256,Table2,MATCH(I$3,Curves2,0))</f>
        <v>60900</v>
      </c>
      <c r="C256" s="140"/>
      <c r="D256" s="141" t="n">
        <f aca="false">B256+C256</f>
        <v>60900</v>
      </c>
      <c r="E256" s="126" t="n">
        <f aca="false">IF(Y256=0,0,IF(AND(Y256=1,$H$3=1),D256*T256,IF($H$3=2,D256,"N/A")))</f>
        <v>0</v>
      </c>
      <c r="F256" s="126" t="n">
        <f aca="false">E256*X256</f>
        <v>0</v>
      </c>
      <c r="G256" s="142" t="n">
        <f aca="false">VLOOKUP($A256,Table,MATCH(G$4,Curves,0))</f>
        <v>3.987</v>
      </c>
      <c r="H256" s="143" t="n">
        <f aca="false">G256</f>
        <v>3.987</v>
      </c>
      <c r="I256" s="142" t="n">
        <f aca="false">VLOOKUP($A256,Table1,MATCH(I$3,Curves1,0))</f>
        <v>3.7904</v>
      </c>
      <c r="J256" s="142" t="n">
        <f aca="false">VLOOKUP($A256,Table,MATCH(J$4,Curves,0))</f>
        <v>0.011</v>
      </c>
      <c r="K256" s="143" t="n">
        <f aca="false">J256</f>
        <v>0.011</v>
      </c>
      <c r="L256" s="144" t="n">
        <v>0</v>
      </c>
      <c r="M256" s="142" t="n">
        <f aca="false">VLOOKUP($A256,Table,MATCH(M$4,Curves,0))</f>
        <v>0.015</v>
      </c>
      <c r="N256" s="143" t="n">
        <f aca="false">M256</f>
        <v>0.015</v>
      </c>
      <c r="O256" s="144" t="n">
        <v>0</v>
      </c>
      <c r="P256" s="145"/>
      <c r="Q256" s="144" t="n">
        <f aca="false">M256+J256+G256</f>
        <v>4.013</v>
      </c>
      <c r="R256" s="144" t="n">
        <f aca="false">O256+L256+I256</f>
        <v>3.7904</v>
      </c>
      <c r="S256" s="145"/>
      <c r="T256" s="71" t="n">
        <f aca="false">A257-A256</f>
        <v>31</v>
      </c>
      <c r="U256" s="146" t="n">
        <f aca="false">CHOOSE(F$3,A257+24,A256)</f>
        <v>44525</v>
      </c>
      <c r="V256" s="71" t="n">
        <f aca="false">U256-C$3</f>
        <v>7637</v>
      </c>
      <c r="W256" s="142" t="n">
        <f aca="false">VLOOKUP($A256,Table,MATCH(W$4,Curves,0))</f>
        <v>0.058966861357273</v>
      </c>
      <c r="X256" s="147" t="n">
        <f aca="false">1/(1+CHOOSE(F$3,(W257+($K$3/10000))/2,(W256+($K$3/10000))/2))^(2*V256/365.25)</f>
        <v>0.296677357903014</v>
      </c>
      <c r="Y256" s="71" t="n">
        <f aca="false">IF(AND(mthbeg&lt;=A256,mthend&gt;=A256),1,0)</f>
        <v>0</v>
      </c>
      <c r="Z256" s="71" t="n">
        <f aca="false">T256*Y256</f>
        <v>0</v>
      </c>
      <c r="AB256" s="132" t="n">
        <f aca="false">F256*G256</f>
        <v>0</v>
      </c>
      <c r="AC256" s="132" t="n">
        <f aca="false">$F256*H256</f>
        <v>0</v>
      </c>
      <c r="AD256" s="132" t="n">
        <f aca="false">$F256*I256</f>
        <v>0</v>
      </c>
      <c r="AE256" s="132" t="n">
        <f aca="false">$F256*J256</f>
        <v>0</v>
      </c>
      <c r="AF256" s="132" t="n">
        <f aca="false">$F256*K256</f>
        <v>0</v>
      </c>
      <c r="AG256" s="132" t="n">
        <f aca="false">$F256*L256</f>
        <v>0</v>
      </c>
      <c r="AH256" s="132" t="n">
        <f aca="false">$F256*M256</f>
        <v>0</v>
      </c>
      <c r="AI256" s="132" t="n">
        <f aca="false">$F256*N256</f>
        <v>0</v>
      </c>
      <c r="AJ256" s="132" t="n">
        <f aca="false">F256*O256</f>
        <v>0</v>
      </c>
      <c r="AK256" s="137"/>
      <c r="AL256" s="132" t="n">
        <f aca="false">CHOOSE($G$3,AC256-AD256,AD256-AC256)</f>
        <v>0</v>
      </c>
      <c r="AM256" s="132" t="n">
        <f aca="false">CHOOSE($G$3,AF256-AG256,AG256-AF256)</f>
        <v>0</v>
      </c>
      <c r="AN256" s="132" t="n">
        <f aca="false">CHOOSE($G$3,AI256-AJ256,AJ256-AI256)</f>
        <v>0</v>
      </c>
      <c r="AO256" s="148" t="n">
        <f aca="false">SUM(AL256:AN256)</f>
        <v>0</v>
      </c>
      <c r="AQ256" s="132" t="n">
        <f aca="false">CHOOSE($G$3,AB256-AC256,AC256-AB256)</f>
        <v>0</v>
      </c>
      <c r="AR256" s="132" t="n">
        <f aca="false">CHOOSE($G$3,AE256-AF256,AF256-AE256)</f>
        <v>0</v>
      </c>
      <c r="AS256" s="132" t="n">
        <f aca="false">CHOOSE($G$3,AH256-AI256,AI256-AH256)</f>
        <v>0</v>
      </c>
      <c r="AT256" s="148" t="n">
        <f aca="false">AQ256+AR256+AS256</f>
        <v>0</v>
      </c>
      <c r="AU256" s="148"/>
      <c r="AV256" s="133" t="n">
        <f aca="false">AT256+AO256</f>
        <v>0</v>
      </c>
      <c r="AX256" s="133" t="n">
        <f aca="false">AJ256+AG256+AD256</f>
        <v>0</v>
      </c>
      <c r="AY256" s="149"/>
      <c r="AZ256" s="76" t="n">
        <f aca="false">R256*E256</f>
        <v>0</v>
      </c>
    </row>
    <row r="257" customFormat="false" ht="12" hidden="false" customHeight="true" outlineLevel="0" collapsed="false">
      <c r="A257" s="138" t="n">
        <f aca="false">EDATE(A256,1)</f>
        <v>44501</v>
      </c>
      <c r="B257" s="139" t="n">
        <f aca="false">VLOOKUP($A257,Table2,MATCH(I$3,Curves2,0))</f>
        <v>60900</v>
      </c>
      <c r="C257" s="140"/>
      <c r="D257" s="141" t="n">
        <f aca="false">B257+C257</f>
        <v>60900</v>
      </c>
      <c r="E257" s="126" t="n">
        <f aca="false">IF(Y257=0,0,IF(AND(Y257=1,$H$3=1),D257*T257,IF($H$3=2,D257,"N/A")))</f>
        <v>0</v>
      </c>
      <c r="F257" s="126" t="n">
        <f aca="false">E257*X257</f>
        <v>0</v>
      </c>
      <c r="G257" s="142" t="n">
        <f aca="false">VLOOKUP($A257,Table,MATCH(G$4,Curves,0))</f>
        <v>3.987</v>
      </c>
      <c r="H257" s="143" t="n">
        <f aca="false">G257</f>
        <v>3.987</v>
      </c>
      <c r="I257" s="142" t="n">
        <f aca="false">VLOOKUP($A257,Table1,MATCH(I$3,Curves1,0))</f>
        <v>3.7904</v>
      </c>
      <c r="J257" s="142" t="n">
        <f aca="false">VLOOKUP($A257,Table,MATCH(J$4,Curves,0))</f>
        <v>0.011</v>
      </c>
      <c r="K257" s="143" t="n">
        <f aca="false">J257</f>
        <v>0.011</v>
      </c>
      <c r="L257" s="144" t="n">
        <v>0</v>
      </c>
      <c r="M257" s="142" t="n">
        <f aca="false">VLOOKUP($A257,Table,MATCH(M$4,Curves,0))</f>
        <v>0.015</v>
      </c>
      <c r="N257" s="143" t="n">
        <f aca="false">M257</f>
        <v>0.015</v>
      </c>
      <c r="O257" s="144" t="n">
        <v>0</v>
      </c>
      <c r="P257" s="145"/>
      <c r="Q257" s="144" t="n">
        <f aca="false">M257+J257+G257</f>
        <v>4.013</v>
      </c>
      <c r="R257" s="144" t="n">
        <f aca="false">O257+L257+I257</f>
        <v>3.7904</v>
      </c>
      <c r="S257" s="145"/>
      <c r="T257" s="71" t="n">
        <f aca="false">A258-A257</f>
        <v>30</v>
      </c>
      <c r="U257" s="146" t="n">
        <f aca="false">CHOOSE(F$3,A258+24,A257)</f>
        <v>44555</v>
      </c>
      <c r="V257" s="71" t="n">
        <f aca="false">U257-C$3</f>
        <v>7667</v>
      </c>
      <c r="W257" s="142" t="n">
        <f aca="false">VLOOKUP($A257,Table,MATCH(W$4,Curves,0))</f>
        <v>0.058966861357273</v>
      </c>
      <c r="X257" s="147" t="n">
        <f aca="false">1/(1+CHOOSE(F$3,(W258+($K$3/10000))/2,(W257+($K$3/10000))/2))^(2*V257/365.25)</f>
        <v>0.295264617387077</v>
      </c>
      <c r="Y257" s="71" t="n">
        <f aca="false">IF(AND(mthbeg&lt;=A257,mthend&gt;=A257),1,0)</f>
        <v>0</v>
      </c>
      <c r="Z257" s="71" t="n">
        <f aca="false">T257*Y257</f>
        <v>0</v>
      </c>
      <c r="AB257" s="132" t="n">
        <f aca="false">F257*G257</f>
        <v>0</v>
      </c>
      <c r="AC257" s="132" t="n">
        <f aca="false">$F257*H257</f>
        <v>0</v>
      </c>
      <c r="AD257" s="132" t="n">
        <f aca="false">$F257*I257</f>
        <v>0</v>
      </c>
      <c r="AE257" s="132" t="n">
        <f aca="false">$F257*J257</f>
        <v>0</v>
      </c>
      <c r="AF257" s="132" t="n">
        <f aca="false">$F257*K257</f>
        <v>0</v>
      </c>
      <c r="AG257" s="132" t="n">
        <f aca="false">$F257*L257</f>
        <v>0</v>
      </c>
      <c r="AH257" s="132" t="n">
        <f aca="false">$F257*M257</f>
        <v>0</v>
      </c>
      <c r="AI257" s="132" t="n">
        <f aca="false">$F257*N257</f>
        <v>0</v>
      </c>
      <c r="AJ257" s="132" t="n">
        <f aca="false">F257*O257</f>
        <v>0</v>
      </c>
      <c r="AK257" s="137"/>
      <c r="AL257" s="132" t="n">
        <f aca="false">CHOOSE($G$3,AC257-AD257,AD257-AC257)</f>
        <v>0</v>
      </c>
      <c r="AM257" s="132" t="n">
        <f aca="false">CHOOSE($G$3,AF257-AG257,AG257-AF257)</f>
        <v>0</v>
      </c>
      <c r="AN257" s="132" t="n">
        <f aca="false">CHOOSE($G$3,AI257-AJ257,AJ257-AI257)</f>
        <v>0</v>
      </c>
      <c r="AO257" s="148" t="n">
        <f aca="false">SUM(AL257:AN257)</f>
        <v>0</v>
      </c>
      <c r="AQ257" s="132" t="n">
        <f aca="false">CHOOSE($G$3,AB257-AC257,AC257-AB257)</f>
        <v>0</v>
      </c>
      <c r="AR257" s="132" t="n">
        <f aca="false">CHOOSE($G$3,AE257-AF257,AF257-AE257)</f>
        <v>0</v>
      </c>
      <c r="AS257" s="132" t="n">
        <f aca="false">CHOOSE($G$3,AH257-AI257,AI257-AH257)</f>
        <v>0</v>
      </c>
      <c r="AT257" s="148" t="n">
        <f aca="false">AQ257+AR257+AS257</f>
        <v>0</v>
      </c>
      <c r="AU257" s="148"/>
      <c r="AV257" s="133" t="n">
        <f aca="false">AT257+AO257</f>
        <v>0</v>
      </c>
      <c r="AX257" s="133" t="n">
        <f aca="false">AJ257+AG257+AD257</f>
        <v>0</v>
      </c>
      <c r="AY257" s="149"/>
      <c r="AZ257" s="76" t="n">
        <f aca="false">R257*E257</f>
        <v>0</v>
      </c>
    </row>
    <row r="258" customFormat="false" ht="12" hidden="false" customHeight="true" outlineLevel="0" collapsed="false">
      <c r="A258" s="138" t="n">
        <f aca="false">EDATE(A257,1)</f>
        <v>44531</v>
      </c>
      <c r="B258" s="139" t="n">
        <f aca="false">VLOOKUP($A258,Table2,MATCH(I$3,Curves2,0))</f>
        <v>60900</v>
      </c>
      <c r="C258" s="140"/>
      <c r="D258" s="141" t="n">
        <f aca="false">B258+C258</f>
        <v>60900</v>
      </c>
      <c r="E258" s="126" t="n">
        <f aca="false">IF(Y258=0,0,IF(AND(Y258=1,$H$3=1),D258*T258,IF($H$3=2,D258,"N/A")))</f>
        <v>0</v>
      </c>
      <c r="F258" s="126" t="n">
        <f aca="false">E258*X258</f>
        <v>0</v>
      </c>
      <c r="G258" s="142" t="n">
        <f aca="false">VLOOKUP($A258,Table,MATCH(G$4,Curves,0))</f>
        <v>3.987</v>
      </c>
      <c r="H258" s="143" t="n">
        <f aca="false">G258</f>
        <v>3.987</v>
      </c>
      <c r="I258" s="142" t="n">
        <f aca="false">VLOOKUP($A258,Table1,MATCH(I$3,Curves1,0))</f>
        <v>3.7904</v>
      </c>
      <c r="J258" s="142" t="n">
        <f aca="false">VLOOKUP($A258,Table,MATCH(J$4,Curves,0))</f>
        <v>0.011</v>
      </c>
      <c r="K258" s="143" t="n">
        <f aca="false">J258</f>
        <v>0.011</v>
      </c>
      <c r="L258" s="144" t="n">
        <v>0</v>
      </c>
      <c r="M258" s="142" t="n">
        <f aca="false">VLOOKUP($A258,Table,MATCH(M$4,Curves,0))</f>
        <v>0.015</v>
      </c>
      <c r="N258" s="143" t="n">
        <f aca="false">M258</f>
        <v>0.015</v>
      </c>
      <c r="O258" s="144" t="n">
        <v>0</v>
      </c>
      <c r="P258" s="145"/>
      <c r="Q258" s="144" t="n">
        <f aca="false">M258+J258+G258</f>
        <v>4.013</v>
      </c>
      <c r="R258" s="144" t="n">
        <f aca="false">O258+L258+I258</f>
        <v>3.7904</v>
      </c>
      <c r="S258" s="145"/>
      <c r="T258" s="71" t="n">
        <f aca="false">A259-A258</f>
        <v>31</v>
      </c>
      <c r="U258" s="146" t="n">
        <f aca="false">CHOOSE(F$3,A259+24,A258)</f>
        <v>44586</v>
      </c>
      <c r="V258" s="71" t="n">
        <f aca="false">U258-C$3</f>
        <v>7698</v>
      </c>
      <c r="W258" s="142" t="n">
        <f aca="false">VLOOKUP($A258,Table,MATCH(W$4,Curves,0))</f>
        <v>0.058966861357273</v>
      </c>
      <c r="X258" s="147" t="n">
        <f aca="false">1/(1+CHOOSE(F$3,(W259+($K$3/10000))/2,(W258+($K$3/10000))/2))^(2*V258/365.25)</f>
        <v>0.293811852542172</v>
      </c>
      <c r="Y258" s="71" t="n">
        <f aca="false">IF(AND(mthbeg&lt;=A258,mthend&gt;=A258),1,0)</f>
        <v>0</v>
      </c>
      <c r="Z258" s="71" t="n">
        <f aca="false">T258*Y258</f>
        <v>0</v>
      </c>
      <c r="AB258" s="132" t="n">
        <f aca="false">F258*G258</f>
        <v>0</v>
      </c>
      <c r="AC258" s="132" t="n">
        <f aca="false">$F258*H258</f>
        <v>0</v>
      </c>
      <c r="AD258" s="132" t="n">
        <f aca="false">$F258*I258</f>
        <v>0</v>
      </c>
      <c r="AE258" s="132" t="n">
        <f aca="false">$F258*J258</f>
        <v>0</v>
      </c>
      <c r="AF258" s="132" t="n">
        <f aca="false">$F258*K258</f>
        <v>0</v>
      </c>
      <c r="AG258" s="132" t="n">
        <f aca="false">$F258*L258</f>
        <v>0</v>
      </c>
      <c r="AH258" s="132" t="n">
        <f aca="false">$F258*M258</f>
        <v>0</v>
      </c>
      <c r="AI258" s="132" t="n">
        <f aca="false">$F258*N258</f>
        <v>0</v>
      </c>
      <c r="AJ258" s="132" t="n">
        <f aca="false">F258*O258</f>
        <v>0</v>
      </c>
      <c r="AK258" s="137"/>
      <c r="AL258" s="132" t="n">
        <f aca="false">CHOOSE($G$3,AC258-AD258,AD258-AC258)</f>
        <v>0</v>
      </c>
      <c r="AM258" s="132" t="n">
        <f aca="false">CHOOSE($G$3,AF258-AG258,AG258-AF258)</f>
        <v>0</v>
      </c>
      <c r="AN258" s="132" t="n">
        <f aca="false">CHOOSE($G$3,AI258-AJ258,AJ258-AI258)</f>
        <v>0</v>
      </c>
      <c r="AO258" s="148" t="n">
        <f aca="false">SUM(AL258:AN258)</f>
        <v>0</v>
      </c>
      <c r="AQ258" s="132" t="n">
        <f aca="false">CHOOSE($G$3,AB258-AC258,AC258-AB258)</f>
        <v>0</v>
      </c>
      <c r="AR258" s="132" t="n">
        <f aca="false">CHOOSE($G$3,AE258-AF258,AF258-AE258)</f>
        <v>0</v>
      </c>
      <c r="AS258" s="132" t="n">
        <f aca="false">CHOOSE($G$3,AH258-AI258,AI258-AH258)</f>
        <v>0</v>
      </c>
      <c r="AT258" s="148" t="n">
        <f aca="false">AQ258+AR258+AS258</f>
        <v>0</v>
      </c>
      <c r="AU258" s="148"/>
      <c r="AV258" s="133" t="n">
        <f aca="false">AT258+AO258</f>
        <v>0</v>
      </c>
      <c r="AX258" s="133" t="n">
        <f aca="false">AJ258+AG258+AD258</f>
        <v>0</v>
      </c>
      <c r="AY258" s="149"/>
      <c r="AZ258" s="76" t="n">
        <f aca="false">R258*E258</f>
        <v>0</v>
      </c>
    </row>
    <row r="259" customFormat="false" ht="12" hidden="false" customHeight="true" outlineLevel="0" collapsed="false">
      <c r="A259" s="138" t="n">
        <f aca="false">EDATE(A258,1)</f>
        <v>44562</v>
      </c>
      <c r="B259" s="139" t="n">
        <f aca="false">VLOOKUP($A259,Table2,MATCH(I$3,Curves2,0))</f>
        <v>60900</v>
      </c>
      <c r="C259" s="140"/>
      <c r="D259" s="141" t="n">
        <f aca="false">B259+C259</f>
        <v>60900</v>
      </c>
      <c r="E259" s="126" t="n">
        <f aca="false">IF(Y259=0,0,IF(AND(Y259=1,$H$3=1),D259*T259,IF($H$3=2,D259,"N/A")))</f>
        <v>0</v>
      </c>
      <c r="F259" s="126" t="n">
        <f aca="false">E259*X259</f>
        <v>0</v>
      </c>
      <c r="G259" s="142" t="n">
        <f aca="false">VLOOKUP($A259,Table,MATCH(G$4,Curves,0))</f>
        <v>3.987</v>
      </c>
      <c r="H259" s="143" t="n">
        <f aca="false">G259</f>
        <v>3.987</v>
      </c>
      <c r="I259" s="142" t="n">
        <f aca="false">VLOOKUP($A259,Table1,MATCH(I$3,Curves1,0))</f>
        <v>3.7904</v>
      </c>
      <c r="J259" s="142" t="n">
        <f aca="false">VLOOKUP($A259,Table,MATCH(J$4,Curves,0))</f>
        <v>0.011</v>
      </c>
      <c r="K259" s="143" t="n">
        <f aca="false">J259</f>
        <v>0.011</v>
      </c>
      <c r="L259" s="144" t="n">
        <v>0</v>
      </c>
      <c r="M259" s="142" t="n">
        <f aca="false">VLOOKUP($A259,Table,MATCH(M$4,Curves,0))</f>
        <v>0.015</v>
      </c>
      <c r="N259" s="143" t="n">
        <f aca="false">M259</f>
        <v>0.015</v>
      </c>
      <c r="O259" s="144" t="n">
        <v>0</v>
      </c>
      <c r="P259" s="145"/>
      <c r="Q259" s="144" t="n">
        <f aca="false">M259+J259+G259</f>
        <v>4.013</v>
      </c>
      <c r="R259" s="144" t="n">
        <f aca="false">O259+L259+I259</f>
        <v>3.7904</v>
      </c>
      <c r="S259" s="145"/>
      <c r="T259" s="71" t="n">
        <f aca="false">A260-A259</f>
        <v>31</v>
      </c>
      <c r="U259" s="146" t="n">
        <f aca="false">CHOOSE(F$3,A260+24,A259)</f>
        <v>44617</v>
      </c>
      <c r="V259" s="71" t="n">
        <f aca="false">U259-C$3</f>
        <v>7729</v>
      </c>
      <c r="W259" s="142" t="n">
        <f aca="false">VLOOKUP($A259,Table,MATCH(W$4,Curves,0))</f>
        <v>0.058966861357273</v>
      </c>
      <c r="X259" s="147" t="n">
        <f aca="false">1/(1+CHOOSE(F$3,(W260+($K$3/10000))/2,(W259+($K$3/10000))/2))^(2*V259/365.25)</f>
        <v>0.29236623560992</v>
      </c>
      <c r="Y259" s="71" t="n">
        <f aca="false">IF(AND(mthbeg&lt;=A259,mthend&gt;=A259),1,0)</f>
        <v>0</v>
      </c>
      <c r="Z259" s="71" t="n">
        <f aca="false">T259*Y259</f>
        <v>0</v>
      </c>
      <c r="AB259" s="132" t="n">
        <f aca="false">F259*G259</f>
        <v>0</v>
      </c>
      <c r="AC259" s="132" t="n">
        <f aca="false">$F259*H259</f>
        <v>0</v>
      </c>
      <c r="AD259" s="132" t="n">
        <f aca="false">$F259*I259</f>
        <v>0</v>
      </c>
      <c r="AE259" s="132" t="n">
        <f aca="false">$F259*J259</f>
        <v>0</v>
      </c>
      <c r="AF259" s="132" t="n">
        <f aca="false">$F259*K259</f>
        <v>0</v>
      </c>
      <c r="AG259" s="132" t="n">
        <f aca="false">$F259*L259</f>
        <v>0</v>
      </c>
      <c r="AH259" s="132" t="n">
        <f aca="false">$F259*M259</f>
        <v>0</v>
      </c>
      <c r="AI259" s="132" t="n">
        <f aca="false">$F259*N259</f>
        <v>0</v>
      </c>
      <c r="AJ259" s="132" t="n">
        <f aca="false">F259*O259</f>
        <v>0</v>
      </c>
      <c r="AK259" s="137"/>
      <c r="AL259" s="132" t="n">
        <f aca="false">CHOOSE($G$3,AC259-AD259,AD259-AC259)</f>
        <v>0</v>
      </c>
      <c r="AM259" s="132" t="n">
        <f aca="false">CHOOSE($G$3,AF259-AG259,AG259-AF259)</f>
        <v>0</v>
      </c>
      <c r="AN259" s="132" t="n">
        <f aca="false">CHOOSE($G$3,AI259-AJ259,AJ259-AI259)</f>
        <v>0</v>
      </c>
      <c r="AO259" s="148" t="n">
        <f aca="false">SUM(AL259:AN259)</f>
        <v>0</v>
      </c>
      <c r="AQ259" s="132" t="n">
        <f aca="false">CHOOSE($G$3,AB259-AC259,AC259-AB259)</f>
        <v>0</v>
      </c>
      <c r="AR259" s="132" t="n">
        <f aca="false">CHOOSE($G$3,AE259-AF259,AF259-AE259)</f>
        <v>0</v>
      </c>
      <c r="AS259" s="132" t="n">
        <f aca="false">CHOOSE($G$3,AH259-AI259,AI259-AH259)</f>
        <v>0</v>
      </c>
      <c r="AT259" s="148" t="n">
        <f aca="false">AQ259+AR259+AS259</f>
        <v>0</v>
      </c>
      <c r="AU259" s="148"/>
      <c r="AV259" s="133" t="n">
        <f aca="false">AT259+AO259</f>
        <v>0</v>
      </c>
      <c r="AX259" s="133" t="n">
        <f aca="false">AJ259+AG259+AD259</f>
        <v>0</v>
      </c>
      <c r="AY259" s="149"/>
      <c r="AZ259" s="76" t="n">
        <f aca="false">R259*E259</f>
        <v>0</v>
      </c>
    </row>
    <row r="260" customFormat="false" ht="12" hidden="false" customHeight="true" outlineLevel="0" collapsed="false">
      <c r="A260" s="138" t="n">
        <f aca="false">EDATE(A259,1)</f>
        <v>44593</v>
      </c>
      <c r="B260" s="139" t="n">
        <f aca="false">VLOOKUP($A260,Table2,MATCH(I$3,Curves2,0))</f>
        <v>60900</v>
      </c>
      <c r="C260" s="140"/>
      <c r="D260" s="141" t="n">
        <f aca="false">B260+C260</f>
        <v>60900</v>
      </c>
      <c r="E260" s="126" t="n">
        <f aca="false">IF(Y260=0,0,IF(AND(Y260=1,$H$3=1),D260*T260,IF($H$3=2,D260,"N/A")))</f>
        <v>0</v>
      </c>
      <c r="F260" s="126" t="n">
        <f aca="false">E260*X260</f>
        <v>0</v>
      </c>
      <c r="G260" s="142" t="n">
        <f aca="false">VLOOKUP($A260,Table,MATCH(G$4,Curves,0))</f>
        <v>3.987</v>
      </c>
      <c r="H260" s="143" t="n">
        <f aca="false">G260</f>
        <v>3.987</v>
      </c>
      <c r="I260" s="142" t="n">
        <f aca="false">VLOOKUP($A260,Table1,MATCH(I$3,Curves1,0))</f>
        <v>3.7904</v>
      </c>
      <c r="J260" s="142" t="n">
        <f aca="false">VLOOKUP($A260,Table,MATCH(J$4,Curves,0))</f>
        <v>0.011</v>
      </c>
      <c r="K260" s="143" t="n">
        <f aca="false">J260</f>
        <v>0.011</v>
      </c>
      <c r="L260" s="144" t="n">
        <v>0</v>
      </c>
      <c r="M260" s="142" t="n">
        <f aca="false">VLOOKUP($A260,Table,MATCH(M$4,Curves,0))</f>
        <v>0.015</v>
      </c>
      <c r="N260" s="143" t="n">
        <f aca="false">M260</f>
        <v>0.015</v>
      </c>
      <c r="O260" s="144" t="n">
        <v>0</v>
      </c>
      <c r="P260" s="145"/>
      <c r="Q260" s="144" t="n">
        <f aca="false">M260+J260+G260</f>
        <v>4.013</v>
      </c>
      <c r="R260" s="144" t="n">
        <f aca="false">O260+L260+I260</f>
        <v>3.7904</v>
      </c>
      <c r="S260" s="145"/>
      <c r="T260" s="71" t="n">
        <f aca="false">A261-A260</f>
        <v>28</v>
      </c>
      <c r="U260" s="146" t="n">
        <f aca="false">CHOOSE(F$3,A261+24,A260)</f>
        <v>44645</v>
      </c>
      <c r="V260" s="71" t="n">
        <f aca="false">U260-C$3</f>
        <v>7757</v>
      </c>
      <c r="W260" s="142" t="n">
        <f aca="false">VLOOKUP($A260,Table,MATCH(W$4,Curves,0))</f>
        <v>0.058966861357273</v>
      </c>
      <c r="X260" s="147" t="n">
        <f aca="false">1/(1+CHOOSE(F$3,(W261+($K$3/10000))/2,(W260+($K$3/10000))/2))^(2*V260/365.25)</f>
        <v>0.291066631616781</v>
      </c>
      <c r="Y260" s="71" t="n">
        <f aca="false">IF(AND(mthbeg&lt;=A260,mthend&gt;=A260),1,0)</f>
        <v>0</v>
      </c>
      <c r="Z260" s="71" t="n">
        <f aca="false">T260*Y260</f>
        <v>0</v>
      </c>
      <c r="AB260" s="132" t="n">
        <f aca="false">F260*G260</f>
        <v>0</v>
      </c>
      <c r="AC260" s="132" t="n">
        <f aca="false">$F260*H260</f>
        <v>0</v>
      </c>
      <c r="AD260" s="132" t="n">
        <f aca="false">$F260*I260</f>
        <v>0</v>
      </c>
      <c r="AE260" s="132" t="n">
        <f aca="false">$F260*J260</f>
        <v>0</v>
      </c>
      <c r="AF260" s="132" t="n">
        <f aca="false">$F260*K260</f>
        <v>0</v>
      </c>
      <c r="AG260" s="132" t="n">
        <f aca="false">$F260*L260</f>
        <v>0</v>
      </c>
      <c r="AH260" s="132" t="n">
        <f aca="false">$F260*M260</f>
        <v>0</v>
      </c>
      <c r="AI260" s="132" t="n">
        <f aca="false">$F260*N260</f>
        <v>0</v>
      </c>
      <c r="AJ260" s="132" t="n">
        <f aca="false">F260*O260</f>
        <v>0</v>
      </c>
      <c r="AK260" s="137"/>
      <c r="AL260" s="132" t="n">
        <f aca="false">CHOOSE($G$3,AC260-AD260,AD260-AC260)</f>
        <v>0</v>
      </c>
      <c r="AM260" s="132" t="n">
        <f aca="false">CHOOSE($G$3,AF260-AG260,AG260-AF260)</f>
        <v>0</v>
      </c>
      <c r="AN260" s="132" t="n">
        <f aca="false">CHOOSE($G$3,AI260-AJ260,AJ260-AI260)</f>
        <v>0</v>
      </c>
      <c r="AO260" s="148" t="n">
        <f aca="false">SUM(AL260:AN260)</f>
        <v>0</v>
      </c>
      <c r="AQ260" s="132" t="n">
        <f aca="false">CHOOSE($G$3,AB260-AC260,AC260-AB260)</f>
        <v>0</v>
      </c>
      <c r="AR260" s="132" t="n">
        <f aca="false">CHOOSE($G$3,AE260-AF260,AF260-AE260)</f>
        <v>0</v>
      </c>
      <c r="AS260" s="132" t="n">
        <f aca="false">CHOOSE($G$3,AH260-AI260,AI260-AH260)</f>
        <v>0</v>
      </c>
      <c r="AT260" s="148" t="n">
        <f aca="false">AQ260+AR260+AS260</f>
        <v>0</v>
      </c>
      <c r="AU260" s="148"/>
      <c r="AV260" s="133" t="n">
        <f aca="false">AT260+AO260</f>
        <v>0</v>
      </c>
      <c r="AX260" s="133" t="n">
        <f aca="false">AJ260+AG260+AD260</f>
        <v>0</v>
      </c>
      <c r="AY260" s="149"/>
      <c r="AZ260" s="76" t="n">
        <f aca="false">R260*E260</f>
        <v>0</v>
      </c>
    </row>
    <row r="261" customFormat="false" ht="12" hidden="false" customHeight="true" outlineLevel="0" collapsed="false">
      <c r="A261" s="138" t="n">
        <f aca="false">EDATE(A260,1)</f>
        <v>44621</v>
      </c>
      <c r="B261" s="139" t="n">
        <f aca="false">VLOOKUP($A261,Table2,MATCH(I$3,Curves2,0))</f>
        <v>60900</v>
      </c>
      <c r="C261" s="140"/>
      <c r="D261" s="141" t="n">
        <f aca="false">B261+C261</f>
        <v>60900</v>
      </c>
      <c r="E261" s="126" t="n">
        <f aca="false">IF(Y261=0,0,IF(AND(Y261=1,$H$3=1),D261*T261,IF($H$3=2,D261,"N/A")))</f>
        <v>0</v>
      </c>
      <c r="F261" s="126" t="n">
        <f aca="false">E261*X261</f>
        <v>0</v>
      </c>
      <c r="G261" s="142" t="n">
        <f aca="false">VLOOKUP($A261,Table,MATCH(G$4,Curves,0))</f>
        <v>3.987</v>
      </c>
      <c r="H261" s="143" t="n">
        <f aca="false">G261</f>
        <v>3.987</v>
      </c>
      <c r="I261" s="142" t="n">
        <f aca="false">VLOOKUP($A261,Table1,MATCH(I$3,Curves1,0))</f>
        <v>3.7904</v>
      </c>
      <c r="J261" s="142" t="n">
        <f aca="false">VLOOKUP($A261,Table,MATCH(J$4,Curves,0))</f>
        <v>0.011</v>
      </c>
      <c r="K261" s="143" t="n">
        <f aca="false">J261</f>
        <v>0.011</v>
      </c>
      <c r="L261" s="144" t="n">
        <v>0</v>
      </c>
      <c r="M261" s="142" t="n">
        <f aca="false">VLOOKUP($A261,Table,MATCH(M$4,Curves,0))</f>
        <v>0.015</v>
      </c>
      <c r="N261" s="143" t="n">
        <f aca="false">M261</f>
        <v>0.015</v>
      </c>
      <c r="O261" s="144" t="n">
        <v>0</v>
      </c>
      <c r="P261" s="145"/>
      <c r="Q261" s="144" t="n">
        <f aca="false">M261+J261+G261</f>
        <v>4.013</v>
      </c>
      <c r="R261" s="144" t="n">
        <f aca="false">O261+L261+I261</f>
        <v>3.7904</v>
      </c>
      <c r="S261" s="145"/>
      <c r="T261" s="71" t="n">
        <f aca="false">A262-A261</f>
        <v>31</v>
      </c>
      <c r="U261" s="146" t="n">
        <f aca="false">CHOOSE(F$3,A262+24,A261)</f>
        <v>44676</v>
      </c>
      <c r="V261" s="71" t="n">
        <f aca="false">U261-C$3</f>
        <v>7788</v>
      </c>
      <c r="W261" s="142" t="n">
        <f aca="false">VLOOKUP($A261,Table,MATCH(W$4,Curves,0))</f>
        <v>0.058966861357273</v>
      </c>
      <c r="X261" s="147" t="n">
        <f aca="false">1/(1+CHOOSE(F$3,(W262+($K$3/10000))/2,(W261+($K$3/10000))/2))^(2*V261/365.25)</f>
        <v>0.289634521756549</v>
      </c>
      <c r="Y261" s="71" t="n">
        <f aca="false">IF(AND(mthbeg&lt;=A261,mthend&gt;=A261),1,0)</f>
        <v>0</v>
      </c>
      <c r="Z261" s="71" t="n">
        <f aca="false">T261*Y261</f>
        <v>0</v>
      </c>
      <c r="AB261" s="132" t="n">
        <f aca="false">F261*G261</f>
        <v>0</v>
      </c>
      <c r="AC261" s="132" t="n">
        <f aca="false">$F261*H261</f>
        <v>0</v>
      </c>
      <c r="AD261" s="132" t="n">
        <f aca="false">$F261*I261</f>
        <v>0</v>
      </c>
      <c r="AE261" s="132" t="n">
        <f aca="false">$F261*J261</f>
        <v>0</v>
      </c>
      <c r="AF261" s="132" t="n">
        <f aca="false">$F261*K261</f>
        <v>0</v>
      </c>
      <c r="AG261" s="132" t="n">
        <f aca="false">$F261*L261</f>
        <v>0</v>
      </c>
      <c r="AH261" s="132" t="n">
        <f aca="false">$F261*M261</f>
        <v>0</v>
      </c>
      <c r="AI261" s="132" t="n">
        <f aca="false">$F261*N261</f>
        <v>0</v>
      </c>
      <c r="AJ261" s="132" t="n">
        <f aca="false">F261*O261</f>
        <v>0</v>
      </c>
      <c r="AK261" s="137"/>
      <c r="AL261" s="132" t="n">
        <f aca="false">CHOOSE($G$3,AC261-AD261,AD261-AC261)</f>
        <v>0</v>
      </c>
      <c r="AM261" s="132" t="n">
        <f aca="false">CHOOSE($G$3,AF261-AG261,AG261-AF261)</f>
        <v>0</v>
      </c>
      <c r="AN261" s="132" t="n">
        <f aca="false">CHOOSE($G$3,AI261-AJ261,AJ261-AI261)</f>
        <v>0</v>
      </c>
      <c r="AO261" s="148" t="n">
        <f aca="false">SUM(AL261:AN261)</f>
        <v>0</v>
      </c>
      <c r="AQ261" s="132" t="n">
        <f aca="false">CHOOSE($G$3,AB261-AC261,AC261-AB261)</f>
        <v>0</v>
      </c>
      <c r="AR261" s="132" t="n">
        <f aca="false">CHOOSE($G$3,AE261-AF261,AF261-AE261)</f>
        <v>0</v>
      </c>
      <c r="AS261" s="132" t="n">
        <f aca="false">CHOOSE($G$3,AH261-AI261,AI261-AH261)</f>
        <v>0</v>
      </c>
      <c r="AT261" s="148" t="n">
        <f aca="false">AQ261+AR261+AS261</f>
        <v>0</v>
      </c>
      <c r="AU261" s="148"/>
      <c r="AV261" s="133" t="n">
        <f aca="false">AT261+AO261</f>
        <v>0</v>
      </c>
      <c r="AX261" s="133" t="n">
        <f aca="false">AJ261+AG261+AD261</f>
        <v>0</v>
      </c>
      <c r="AY261" s="149"/>
      <c r="AZ261" s="76" t="n">
        <f aca="false">R261*E261</f>
        <v>0</v>
      </c>
    </row>
    <row r="262" customFormat="false" ht="12" hidden="false" customHeight="true" outlineLevel="0" collapsed="false">
      <c r="A262" s="138" t="n">
        <f aca="false">EDATE(A261,1)</f>
        <v>44652</v>
      </c>
      <c r="B262" s="139" t="n">
        <f aca="false">VLOOKUP($A262,Table2,MATCH(I$3,Curves2,0))</f>
        <v>60900</v>
      </c>
      <c r="C262" s="140"/>
      <c r="D262" s="141" t="n">
        <f aca="false">B262+C262</f>
        <v>60900</v>
      </c>
      <c r="E262" s="126" t="n">
        <f aca="false">IF(Y262=0,0,IF(AND(Y262=1,$H$3=1),D262*T262,IF($H$3=2,D262,"N/A")))</f>
        <v>0</v>
      </c>
      <c r="F262" s="126" t="n">
        <f aca="false">E262*X262</f>
        <v>0</v>
      </c>
      <c r="G262" s="142" t="n">
        <f aca="false">VLOOKUP($A262,Table,MATCH(G$4,Curves,0))</f>
        <v>3.987</v>
      </c>
      <c r="H262" s="143" t="n">
        <f aca="false">G262</f>
        <v>3.987</v>
      </c>
      <c r="I262" s="142" t="n">
        <f aca="false">VLOOKUP($A262,Table1,MATCH(I$3,Curves1,0))</f>
        <v>3.7904</v>
      </c>
      <c r="J262" s="142" t="n">
        <f aca="false">VLOOKUP($A262,Table,MATCH(J$4,Curves,0))</f>
        <v>0.011</v>
      </c>
      <c r="K262" s="143" t="n">
        <f aca="false">J262</f>
        <v>0.011</v>
      </c>
      <c r="L262" s="144" t="n">
        <v>0</v>
      </c>
      <c r="M262" s="142" t="n">
        <f aca="false">VLOOKUP($A262,Table,MATCH(M$4,Curves,0))</f>
        <v>0.015</v>
      </c>
      <c r="N262" s="143" t="n">
        <f aca="false">M262</f>
        <v>0.015</v>
      </c>
      <c r="O262" s="144" t="n">
        <v>0</v>
      </c>
      <c r="P262" s="145"/>
      <c r="Q262" s="144" t="n">
        <f aca="false">M262+J262+G262</f>
        <v>4.013</v>
      </c>
      <c r="R262" s="144" t="n">
        <f aca="false">O262+L262+I262</f>
        <v>3.7904</v>
      </c>
      <c r="S262" s="145"/>
      <c r="T262" s="71" t="n">
        <f aca="false">A263-A262</f>
        <v>30</v>
      </c>
      <c r="U262" s="146" t="n">
        <f aca="false">CHOOSE(F$3,A263+24,A262)</f>
        <v>44706</v>
      </c>
      <c r="V262" s="71" t="n">
        <f aca="false">U262-C$3</f>
        <v>7818</v>
      </c>
      <c r="W262" s="142" t="n">
        <f aca="false">VLOOKUP($A262,Table,MATCH(W$4,Curves,0))</f>
        <v>0.058966861357273</v>
      </c>
      <c r="X262" s="147" t="n">
        <f aca="false">1/(1+CHOOSE(F$3,(W263+($K$3/10000))/2,(W262+($K$3/10000))/2))^(2*V262/365.25)</f>
        <v>0.288255318346515</v>
      </c>
      <c r="Y262" s="71" t="n">
        <f aca="false">IF(AND(mthbeg&lt;=A262,mthend&gt;=A262),1,0)</f>
        <v>0</v>
      </c>
      <c r="Z262" s="71" t="n">
        <f aca="false">T262*Y262</f>
        <v>0</v>
      </c>
      <c r="AB262" s="132" t="n">
        <f aca="false">F262*G262</f>
        <v>0</v>
      </c>
      <c r="AC262" s="132" t="n">
        <f aca="false">$F262*H262</f>
        <v>0</v>
      </c>
      <c r="AD262" s="132" t="n">
        <f aca="false">$F262*I262</f>
        <v>0</v>
      </c>
      <c r="AE262" s="132" t="n">
        <f aca="false">$F262*J262</f>
        <v>0</v>
      </c>
      <c r="AF262" s="132" t="n">
        <f aca="false">$F262*K262</f>
        <v>0</v>
      </c>
      <c r="AG262" s="132" t="n">
        <f aca="false">$F262*L262</f>
        <v>0</v>
      </c>
      <c r="AH262" s="132" t="n">
        <f aca="false">$F262*M262</f>
        <v>0</v>
      </c>
      <c r="AI262" s="132" t="n">
        <f aca="false">$F262*N262</f>
        <v>0</v>
      </c>
      <c r="AJ262" s="132" t="n">
        <f aca="false">F262*O262</f>
        <v>0</v>
      </c>
      <c r="AK262" s="137"/>
      <c r="AL262" s="132" t="n">
        <f aca="false">CHOOSE($G$3,AC262-AD262,AD262-AC262)</f>
        <v>0</v>
      </c>
      <c r="AM262" s="132" t="n">
        <f aca="false">CHOOSE($G$3,AF262-AG262,AG262-AF262)</f>
        <v>0</v>
      </c>
      <c r="AN262" s="132" t="n">
        <f aca="false">CHOOSE($G$3,AI262-AJ262,AJ262-AI262)</f>
        <v>0</v>
      </c>
      <c r="AO262" s="148" t="n">
        <f aca="false">SUM(AL262:AN262)</f>
        <v>0</v>
      </c>
      <c r="AQ262" s="132" t="n">
        <f aca="false">CHOOSE($G$3,AB262-AC262,AC262-AB262)</f>
        <v>0</v>
      </c>
      <c r="AR262" s="132" t="n">
        <f aca="false">CHOOSE($G$3,AE262-AF262,AF262-AE262)</f>
        <v>0</v>
      </c>
      <c r="AS262" s="132" t="n">
        <f aca="false">CHOOSE($G$3,AH262-AI262,AI262-AH262)</f>
        <v>0</v>
      </c>
      <c r="AT262" s="148" t="n">
        <f aca="false">AQ262+AR262+AS262</f>
        <v>0</v>
      </c>
      <c r="AU262" s="148"/>
      <c r="AV262" s="133" t="n">
        <f aca="false">AT262+AO262</f>
        <v>0</v>
      </c>
      <c r="AX262" s="133" t="n">
        <f aca="false">AJ262+AG262+AD262</f>
        <v>0</v>
      </c>
      <c r="AY262" s="149"/>
      <c r="AZ262" s="76" t="n">
        <f aca="false">R262*E262</f>
        <v>0</v>
      </c>
    </row>
    <row r="263" customFormat="false" ht="12" hidden="false" customHeight="true" outlineLevel="0" collapsed="false">
      <c r="A263" s="138" t="n">
        <f aca="false">EDATE(A262,1)</f>
        <v>44682</v>
      </c>
      <c r="B263" s="139" t="n">
        <f aca="false">VLOOKUP($A263,Table2,MATCH(I$3,Curves2,0))</f>
        <v>60900</v>
      </c>
      <c r="C263" s="140"/>
      <c r="D263" s="141" t="n">
        <f aca="false">B263+C263</f>
        <v>60900</v>
      </c>
      <c r="E263" s="126" t="n">
        <f aca="false">IF(Y263=0,0,IF(AND(Y263=1,$H$3=1),D263*T263,IF($H$3=2,D263,"N/A")))</f>
        <v>0</v>
      </c>
      <c r="F263" s="126" t="n">
        <f aca="false">E263*X263</f>
        <v>0</v>
      </c>
      <c r="G263" s="142" t="n">
        <f aca="false">VLOOKUP($A263,Table,MATCH(G$4,Curves,0))</f>
        <v>3.987</v>
      </c>
      <c r="H263" s="143" t="n">
        <f aca="false">G263</f>
        <v>3.987</v>
      </c>
      <c r="I263" s="142" t="n">
        <f aca="false">VLOOKUP($A263,Table1,MATCH(I$3,Curves1,0))</f>
        <v>3.7904</v>
      </c>
      <c r="J263" s="142" t="n">
        <f aca="false">VLOOKUP($A263,Table,MATCH(J$4,Curves,0))</f>
        <v>0.011</v>
      </c>
      <c r="K263" s="143" t="n">
        <f aca="false">J263</f>
        <v>0.011</v>
      </c>
      <c r="L263" s="144" t="n">
        <v>0</v>
      </c>
      <c r="M263" s="142" t="n">
        <f aca="false">VLOOKUP($A263,Table,MATCH(M$4,Curves,0))</f>
        <v>0.015</v>
      </c>
      <c r="N263" s="143" t="n">
        <f aca="false">M263</f>
        <v>0.015</v>
      </c>
      <c r="O263" s="144" t="n">
        <v>0</v>
      </c>
      <c r="P263" s="145"/>
      <c r="Q263" s="144" t="n">
        <f aca="false">M263+J263+G263</f>
        <v>4.013</v>
      </c>
      <c r="R263" s="144" t="n">
        <f aca="false">O263+L263+I263</f>
        <v>3.7904</v>
      </c>
      <c r="S263" s="145"/>
      <c r="T263" s="71" t="n">
        <f aca="false">A264-A263</f>
        <v>31</v>
      </c>
      <c r="U263" s="146" t="n">
        <f aca="false">CHOOSE(F$3,A264+24,A263)</f>
        <v>44737</v>
      </c>
      <c r="V263" s="71" t="n">
        <f aca="false">U263-C$3</f>
        <v>7849</v>
      </c>
      <c r="W263" s="142" t="n">
        <f aca="false">VLOOKUP($A263,Table,MATCH(W$4,Curves,0))</f>
        <v>0.058966861357273</v>
      </c>
      <c r="X263" s="147" t="n">
        <f aca="false">1/(1+CHOOSE(F$3,(W264+($K$3/10000))/2,(W263+($K$3/10000))/2))^(2*V263/365.25)</f>
        <v>0.286837040746725</v>
      </c>
      <c r="Y263" s="71" t="n">
        <f aca="false">IF(AND(mthbeg&lt;=A263,mthend&gt;=A263),1,0)</f>
        <v>0</v>
      </c>
      <c r="Z263" s="71" t="n">
        <f aca="false">T263*Y263</f>
        <v>0</v>
      </c>
      <c r="AB263" s="132" t="n">
        <f aca="false">F263*G263</f>
        <v>0</v>
      </c>
      <c r="AC263" s="132" t="n">
        <f aca="false">$F263*H263</f>
        <v>0</v>
      </c>
      <c r="AD263" s="132" t="n">
        <f aca="false">$F263*I263</f>
        <v>0</v>
      </c>
      <c r="AE263" s="132" t="n">
        <f aca="false">$F263*J263</f>
        <v>0</v>
      </c>
      <c r="AF263" s="132" t="n">
        <f aca="false">$F263*K263</f>
        <v>0</v>
      </c>
      <c r="AG263" s="132" t="n">
        <f aca="false">$F263*L263</f>
        <v>0</v>
      </c>
      <c r="AH263" s="132" t="n">
        <f aca="false">$F263*M263</f>
        <v>0</v>
      </c>
      <c r="AI263" s="132" t="n">
        <f aca="false">$F263*N263</f>
        <v>0</v>
      </c>
      <c r="AJ263" s="132" t="n">
        <f aca="false">F263*O263</f>
        <v>0</v>
      </c>
      <c r="AK263" s="137"/>
      <c r="AL263" s="132" t="n">
        <f aca="false">CHOOSE($G$3,AC263-AD263,AD263-AC263)</f>
        <v>0</v>
      </c>
      <c r="AM263" s="132" t="n">
        <f aca="false">CHOOSE($G$3,AF263-AG263,AG263-AF263)</f>
        <v>0</v>
      </c>
      <c r="AN263" s="132" t="n">
        <f aca="false">CHOOSE($G$3,AI263-AJ263,AJ263-AI263)</f>
        <v>0</v>
      </c>
      <c r="AO263" s="148" t="n">
        <f aca="false">SUM(AL263:AN263)</f>
        <v>0</v>
      </c>
      <c r="AQ263" s="132" t="n">
        <f aca="false">CHOOSE($G$3,AB263-AC263,AC263-AB263)</f>
        <v>0</v>
      </c>
      <c r="AR263" s="132" t="n">
        <f aca="false">CHOOSE($G$3,AE263-AF263,AF263-AE263)</f>
        <v>0</v>
      </c>
      <c r="AS263" s="132" t="n">
        <f aca="false">CHOOSE($G$3,AH263-AI263,AI263-AH263)</f>
        <v>0</v>
      </c>
      <c r="AT263" s="148" t="n">
        <f aca="false">AQ263+AR263+AS263</f>
        <v>0</v>
      </c>
      <c r="AU263" s="148"/>
      <c r="AV263" s="133" t="n">
        <f aca="false">AT263+AO263</f>
        <v>0</v>
      </c>
      <c r="AX263" s="133" t="n">
        <f aca="false">AJ263+AG263+AD263</f>
        <v>0</v>
      </c>
      <c r="AY263" s="149"/>
      <c r="AZ263" s="76" t="n">
        <f aca="false">R263*E263</f>
        <v>0</v>
      </c>
    </row>
    <row r="264" customFormat="false" ht="12" hidden="false" customHeight="true" outlineLevel="0" collapsed="false">
      <c r="A264" s="138" t="n">
        <f aca="false">EDATE(A263,1)</f>
        <v>44713</v>
      </c>
      <c r="B264" s="139" t="n">
        <f aca="false">VLOOKUP($A264,Table2,MATCH(I$3,Curves2,0))</f>
        <v>60900</v>
      </c>
      <c r="C264" s="140"/>
      <c r="D264" s="141" t="n">
        <f aca="false">B264+C264</f>
        <v>60900</v>
      </c>
      <c r="E264" s="126" t="n">
        <f aca="false">IF(Y264=0,0,IF(AND(Y264=1,$H$3=1),D264*T264,IF($H$3=2,D264,"N/A")))</f>
        <v>0</v>
      </c>
      <c r="F264" s="126" t="n">
        <f aca="false">E264*X264</f>
        <v>0</v>
      </c>
      <c r="G264" s="142" t="n">
        <f aca="false">VLOOKUP($A264,Table,MATCH(G$4,Curves,0))</f>
        <v>3.987</v>
      </c>
      <c r="H264" s="143" t="n">
        <f aca="false">G264</f>
        <v>3.987</v>
      </c>
      <c r="I264" s="142" t="n">
        <f aca="false">VLOOKUP($A264,Table1,MATCH(I$3,Curves1,0))</f>
        <v>3.7904</v>
      </c>
      <c r="J264" s="142" t="n">
        <f aca="false">VLOOKUP($A264,Table,MATCH(J$4,Curves,0))</f>
        <v>0.011</v>
      </c>
      <c r="K264" s="143" t="n">
        <f aca="false">J264</f>
        <v>0.011</v>
      </c>
      <c r="L264" s="144" t="n">
        <v>0</v>
      </c>
      <c r="M264" s="142" t="n">
        <f aca="false">VLOOKUP($A264,Table,MATCH(M$4,Curves,0))</f>
        <v>0.015</v>
      </c>
      <c r="N264" s="143" t="n">
        <f aca="false">M264</f>
        <v>0.015</v>
      </c>
      <c r="O264" s="144" t="n">
        <v>0</v>
      </c>
      <c r="P264" s="145"/>
      <c r="Q264" s="144" t="n">
        <f aca="false">M264+J264+G264</f>
        <v>4.013</v>
      </c>
      <c r="R264" s="144" t="n">
        <f aca="false">O264+L264+I264</f>
        <v>3.7904</v>
      </c>
      <c r="S264" s="145"/>
      <c r="T264" s="71" t="n">
        <f aca="false">A265-A264</f>
        <v>30</v>
      </c>
      <c r="U264" s="146" t="n">
        <f aca="false">CHOOSE(F$3,A265+24,A264)</f>
        <v>44767</v>
      </c>
      <c r="V264" s="71" t="n">
        <f aca="false">U264-C$3</f>
        <v>7879</v>
      </c>
      <c r="W264" s="142" t="n">
        <f aca="false">VLOOKUP($A264,Table,MATCH(W$4,Curves,0))</f>
        <v>0.058966861357273</v>
      </c>
      <c r="X264" s="147" t="n">
        <f aca="false">1/(1+CHOOSE(F$3,(W265+($K$3/10000))/2,(W264+($K$3/10000))/2))^(2*V264/365.25)</f>
        <v>0.285471158591785</v>
      </c>
      <c r="Y264" s="71" t="n">
        <f aca="false">IF(AND(mthbeg&lt;=A264,mthend&gt;=A264),1,0)</f>
        <v>0</v>
      </c>
      <c r="Z264" s="71" t="n">
        <f aca="false">T264*Y264</f>
        <v>0</v>
      </c>
      <c r="AB264" s="132" t="n">
        <f aca="false">F264*G264</f>
        <v>0</v>
      </c>
      <c r="AC264" s="132" t="n">
        <f aca="false">$F264*H264</f>
        <v>0</v>
      </c>
      <c r="AD264" s="132" t="n">
        <f aca="false">$F264*I264</f>
        <v>0</v>
      </c>
      <c r="AE264" s="132" t="n">
        <f aca="false">$F264*J264</f>
        <v>0</v>
      </c>
      <c r="AF264" s="132" t="n">
        <f aca="false">$F264*K264</f>
        <v>0</v>
      </c>
      <c r="AG264" s="132" t="n">
        <f aca="false">$F264*L264</f>
        <v>0</v>
      </c>
      <c r="AH264" s="132" t="n">
        <f aca="false">$F264*M264</f>
        <v>0</v>
      </c>
      <c r="AI264" s="132" t="n">
        <f aca="false">$F264*N264</f>
        <v>0</v>
      </c>
      <c r="AJ264" s="132" t="n">
        <f aca="false">F264*O264</f>
        <v>0</v>
      </c>
      <c r="AK264" s="137"/>
      <c r="AL264" s="132" t="n">
        <f aca="false">CHOOSE($G$3,AC264-AD264,AD264-AC264)</f>
        <v>0</v>
      </c>
      <c r="AM264" s="132" t="n">
        <f aca="false">CHOOSE($G$3,AF264-AG264,AG264-AF264)</f>
        <v>0</v>
      </c>
      <c r="AN264" s="132" t="n">
        <f aca="false">CHOOSE($G$3,AI264-AJ264,AJ264-AI264)</f>
        <v>0</v>
      </c>
      <c r="AO264" s="148" t="n">
        <f aca="false">SUM(AL264:AN264)</f>
        <v>0</v>
      </c>
      <c r="AQ264" s="132" t="n">
        <f aca="false">CHOOSE($G$3,AB264-AC264,AC264-AB264)</f>
        <v>0</v>
      </c>
      <c r="AR264" s="132" t="n">
        <f aca="false">CHOOSE($G$3,AE264-AF264,AF264-AE264)</f>
        <v>0</v>
      </c>
      <c r="AS264" s="132" t="n">
        <f aca="false">CHOOSE($G$3,AH264-AI264,AI264-AH264)</f>
        <v>0</v>
      </c>
      <c r="AT264" s="148" t="n">
        <f aca="false">AQ264+AR264+AS264</f>
        <v>0</v>
      </c>
      <c r="AU264" s="148"/>
      <c r="AV264" s="133" t="n">
        <f aca="false">AT264+AO264</f>
        <v>0</v>
      </c>
      <c r="AX264" s="133" t="n">
        <f aca="false">AJ264+AG264+AD264</f>
        <v>0</v>
      </c>
      <c r="AY264" s="149"/>
      <c r="AZ264" s="76" t="n">
        <f aca="false">R264*E264</f>
        <v>0</v>
      </c>
    </row>
    <row r="265" customFormat="false" ht="12" hidden="false" customHeight="true" outlineLevel="0" collapsed="false">
      <c r="A265" s="138" t="n">
        <f aca="false">EDATE(A264,1)</f>
        <v>44743</v>
      </c>
      <c r="B265" s="139" t="n">
        <f aca="false">VLOOKUP($A265,Table2,MATCH(I$3,Curves2,0))</f>
        <v>60900</v>
      </c>
      <c r="C265" s="140"/>
      <c r="D265" s="141" t="n">
        <f aca="false">B265+C265</f>
        <v>60900</v>
      </c>
      <c r="E265" s="126" t="n">
        <f aca="false">IF(Y265=0,0,IF(AND(Y265=1,$H$3=1),D265*T265,IF($H$3=2,D265,"N/A")))</f>
        <v>0</v>
      </c>
      <c r="F265" s="126" t="n">
        <f aca="false">E265*X265</f>
        <v>0</v>
      </c>
      <c r="G265" s="142" t="n">
        <f aca="false">VLOOKUP($A265,Table,MATCH(G$4,Curves,0))</f>
        <v>3.987</v>
      </c>
      <c r="H265" s="143" t="n">
        <f aca="false">G265</f>
        <v>3.987</v>
      </c>
      <c r="I265" s="142" t="n">
        <f aca="false">VLOOKUP($A265,Table1,MATCH(I$3,Curves1,0))</f>
        <v>3.7904</v>
      </c>
      <c r="J265" s="142" t="n">
        <f aca="false">VLOOKUP($A265,Table,MATCH(J$4,Curves,0))</f>
        <v>0.011</v>
      </c>
      <c r="K265" s="143" t="n">
        <f aca="false">J265</f>
        <v>0.011</v>
      </c>
      <c r="L265" s="144" t="n">
        <v>0</v>
      </c>
      <c r="M265" s="142" t="n">
        <f aca="false">VLOOKUP($A265,Table,MATCH(M$4,Curves,0))</f>
        <v>0.015</v>
      </c>
      <c r="N265" s="143" t="n">
        <f aca="false">M265</f>
        <v>0.015</v>
      </c>
      <c r="O265" s="144" t="n">
        <v>0</v>
      </c>
      <c r="P265" s="145"/>
      <c r="Q265" s="144" t="n">
        <f aca="false">M265+J265+G265</f>
        <v>4.013</v>
      </c>
      <c r="R265" s="144" t="n">
        <f aca="false">O265+L265+I265</f>
        <v>3.7904</v>
      </c>
      <c r="S265" s="145"/>
      <c r="T265" s="71" t="n">
        <f aca="false">A266-A265</f>
        <v>31</v>
      </c>
      <c r="U265" s="146" t="n">
        <f aca="false">CHOOSE(F$3,A266+24,A265)</f>
        <v>44798</v>
      </c>
      <c r="V265" s="71" t="n">
        <f aca="false">U265-C$3</f>
        <v>7910</v>
      </c>
      <c r="W265" s="142" t="n">
        <f aca="false">VLOOKUP($A265,Table,MATCH(W$4,Curves,0))</f>
        <v>0.058966861357273</v>
      </c>
      <c r="X265" s="147" t="n">
        <f aca="false">1/(1+CHOOSE(F$3,(W266+($K$3/10000))/2,(W265+($K$3/10000))/2))^(2*V265/365.25)</f>
        <v>0.284066579651354</v>
      </c>
      <c r="Y265" s="71" t="n">
        <f aca="false">IF(AND(mthbeg&lt;=A265,mthend&gt;=A265),1,0)</f>
        <v>0</v>
      </c>
      <c r="Z265" s="71" t="n">
        <f aca="false">T265*Y265</f>
        <v>0</v>
      </c>
      <c r="AB265" s="132" t="n">
        <f aca="false">F265*G265</f>
        <v>0</v>
      </c>
      <c r="AC265" s="132" t="n">
        <f aca="false">$F265*H265</f>
        <v>0</v>
      </c>
      <c r="AD265" s="132" t="n">
        <f aca="false">$F265*I265</f>
        <v>0</v>
      </c>
      <c r="AE265" s="132" t="n">
        <f aca="false">$F265*J265</f>
        <v>0</v>
      </c>
      <c r="AF265" s="132" t="n">
        <f aca="false">$F265*K265</f>
        <v>0</v>
      </c>
      <c r="AG265" s="132" t="n">
        <f aca="false">$F265*L265</f>
        <v>0</v>
      </c>
      <c r="AH265" s="132" t="n">
        <f aca="false">$F265*M265</f>
        <v>0</v>
      </c>
      <c r="AI265" s="132" t="n">
        <f aca="false">$F265*N265</f>
        <v>0</v>
      </c>
      <c r="AJ265" s="132" t="n">
        <f aca="false">F265*O265</f>
        <v>0</v>
      </c>
      <c r="AK265" s="137"/>
      <c r="AL265" s="132" t="n">
        <f aca="false">CHOOSE($G$3,AC265-AD265,AD265-AC265)</f>
        <v>0</v>
      </c>
      <c r="AM265" s="132" t="n">
        <f aca="false">CHOOSE($G$3,AF265-AG265,AG265-AF265)</f>
        <v>0</v>
      </c>
      <c r="AN265" s="132" t="n">
        <f aca="false">CHOOSE($G$3,AI265-AJ265,AJ265-AI265)</f>
        <v>0</v>
      </c>
      <c r="AO265" s="148" t="n">
        <f aca="false">SUM(AL265:AN265)</f>
        <v>0</v>
      </c>
      <c r="AQ265" s="132" t="n">
        <f aca="false">CHOOSE($G$3,AB265-AC265,AC265-AB265)</f>
        <v>0</v>
      </c>
      <c r="AR265" s="132" t="n">
        <f aca="false">CHOOSE($G$3,AE265-AF265,AF265-AE265)</f>
        <v>0</v>
      </c>
      <c r="AS265" s="132" t="n">
        <f aca="false">CHOOSE($G$3,AH265-AI265,AI265-AH265)</f>
        <v>0</v>
      </c>
      <c r="AT265" s="148" t="n">
        <f aca="false">AQ265+AR265+AS265</f>
        <v>0</v>
      </c>
      <c r="AU265" s="148"/>
      <c r="AV265" s="133" t="n">
        <f aca="false">AT265+AO265</f>
        <v>0</v>
      </c>
      <c r="AX265" s="133" t="n">
        <f aca="false">AJ265+AG265+AD265</f>
        <v>0</v>
      </c>
      <c r="AY265" s="149"/>
      <c r="AZ265" s="76" t="n">
        <f aca="false">R265*E265</f>
        <v>0</v>
      </c>
    </row>
    <row r="266" customFormat="false" ht="12" hidden="false" customHeight="true" outlineLevel="0" collapsed="false">
      <c r="A266" s="138" t="n">
        <f aca="false">EDATE(A265,1)</f>
        <v>44774</v>
      </c>
      <c r="B266" s="139" t="n">
        <f aca="false">VLOOKUP($A266,Table2,MATCH(I$3,Curves2,0))</f>
        <v>60900</v>
      </c>
      <c r="C266" s="140"/>
      <c r="D266" s="141" t="n">
        <f aca="false">B266+C266</f>
        <v>60900</v>
      </c>
      <c r="E266" s="126" t="n">
        <f aca="false">IF(Y266=0,0,IF(AND(Y266=1,$H$3=1),D266*T266,IF($H$3=2,D266,"N/A")))</f>
        <v>0</v>
      </c>
      <c r="F266" s="126" t="n">
        <f aca="false">E266*X266</f>
        <v>0</v>
      </c>
      <c r="G266" s="142" t="n">
        <f aca="false">VLOOKUP($A266,Table,MATCH(G$4,Curves,0))</f>
        <v>3.987</v>
      </c>
      <c r="H266" s="143" t="n">
        <f aca="false">G266</f>
        <v>3.987</v>
      </c>
      <c r="I266" s="142" t="n">
        <f aca="false">VLOOKUP($A266,Table1,MATCH(I$3,Curves1,0))</f>
        <v>3.7904</v>
      </c>
      <c r="J266" s="142" t="n">
        <f aca="false">VLOOKUP($A266,Table,MATCH(J$4,Curves,0))</f>
        <v>0.011</v>
      </c>
      <c r="K266" s="143" t="n">
        <f aca="false">J266</f>
        <v>0.011</v>
      </c>
      <c r="L266" s="144" t="n">
        <v>0</v>
      </c>
      <c r="M266" s="142" t="n">
        <f aca="false">VLOOKUP($A266,Table,MATCH(M$4,Curves,0))</f>
        <v>0.015</v>
      </c>
      <c r="N266" s="143" t="n">
        <f aca="false">M266</f>
        <v>0.015</v>
      </c>
      <c r="O266" s="144" t="n">
        <v>0</v>
      </c>
      <c r="P266" s="145"/>
      <c r="Q266" s="144" t="n">
        <f aca="false">M266+J266+G266</f>
        <v>4.013</v>
      </c>
      <c r="R266" s="144" t="n">
        <f aca="false">O266+L266+I266</f>
        <v>3.7904</v>
      </c>
      <c r="S266" s="145"/>
      <c r="T266" s="71" t="n">
        <f aca="false">A267-A266</f>
        <v>31</v>
      </c>
      <c r="U266" s="146" t="n">
        <f aca="false">CHOOSE(F$3,A267+24,A266)</f>
        <v>44829</v>
      </c>
      <c r="V266" s="71" t="n">
        <f aca="false">U266-C$3</f>
        <v>7941</v>
      </c>
      <c r="W266" s="142" t="n">
        <f aca="false">VLOOKUP($A266,Table,MATCH(W$4,Curves,0))</f>
        <v>0.058966861357273</v>
      </c>
      <c r="X266" s="147" t="n">
        <f aca="false">1/(1+CHOOSE(F$3,(W267+($K$3/10000))/2,(W266+($K$3/10000))/2))^(2*V266/365.25)</f>
        <v>0.282668911538656</v>
      </c>
      <c r="Y266" s="71" t="n">
        <f aca="false">IF(AND(mthbeg&lt;=A266,mthend&gt;=A266),1,0)</f>
        <v>0</v>
      </c>
      <c r="Z266" s="71" t="n">
        <f aca="false">T266*Y266</f>
        <v>0</v>
      </c>
      <c r="AB266" s="132" t="n">
        <f aca="false">F266*G266</f>
        <v>0</v>
      </c>
      <c r="AC266" s="132" t="n">
        <f aca="false">$F266*H266</f>
        <v>0</v>
      </c>
      <c r="AD266" s="132" t="n">
        <f aca="false">$F266*I266</f>
        <v>0</v>
      </c>
      <c r="AE266" s="132" t="n">
        <f aca="false">$F266*J266</f>
        <v>0</v>
      </c>
      <c r="AF266" s="132" t="n">
        <f aca="false">$F266*K266</f>
        <v>0</v>
      </c>
      <c r="AG266" s="132" t="n">
        <f aca="false">$F266*L266</f>
        <v>0</v>
      </c>
      <c r="AH266" s="132" t="n">
        <f aca="false">$F266*M266</f>
        <v>0</v>
      </c>
      <c r="AI266" s="132" t="n">
        <f aca="false">$F266*N266</f>
        <v>0</v>
      </c>
      <c r="AJ266" s="132" t="n">
        <f aca="false">F266*O266</f>
        <v>0</v>
      </c>
      <c r="AK266" s="137"/>
      <c r="AL266" s="132" t="n">
        <f aca="false">CHOOSE($G$3,AC266-AD266,AD266-AC266)</f>
        <v>0</v>
      </c>
      <c r="AM266" s="132" t="n">
        <f aca="false">CHOOSE($G$3,AF266-AG266,AG266-AF266)</f>
        <v>0</v>
      </c>
      <c r="AN266" s="132" t="n">
        <f aca="false">CHOOSE($G$3,AI266-AJ266,AJ266-AI266)</f>
        <v>0</v>
      </c>
      <c r="AO266" s="148" t="n">
        <f aca="false">SUM(AL266:AN266)</f>
        <v>0</v>
      </c>
      <c r="AQ266" s="132" t="n">
        <f aca="false">CHOOSE($G$3,AB266-AC266,AC266-AB266)</f>
        <v>0</v>
      </c>
      <c r="AR266" s="132" t="n">
        <f aca="false">CHOOSE($G$3,AE266-AF266,AF266-AE266)</f>
        <v>0</v>
      </c>
      <c r="AS266" s="132" t="n">
        <f aca="false">CHOOSE($G$3,AH266-AI266,AI266-AH266)</f>
        <v>0</v>
      </c>
      <c r="AT266" s="148" t="n">
        <f aca="false">AQ266+AR266+AS266</f>
        <v>0</v>
      </c>
      <c r="AU266" s="148"/>
      <c r="AV266" s="133" t="n">
        <f aca="false">AT266+AO266</f>
        <v>0</v>
      </c>
      <c r="AX266" s="133" t="n">
        <f aca="false">AJ266+AG266+AD266</f>
        <v>0</v>
      </c>
      <c r="AY266" s="149"/>
      <c r="AZ266" s="76" t="n">
        <f aca="false">R266*E266</f>
        <v>0</v>
      </c>
    </row>
    <row r="267" customFormat="false" ht="12" hidden="false" customHeight="true" outlineLevel="0" collapsed="false">
      <c r="A267" s="138" t="n">
        <f aca="false">EDATE(A266,1)</f>
        <v>44805</v>
      </c>
      <c r="B267" s="139" t="n">
        <f aca="false">VLOOKUP($A267,Table2,MATCH(I$3,Curves2,0))</f>
        <v>60900</v>
      </c>
      <c r="C267" s="140"/>
      <c r="D267" s="141" t="n">
        <f aca="false">B267+C267</f>
        <v>60900</v>
      </c>
      <c r="E267" s="126" t="n">
        <f aca="false">IF(Y267=0,0,IF(AND(Y267=1,$H$3=1),D267*T267,IF($H$3=2,D267,"N/A")))</f>
        <v>0</v>
      </c>
      <c r="F267" s="126" t="n">
        <f aca="false">E267*X267</f>
        <v>0</v>
      </c>
      <c r="G267" s="142" t="n">
        <f aca="false">VLOOKUP($A267,Table,MATCH(G$4,Curves,0))</f>
        <v>3.987</v>
      </c>
      <c r="H267" s="143" t="n">
        <f aca="false">G267</f>
        <v>3.987</v>
      </c>
      <c r="I267" s="142" t="n">
        <f aca="false">VLOOKUP($A267,Table1,MATCH(I$3,Curves1,0))</f>
        <v>3.7904</v>
      </c>
      <c r="J267" s="142" t="n">
        <f aca="false">VLOOKUP($A267,Table,MATCH(J$4,Curves,0))</f>
        <v>0.011</v>
      </c>
      <c r="K267" s="143" t="n">
        <f aca="false">J267</f>
        <v>0.011</v>
      </c>
      <c r="L267" s="144" t="n">
        <v>0</v>
      </c>
      <c r="M267" s="142" t="n">
        <f aca="false">VLOOKUP($A267,Table,MATCH(M$4,Curves,0))</f>
        <v>0.015</v>
      </c>
      <c r="N267" s="143" t="n">
        <f aca="false">M267</f>
        <v>0.015</v>
      </c>
      <c r="O267" s="144" t="n">
        <v>0</v>
      </c>
      <c r="P267" s="145"/>
      <c r="Q267" s="144" t="n">
        <f aca="false">M267+J267+G267</f>
        <v>4.013</v>
      </c>
      <c r="R267" s="144" t="n">
        <f aca="false">O267+L267+I267</f>
        <v>3.7904</v>
      </c>
      <c r="S267" s="145"/>
      <c r="T267" s="71" t="n">
        <f aca="false">A268-A267</f>
        <v>30</v>
      </c>
      <c r="U267" s="146" t="n">
        <f aca="false">CHOOSE(F$3,A268+24,A267)</f>
        <v>44859</v>
      </c>
      <c r="V267" s="71" t="n">
        <f aca="false">U267-C$3</f>
        <v>7971</v>
      </c>
      <c r="W267" s="142" t="n">
        <f aca="false">VLOOKUP($A267,Table,MATCH(W$4,Curves,0))</f>
        <v>0.058966861357273</v>
      </c>
      <c r="X267" s="147" t="n">
        <f aca="false">1/(1+CHOOSE(F$3,(W268+($K$3/10000))/2,(W267+($K$3/10000))/2))^(2*V267/365.25)</f>
        <v>0.281322877494302</v>
      </c>
      <c r="Y267" s="71" t="n">
        <f aca="false">IF(AND(mthbeg&lt;=A267,mthend&gt;=A267),1,0)</f>
        <v>0</v>
      </c>
      <c r="Z267" s="71" t="n">
        <f aca="false">T267*Y267</f>
        <v>0</v>
      </c>
      <c r="AB267" s="132" t="n">
        <f aca="false">F267*G267</f>
        <v>0</v>
      </c>
      <c r="AC267" s="132" t="n">
        <f aca="false">$F267*H267</f>
        <v>0</v>
      </c>
      <c r="AD267" s="132" t="n">
        <f aca="false">$F267*I267</f>
        <v>0</v>
      </c>
      <c r="AE267" s="132" t="n">
        <f aca="false">$F267*J267</f>
        <v>0</v>
      </c>
      <c r="AF267" s="132" t="n">
        <f aca="false">$F267*K267</f>
        <v>0</v>
      </c>
      <c r="AG267" s="132" t="n">
        <f aca="false">$F267*L267</f>
        <v>0</v>
      </c>
      <c r="AH267" s="132" t="n">
        <f aca="false">$F267*M267</f>
        <v>0</v>
      </c>
      <c r="AI267" s="132" t="n">
        <f aca="false">$F267*N267</f>
        <v>0</v>
      </c>
      <c r="AJ267" s="132" t="n">
        <f aca="false">F267*O267</f>
        <v>0</v>
      </c>
      <c r="AK267" s="137"/>
      <c r="AL267" s="132" t="n">
        <f aca="false">CHOOSE($G$3,AC267-AD267,AD267-AC267)</f>
        <v>0</v>
      </c>
      <c r="AM267" s="132" t="n">
        <f aca="false">CHOOSE($G$3,AF267-AG267,AG267-AF267)</f>
        <v>0</v>
      </c>
      <c r="AN267" s="132" t="n">
        <f aca="false">CHOOSE($G$3,AI267-AJ267,AJ267-AI267)</f>
        <v>0</v>
      </c>
      <c r="AO267" s="148" t="n">
        <f aca="false">SUM(AL267:AN267)</f>
        <v>0</v>
      </c>
      <c r="AQ267" s="132" t="n">
        <f aca="false">CHOOSE($G$3,AB267-AC267,AC267-AB267)</f>
        <v>0</v>
      </c>
      <c r="AR267" s="132" t="n">
        <f aca="false">CHOOSE($G$3,AE267-AF267,AF267-AE267)</f>
        <v>0</v>
      </c>
      <c r="AS267" s="132" t="n">
        <f aca="false">CHOOSE($G$3,AH267-AI267,AI267-AH267)</f>
        <v>0</v>
      </c>
      <c r="AT267" s="148" t="n">
        <f aca="false">AQ267+AR267+AS267</f>
        <v>0</v>
      </c>
      <c r="AU267" s="148"/>
      <c r="AV267" s="133" t="n">
        <f aca="false">AT267+AO267</f>
        <v>0</v>
      </c>
      <c r="AX267" s="133" t="n">
        <f aca="false">AJ267+AG267+AD267</f>
        <v>0</v>
      </c>
      <c r="AY267" s="149"/>
      <c r="AZ267" s="76" t="n">
        <f aca="false">R267*E267</f>
        <v>0</v>
      </c>
    </row>
    <row r="268" customFormat="false" ht="12" hidden="false" customHeight="true" outlineLevel="0" collapsed="false">
      <c r="A268" s="138" t="n">
        <f aca="false">EDATE(A267,1)</f>
        <v>44835</v>
      </c>
      <c r="B268" s="139" t="n">
        <f aca="false">VLOOKUP($A268,Table2,MATCH(I$3,Curves2,0))</f>
        <v>60900</v>
      </c>
      <c r="C268" s="140"/>
      <c r="D268" s="141" t="n">
        <f aca="false">B268+C268</f>
        <v>60900</v>
      </c>
      <c r="E268" s="126" t="n">
        <f aca="false">IF(Y268=0,0,IF(AND(Y268=1,$H$3=1),D268*T268,IF($H$3=2,D268,"N/A")))</f>
        <v>0</v>
      </c>
      <c r="F268" s="126" t="n">
        <f aca="false">E268*X268</f>
        <v>0</v>
      </c>
      <c r="G268" s="142" t="n">
        <f aca="false">VLOOKUP($A268,Table,MATCH(G$4,Curves,0))</f>
        <v>3.987</v>
      </c>
      <c r="H268" s="143" t="n">
        <f aca="false">G268</f>
        <v>3.987</v>
      </c>
      <c r="I268" s="142" t="n">
        <f aca="false">VLOOKUP($A268,Table1,MATCH(I$3,Curves1,0))</f>
        <v>3.7904</v>
      </c>
      <c r="J268" s="142" t="n">
        <f aca="false">VLOOKUP($A268,Table,MATCH(J$4,Curves,0))</f>
        <v>0.011</v>
      </c>
      <c r="K268" s="143" t="n">
        <f aca="false">J268</f>
        <v>0.011</v>
      </c>
      <c r="L268" s="144" t="n">
        <v>0</v>
      </c>
      <c r="M268" s="142" t="n">
        <f aca="false">VLOOKUP($A268,Table,MATCH(M$4,Curves,0))</f>
        <v>0.015</v>
      </c>
      <c r="N268" s="143" t="n">
        <f aca="false">M268</f>
        <v>0.015</v>
      </c>
      <c r="O268" s="144" t="n">
        <v>0</v>
      </c>
      <c r="P268" s="145"/>
      <c r="Q268" s="144" t="n">
        <f aca="false">M268+J268+G268</f>
        <v>4.013</v>
      </c>
      <c r="R268" s="144" t="n">
        <f aca="false">O268+L268+I268</f>
        <v>3.7904</v>
      </c>
      <c r="S268" s="145"/>
      <c r="T268" s="71" t="n">
        <f aca="false">A269-A268</f>
        <v>31</v>
      </c>
      <c r="U268" s="146" t="n">
        <f aca="false">CHOOSE(F$3,A269+24,A268)</f>
        <v>44890</v>
      </c>
      <c r="V268" s="71" t="n">
        <f aca="false">U268-C$3</f>
        <v>8002</v>
      </c>
      <c r="W268" s="142" t="n">
        <f aca="false">VLOOKUP($A268,Table,MATCH(W$4,Curves,0))</f>
        <v>0.058966861357273</v>
      </c>
      <c r="X268" s="147" t="n">
        <f aca="false">1/(1+CHOOSE(F$3,(W269+($K$3/10000))/2,(W268+($K$3/10000))/2))^(2*V268/365.25)</f>
        <v>0.27993870898096</v>
      </c>
      <c r="Y268" s="71" t="n">
        <f aca="false">IF(AND(mthbeg&lt;=A268,mthend&gt;=A268),1,0)</f>
        <v>0</v>
      </c>
      <c r="Z268" s="71" t="n">
        <f aca="false">T268*Y268</f>
        <v>0</v>
      </c>
      <c r="AB268" s="132" t="n">
        <f aca="false">F268*G268</f>
        <v>0</v>
      </c>
      <c r="AC268" s="132" t="n">
        <f aca="false">$F268*H268</f>
        <v>0</v>
      </c>
      <c r="AD268" s="132" t="n">
        <f aca="false">$F268*I268</f>
        <v>0</v>
      </c>
      <c r="AE268" s="132" t="n">
        <f aca="false">$F268*J268</f>
        <v>0</v>
      </c>
      <c r="AF268" s="132" t="n">
        <f aca="false">$F268*K268</f>
        <v>0</v>
      </c>
      <c r="AG268" s="132" t="n">
        <f aca="false">$F268*L268</f>
        <v>0</v>
      </c>
      <c r="AH268" s="132" t="n">
        <f aca="false">$F268*M268</f>
        <v>0</v>
      </c>
      <c r="AI268" s="132" t="n">
        <f aca="false">$F268*N268</f>
        <v>0</v>
      </c>
      <c r="AJ268" s="132" t="n">
        <f aca="false">F268*O268</f>
        <v>0</v>
      </c>
      <c r="AK268" s="137"/>
      <c r="AL268" s="132" t="n">
        <f aca="false">CHOOSE($G$3,AC268-AD268,AD268-AC268)</f>
        <v>0</v>
      </c>
      <c r="AM268" s="132" t="n">
        <f aca="false">CHOOSE($G$3,AF268-AG268,AG268-AF268)</f>
        <v>0</v>
      </c>
      <c r="AN268" s="132" t="n">
        <f aca="false">CHOOSE($G$3,AI268-AJ268,AJ268-AI268)</f>
        <v>0</v>
      </c>
      <c r="AO268" s="148" t="n">
        <f aca="false">SUM(AL268:AN268)</f>
        <v>0</v>
      </c>
      <c r="AQ268" s="132" t="n">
        <f aca="false">CHOOSE($G$3,AB268-AC268,AC268-AB268)</f>
        <v>0</v>
      </c>
      <c r="AR268" s="132" t="n">
        <f aca="false">CHOOSE($G$3,AE268-AF268,AF268-AE268)</f>
        <v>0</v>
      </c>
      <c r="AS268" s="132" t="n">
        <f aca="false">CHOOSE($G$3,AH268-AI268,AI268-AH268)</f>
        <v>0</v>
      </c>
      <c r="AT268" s="148" t="n">
        <f aca="false">AQ268+AR268+AS268</f>
        <v>0</v>
      </c>
      <c r="AU268" s="148"/>
      <c r="AV268" s="133" t="n">
        <f aca="false">AT268+AO268</f>
        <v>0</v>
      </c>
      <c r="AX268" s="133" t="n">
        <f aca="false">AJ268+AG268+AD268</f>
        <v>0</v>
      </c>
      <c r="AY268" s="149"/>
      <c r="AZ268" s="76" t="n">
        <f aca="false">R268*E268</f>
        <v>0</v>
      </c>
    </row>
    <row r="269" customFormat="false" ht="12" hidden="false" customHeight="true" outlineLevel="0" collapsed="false">
      <c r="A269" s="138" t="n">
        <f aca="false">EDATE(A268,1)</f>
        <v>44866</v>
      </c>
      <c r="B269" s="139" t="n">
        <f aca="false">VLOOKUP($A269,Table2,MATCH(I$3,Curves2,0))</f>
        <v>60900</v>
      </c>
      <c r="C269" s="140"/>
      <c r="D269" s="141" t="n">
        <f aca="false">B269+C269</f>
        <v>60900</v>
      </c>
      <c r="E269" s="126" t="n">
        <f aca="false">IF(Y269=0,0,IF(AND(Y269=1,$H$3=1),D269*T269,IF($H$3=2,D269,"N/A")))</f>
        <v>0</v>
      </c>
      <c r="F269" s="126" t="n">
        <f aca="false">E269*X269</f>
        <v>0</v>
      </c>
      <c r="G269" s="142" t="n">
        <f aca="false">VLOOKUP($A269,Table,MATCH(G$4,Curves,0))</f>
        <v>3.987</v>
      </c>
      <c r="H269" s="143" t="n">
        <f aca="false">G269</f>
        <v>3.987</v>
      </c>
      <c r="I269" s="142" t="n">
        <f aca="false">VLOOKUP($A269,Table1,MATCH(I$3,Curves1,0))</f>
        <v>3.7904</v>
      </c>
      <c r="J269" s="142" t="n">
        <f aca="false">VLOOKUP($A269,Table,MATCH(J$4,Curves,0))</f>
        <v>0.011</v>
      </c>
      <c r="K269" s="143" t="n">
        <f aca="false">J269</f>
        <v>0.011</v>
      </c>
      <c r="L269" s="144" t="n">
        <v>0</v>
      </c>
      <c r="M269" s="142" t="n">
        <f aca="false">VLOOKUP($A269,Table,MATCH(M$4,Curves,0))</f>
        <v>0.015</v>
      </c>
      <c r="N269" s="143" t="n">
        <f aca="false">M269</f>
        <v>0.015</v>
      </c>
      <c r="O269" s="144" t="n">
        <v>0</v>
      </c>
      <c r="P269" s="145"/>
      <c r="Q269" s="144" t="n">
        <f aca="false">M269+J269+G269</f>
        <v>4.013</v>
      </c>
      <c r="R269" s="144" t="n">
        <f aca="false">O269+L269+I269</f>
        <v>3.7904</v>
      </c>
      <c r="S269" s="145"/>
      <c r="T269" s="71" t="n">
        <f aca="false">A270-A269</f>
        <v>30</v>
      </c>
      <c r="U269" s="146" t="n">
        <f aca="false">CHOOSE(F$3,A270+24,A269)</f>
        <v>44920</v>
      </c>
      <c r="V269" s="71" t="n">
        <f aca="false">U269-C$3</f>
        <v>8032</v>
      </c>
      <c r="W269" s="142" t="n">
        <f aca="false">VLOOKUP($A269,Table,MATCH(W$4,Curves,0))</f>
        <v>0.058966861357273</v>
      </c>
      <c r="X269" s="147" t="n">
        <f aca="false">1/(1+CHOOSE(F$3,(W270+($K$3/10000))/2,(W269+($K$3/10000))/2))^(2*V269/365.25)</f>
        <v>0.278605675820115</v>
      </c>
      <c r="Y269" s="71" t="n">
        <f aca="false">IF(AND(mthbeg&lt;=A269,mthend&gt;=A269),1,0)</f>
        <v>0</v>
      </c>
      <c r="Z269" s="71" t="n">
        <f aca="false">T269*Y269</f>
        <v>0</v>
      </c>
      <c r="AB269" s="132" t="n">
        <f aca="false">F269*G269</f>
        <v>0</v>
      </c>
      <c r="AC269" s="132" t="n">
        <f aca="false">$F269*H269</f>
        <v>0</v>
      </c>
      <c r="AD269" s="132" t="n">
        <f aca="false">$F269*I269</f>
        <v>0</v>
      </c>
      <c r="AE269" s="132" t="n">
        <f aca="false">$F269*J269</f>
        <v>0</v>
      </c>
      <c r="AF269" s="132" t="n">
        <f aca="false">$F269*K269</f>
        <v>0</v>
      </c>
      <c r="AG269" s="132" t="n">
        <f aca="false">$F269*L269</f>
        <v>0</v>
      </c>
      <c r="AH269" s="132" t="n">
        <f aca="false">$F269*M269</f>
        <v>0</v>
      </c>
      <c r="AI269" s="132" t="n">
        <f aca="false">$F269*N269</f>
        <v>0</v>
      </c>
      <c r="AJ269" s="132" t="n">
        <f aca="false">F269*O269</f>
        <v>0</v>
      </c>
      <c r="AK269" s="137"/>
      <c r="AL269" s="132" t="n">
        <f aca="false">CHOOSE($G$3,AC269-AD269,AD269-AC269)</f>
        <v>0</v>
      </c>
      <c r="AM269" s="132" t="n">
        <f aca="false">CHOOSE($G$3,AF269-AG269,AG269-AF269)</f>
        <v>0</v>
      </c>
      <c r="AN269" s="132" t="n">
        <f aca="false">CHOOSE($G$3,AI269-AJ269,AJ269-AI269)</f>
        <v>0</v>
      </c>
      <c r="AO269" s="148" t="n">
        <f aca="false">SUM(AL269:AN269)</f>
        <v>0</v>
      </c>
      <c r="AQ269" s="132" t="n">
        <f aca="false">CHOOSE($G$3,AB269-AC269,AC269-AB269)</f>
        <v>0</v>
      </c>
      <c r="AR269" s="132" t="n">
        <f aca="false">CHOOSE($G$3,AE269-AF269,AF269-AE269)</f>
        <v>0</v>
      </c>
      <c r="AS269" s="132" t="n">
        <f aca="false">CHOOSE($G$3,AH269-AI269,AI269-AH269)</f>
        <v>0</v>
      </c>
      <c r="AT269" s="148" t="n">
        <f aca="false">AQ269+AR269+AS269</f>
        <v>0</v>
      </c>
      <c r="AU269" s="148"/>
      <c r="AV269" s="133" t="n">
        <f aca="false">AT269+AO269</f>
        <v>0</v>
      </c>
      <c r="AX269" s="133" t="n">
        <f aca="false">AJ269+AG269+AD269</f>
        <v>0</v>
      </c>
      <c r="AY269" s="149"/>
      <c r="AZ269" s="76" t="n">
        <f aca="false">R269*E269</f>
        <v>0</v>
      </c>
    </row>
    <row r="270" customFormat="false" ht="12" hidden="false" customHeight="true" outlineLevel="0" collapsed="false">
      <c r="A270" s="138" t="n">
        <f aca="false">EDATE(A269,1)</f>
        <v>44896</v>
      </c>
      <c r="B270" s="139" t="n">
        <f aca="false">VLOOKUP($A270,Table2,MATCH(I$3,Curves2,0))</f>
        <v>60900</v>
      </c>
      <c r="C270" s="140"/>
      <c r="D270" s="141" t="n">
        <f aca="false">B270+C270</f>
        <v>60900</v>
      </c>
      <c r="E270" s="126" t="n">
        <f aca="false">IF(Y270=0,0,IF(AND(Y270=1,$H$3=1),D270*T270,IF($H$3=2,D270,"N/A")))</f>
        <v>0</v>
      </c>
      <c r="F270" s="126" t="n">
        <f aca="false">E270*X270</f>
        <v>0</v>
      </c>
      <c r="G270" s="142" t="n">
        <f aca="false">VLOOKUP($A270,Table,MATCH(G$4,Curves,0))</f>
        <v>3.987</v>
      </c>
      <c r="H270" s="143" t="n">
        <f aca="false">G270</f>
        <v>3.987</v>
      </c>
      <c r="I270" s="142" t="n">
        <f aca="false">VLOOKUP($A270,Table1,MATCH(I$3,Curves1,0))</f>
        <v>3.7904</v>
      </c>
      <c r="J270" s="142" t="n">
        <f aca="false">VLOOKUP($A270,Table,MATCH(J$4,Curves,0))</f>
        <v>0.011</v>
      </c>
      <c r="K270" s="143" t="n">
        <f aca="false">J270</f>
        <v>0.011</v>
      </c>
      <c r="L270" s="144" t="n">
        <v>0</v>
      </c>
      <c r="M270" s="142" t="n">
        <f aca="false">VLOOKUP($A270,Table,MATCH(M$4,Curves,0))</f>
        <v>0.015</v>
      </c>
      <c r="N270" s="143" t="n">
        <f aca="false">M270</f>
        <v>0.015</v>
      </c>
      <c r="O270" s="144" t="n">
        <v>0</v>
      </c>
      <c r="P270" s="145"/>
      <c r="Q270" s="144" t="n">
        <f aca="false">M270+J270+G270</f>
        <v>4.013</v>
      </c>
      <c r="R270" s="144" t="n">
        <f aca="false">O270+L270+I270</f>
        <v>3.7904</v>
      </c>
      <c r="S270" s="145"/>
      <c r="T270" s="71" t="n">
        <f aca="false">A271-A270</f>
        <v>31</v>
      </c>
      <c r="U270" s="146" t="n">
        <f aca="false">CHOOSE(F$3,A271+24,A270)</f>
        <v>44951</v>
      </c>
      <c r="V270" s="71" t="n">
        <f aca="false">U270-C$3</f>
        <v>8063</v>
      </c>
      <c r="W270" s="142" t="n">
        <f aca="false">VLOOKUP($A270,Table,MATCH(W$4,Curves,0))</f>
        <v>0.058966861357273</v>
      </c>
      <c r="X270" s="147" t="n">
        <f aca="false">1/(1+CHOOSE(F$3,(W271+($K$3/10000))/2,(W270+($K$3/10000))/2))^(2*V270/365.25)</f>
        <v>0.277234876518105</v>
      </c>
      <c r="Y270" s="71" t="n">
        <f aca="false">IF(AND(mthbeg&lt;=A270,mthend&gt;=A270),1,0)</f>
        <v>0</v>
      </c>
      <c r="Z270" s="71" t="n">
        <f aca="false">T270*Y270</f>
        <v>0</v>
      </c>
      <c r="AB270" s="132" t="n">
        <f aca="false">F270*G270</f>
        <v>0</v>
      </c>
      <c r="AC270" s="132" t="n">
        <f aca="false">$F270*H270</f>
        <v>0</v>
      </c>
      <c r="AD270" s="132" t="n">
        <f aca="false">$F270*I270</f>
        <v>0</v>
      </c>
      <c r="AE270" s="132" t="n">
        <f aca="false">$F270*J270</f>
        <v>0</v>
      </c>
      <c r="AF270" s="132" t="n">
        <f aca="false">$F270*K270</f>
        <v>0</v>
      </c>
      <c r="AG270" s="132" t="n">
        <f aca="false">$F270*L270</f>
        <v>0</v>
      </c>
      <c r="AH270" s="132" t="n">
        <f aca="false">$F270*M270</f>
        <v>0</v>
      </c>
      <c r="AI270" s="132" t="n">
        <f aca="false">$F270*N270</f>
        <v>0</v>
      </c>
      <c r="AJ270" s="132" t="n">
        <f aca="false">F270*O270</f>
        <v>0</v>
      </c>
      <c r="AK270" s="137"/>
      <c r="AL270" s="132" t="n">
        <f aca="false">CHOOSE($G$3,AC270-AD270,AD270-AC270)</f>
        <v>0</v>
      </c>
      <c r="AM270" s="132" t="n">
        <f aca="false">CHOOSE($G$3,AF270-AG270,AG270-AF270)</f>
        <v>0</v>
      </c>
      <c r="AN270" s="132" t="n">
        <f aca="false">CHOOSE($G$3,AI270-AJ270,AJ270-AI270)</f>
        <v>0</v>
      </c>
      <c r="AO270" s="148" t="n">
        <f aca="false">SUM(AL270:AN270)</f>
        <v>0</v>
      </c>
      <c r="AQ270" s="132" t="n">
        <f aca="false">CHOOSE($G$3,AB270-AC270,AC270-AB270)</f>
        <v>0</v>
      </c>
      <c r="AR270" s="132" t="n">
        <f aca="false">CHOOSE($G$3,AE270-AF270,AF270-AE270)</f>
        <v>0</v>
      </c>
      <c r="AS270" s="132" t="n">
        <f aca="false">CHOOSE($G$3,AH270-AI270,AI270-AH270)</f>
        <v>0</v>
      </c>
      <c r="AT270" s="148" t="n">
        <f aca="false">AQ270+AR270+AS270</f>
        <v>0</v>
      </c>
      <c r="AU270" s="148"/>
      <c r="AV270" s="133" t="n">
        <f aca="false">AT270+AO270</f>
        <v>0</v>
      </c>
      <c r="AX270" s="133" t="n">
        <f aca="false">AJ270+AG270+AD270</f>
        <v>0</v>
      </c>
      <c r="AY270" s="149"/>
      <c r="AZ270" s="76" t="n">
        <f aca="false">R270*E270</f>
        <v>0</v>
      </c>
    </row>
    <row r="271" customFormat="false" ht="12" hidden="false" customHeight="true" outlineLevel="0" collapsed="false">
      <c r="A271" s="138" t="n">
        <f aca="false">EDATE(A270,1)</f>
        <v>44927</v>
      </c>
      <c r="B271" s="139" t="n">
        <f aca="false">VLOOKUP($A271,Table2,MATCH(I$3,Curves2,0))</f>
        <v>60900</v>
      </c>
      <c r="C271" s="140"/>
      <c r="D271" s="141" t="n">
        <f aca="false">B271+C271</f>
        <v>60900</v>
      </c>
      <c r="E271" s="126" t="n">
        <f aca="false">IF(Y271=0,0,IF(AND(Y271=1,$H$3=1),D271*T271,IF($H$3=2,D271,"N/A")))</f>
        <v>0</v>
      </c>
      <c r="F271" s="126" t="n">
        <f aca="false">E271*X271</f>
        <v>0</v>
      </c>
      <c r="G271" s="142" t="n">
        <f aca="false">VLOOKUP($A271,Table,MATCH(G$4,Curves,0))</f>
        <v>3.987</v>
      </c>
      <c r="H271" s="143" t="n">
        <f aca="false">G271</f>
        <v>3.987</v>
      </c>
      <c r="I271" s="142" t="n">
        <f aca="false">VLOOKUP($A271,Table1,MATCH(I$3,Curves1,0))</f>
        <v>3.7904</v>
      </c>
      <c r="J271" s="142" t="n">
        <f aca="false">VLOOKUP($A271,Table,MATCH(J$4,Curves,0))</f>
        <v>0.011</v>
      </c>
      <c r="K271" s="143" t="n">
        <f aca="false">J271</f>
        <v>0.011</v>
      </c>
      <c r="L271" s="144" t="n">
        <v>0</v>
      </c>
      <c r="M271" s="142" t="n">
        <f aca="false">VLOOKUP($A271,Table,MATCH(M$4,Curves,0))</f>
        <v>0.015</v>
      </c>
      <c r="N271" s="143" t="n">
        <f aca="false">M271</f>
        <v>0.015</v>
      </c>
      <c r="O271" s="144" t="n">
        <v>0</v>
      </c>
      <c r="P271" s="145"/>
      <c r="Q271" s="144" t="n">
        <f aca="false">M271+J271+G271</f>
        <v>4.013</v>
      </c>
      <c r="R271" s="144" t="n">
        <f aca="false">O271+L271+I271</f>
        <v>3.7904</v>
      </c>
      <c r="S271" s="145"/>
      <c r="T271" s="71" t="n">
        <f aca="false">A272-A271</f>
        <v>31</v>
      </c>
      <c r="U271" s="146" t="n">
        <f aca="false">CHOOSE(F$3,A272+24,A271)</f>
        <v>44982</v>
      </c>
      <c r="V271" s="71" t="n">
        <f aca="false">U271-C$3</f>
        <v>8094</v>
      </c>
      <c r="W271" s="142" t="n">
        <f aca="false">VLOOKUP($A271,Table,MATCH(W$4,Curves,0))</f>
        <v>0.058966861357273</v>
      </c>
      <c r="X271" s="147" t="n">
        <f aca="false">1/(1+CHOOSE(F$3,(W272+($K$3/10000))/2,(W271+($K$3/10000))/2))^(2*V271/365.25)</f>
        <v>0.275870821840808</v>
      </c>
      <c r="Y271" s="71" t="n">
        <f aca="false">IF(AND(mthbeg&lt;=A271,mthend&gt;=A271),1,0)</f>
        <v>0</v>
      </c>
      <c r="Z271" s="71" t="n">
        <f aca="false">T271*Y271</f>
        <v>0</v>
      </c>
      <c r="AB271" s="132" t="n">
        <f aca="false">F271*G271</f>
        <v>0</v>
      </c>
      <c r="AC271" s="132" t="n">
        <f aca="false">$F271*H271</f>
        <v>0</v>
      </c>
      <c r="AD271" s="132" t="n">
        <f aca="false">$F271*I271</f>
        <v>0</v>
      </c>
      <c r="AE271" s="132" t="n">
        <f aca="false">$F271*J271</f>
        <v>0</v>
      </c>
      <c r="AF271" s="132" t="n">
        <f aca="false">$F271*K271</f>
        <v>0</v>
      </c>
      <c r="AG271" s="132" t="n">
        <f aca="false">$F271*L271</f>
        <v>0</v>
      </c>
      <c r="AH271" s="132" t="n">
        <f aca="false">$F271*M271</f>
        <v>0</v>
      </c>
      <c r="AI271" s="132" t="n">
        <f aca="false">$F271*N271</f>
        <v>0</v>
      </c>
      <c r="AJ271" s="132" t="n">
        <f aca="false">F271*O271</f>
        <v>0</v>
      </c>
      <c r="AK271" s="137"/>
      <c r="AL271" s="132" t="n">
        <f aca="false">CHOOSE($G$3,AC271-AD271,AD271-AC271)</f>
        <v>0</v>
      </c>
      <c r="AM271" s="132" t="n">
        <f aca="false">CHOOSE($G$3,AF271-AG271,AG271-AF271)</f>
        <v>0</v>
      </c>
      <c r="AN271" s="132" t="n">
        <f aca="false">CHOOSE($G$3,AI271-AJ271,AJ271-AI271)</f>
        <v>0</v>
      </c>
      <c r="AO271" s="148" t="n">
        <f aca="false">SUM(AL271:AN271)</f>
        <v>0</v>
      </c>
      <c r="AQ271" s="132" t="n">
        <f aca="false">CHOOSE($G$3,AB271-AC271,AC271-AB271)</f>
        <v>0</v>
      </c>
      <c r="AR271" s="132" t="n">
        <f aca="false">CHOOSE($G$3,AE271-AF271,AF271-AE271)</f>
        <v>0</v>
      </c>
      <c r="AS271" s="132" t="n">
        <f aca="false">CHOOSE($G$3,AH271-AI271,AI271-AH271)</f>
        <v>0</v>
      </c>
      <c r="AT271" s="148" t="n">
        <f aca="false">AQ271+AR271+AS271</f>
        <v>0</v>
      </c>
      <c r="AU271" s="148"/>
      <c r="AV271" s="133" t="n">
        <f aca="false">AT271+AO271</f>
        <v>0</v>
      </c>
      <c r="AX271" s="133" t="n">
        <f aca="false">AJ271+AG271+AD271</f>
        <v>0</v>
      </c>
      <c r="AY271" s="149"/>
      <c r="AZ271" s="76" t="n">
        <f aca="false">R271*E271</f>
        <v>0</v>
      </c>
    </row>
    <row r="272" customFormat="false" ht="12" hidden="false" customHeight="true" outlineLevel="0" collapsed="false">
      <c r="A272" s="138" t="n">
        <f aca="false">EDATE(A271,1)</f>
        <v>44958</v>
      </c>
      <c r="B272" s="139" t="n">
        <f aca="false">VLOOKUP($A272,Table2,MATCH(I$3,Curves2,0))</f>
        <v>60900</v>
      </c>
      <c r="C272" s="140"/>
      <c r="D272" s="141" t="n">
        <f aca="false">B272+C272</f>
        <v>60900</v>
      </c>
      <c r="E272" s="126" t="n">
        <f aca="false">IF(Y272=0,0,IF(AND(Y272=1,$H$3=1),D272*T272,IF($H$3=2,D272,"N/A")))</f>
        <v>0</v>
      </c>
      <c r="F272" s="126" t="n">
        <f aca="false">E272*X272</f>
        <v>0</v>
      </c>
      <c r="G272" s="142" t="n">
        <f aca="false">VLOOKUP($A272,Table,MATCH(G$4,Curves,0))</f>
        <v>3.987</v>
      </c>
      <c r="H272" s="143" t="n">
        <f aca="false">G272</f>
        <v>3.987</v>
      </c>
      <c r="I272" s="142" t="n">
        <f aca="false">VLOOKUP($A272,Table1,MATCH(I$3,Curves1,0))</f>
        <v>3.7904</v>
      </c>
      <c r="J272" s="142" t="n">
        <f aca="false">VLOOKUP($A272,Table,MATCH(J$4,Curves,0))</f>
        <v>0.011</v>
      </c>
      <c r="K272" s="143" t="n">
        <f aca="false">J272</f>
        <v>0.011</v>
      </c>
      <c r="L272" s="144" t="n">
        <v>0</v>
      </c>
      <c r="M272" s="142" t="n">
        <f aca="false">VLOOKUP($A272,Table,MATCH(M$4,Curves,0))</f>
        <v>0.015</v>
      </c>
      <c r="N272" s="143" t="n">
        <f aca="false">M272</f>
        <v>0.015</v>
      </c>
      <c r="O272" s="144" t="n">
        <v>0</v>
      </c>
      <c r="P272" s="145"/>
      <c r="Q272" s="144" t="n">
        <f aca="false">M272+J272+G272</f>
        <v>4.013</v>
      </c>
      <c r="R272" s="144" t="n">
        <f aca="false">O272+L272+I272</f>
        <v>3.7904</v>
      </c>
      <c r="S272" s="145"/>
      <c r="T272" s="71" t="n">
        <f aca="false">A273-A272</f>
        <v>28</v>
      </c>
      <c r="U272" s="146" t="n">
        <f aca="false">CHOOSE(F$3,A273+24,A272)</f>
        <v>45010</v>
      </c>
      <c r="V272" s="71" t="n">
        <f aca="false">U272-C$3</f>
        <v>8122</v>
      </c>
      <c r="W272" s="142" t="n">
        <f aca="false">VLOOKUP($A272,Table,MATCH(W$4,Curves,0))</f>
        <v>0.058966861357273</v>
      </c>
      <c r="X272" s="147" t="n">
        <f aca="false">1/(1+CHOOSE(F$3,(W273+($K$3/10000))/2,(W272+($K$3/10000))/2))^(2*V272/365.25)</f>
        <v>0.274644541997286</v>
      </c>
      <c r="Y272" s="71" t="n">
        <f aca="false">IF(AND(mthbeg&lt;=A272,mthend&gt;=A272),1,0)</f>
        <v>0</v>
      </c>
      <c r="Z272" s="71" t="n">
        <f aca="false">T272*Y272</f>
        <v>0</v>
      </c>
      <c r="AB272" s="132" t="n">
        <f aca="false">F272*G272</f>
        <v>0</v>
      </c>
      <c r="AC272" s="132" t="n">
        <f aca="false">$F272*H272</f>
        <v>0</v>
      </c>
      <c r="AD272" s="132" t="n">
        <f aca="false">$F272*I272</f>
        <v>0</v>
      </c>
      <c r="AE272" s="132" t="n">
        <f aca="false">$F272*J272</f>
        <v>0</v>
      </c>
      <c r="AF272" s="132" t="n">
        <f aca="false">$F272*K272</f>
        <v>0</v>
      </c>
      <c r="AG272" s="132" t="n">
        <f aca="false">$F272*L272</f>
        <v>0</v>
      </c>
      <c r="AH272" s="132" t="n">
        <f aca="false">$F272*M272</f>
        <v>0</v>
      </c>
      <c r="AI272" s="132" t="n">
        <f aca="false">$F272*N272</f>
        <v>0</v>
      </c>
      <c r="AJ272" s="132" t="n">
        <f aca="false">F272*O272</f>
        <v>0</v>
      </c>
      <c r="AK272" s="137"/>
      <c r="AL272" s="132" t="n">
        <f aca="false">CHOOSE($G$3,AC272-AD272,AD272-AC272)</f>
        <v>0</v>
      </c>
      <c r="AM272" s="132" t="n">
        <f aca="false">CHOOSE($G$3,AF272-AG272,AG272-AF272)</f>
        <v>0</v>
      </c>
      <c r="AN272" s="132" t="n">
        <f aca="false">CHOOSE($G$3,AI272-AJ272,AJ272-AI272)</f>
        <v>0</v>
      </c>
      <c r="AO272" s="148" t="n">
        <f aca="false">SUM(AL272:AN272)</f>
        <v>0</v>
      </c>
      <c r="AQ272" s="132" t="n">
        <f aca="false">CHOOSE($G$3,AB272-AC272,AC272-AB272)</f>
        <v>0</v>
      </c>
      <c r="AR272" s="132" t="n">
        <f aca="false">CHOOSE($G$3,AE272-AF272,AF272-AE272)</f>
        <v>0</v>
      </c>
      <c r="AS272" s="132" t="n">
        <f aca="false">CHOOSE($G$3,AH272-AI272,AI272-AH272)</f>
        <v>0</v>
      </c>
      <c r="AT272" s="148" t="n">
        <f aca="false">AQ272+AR272+AS272</f>
        <v>0</v>
      </c>
      <c r="AU272" s="148"/>
      <c r="AV272" s="133" t="n">
        <f aca="false">AT272+AO272</f>
        <v>0</v>
      </c>
      <c r="AX272" s="133" t="n">
        <f aca="false">AJ272+AG272+AD272</f>
        <v>0</v>
      </c>
      <c r="AY272" s="149"/>
      <c r="AZ272" s="76" t="n">
        <f aca="false">R272*E272</f>
        <v>0</v>
      </c>
    </row>
    <row r="273" customFormat="false" ht="12" hidden="false" customHeight="true" outlineLevel="0" collapsed="false">
      <c r="A273" s="138" t="n">
        <f aca="false">EDATE(A272,1)</f>
        <v>44986</v>
      </c>
      <c r="B273" s="139" t="n">
        <f aca="false">VLOOKUP($A273,Table2,MATCH(I$3,Curves2,0))</f>
        <v>60900</v>
      </c>
      <c r="C273" s="140"/>
      <c r="D273" s="141" t="n">
        <f aca="false">B273+C273</f>
        <v>60900</v>
      </c>
      <c r="E273" s="126" t="n">
        <f aca="false">IF(Y273=0,0,IF(AND(Y273=1,$H$3=1),D273*T273,IF($H$3=2,D273,"N/A")))</f>
        <v>0</v>
      </c>
      <c r="F273" s="126" t="n">
        <f aca="false">E273*X273</f>
        <v>0</v>
      </c>
      <c r="G273" s="142" t="n">
        <f aca="false">VLOOKUP($A273,Table,MATCH(G$4,Curves,0))</f>
        <v>3.987</v>
      </c>
      <c r="H273" s="143" t="n">
        <f aca="false">G273</f>
        <v>3.987</v>
      </c>
      <c r="I273" s="142" t="n">
        <f aca="false">VLOOKUP($A273,Table1,MATCH(I$3,Curves1,0))</f>
        <v>3.7904</v>
      </c>
      <c r="J273" s="142" t="n">
        <f aca="false">VLOOKUP($A273,Table,MATCH(J$4,Curves,0))</f>
        <v>0.011</v>
      </c>
      <c r="K273" s="143" t="n">
        <f aca="false">J273</f>
        <v>0.011</v>
      </c>
      <c r="L273" s="144" t="n">
        <v>0</v>
      </c>
      <c r="M273" s="142" t="n">
        <f aca="false">VLOOKUP($A273,Table,MATCH(M$4,Curves,0))</f>
        <v>0.015</v>
      </c>
      <c r="N273" s="143" t="n">
        <f aca="false">M273</f>
        <v>0.015</v>
      </c>
      <c r="O273" s="144" t="n">
        <v>0</v>
      </c>
      <c r="P273" s="145"/>
      <c r="Q273" s="144" t="n">
        <f aca="false">M273+J273+G273</f>
        <v>4.013</v>
      </c>
      <c r="R273" s="144" t="n">
        <f aca="false">O273+L273+I273</f>
        <v>3.7904</v>
      </c>
      <c r="S273" s="145"/>
      <c r="T273" s="71" t="n">
        <f aca="false">A274-A273</f>
        <v>31</v>
      </c>
      <c r="U273" s="146" t="n">
        <f aca="false">CHOOSE(F$3,A274+24,A273)</f>
        <v>45041</v>
      </c>
      <c r="V273" s="71" t="n">
        <f aca="false">U273-C$3</f>
        <v>8153</v>
      </c>
      <c r="W273" s="142" t="n">
        <f aca="false">VLOOKUP($A273,Table,MATCH(W$4,Curves,0))</f>
        <v>0.058966861357273</v>
      </c>
      <c r="X273" s="147" t="n">
        <f aca="false">1/(1+CHOOSE(F$3,(W274+($K$3/10000))/2,(W273+($K$3/10000))/2))^(2*V273/365.25)</f>
        <v>0.273293232317889</v>
      </c>
      <c r="Y273" s="71" t="n">
        <f aca="false">IF(AND(mthbeg&lt;=A273,mthend&gt;=A273),1,0)</f>
        <v>0</v>
      </c>
      <c r="Z273" s="71" t="n">
        <f aca="false">T273*Y273</f>
        <v>0</v>
      </c>
      <c r="AB273" s="132" t="n">
        <f aca="false">F273*G273</f>
        <v>0</v>
      </c>
      <c r="AC273" s="132" t="n">
        <f aca="false">$F273*H273</f>
        <v>0</v>
      </c>
      <c r="AD273" s="132" t="n">
        <f aca="false">$F273*I273</f>
        <v>0</v>
      </c>
      <c r="AE273" s="132" t="n">
        <f aca="false">$F273*J273</f>
        <v>0</v>
      </c>
      <c r="AF273" s="132" t="n">
        <f aca="false">$F273*K273</f>
        <v>0</v>
      </c>
      <c r="AG273" s="132" t="n">
        <f aca="false">$F273*L273</f>
        <v>0</v>
      </c>
      <c r="AH273" s="132" t="n">
        <f aca="false">$F273*M273</f>
        <v>0</v>
      </c>
      <c r="AI273" s="132" t="n">
        <f aca="false">$F273*N273</f>
        <v>0</v>
      </c>
      <c r="AJ273" s="132" t="n">
        <f aca="false">F273*O273</f>
        <v>0</v>
      </c>
      <c r="AK273" s="137"/>
      <c r="AL273" s="132" t="n">
        <f aca="false">CHOOSE($G$3,AC273-AD273,AD273-AC273)</f>
        <v>0</v>
      </c>
      <c r="AM273" s="132" t="n">
        <f aca="false">CHOOSE($G$3,AF273-AG273,AG273-AF273)</f>
        <v>0</v>
      </c>
      <c r="AN273" s="132" t="n">
        <f aca="false">CHOOSE($G$3,AI273-AJ273,AJ273-AI273)</f>
        <v>0</v>
      </c>
      <c r="AO273" s="148" t="n">
        <f aca="false">SUM(AL273:AN273)</f>
        <v>0</v>
      </c>
      <c r="AQ273" s="132" t="n">
        <f aca="false">CHOOSE($G$3,AB273-AC273,AC273-AB273)</f>
        <v>0</v>
      </c>
      <c r="AR273" s="132" t="n">
        <f aca="false">CHOOSE($G$3,AE273-AF273,AF273-AE273)</f>
        <v>0</v>
      </c>
      <c r="AS273" s="132" t="n">
        <f aca="false">CHOOSE($G$3,AH273-AI273,AI273-AH273)</f>
        <v>0</v>
      </c>
      <c r="AT273" s="148" t="n">
        <f aca="false">AQ273+AR273+AS273</f>
        <v>0</v>
      </c>
      <c r="AU273" s="148"/>
      <c r="AV273" s="133" t="n">
        <f aca="false">AT273+AO273</f>
        <v>0</v>
      </c>
      <c r="AX273" s="133" t="n">
        <f aca="false">AJ273+AG273+AD273</f>
        <v>0</v>
      </c>
      <c r="AY273" s="149"/>
      <c r="AZ273" s="76" t="n">
        <f aca="false">R273*E273</f>
        <v>0</v>
      </c>
    </row>
    <row r="274" customFormat="false" ht="12" hidden="false" customHeight="true" outlineLevel="0" collapsed="false">
      <c r="A274" s="138" t="n">
        <f aca="false">EDATE(A273,1)</f>
        <v>45017</v>
      </c>
      <c r="B274" s="139" t="n">
        <f aca="false">VLOOKUP($A274,Table2,MATCH(I$3,Curves2,0))</f>
        <v>60900</v>
      </c>
      <c r="C274" s="140"/>
      <c r="D274" s="141" t="n">
        <f aca="false">B274+C274</f>
        <v>60900</v>
      </c>
      <c r="E274" s="126" t="n">
        <f aca="false">IF(Y274=0,0,IF(AND(Y274=1,$H$3=1),D274*T274,IF($H$3=2,D274,"N/A")))</f>
        <v>0</v>
      </c>
      <c r="F274" s="126" t="n">
        <f aca="false">E274*X274</f>
        <v>0</v>
      </c>
      <c r="G274" s="142" t="n">
        <f aca="false">VLOOKUP($A274,Table,MATCH(G$4,Curves,0))</f>
        <v>3.987</v>
      </c>
      <c r="H274" s="143" t="n">
        <f aca="false">G274</f>
        <v>3.987</v>
      </c>
      <c r="I274" s="142" t="n">
        <f aca="false">VLOOKUP($A274,Table1,MATCH(I$3,Curves1,0))</f>
        <v>3.7904</v>
      </c>
      <c r="J274" s="142" t="n">
        <f aca="false">VLOOKUP($A274,Table,MATCH(J$4,Curves,0))</f>
        <v>0.011</v>
      </c>
      <c r="K274" s="143" t="n">
        <f aca="false">J274</f>
        <v>0.011</v>
      </c>
      <c r="L274" s="144" t="n">
        <v>0</v>
      </c>
      <c r="M274" s="142" t="n">
        <f aca="false">VLOOKUP($A274,Table,MATCH(M$4,Curves,0))</f>
        <v>0.015</v>
      </c>
      <c r="N274" s="143" t="n">
        <f aca="false">M274</f>
        <v>0.015</v>
      </c>
      <c r="O274" s="144" t="n">
        <v>0</v>
      </c>
      <c r="P274" s="145"/>
      <c r="Q274" s="144" t="n">
        <f aca="false">M274+J274+G274</f>
        <v>4.013</v>
      </c>
      <c r="R274" s="144" t="n">
        <f aca="false">O274+L274+I274</f>
        <v>3.7904</v>
      </c>
      <c r="S274" s="145"/>
      <c r="T274" s="71" t="n">
        <f aca="false">A275-A274</f>
        <v>30</v>
      </c>
      <c r="U274" s="146" t="n">
        <f aca="false">CHOOSE(F$3,A275+24,A274)</f>
        <v>45071</v>
      </c>
      <c r="V274" s="71" t="n">
        <f aca="false">U274-C$3</f>
        <v>8183</v>
      </c>
      <c r="W274" s="142" t="n">
        <f aca="false">VLOOKUP($A274,Table,MATCH(W$4,Curves,0))</f>
        <v>0.058966861357273</v>
      </c>
      <c r="X274" s="147" t="n">
        <f aca="false">1/(1+CHOOSE(F$3,(W275+($K$3/10000))/2,(W274+($K$3/10000))/2))^(2*V274/365.25)</f>
        <v>0.271991844086728</v>
      </c>
      <c r="Y274" s="71" t="n">
        <f aca="false">IF(AND(mthbeg&lt;=A274,mthend&gt;=A274),1,0)</f>
        <v>0</v>
      </c>
      <c r="Z274" s="71" t="n">
        <f aca="false">T274*Y274</f>
        <v>0</v>
      </c>
      <c r="AB274" s="132" t="n">
        <f aca="false">F274*G274</f>
        <v>0</v>
      </c>
      <c r="AC274" s="132" t="n">
        <f aca="false">$F274*H274</f>
        <v>0</v>
      </c>
      <c r="AD274" s="132" t="n">
        <f aca="false">$F274*I274</f>
        <v>0</v>
      </c>
      <c r="AE274" s="132" t="n">
        <f aca="false">$F274*J274</f>
        <v>0</v>
      </c>
      <c r="AF274" s="132" t="n">
        <f aca="false">$F274*K274</f>
        <v>0</v>
      </c>
      <c r="AG274" s="132" t="n">
        <f aca="false">$F274*L274</f>
        <v>0</v>
      </c>
      <c r="AH274" s="132" t="n">
        <f aca="false">$F274*M274</f>
        <v>0</v>
      </c>
      <c r="AI274" s="132" t="n">
        <f aca="false">$F274*N274</f>
        <v>0</v>
      </c>
      <c r="AJ274" s="132" t="n">
        <f aca="false">F274*O274</f>
        <v>0</v>
      </c>
      <c r="AK274" s="137"/>
      <c r="AL274" s="132" t="n">
        <f aca="false">CHOOSE($G$3,AC274-AD274,AD274-AC274)</f>
        <v>0</v>
      </c>
      <c r="AM274" s="132" t="n">
        <f aca="false">CHOOSE($G$3,AF274-AG274,AG274-AF274)</f>
        <v>0</v>
      </c>
      <c r="AN274" s="132" t="n">
        <f aca="false">CHOOSE($G$3,AI274-AJ274,AJ274-AI274)</f>
        <v>0</v>
      </c>
      <c r="AO274" s="148" t="n">
        <f aca="false">SUM(AL274:AN274)</f>
        <v>0</v>
      </c>
      <c r="AQ274" s="132" t="n">
        <f aca="false">CHOOSE($G$3,AB274-AC274,AC274-AB274)</f>
        <v>0</v>
      </c>
      <c r="AR274" s="132" t="n">
        <f aca="false">CHOOSE($G$3,AE274-AF274,AF274-AE274)</f>
        <v>0</v>
      </c>
      <c r="AS274" s="132" t="n">
        <f aca="false">CHOOSE($G$3,AH274-AI274,AI274-AH274)</f>
        <v>0</v>
      </c>
      <c r="AT274" s="148" t="n">
        <f aca="false">AQ274+AR274+AS274</f>
        <v>0</v>
      </c>
      <c r="AU274" s="148"/>
      <c r="AV274" s="133" t="n">
        <f aca="false">AT274+AO274</f>
        <v>0</v>
      </c>
      <c r="AX274" s="133" t="n">
        <f aca="false">AJ274+AG274+AD274</f>
        <v>0</v>
      </c>
      <c r="AY274" s="149"/>
      <c r="AZ274" s="76" t="n">
        <f aca="false">R274*E274</f>
        <v>0</v>
      </c>
    </row>
    <row r="275" customFormat="false" ht="12" hidden="false" customHeight="true" outlineLevel="0" collapsed="false">
      <c r="A275" s="138" t="n">
        <f aca="false">EDATE(A274,1)</f>
        <v>45047</v>
      </c>
      <c r="B275" s="139" t="n">
        <f aca="false">VLOOKUP($A275,Table2,MATCH(I$3,Curves2,0))</f>
        <v>60900</v>
      </c>
      <c r="C275" s="140"/>
      <c r="D275" s="141" t="n">
        <f aca="false">B275+C275</f>
        <v>60900</v>
      </c>
      <c r="E275" s="126" t="n">
        <f aca="false">IF(Y275=0,0,IF(AND(Y275=1,$H$3=1),D275*T275,IF($H$3=2,D275,"N/A")))</f>
        <v>0</v>
      </c>
      <c r="F275" s="126" t="n">
        <f aca="false">E275*X275</f>
        <v>0</v>
      </c>
      <c r="G275" s="142" t="n">
        <f aca="false">VLOOKUP($A275,Table,MATCH(G$4,Curves,0))</f>
        <v>3.987</v>
      </c>
      <c r="H275" s="143" t="n">
        <f aca="false">G275</f>
        <v>3.987</v>
      </c>
      <c r="I275" s="142" t="n">
        <f aca="false">VLOOKUP($A275,Table1,MATCH(I$3,Curves1,0))</f>
        <v>3.7904</v>
      </c>
      <c r="J275" s="142" t="n">
        <f aca="false">VLOOKUP($A275,Table,MATCH(J$4,Curves,0))</f>
        <v>0.011</v>
      </c>
      <c r="K275" s="143" t="n">
        <f aca="false">J275</f>
        <v>0.011</v>
      </c>
      <c r="L275" s="144" t="n">
        <v>0</v>
      </c>
      <c r="M275" s="142" t="n">
        <f aca="false">VLOOKUP($A275,Table,MATCH(M$4,Curves,0))</f>
        <v>0.015</v>
      </c>
      <c r="N275" s="143" t="n">
        <f aca="false">M275</f>
        <v>0.015</v>
      </c>
      <c r="O275" s="144" t="n">
        <v>0</v>
      </c>
      <c r="P275" s="145"/>
      <c r="Q275" s="144" t="n">
        <f aca="false">M275+J275+G275</f>
        <v>4.013</v>
      </c>
      <c r="R275" s="144" t="n">
        <f aca="false">O275+L275+I275</f>
        <v>3.7904</v>
      </c>
      <c r="S275" s="145"/>
      <c r="T275" s="71" t="n">
        <f aca="false">A276-A275</f>
        <v>31</v>
      </c>
      <c r="U275" s="146" t="n">
        <f aca="false">CHOOSE(F$3,A276+24,A275)</f>
        <v>45102</v>
      </c>
      <c r="V275" s="71" t="n">
        <f aca="false">U275-C$3</f>
        <v>8214</v>
      </c>
      <c r="W275" s="142" t="n">
        <f aca="false">VLOOKUP($A275,Table,MATCH(W$4,Curves,0))</f>
        <v>0.058966861357273</v>
      </c>
      <c r="X275" s="147" t="n">
        <f aca="false">1/(1+CHOOSE(F$3,(W276+($K$3/10000))/2,(W275+($K$3/10000))/2))^(2*V275/365.25)</f>
        <v>0.270653586246399</v>
      </c>
      <c r="Y275" s="71" t="n">
        <f aca="false">IF(AND(mthbeg&lt;=A275,mthend&gt;=A275),1,0)</f>
        <v>0</v>
      </c>
      <c r="Z275" s="71" t="n">
        <f aca="false">T275*Y275</f>
        <v>0</v>
      </c>
      <c r="AB275" s="132" t="n">
        <f aca="false">F275*G275</f>
        <v>0</v>
      </c>
      <c r="AC275" s="132" t="n">
        <f aca="false">$F275*H275</f>
        <v>0</v>
      </c>
      <c r="AD275" s="132" t="n">
        <f aca="false">$F275*I275</f>
        <v>0</v>
      </c>
      <c r="AE275" s="132" t="n">
        <f aca="false">$F275*J275</f>
        <v>0</v>
      </c>
      <c r="AF275" s="132" t="n">
        <f aca="false">$F275*K275</f>
        <v>0</v>
      </c>
      <c r="AG275" s="132" t="n">
        <f aca="false">$F275*L275</f>
        <v>0</v>
      </c>
      <c r="AH275" s="132" t="n">
        <f aca="false">$F275*M275</f>
        <v>0</v>
      </c>
      <c r="AI275" s="132" t="n">
        <f aca="false">$F275*N275</f>
        <v>0</v>
      </c>
      <c r="AJ275" s="132" t="n">
        <f aca="false">F275*O275</f>
        <v>0</v>
      </c>
      <c r="AK275" s="137"/>
      <c r="AL275" s="132" t="n">
        <f aca="false">CHOOSE($G$3,AC275-AD275,AD275-AC275)</f>
        <v>0</v>
      </c>
      <c r="AM275" s="132" t="n">
        <f aca="false">CHOOSE($G$3,AF275-AG275,AG275-AF275)</f>
        <v>0</v>
      </c>
      <c r="AN275" s="132" t="n">
        <f aca="false">CHOOSE($G$3,AI275-AJ275,AJ275-AI275)</f>
        <v>0</v>
      </c>
      <c r="AO275" s="148" t="n">
        <f aca="false">SUM(AL275:AN275)</f>
        <v>0</v>
      </c>
      <c r="AQ275" s="132" t="n">
        <f aca="false">CHOOSE($G$3,AB275-AC275,AC275-AB275)</f>
        <v>0</v>
      </c>
      <c r="AR275" s="132" t="n">
        <f aca="false">CHOOSE($G$3,AE275-AF275,AF275-AE275)</f>
        <v>0</v>
      </c>
      <c r="AS275" s="132" t="n">
        <f aca="false">CHOOSE($G$3,AH275-AI275,AI275-AH275)</f>
        <v>0</v>
      </c>
      <c r="AT275" s="148" t="n">
        <f aca="false">AQ275+AR275+AS275</f>
        <v>0</v>
      </c>
      <c r="AU275" s="148"/>
      <c r="AV275" s="133" t="n">
        <f aca="false">AT275+AO275</f>
        <v>0</v>
      </c>
      <c r="AX275" s="133" t="n">
        <f aca="false">AJ275+AG275+AD275</f>
        <v>0</v>
      </c>
      <c r="AY275" s="149"/>
      <c r="AZ275" s="76" t="n">
        <f aca="false">R275*E275</f>
        <v>0</v>
      </c>
    </row>
    <row r="276" customFormat="false" ht="12" hidden="false" customHeight="true" outlineLevel="0" collapsed="false">
      <c r="A276" s="138" t="n">
        <f aca="false">EDATE(A275,1)</f>
        <v>45078</v>
      </c>
      <c r="B276" s="139" t="n">
        <f aca="false">VLOOKUP($A276,Table2,MATCH(I$3,Curves2,0))</f>
        <v>60900</v>
      </c>
      <c r="C276" s="140"/>
      <c r="D276" s="141" t="n">
        <f aca="false">B276+C276</f>
        <v>60900</v>
      </c>
      <c r="E276" s="126" t="n">
        <f aca="false">IF(Y276=0,0,IF(AND(Y276=1,$H$3=1),D276*T276,IF($H$3=2,D276,"N/A")))</f>
        <v>0</v>
      </c>
      <c r="F276" s="126" t="n">
        <f aca="false">E276*X276</f>
        <v>0</v>
      </c>
      <c r="G276" s="142" t="n">
        <f aca="false">VLOOKUP($A276,Table,MATCH(G$4,Curves,0))</f>
        <v>3.987</v>
      </c>
      <c r="H276" s="143" t="n">
        <f aca="false">G276</f>
        <v>3.987</v>
      </c>
      <c r="I276" s="142" t="n">
        <f aca="false">VLOOKUP($A276,Table1,MATCH(I$3,Curves1,0))</f>
        <v>3.7904</v>
      </c>
      <c r="J276" s="142" t="n">
        <f aca="false">VLOOKUP($A276,Table,MATCH(J$4,Curves,0))</f>
        <v>0.011</v>
      </c>
      <c r="K276" s="143" t="n">
        <f aca="false">J276</f>
        <v>0.011</v>
      </c>
      <c r="L276" s="144" t="n">
        <v>0</v>
      </c>
      <c r="M276" s="142" t="n">
        <f aca="false">VLOOKUP($A276,Table,MATCH(M$4,Curves,0))</f>
        <v>0.015</v>
      </c>
      <c r="N276" s="143" t="n">
        <f aca="false">M276</f>
        <v>0.015</v>
      </c>
      <c r="O276" s="144" t="n">
        <v>0</v>
      </c>
      <c r="P276" s="145"/>
      <c r="Q276" s="144" t="n">
        <f aca="false">M276+J276+G276</f>
        <v>4.013</v>
      </c>
      <c r="R276" s="144" t="n">
        <f aca="false">O276+L276+I276</f>
        <v>3.7904</v>
      </c>
      <c r="S276" s="145"/>
      <c r="T276" s="71" t="n">
        <f aca="false">A277-A276</f>
        <v>30</v>
      </c>
      <c r="U276" s="146" t="n">
        <f aca="false">CHOOSE(F$3,A277+24,A276)</f>
        <v>45132</v>
      </c>
      <c r="V276" s="71" t="n">
        <f aca="false">U276-C$3</f>
        <v>8244</v>
      </c>
      <c r="W276" s="142" t="n">
        <f aca="false">VLOOKUP($A276,Table,MATCH(W$4,Curves,0))</f>
        <v>0.058966861357273</v>
      </c>
      <c r="X276" s="147" t="n">
        <f aca="false">1/(1+CHOOSE(F$3,(W277+($K$3/10000))/2,(W276+($K$3/10000))/2))^(2*V276/365.25)</f>
        <v>0.269364767680073</v>
      </c>
      <c r="Y276" s="71" t="n">
        <f aca="false">IF(AND(mthbeg&lt;=A276,mthend&gt;=A276),1,0)</f>
        <v>0</v>
      </c>
      <c r="Z276" s="71" t="n">
        <f aca="false">T276*Y276</f>
        <v>0</v>
      </c>
      <c r="AB276" s="132" t="n">
        <f aca="false">F276*G276</f>
        <v>0</v>
      </c>
      <c r="AC276" s="132" t="n">
        <f aca="false">$F276*H276</f>
        <v>0</v>
      </c>
      <c r="AD276" s="132" t="n">
        <f aca="false">$F276*I276</f>
        <v>0</v>
      </c>
      <c r="AE276" s="132" t="n">
        <f aca="false">$F276*J276</f>
        <v>0</v>
      </c>
      <c r="AF276" s="132" t="n">
        <f aca="false">$F276*K276</f>
        <v>0</v>
      </c>
      <c r="AG276" s="132" t="n">
        <f aca="false">$F276*L276</f>
        <v>0</v>
      </c>
      <c r="AH276" s="132" t="n">
        <f aca="false">$F276*M276</f>
        <v>0</v>
      </c>
      <c r="AI276" s="132" t="n">
        <f aca="false">$F276*N276</f>
        <v>0</v>
      </c>
      <c r="AJ276" s="132" t="n">
        <f aca="false">F276*O276</f>
        <v>0</v>
      </c>
      <c r="AK276" s="137"/>
      <c r="AL276" s="132" t="n">
        <f aca="false">CHOOSE($G$3,AC276-AD276,AD276-AC276)</f>
        <v>0</v>
      </c>
      <c r="AM276" s="132" t="n">
        <f aca="false">CHOOSE($G$3,AF276-AG276,AG276-AF276)</f>
        <v>0</v>
      </c>
      <c r="AN276" s="132" t="n">
        <f aca="false">CHOOSE($G$3,AI276-AJ276,AJ276-AI276)</f>
        <v>0</v>
      </c>
      <c r="AO276" s="148" t="n">
        <f aca="false">SUM(AL276:AN276)</f>
        <v>0</v>
      </c>
      <c r="AQ276" s="132" t="n">
        <f aca="false">CHOOSE($G$3,AB276-AC276,AC276-AB276)</f>
        <v>0</v>
      </c>
      <c r="AR276" s="132" t="n">
        <f aca="false">CHOOSE($G$3,AE276-AF276,AF276-AE276)</f>
        <v>0</v>
      </c>
      <c r="AS276" s="132" t="n">
        <f aca="false">CHOOSE($G$3,AH276-AI276,AI276-AH276)</f>
        <v>0</v>
      </c>
      <c r="AT276" s="148" t="n">
        <f aca="false">AQ276+AR276+AS276</f>
        <v>0</v>
      </c>
      <c r="AU276" s="148"/>
      <c r="AV276" s="133" t="n">
        <f aca="false">AT276+AO276</f>
        <v>0</v>
      </c>
      <c r="AX276" s="133" t="n">
        <f aca="false">AJ276+AG276+AD276</f>
        <v>0</v>
      </c>
      <c r="AY276" s="149"/>
      <c r="AZ276" s="76" t="n">
        <f aca="false">R276*E276</f>
        <v>0</v>
      </c>
    </row>
    <row r="277" customFormat="false" ht="12" hidden="false" customHeight="true" outlineLevel="0" collapsed="false">
      <c r="A277" s="138" t="n">
        <f aca="false">EDATE(A276,1)</f>
        <v>45108</v>
      </c>
      <c r="B277" s="139" t="n">
        <f aca="false">VLOOKUP($A277,Table2,MATCH(I$3,Curves2,0))</f>
        <v>60900</v>
      </c>
      <c r="C277" s="140"/>
      <c r="D277" s="141" t="n">
        <f aca="false">B277+C277</f>
        <v>60900</v>
      </c>
      <c r="E277" s="126" t="n">
        <f aca="false">IF(Y277=0,0,IF(AND(Y277=1,$H$3=1),D277*T277,IF($H$3=2,D277,"N/A")))</f>
        <v>0</v>
      </c>
      <c r="F277" s="126" t="n">
        <f aca="false">E277*X277</f>
        <v>0</v>
      </c>
      <c r="G277" s="142" t="n">
        <f aca="false">VLOOKUP($A277,Table,MATCH(G$4,Curves,0))</f>
        <v>3.987</v>
      </c>
      <c r="H277" s="143" t="n">
        <f aca="false">G277</f>
        <v>3.987</v>
      </c>
      <c r="I277" s="142" t="n">
        <f aca="false">VLOOKUP($A277,Table1,MATCH(I$3,Curves1,0))</f>
        <v>3.7904</v>
      </c>
      <c r="J277" s="142" t="n">
        <f aca="false">VLOOKUP($A277,Table,MATCH(J$4,Curves,0))</f>
        <v>0.011</v>
      </c>
      <c r="K277" s="143" t="n">
        <f aca="false">J277</f>
        <v>0.011</v>
      </c>
      <c r="L277" s="144" t="n">
        <v>0</v>
      </c>
      <c r="M277" s="142" t="n">
        <f aca="false">VLOOKUP($A277,Table,MATCH(M$4,Curves,0))</f>
        <v>0.015</v>
      </c>
      <c r="N277" s="143" t="n">
        <f aca="false">M277</f>
        <v>0.015</v>
      </c>
      <c r="O277" s="144" t="n">
        <v>0</v>
      </c>
      <c r="P277" s="145"/>
      <c r="Q277" s="144" t="n">
        <f aca="false">M277+J277+G277</f>
        <v>4.013</v>
      </c>
      <c r="R277" s="144" t="n">
        <f aca="false">O277+L277+I277</f>
        <v>3.7904</v>
      </c>
      <c r="S277" s="145"/>
      <c r="T277" s="71" t="n">
        <f aca="false">A278-A277</f>
        <v>31</v>
      </c>
      <c r="U277" s="146" t="n">
        <f aca="false">CHOOSE(F$3,A278+24,A277)</f>
        <v>45163</v>
      </c>
      <c r="V277" s="71" t="n">
        <f aca="false">U277-C$3</f>
        <v>8275</v>
      </c>
      <c r="W277" s="142" t="n">
        <f aca="false">VLOOKUP($A277,Table,MATCH(W$4,Curves,0))</f>
        <v>0.058966861357273</v>
      </c>
      <c r="X277" s="147" t="n">
        <f aca="false">1/(1+CHOOSE(F$3,(W278+($K$3/10000))/2,(W277+($K$3/10000))/2))^(2*V277/365.25)</f>
        <v>0.268039435615552</v>
      </c>
      <c r="Y277" s="71" t="n">
        <f aca="false">IF(AND(mthbeg&lt;=A277,mthend&gt;=A277),1,0)</f>
        <v>0</v>
      </c>
      <c r="Z277" s="71" t="n">
        <f aca="false">T277*Y277</f>
        <v>0</v>
      </c>
      <c r="AB277" s="132" t="n">
        <f aca="false">F277*G277</f>
        <v>0</v>
      </c>
      <c r="AC277" s="132" t="n">
        <f aca="false">$F277*H277</f>
        <v>0</v>
      </c>
      <c r="AD277" s="132" t="n">
        <f aca="false">$F277*I277</f>
        <v>0</v>
      </c>
      <c r="AE277" s="132" t="n">
        <f aca="false">$F277*J277</f>
        <v>0</v>
      </c>
      <c r="AF277" s="132" t="n">
        <f aca="false">$F277*K277</f>
        <v>0</v>
      </c>
      <c r="AG277" s="132" t="n">
        <f aca="false">$F277*L277</f>
        <v>0</v>
      </c>
      <c r="AH277" s="132" t="n">
        <f aca="false">$F277*M277</f>
        <v>0</v>
      </c>
      <c r="AI277" s="132" t="n">
        <f aca="false">$F277*N277</f>
        <v>0</v>
      </c>
      <c r="AJ277" s="132" t="n">
        <f aca="false">F277*O277</f>
        <v>0</v>
      </c>
      <c r="AK277" s="137"/>
      <c r="AL277" s="132" t="n">
        <f aca="false">CHOOSE($G$3,AC277-AD277,AD277-AC277)</f>
        <v>0</v>
      </c>
      <c r="AM277" s="132" t="n">
        <f aca="false">CHOOSE($G$3,AF277-AG277,AG277-AF277)</f>
        <v>0</v>
      </c>
      <c r="AN277" s="132" t="n">
        <f aca="false">CHOOSE($G$3,AI277-AJ277,AJ277-AI277)</f>
        <v>0</v>
      </c>
      <c r="AO277" s="148" t="n">
        <f aca="false">SUM(AL277:AN277)</f>
        <v>0</v>
      </c>
      <c r="AQ277" s="132" t="n">
        <f aca="false">CHOOSE($G$3,AB277-AC277,AC277-AB277)</f>
        <v>0</v>
      </c>
      <c r="AR277" s="132" t="n">
        <f aca="false">CHOOSE($G$3,AE277-AF277,AF277-AE277)</f>
        <v>0</v>
      </c>
      <c r="AS277" s="132" t="n">
        <f aca="false">CHOOSE($G$3,AH277-AI277,AI277-AH277)</f>
        <v>0</v>
      </c>
      <c r="AT277" s="148" t="n">
        <f aca="false">AQ277+AR277+AS277</f>
        <v>0</v>
      </c>
      <c r="AU277" s="148"/>
      <c r="AV277" s="133" t="n">
        <f aca="false">AT277+AO277</f>
        <v>0</v>
      </c>
      <c r="AX277" s="133" t="n">
        <f aca="false">AJ277+AG277+AD277</f>
        <v>0</v>
      </c>
      <c r="AY277" s="149"/>
      <c r="AZ277" s="76" t="n">
        <f aca="false">R277*E277</f>
        <v>0</v>
      </c>
    </row>
    <row r="278" customFormat="false" ht="12" hidden="false" customHeight="true" outlineLevel="0" collapsed="false">
      <c r="A278" s="138" t="n">
        <f aca="false">EDATE(A277,1)</f>
        <v>45139</v>
      </c>
      <c r="B278" s="139" t="n">
        <f aca="false">VLOOKUP($A278,Table2,MATCH(I$3,Curves2,0))</f>
        <v>60900</v>
      </c>
      <c r="C278" s="140"/>
      <c r="D278" s="141" t="n">
        <f aca="false">B278+C278</f>
        <v>60900</v>
      </c>
      <c r="E278" s="126" t="n">
        <f aca="false">IF(Y278=0,0,IF(AND(Y278=1,$H$3=1),D278*T278,IF($H$3=2,D278,"N/A")))</f>
        <v>0</v>
      </c>
      <c r="F278" s="126" t="n">
        <f aca="false">E278*X278</f>
        <v>0</v>
      </c>
      <c r="G278" s="142" t="n">
        <f aca="false">VLOOKUP($A278,Table,MATCH(G$4,Curves,0))</f>
        <v>3.987</v>
      </c>
      <c r="H278" s="143" t="n">
        <f aca="false">G278</f>
        <v>3.987</v>
      </c>
      <c r="I278" s="142" t="n">
        <f aca="false">VLOOKUP($A278,Table1,MATCH(I$3,Curves1,0))</f>
        <v>3.7904</v>
      </c>
      <c r="J278" s="142" t="n">
        <f aca="false">VLOOKUP($A278,Table,MATCH(J$4,Curves,0))</f>
        <v>0.011</v>
      </c>
      <c r="K278" s="143" t="n">
        <f aca="false">J278</f>
        <v>0.011</v>
      </c>
      <c r="L278" s="144" t="n">
        <v>0</v>
      </c>
      <c r="M278" s="142" t="n">
        <f aca="false">VLOOKUP($A278,Table,MATCH(M$4,Curves,0))</f>
        <v>0.015</v>
      </c>
      <c r="N278" s="143" t="n">
        <f aca="false">M278</f>
        <v>0.015</v>
      </c>
      <c r="O278" s="144" t="n">
        <v>0</v>
      </c>
      <c r="P278" s="145"/>
      <c r="Q278" s="144" t="n">
        <f aca="false">M278+J278+G278</f>
        <v>4.013</v>
      </c>
      <c r="R278" s="144" t="n">
        <f aca="false">O278+L278+I278</f>
        <v>3.7904</v>
      </c>
      <c r="S278" s="145"/>
      <c r="T278" s="71" t="n">
        <f aca="false">A279-A278</f>
        <v>31</v>
      </c>
      <c r="U278" s="146" t="n">
        <f aca="false">CHOOSE(F$3,A279+24,A278)</f>
        <v>45194</v>
      </c>
      <c r="V278" s="71" t="n">
        <f aca="false">U278-C$3</f>
        <v>8306</v>
      </c>
      <c r="W278" s="142" t="n">
        <f aca="false">VLOOKUP($A278,Table,MATCH(W$4,Curves,0))</f>
        <v>0.058966861357273</v>
      </c>
      <c r="X278" s="147" t="n">
        <f aca="false">1/(1+CHOOSE(F$3,(W279+($K$3/10000))/2,(W278+($K$3/10000))/2))^(2*V278/365.25)</f>
        <v>0.266720624467246</v>
      </c>
      <c r="Y278" s="71" t="n">
        <f aca="false">IF(AND(mthbeg&lt;=A278,mthend&gt;=A278),1,0)</f>
        <v>0</v>
      </c>
      <c r="Z278" s="71" t="n">
        <f aca="false">T278*Y278</f>
        <v>0</v>
      </c>
      <c r="AB278" s="132" t="n">
        <f aca="false">F278*G278</f>
        <v>0</v>
      </c>
      <c r="AC278" s="132" t="n">
        <f aca="false">$F278*H278</f>
        <v>0</v>
      </c>
      <c r="AD278" s="132" t="n">
        <f aca="false">$F278*I278</f>
        <v>0</v>
      </c>
      <c r="AE278" s="132" t="n">
        <f aca="false">$F278*J278</f>
        <v>0</v>
      </c>
      <c r="AF278" s="132" t="n">
        <f aca="false">$F278*K278</f>
        <v>0</v>
      </c>
      <c r="AG278" s="132" t="n">
        <f aca="false">$F278*L278</f>
        <v>0</v>
      </c>
      <c r="AH278" s="132" t="n">
        <f aca="false">$F278*M278</f>
        <v>0</v>
      </c>
      <c r="AI278" s="132" t="n">
        <f aca="false">$F278*N278</f>
        <v>0</v>
      </c>
      <c r="AJ278" s="132" t="n">
        <f aca="false">F278*O278</f>
        <v>0</v>
      </c>
      <c r="AK278" s="137"/>
      <c r="AL278" s="132" t="n">
        <f aca="false">CHOOSE($G$3,AC278-AD278,AD278-AC278)</f>
        <v>0</v>
      </c>
      <c r="AM278" s="132" t="n">
        <f aca="false">CHOOSE($G$3,AF278-AG278,AG278-AF278)</f>
        <v>0</v>
      </c>
      <c r="AN278" s="132" t="n">
        <f aca="false">CHOOSE($G$3,AI278-AJ278,AJ278-AI278)</f>
        <v>0</v>
      </c>
      <c r="AO278" s="148" t="n">
        <f aca="false">SUM(AL278:AN278)</f>
        <v>0</v>
      </c>
      <c r="AQ278" s="132" t="n">
        <f aca="false">CHOOSE($G$3,AB278-AC278,AC278-AB278)</f>
        <v>0</v>
      </c>
      <c r="AR278" s="132" t="n">
        <f aca="false">CHOOSE($G$3,AE278-AF278,AF278-AE278)</f>
        <v>0</v>
      </c>
      <c r="AS278" s="132" t="n">
        <f aca="false">CHOOSE($G$3,AH278-AI278,AI278-AH278)</f>
        <v>0</v>
      </c>
      <c r="AT278" s="148" t="n">
        <f aca="false">AQ278+AR278+AS278</f>
        <v>0</v>
      </c>
      <c r="AU278" s="148"/>
      <c r="AV278" s="133" t="n">
        <f aca="false">AT278+AO278</f>
        <v>0</v>
      </c>
      <c r="AX278" s="133" t="n">
        <f aca="false">AJ278+AG278+AD278</f>
        <v>0</v>
      </c>
      <c r="AY278" s="149"/>
      <c r="AZ278" s="76" t="n">
        <f aca="false">R278*E278</f>
        <v>0</v>
      </c>
    </row>
    <row r="279" customFormat="false" ht="12" hidden="false" customHeight="true" outlineLevel="0" collapsed="false">
      <c r="A279" s="138" t="n">
        <f aca="false">EDATE(A278,1)</f>
        <v>45170</v>
      </c>
      <c r="B279" s="139" t="n">
        <f aca="false">VLOOKUP($A279,Table2,MATCH(I$3,Curves2,0))</f>
        <v>60900</v>
      </c>
      <c r="C279" s="140"/>
      <c r="D279" s="141" t="n">
        <f aca="false">B279+C279</f>
        <v>60900</v>
      </c>
      <c r="E279" s="126" t="n">
        <f aca="false">IF(Y279=0,0,IF(AND(Y279=1,$H$3=1),D279*T279,IF($H$3=2,D279,"N/A")))</f>
        <v>0</v>
      </c>
      <c r="F279" s="126" t="n">
        <f aca="false">E279*X279</f>
        <v>0</v>
      </c>
      <c r="G279" s="142" t="n">
        <f aca="false">VLOOKUP($A279,Table,MATCH(G$4,Curves,0))</f>
        <v>3.987</v>
      </c>
      <c r="H279" s="143" t="n">
        <f aca="false">G279</f>
        <v>3.987</v>
      </c>
      <c r="I279" s="142" t="n">
        <f aca="false">VLOOKUP($A279,Table1,MATCH(I$3,Curves1,0))</f>
        <v>3.7904</v>
      </c>
      <c r="J279" s="142" t="n">
        <f aca="false">VLOOKUP($A279,Table,MATCH(J$4,Curves,0))</f>
        <v>0.011</v>
      </c>
      <c r="K279" s="143" t="n">
        <f aca="false">J279</f>
        <v>0.011</v>
      </c>
      <c r="L279" s="144" t="n">
        <v>0</v>
      </c>
      <c r="M279" s="142" t="n">
        <f aca="false">VLOOKUP($A279,Table,MATCH(M$4,Curves,0))</f>
        <v>0.015</v>
      </c>
      <c r="N279" s="143" t="n">
        <f aca="false">M279</f>
        <v>0.015</v>
      </c>
      <c r="O279" s="144" t="n">
        <v>0</v>
      </c>
      <c r="P279" s="145"/>
      <c r="Q279" s="144" t="n">
        <f aca="false">M279+J279+G279</f>
        <v>4.013</v>
      </c>
      <c r="R279" s="144" t="n">
        <f aca="false">O279+L279+I279</f>
        <v>3.7904</v>
      </c>
      <c r="S279" s="145"/>
      <c r="T279" s="71" t="n">
        <f aca="false">A280-A279</f>
        <v>30</v>
      </c>
      <c r="U279" s="146" t="n">
        <f aca="false">CHOOSE(F$3,A280+24,A279)</f>
        <v>45224</v>
      </c>
      <c r="V279" s="71" t="n">
        <f aca="false">U279-C$3</f>
        <v>8336</v>
      </c>
      <c r="W279" s="142" t="n">
        <f aca="false">VLOOKUP($A279,Table,MATCH(W$4,Curves,0))</f>
        <v>0.058966861357273</v>
      </c>
      <c r="X279" s="147" t="n">
        <f aca="false">1/(1+CHOOSE(F$3,(W280+($K$3/10000))/2,(W279+($K$3/10000))/2))^(2*V279/365.25)</f>
        <v>0.265450534173588</v>
      </c>
      <c r="Y279" s="71" t="n">
        <f aca="false">IF(AND(mthbeg&lt;=A279,mthend&gt;=A279),1,0)</f>
        <v>0</v>
      </c>
      <c r="Z279" s="71" t="n">
        <f aca="false">T279*Y279</f>
        <v>0</v>
      </c>
      <c r="AB279" s="132" t="n">
        <f aca="false">F279*G279</f>
        <v>0</v>
      </c>
      <c r="AC279" s="132" t="n">
        <f aca="false">$F279*H279</f>
        <v>0</v>
      </c>
      <c r="AD279" s="132" t="n">
        <f aca="false">$F279*I279</f>
        <v>0</v>
      </c>
      <c r="AE279" s="132" t="n">
        <f aca="false">$F279*J279</f>
        <v>0</v>
      </c>
      <c r="AF279" s="132" t="n">
        <f aca="false">$F279*K279</f>
        <v>0</v>
      </c>
      <c r="AG279" s="132" t="n">
        <f aca="false">$F279*L279</f>
        <v>0</v>
      </c>
      <c r="AH279" s="132" t="n">
        <f aca="false">$F279*M279</f>
        <v>0</v>
      </c>
      <c r="AI279" s="132" t="n">
        <f aca="false">$F279*N279</f>
        <v>0</v>
      </c>
      <c r="AJ279" s="132" t="n">
        <f aca="false">F279*O279</f>
        <v>0</v>
      </c>
      <c r="AK279" s="137"/>
      <c r="AL279" s="132" t="n">
        <f aca="false">CHOOSE($G$3,AC279-AD279,AD279-AC279)</f>
        <v>0</v>
      </c>
      <c r="AM279" s="132" t="n">
        <f aca="false">CHOOSE($G$3,AF279-AG279,AG279-AF279)</f>
        <v>0</v>
      </c>
      <c r="AN279" s="132" t="n">
        <f aca="false">CHOOSE($G$3,AI279-AJ279,AJ279-AI279)</f>
        <v>0</v>
      </c>
      <c r="AO279" s="148" t="n">
        <f aca="false">SUM(AL279:AN279)</f>
        <v>0</v>
      </c>
      <c r="AQ279" s="132" t="n">
        <f aca="false">CHOOSE($G$3,AB279-AC279,AC279-AB279)</f>
        <v>0</v>
      </c>
      <c r="AR279" s="132" t="n">
        <f aca="false">CHOOSE($G$3,AE279-AF279,AF279-AE279)</f>
        <v>0</v>
      </c>
      <c r="AS279" s="132" t="n">
        <f aca="false">CHOOSE($G$3,AH279-AI279,AI279-AH279)</f>
        <v>0</v>
      </c>
      <c r="AT279" s="148" t="n">
        <f aca="false">AQ279+AR279+AS279</f>
        <v>0</v>
      </c>
      <c r="AU279" s="148"/>
      <c r="AV279" s="133" t="n">
        <f aca="false">AT279+AO279</f>
        <v>0</v>
      </c>
      <c r="AX279" s="133" t="n">
        <f aca="false">AJ279+AG279+AD279</f>
        <v>0</v>
      </c>
      <c r="AY279" s="149"/>
      <c r="AZ279" s="76" t="n">
        <f aca="false">R279*E279</f>
        <v>0</v>
      </c>
    </row>
    <row r="280" customFormat="false" ht="12" hidden="false" customHeight="true" outlineLevel="0" collapsed="false">
      <c r="A280" s="138" t="n">
        <f aca="false">EDATE(A279,1)</f>
        <v>45200</v>
      </c>
      <c r="B280" s="139" t="n">
        <f aca="false">VLOOKUP($A280,Table2,MATCH(I$3,Curves2,0))</f>
        <v>60900</v>
      </c>
      <c r="C280" s="140"/>
      <c r="D280" s="141" t="n">
        <f aca="false">B280+C280</f>
        <v>60900</v>
      </c>
      <c r="E280" s="126" t="n">
        <f aca="false">IF(Y280=0,0,IF(AND(Y280=1,$H$3=1),D280*T280,IF($H$3=2,D280,"N/A")))</f>
        <v>0</v>
      </c>
      <c r="F280" s="126" t="n">
        <f aca="false">E280*X280</f>
        <v>0</v>
      </c>
      <c r="G280" s="142" t="n">
        <f aca="false">VLOOKUP($A280,Table,MATCH(G$4,Curves,0))</f>
        <v>3.987</v>
      </c>
      <c r="H280" s="143" t="n">
        <f aca="false">G280</f>
        <v>3.987</v>
      </c>
      <c r="I280" s="142" t="n">
        <f aca="false">VLOOKUP($A280,Table1,MATCH(I$3,Curves1,0))</f>
        <v>3.7904</v>
      </c>
      <c r="J280" s="142" t="n">
        <f aca="false">VLOOKUP($A280,Table,MATCH(J$4,Curves,0))</f>
        <v>0.011</v>
      </c>
      <c r="K280" s="143" t="n">
        <f aca="false">J280</f>
        <v>0.011</v>
      </c>
      <c r="L280" s="144" t="n">
        <v>0</v>
      </c>
      <c r="M280" s="142" t="n">
        <f aca="false">VLOOKUP($A280,Table,MATCH(M$4,Curves,0))</f>
        <v>0.015</v>
      </c>
      <c r="N280" s="143" t="n">
        <f aca="false">M280</f>
        <v>0.015</v>
      </c>
      <c r="O280" s="144" t="n">
        <v>0</v>
      </c>
      <c r="P280" s="145"/>
      <c r="Q280" s="144" t="n">
        <f aca="false">M280+J280+G280</f>
        <v>4.013</v>
      </c>
      <c r="R280" s="144" t="n">
        <f aca="false">O280+L280+I280</f>
        <v>3.7904</v>
      </c>
      <c r="S280" s="145"/>
      <c r="T280" s="71" t="n">
        <f aca="false">A281-A280</f>
        <v>31</v>
      </c>
      <c r="U280" s="146" t="n">
        <f aca="false">CHOOSE(F$3,A281+24,A280)</f>
        <v>45255</v>
      </c>
      <c r="V280" s="71" t="n">
        <f aca="false">U280-C$3</f>
        <v>8367</v>
      </c>
      <c r="W280" s="142" t="n">
        <f aca="false">VLOOKUP($A280,Table,MATCH(W$4,Curves,0))</f>
        <v>0.058966861357273</v>
      </c>
      <c r="X280" s="147" t="n">
        <f aca="false">1/(1+CHOOSE(F$3,(W281+($K$3/10000))/2,(W280+($K$3/10000))/2))^(2*V280/365.25)</f>
        <v>0.264144460972127</v>
      </c>
      <c r="Y280" s="71" t="n">
        <f aca="false">IF(AND(mthbeg&lt;=A280,mthend&gt;=A280),1,0)</f>
        <v>0</v>
      </c>
      <c r="Z280" s="71" t="n">
        <f aca="false">T280*Y280</f>
        <v>0</v>
      </c>
      <c r="AB280" s="132" t="n">
        <f aca="false">F280*G280</f>
        <v>0</v>
      </c>
      <c r="AC280" s="132" t="n">
        <f aca="false">$F280*H280</f>
        <v>0</v>
      </c>
      <c r="AD280" s="132" t="n">
        <f aca="false">$F280*I280</f>
        <v>0</v>
      </c>
      <c r="AE280" s="132" t="n">
        <f aca="false">$F280*J280</f>
        <v>0</v>
      </c>
      <c r="AF280" s="132" t="n">
        <f aca="false">$F280*K280</f>
        <v>0</v>
      </c>
      <c r="AG280" s="132" t="n">
        <f aca="false">$F280*L280</f>
        <v>0</v>
      </c>
      <c r="AH280" s="132" t="n">
        <f aca="false">$F280*M280</f>
        <v>0</v>
      </c>
      <c r="AI280" s="132" t="n">
        <f aca="false">$F280*N280</f>
        <v>0</v>
      </c>
      <c r="AJ280" s="132" t="n">
        <f aca="false">F280*O280</f>
        <v>0</v>
      </c>
      <c r="AK280" s="137"/>
      <c r="AL280" s="132" t="n">
        <f aca="false">CHOOSE($G$3,AC280-AD280,AD280-AC280)</f>
        <v>0</v>
      </c>
      <c r="AM280" s="132" t="n">
        <f aca="false">CHOOSE($G$3,AF280-AG280,AG280-AF280)</f>
        <v>0</v>
      </c>
      <c r="AN280" s="132" t="n">
        <f aca="false">CHOOSE($G$3,AI280-AJ280,AJ280-AI280)</f>
        <v>0</v>
      </c>
      <c r="AO280" s="148" t="n">
        <f aca="false">SUM(AL280:AN280)</f>
        <v>0</v>
      </c>
      <c r="AQ280" s="132" t="n">
        <f aca="false">CHOOSE($G$3,AB280-AC280,AC280-AB280)</f>
        <v>0</v>
      </c>
      <c r="AR280" s="132" t="n">
        <f aca="false">CHOOSE($G$3,AE280-AF280,AF280-AE280)</f>
        <v>0</v>
      </c>
      <c r="AS280" s="132" t="n">
        <f aca="false">CHOOSE($G$3,AH280-AI280,AI280-AH280)</f>
        <v>0</v>
      </c>
      <c r="AT280" s="148" t="n">
        <f aca="false">AQ280+AR280+AS280</f>
        <v>0</v>
      </c>
      <c r="AU280" s="148"/>
      <c r="AV280" s="133" t="n">
        <f aca="false">AT280+AO280</f>
        <v>0</v>
      </c>
      <c r="AX280" s="133" t="n">
        <f aca="false">AJ280+AG280+AD280</f>
        <v>0</v>
      </c>
      <c r="AY280" s="149"/>
      <c r="AZ280" s="76" t="n">
        <f aca="false">R280*E280</f>
        <v>0</v>
      </c>
    </row>
    <row r="281" customFormat="false" ht="12" hidden="false" customHeight="true" outlineLevel="0" collapsed="false">
      <c r="A281" s="138" t="n">
        <f aca="false">EDATE(A280,1)</f>
        <v>45231</v>
      </c>
      <c r="B281" s="139" t="n">
        <f aca="false">VLOOKUP($A281,Table2,MATCH(I$3,Curves2,0))</f>
        <v>60900</v>
      </c>
      <c r="C281" s="140"/>
      <c r="D281" s="141" t="n">
        <f aca="false">B281+C281</f>
        <v>60900</v>
      </c>
      <c r="E281" s="126" t="n">
        <f aca="false">IF(Y281=0,0,IF(AND(Y281=1,$H$3=1),D281*T281,IF($H$3=2,D281,"N/A")))</f>
        <v>0</v>
      </c>
      <c r="F281" s="126" t="n">
        <f aca="false">E281*X281</f>
        <v>0</v>
      </c>
      <c r="G281" s="142" t="n">
        <f aca="false">VLOOKUP($A281,Table,MATCH(G$4,Curves,0))</f>
        <v>3.987</v>
      </c>
      <c r="H281" s="143" t="n">
        <f aca="false">G281</f>
        <v>3.987</v>
      </c>
      <c r="I281" s="142" t="n">
        <f aca="false">VLOOKUP($A281,Table1,MATCH(I$3,Curves1,0))</f>
        <v>3.7904</v>
      </c>
      <c r="J281" s="142" t="n">
        <f aca="false">VLOOKUP($A281,Table,MATCH(J$4,Curves,0))</f>
        <v>0.011</v>
      </c>
      <c r="K281" s="143" t="n">
        <f aca="false">J281</f>
        <v>0.011</v>
      </c>
      <c r="L281" s="144" t="n">
        <v>0</v>
      </c>
      <c r="M281" s="142" t="n">
        <f aca="false">VLOOKUP($A281,Table,MATCH(M$4,Curves,0))</f>
        <v>0.015</v>
      </c>
      <c r="N281" s="143" t="n">
        <f aca="false">M281</f>
        <v>0.015</v>
      </c>
      <c r="O281" s="144" t="n">
        <v>0</v>
      </c>
      <c r="P281" s="145"/>
      <c r="Q281" s="144" t="n">
        <f aca="false">M281+J281+G281</f>
        <v>4.013</v>
      </c>
      <c r="R281" s="144" t="n">
        <f aca="false">O281+L281+I281</f>
        <v>3.7904</v>
      </c>
      <c r="S281" s="145"/>
      <c r="T281" s="71" t="n">
        <f aca="false">A282-A281</f>
        <v>30</v>
      </c>
      <c r="U281" s="146" t="n">
        <f aca="false">CHOOSE(F$3,A282+24,A281)</f>
        <v>45285</v>
      </c>
      <c r="V281" s="71" t="n">
        <f aca="false">U281-C$3</f>
        <v>8397</v>
      </c>
      <c r="W281" s="142" t="n">
        <f aca="false">VLOOKUP($A281,Table,MATCH(W$4,Curves,0))</f>
        <v>0.058966861357273</v>
      </c>
      <c r="X281" s="147" t="n">
        <f aca="false">1/(1+CHOOSE(F$3,(W282+($K$3/10000))/2,(W281+($K$3/10000))/2))^(2*V281/365.25)</f>
        <v>0.262886638047206</v>
      </c>
      <c r="Y281" s="71" t="n">
        <f aca="false">IF(AND(mthbeg&lt;=A281,mthend&gt;=A281),1,0)</f>
        <v>0</v>
      </c>
      <c r="Z281" s="71" t="n">
        <f aca="false">T281*Y281</f>
        <v>0</v>
      </c>
      <c r="AB281" s="132" t="n">
        <f aca="false">F281*G281</f>
        <v>0</v>
      </c>
      <c r="AC281" s="132" t="n">
        <f aca="false">$F281*H281</f>
        <v>0</v>
      </c>
      <c r="AD281" s="132" t="n">
        <f aca="false">$F281*I281</f>
        <v>0</v>
      </c>
      <c r="AE281" s="132" t="n">
        <f aca="false">$F281*J281</f>
        <v>0</v>
      </c>
      <c r="AF281" s="132" t="n">
        <f aca="false">$F281*K281</f>
        <v>0</v>
      </c>
      <c r="AG281" s="132" t="n">
        <f aca="false">$F281*L281</f>
        <v>0</v>
      </c>
      <c r="AH281" s="132" t="n">
        <f aca="false">$F281*M281</f>
        <v>0</v>
      </c>
      <c r="AI281" s="132" t="n">
        <f aca="false">$F281*N281</f>
        <v>0</v>
      </c>
      <c r="AJ281" s="132" t="n">
        <f aca="false">F281*O281</f>
        <v>0</v>
      </c>
      <c r="AK281" s="137"/>
      <c r="AL281" s="132" t="n">
        <f aca="false">CHOOSE($G$3,AC281-AD281,AD281-AC281)</f>
        <v>0</v>
      </c>
      <c r="AM281" s="132" t="n">
        <f aca="false">CHOOSE($G$3,AF281-AG281,AG281-AF281)</f>
        <v>0</v>
      </c>
      <c r="AN281" s="132" t="n">
        <f aca="false">CHOOSE($G$3,AI281-AJ281,AJ281-AI281)</f>
        <v>0</v>
      </c>
      <c r="AO281" s="148" t="n">
        <f aca="false">SUM(AL281:AN281)</f>
        <v>0</v>
      </c>
      <c r="AQ281" s="132" t="n">
        <f aca="false">CHOOSE($G$3,AB281-AC281,AC281-AB281)</f>
        <v>0</v>
      </c>
      <c r="AR281" s="132" t="n">
        <f aca="false">CHOOSE($G$3,AE281-AF281,AF281-AE281)</f>
        <v>0</v>
      </c>
      <c r="AS281" s="132" t="n">
        <f aca="false">CHOOSE($G$3,AH281-AI281,AI281-AH281)</f>
        <v>0</v>
      </c>
      <c r="AT281" s="148" t="n">
        <f aca="false">AQ281+AR281+AS281</f>
        <v>0</v>
      </c>
      <c r="AU281" s="148"/>
      <c r="AV281" s="133" t="n">
        <f aca="false">AT281+AO281</f>
        <v>0</v>
      </c>
      <c r="AX281" s="133" t="n">
        <f aca="false">AJ281+AG281+AD281</f>
        <v>0</v>
      </c>
      <c r="AY281" s="149"/>
      <c r="AZ281" s="76" t="n">
        <f aca="false">R281*E281</f>
        <v>0</v>
      </c>
    </row>
    <row r="282" customFormat="false" ht="12" hidden="false" customHeight="true" outlineLevel="0" collapsed="false">
      <c r="A282" s="138" t="n">
        <f aca="false">EDATE(A281,1)</f>
        <v>45261</v>
      </c>
      <c r="B282" s="139" t="n">
        <f aca="false">VLOOKUP($A282,Table2,MATCH(I$3,Curves2,0))</f>
        <v>60900</v>
      </c>
      <c r="C282" s="140"/>
      <c r="D282" s="141" t="n">
        <f aca="false">B282+C282</f>
        <v>60900</v>
      </c>
      <c r="E282" s="126" t="n">
        <f aca="false">IF(Y282=0,0,IF(AND(Y282=1,$H$3=1),D282*T282,IF($H$3=2,D282,"N/A")))</f>
        <v>0</v>
      </c>
      <c r="F282" s="126" t="n">
        <f aca="false">E282*X282</f>
        <v>0</v>
      </c>
      <c r="G282" s="142" t="n">
        <f aca="false">VLOOKUP($A282,Table,MATCH(G$4,Curves,0))</f>
        <v>3.987</v>
      </c>
      <c r="H282" s="143" t="n">
        <f aca="false">G282</f>
        <v>3.987</v>
      </c>
      <c r="I282" s="142" t="n">
        <f aca="false">VLOOKUP($A282,Table1,MATCH(I$3,Curves1,0))</f>
        <v>3.7904</v>
      </c>
      <c r="J282" s="142" t="n">
        <f aca="false">VLOOKUP($A282,Table,MATCH(J$4,Curves,0))</f>
        <v>0.011</v>
      </c>
      <c r="K282" s="143" t="n">
        <f aca="false">J282</f>
        <v>0.011</v>
      </c>
      <c r="L282" s="144" t="n">
        <v>0</v>
      </c>
      <c r="M282" s="142" t="n">
        <f aca="false">VLOOKUP($A282,Table,MATCH(M$4,Curves,0))</f>
        <v>0.015</v>
      </c>
      <c r="N282" s="143" t="n">
        <f aca="false">M282</f>
        <v>0.015</v>
      </c>
      <c r="O282" s="144" t="n">
        <v>0</v>
      </c>
      <c r="P282" s="145"/>
      <c r="Q282" s="144" t="n">
        <f aca="false">M282+J282+G282</f>
        <v>4.013</v>
      </c>
      <c r="R282" s="144" t="n">
        <f aca="false">O282+L282+I282</f>
        <v>3.7904</v>
      </c>
      <c r="S282" s="145"/>
      <c r="T282" s="71" t="n">
        <f aca="false">A283-A282</f>
        <v>31</v>
      </c>
      <c r="U282" s="146" t="n">
        <f aca="false">CHOOSE(F$3,A283+24,A282)</f>
        <v>45316</v>
      </c>
      <c r="V282" s="71" t="n">
        <f aca="false">U282-C$3</f>
        <v>8428</v>
      </c>
      <c r="W282" s="142" t="n">
        <f aca="false">VLOOKUP($A282,Table,MATCH(W$4,Curves,0))</f>
        <v>0.058966861357273</v>
      </c>
      <c r="X282" s="147" t="n">
        <f aca="false">1/(1+CHOOSE(F$3,(W283+($K$3/10000))/2,(W282+($K$3/10000))/2))^(2*V282/365.25)</f>
        <v>0.26159317976111</v>
      </c>
      <c r="Y282" s="71" t="n">
        <f aca="false">IF(AND(mthbeg&lt;=A282,mthend&gt;=A282),1,0)</f>
        <v>0</v>
      </c>
      <c r="Z282" s="71" t="n">
        <f aca="false">T282*Y282</f>
        <v>0</v>
      </c>
      <c r="AB282" s="132" t="n">
        <f aca="false">F282*G282</f>
        <v>0</v>
      </c>
      <c r="AC282" s="132" t="n">
        <f aca="false">$F282*H282</f>
        <v>0</v>
      </c>
      <c r="AD282" s="132" t="n">
        <f aca="false">$F282*I282</f>
        <v>0</v>
      </c>
      <c r="AE282" s="132" t="n">
        <f aca="false">$F282*J282</f>
        <v>0</v>
      </c>
      <c r="AF282" s="132" t="n">
        <f aca="false">$F282*K282</f>
        <v>0</v>
      </c>
      <c r="AG282" s="132" t="n">
        <f aca="false">$F282*L282</f>
        <v>0</v>
      </c>
      <c r="AH282" s="132" t="n">
        <f aca="false">$F282*M282</f>
        <v>0</v>
      </c>
      <c r="AI282" s="132" t="n">
        <f aca="false">$F282*N282</f>
        <v>0</v>
      </c>
      <c r="AJ282" s="132" t="n">
        <f aca="false">F282*O282</f>
        <v>0</v>
      </c>
      <c r="AK282" s="137"/>
      <c r="AL282" s="132" t="n">
        <f aca="false">CHOOSE($G$3,AC282-AD282,AD282-AC282)</f>
        <v>0</v>
      </c>
      <c r="AM282" s="132" t="n">
        <f aca="false">CHOOSE($G$3,AF282-AG282,AG282-AF282)</f>
        <v>0</v>
      </c>
      <c r="AN282" s="132" t="n">
        <f aca="false">CHOOSE($G$3,AI282-AJ282,AJ282-AI282)</f>
        <v>0</v>
      </c>
      <c r="AO282" s="148" t="n">
        <f aca="false">SUM(AL282:AN282)</f>
        <v>0</v>
      </c>
      <c r="AQ282" s="132" t="n">
        <f aca="false">CHOOSE($G$3,AB282-AC282,AC282-AB282)</f>
        <v>0</v>
      </c>
      <c r="AR282" s="132" t="n">
        <f aca="false">CHOOSE($G$3,AE282-AF282,AF282-AE282)</f>
        <v>0</v>
      </c>
      <c r="AS282" s="132" t="n">
        <f aca="false">CHOOSE($G$3,AH282-AI282,AI282-AH282)</f>
        <v>0</v>
      </c>
      <c r="AT282" s="148" t="n">
        <f aca="false">AQ282+AR282+AS282</f>
        <v>0</v>
      </c>
      <c r="AU282" s="148"/>
      <c r="AV282" s="133" t="n">
        <f aca="false">AT282+AO282</f>
        <v>0</v>
      </c>
      <c r="AX282" s="133" t="n">
        <f aca="false">AJ282+AG282+AD282</f>
        <v>0</v>
      </c>
      <c r="AY282" s="149"/>
      <c r="AZ282" s="76" t="n">
        <f aca="false">R282*E282</f>
        <v>0</v>
      </c>
    </row>
    <row r="283" customFormat="false" ht="12" hidden="false" customHeight="true" outlineLevel="0" collapsed="false">
      <c r="A283" s="138" t="n">
        <f aca="false">EDATE(A282,1)</f>
        <v>45292</v>
      </c>
      <c r="B283" s="139" t="n">
        <f aca="false">VLOOKUP($A283,Table2,MATCH(I$3,Curves2,0))</f>
        <v>60900</v>
      </c>
      <c r="C283" s="140"/>
      <c r="D283" s="141" t="n">
        <f aca="false">B283+C283</f>
        <v>60900</v>
      </c>
      <c r="E283" s="126" t="n">
        <f aca="false">IF(Y283=0,0,IF(AND(Y283=1,$H$3=1),D283*T283,IF($H$3=2,D283,"N/A")))</f>
        <v>0</v>
      </c>
      <c r="F283" s="126" t="n">
        <f aca="false">E283*X283</f>
        <v>0</v>
      </c>
      <c r="G283" s="142" t="n">
        <f aca="false">VLOOKUP($A283,Table,MATCH(G$4,Curves,0))</f>
        <v>3.987</v>
      </c>
      <c r="H283" s="143" t="n">
        <f aca="false">G283</f>
        <v>3.987</v>
      </c>
      <c r="I283" s="142" t="n">
        <f aca="false">VLOOKUP($A283,Table1,MATCH(I$3,Curves1,0))</f>
        <v>3.7904</v>
      </c>
      <c r="J283" s="142" t="n">
        <f aca="false">VLOOKUP($A283,Table,MATCH(J$4,Curves,0))</f>
        <v>0.011</v>
      </c>
      <c r="K283" s="143" t="n">
        <f aca="false">J283</f>
        <v>0.011</v>
      </c>
      <c r="L283" s="144" t="n">
        <v>0</v>
      </c>
      <c r="M283" s="142" t="n">
        <f aca="false">VLOOKUP($A283,Table,MATCH(M$4,Curves,0))</f>
        <v>0.015</v>
      </c>
      <c r="N283" s="143" t="n">
        <f aca="false">M283</f>
        <v>0.015</v>
      </c>
      <c r="O283" s="144" t="n">
        <v>0</v>
      </c>
      <c r="P283" s="145"/>
      <c r="Q283" s="144" t="n">
        <f aca="false">M283+J283+G283</f>
        <v>4.013</v>
      </c>
      <c r="R283" s="144" t="n">
        <f aca="false">O283+L283+I283</f>
        <v>3.7904</v>
      </c>
      <c r="S283" s="145"/>
      <c r="T283" s="71" t="n">
        <f aca="false">A284-A283</f>
        <v>31</v>
      </c>
      <c r="U283" s="146" t="n">
        <f aca="false">CHOOSE(F$3,A284+24,A283)</f>
        <v>45347</v>
      </c>
      <c r="V283" s="71" t="n">
        <f aca="false">U283-C$3</f>
        <v>8459</v>
      </c>
      <c r="W283" s="142" t="n">
        <f aca="false">VLOOKUP($A283,Table,MATCH(W$4,Curves,0))</f>
        <v>0.058966861357273</v>
      </c>
      <c r="X283" s="147" t="n">
        <f aca="false">1/(1+CHOOSE(F$3,(W284+($K$3/10000))/2,(W283+($K$3/10000))/2))^(2*V283/365.25)</f>
        <v>0.260306085565446</v>
      </c>
      <c r="Y283" s="71" t="n">
        <f aca="false">IF(AND(mthbeg&lt;=A283,mthend&gt;=A283),1,0)</f>
        <v>0</v>
      </c>
      <c r="Z283" s="71" t="n">
        <f aca="false">T283*Y283</f>
        <v>0</v>
      </c>
      <c r="AB283" s="132" t="n">
        <f aca="false">F283*G283</f>
        <v>0</v>
      </c>
      <c r="AC283" s="132" t="n">
        <f aca="false">$F283*H283</f>
        <v>0</v>
      </c>
      <c r="AD283" s="132" t="n">
        <f aca="false">$F283*I283</f>
        <v>0</v>
      </c>
      <c r="AE283" s="132" t="n">
        <f aca="false">$F283*J283</f>
        <v>0</v>
      </c>
      <c r="AF283" s="132" t="n">
        <f aca="false">$F283*K283</f>
        <v>0</v>
      </c>
      <c r="AG283" s="132" t="n">
        <f aca="false">$F283*L283</f>
        <v>0</v>
      </c>
      <c r="AH283" s="132" t="n">
        <f aca="false">$F283*M283</f>
        <v>0</v>
      </c>
      <c r="AI283" s="132" t="n">
        <f aca="false">$F283*N283</f>
        <v>0</v>
      </c>
      <c r="AJ283" s="132" t="n">
        <f aca="false">F283*O283</f>
        <v>0</v>
      </c>
      <c r="AK283" s="137"/>
      <c r="AL283" s="132" t="n">
        <f aca="false">CHOOSE($G$3,AC283-AD283,AD283-AC283)</f>
        <v>0</v>
      </c>
      <c r="AM283" s="132" t="n">
        <f aca="false">CHOOSE($G$3,AF283-AG283,AG283-AF283)</f>
        <v>0</v>
      </c>
      <c r="AN283" s="132" t="n">
        <f aca="false">CHOOSE($G$3,AI283-AJ283,AJ283-AI283)</f>
        <v>0</v>
      </c>
      <c r="AO283" s="148" t="n">
        <f aca="false">SUM(AL283:AN283)</f>
        <v>0</v>
      </c>
      <c r="AQ283" s="132" t="n">
        <f aca="false">CHOOSE($G$3,AB283-AC283,AC283-AB283)</f>
        <v>0</v>
      </c>
      <c r="AR283" s="132" t="n">
        <f aca="false">CHOOSE($G$3,AE283-AF283,AF283-AE283)</f>
        <v>0</v>
      </c>
      <c r="AS283" s="132" t="n">
        <f aca="false">CHOOSE($G$3,AH283-AI283,AI283-AH283)</f>
        <v>0</v>
      </c>
      <c r="AT283" s="148" t="n">
        <f aca="false">AQ283+AR283+AS283</f>
        <v>0</v>
      </c>
      <c r="AU283" s="148"/>
      <c r="AV283" s="133" t="n">
        <f aca="false">AT283+AO283</f>
        <v>0</v>
      </c>
      <c r="AX283" s="133" t="n">
        <f aca="false">AJ283+AG283+AD283</f>
        <v>0</v>
      </c>
      <c r="AY283" s="149"/>
      <c r="AZ283" s="76" t="n">
        <f aca="false">R283*E283</f>
        <v>0</v>
      </c>
    </row>
    <row r="284" customFormat="false" ht="12" hidden="false" customHeight="true" outlineLevel="0" collapsed="false">
      <c r="A284" s="138" t="n">
        <f aca="false">EDATE(A283,1)</f>
        <v>45323</v>
      </c>
      <c r="B284" s="139" t="n">
        <f aca="false">VLOOKUP($A284,Table2,MATCH(I$3,Curves2,0))</f>
        <v>60900</v>
      </c>
      <c r="C284" s="140"/>
      <c r="D284" s="141" t="n">
        <f aca="false">B284+C284</f>
        <v>60900</v>
      </c>
      <c r="E284" s="126" t="n">
        <f aca="false">IF(Y284=0,0,IF(AND(Y284=1,$H$3=1),D284*T284,IF($H$3=2,D284,"N/A")))</f>
        <v>0</v>
      </c>
      <c r="F284" s="126" t="n">
        <f aca="false">E284*X284</f>
        <v>0</v>
      </c>
      <c r="G284" s="142" t="n">
        <f aca="false">VLOOKUP($A284,Table,MATCH(G$4,Curves,0))</f>
        <v>3.987</v>
      </c>
      <c r="H284" s="143" t="n">
        <f aca="false">G284</f>
        <v>3.987</v>
      </c>
      <c r="I284" s="142" t="n">
        <f aca="false">VLOOKUP($A284,Table1,MATCH(I$3,Curves1,0))</f>
        <v>3.7904</v>
      </c>
      <c r="J284" s="142" t="n">
        <f aca="false">VLOOKUP($A284,Table,MATCH(J$4,Curves,0))</f>
        <v>0.011</v>
      </c>
      <c r="K284" s="143" t="n">
        <f aca="false">J284</f>
        <v>0.011</v>
      </c>
      <c r="L284" s="144" t="n">
        <v>0</v>
      </c>
      <c r="M284" s="142" t="n">
        <f aca="false">VLOOKUP($A284,Table,MATCH(M$4,Curves,0))</f>
        <v>0.015</v>
      </c>
      <c r="N284" s="143" t="n">
        <f aca="false">M284</f>
        <v>0.015</v>
      </c>
      <c r="O284" s="144" t="n">
        <v>0</v>
      </c>
      <c r="P284" s="145"/>
      <c r="Q284" s="144" t="n">
        <f aca="false">M284+J284+G284</f>
        <v>4.013</v>
      </c>
      <c r="R284" s="144" t="n">
        <f aca="false">O284+L284+I284</f>
        <v>3.7904</v>
      </c>
      <c r="S284" s="145"/>
      <c r="T284" s="71" t="n">
        <f aca="false">A285-A284</f>
        <v>29</v>
      </c>
      <c r="U284" s="146" t="n">
        <f aca="false">CHOOSE(F$3,A285+24,A284)</f>
        <v>45376</v>
      </c>
      <c r="V284" s="71" t="n">
        <f aca="false">U284-C$3</f>
        <v>8488</v>
      </c>
      <c r="W284" s="142" t="n">
        <f aca="false">VLOOKUP($A284,Table,MATCH(W$4,Curves,0))</f>
        <v>0.058966861357273</v>
      </c>
      <c r="X284" s="147" t="n">
        <f aca="false">1/(1+CHOOSE(F$3,(W285+($K$3/10000))/2,(W284+($K$3/10000))/2))^(2*V284/365.25)</f>
        <v>0.259107763420257</v>
      </c>
      <c r="Y284" s="71" t="n">
        <f aca="false">IF(AND(mthbeg&lt;=A284,mthend&gt;=A284),1,0)</f>
        <v>0</v>
      </c>
      <c r="Z284" s="71" t="n">
        <f aca="false">T284*Y284</f>
        <v>0</v>
      </c>
      <c r="AB284" s="132" t="n">
        <f aca="false">F284*G284</f>
        <v>0</v>
      </c>
      <c r="AC284" s="132" t="n">
        <f aca="false">$F284*H284</f>
        <v>0</v>
      </c>
      <c r="AD284" s="132" t="n">
        <f aca="false">$F284*I284</f>
        <v>0</v>
      </c>
      <c r="AE284" s="132" t="n">
        <f aca="false">$F284*J284</f>
        <v>0</v>
      </c>
      <c r="AF284" s="132" t="n">
        <f aca="false">$F284*K284</f>
        <v>0</v>
      </c>
      <c r="AG284" s="132" t="n">
        <f aca="false">$F284*L284</f>
        <v>0</v>
      </c>
      <c r="AH284" s="132" t="n">
        <f aca="false">$F284*M284</f>
        <v>0</v>
      </c>
      <c r="AI284" s="132" t="n">
        <f aca="false">$F284*N284</f>
        <v>0</v>
      </c>
      <c r="AJ284" s="132" t="n">
        <f aca="false">F284*O284</f>
        <v>0</v>
      </c>
      <c r="AK284" s="137"/>
      <c r="AL284" s="132" t="n">
        <f aca="false">CHOOSE($G$3,AC284-AD284,AD284-AC284)</f>
        <v>0</v>
      </c>
      <c r="AM284" s="132" t="n">
        <f aca="false">CHOOSE($G$3,AF284-AG284,AG284-AF284)</f>
        <v>0</v>
      </c>
      <c r="AN284" s="132" t="n">
        <f aca="false">CHOOSE($G$3,AI284-AJ284,AJ284-AI284)</f>
        <v>0</v>
      </c>
      <c r="AO284" s="148" t="n">
        <f aca="false">SUM(AL284:AN284)</f>
        <v>0</v>
      </c>
      <c r="AQ284" s="132" t="n">
        <f aca="false">CHOOSE($G$3,AB284-AC284,AC284-AB284)</f>
        <v>0</v>
      </c>
      <c r="AR284" s="132" t="n">
        <f aca="false">CHOOSE($G$3,AE284-AF284,AF284-AE284)</f>
        <v>0</v>
      </c>
      <c r="AS284" s="132" t="n">
        <f aca="false">CHOOSE($G$3,AH284-AI284,AI284-AH284)</f>
        <v>0</v>
      </c>
      <c r="AT284" s="148" t="n">
        <f aca="false">AQ284+AR284+AS284</f>
        <v>0</v>
      </c>
      <c r="AU284" s="148"/>
      <c r="AV284" s="133" t="n">
        <f aca="false">AT284+AO284</f>
        <v>0</v>
      </c>
      <c r="AX284" s="133" t="n">
        <f aca="false">AJ284+AG284+AD284</f>
        <v>0</v>
      </c>
      <c r="AY284" s="149"/>
      <c r="AZ284" s="76" t="n">
        <f aca="false">R284*E284</f>
        <v>0</v>
      </c>
    </row>
    <row r="285" customFormat="false" ht="12" hidden="false" customHeight="true" outlineLevel="0" collapsed="false">
      <c r="A285" s="138" t="n">
        <f aca="false">EDATE(A284,1)</f>
        <v>45352</v>
      </c>
      <c r="B285" s="139" t="n">
        <f aca="false">VLOOKUP($A285,Table2,MATCH(I$3,Curves2,0))</f>
        <v>60900</v>
      </c>
      <c r="C285" s="140"/>
      <c r="D285" s="141" t="n">
        <f aca="false">B285+C285</f>
        <v>60900</v>
      </c>
      <c r="E285" s="126" t="n">
        <f aca="false">IF(Y285=0,0,IF(AND(Y285=1,$H$3=1),D285*T285,IF($H$3=2,D285,"N/A")))</f>
        <v>0</v>
      </c>
      <c r="F285" s="126" t="n">
        <f aca="false">E285*X285</f>
        <v>0</v>
      </c>
      <c r="G285" s="142" t="n">
        <f aca="false">VLOOKUP($A285,Table,MATCH(G$4,Curves,0))</f>
        <v>3.987</v>
      </c>
      <c r="H285" s="143" t="n">
        <f aca="false">G285</f>
        <v>3.987</v>
      </c>
      <c r="I285" s="142" t="n">
        <f aca="false">VLOOKUP($A285,Table1,MATCH(I$3,Curves1,0))</f>
        <v>3.7904</v>
      </c>
      <c r="J285" s="142" t="n">
        <f aca="false">VLOOKUP($A285,Table,MATCH(J$4,Curves,0))</f>
        <v>0.011</v>
      </c>
      <c r="K285" s="143" t="n">
        <f aca="false">J285</f>
        <v>0.011</v>
      </c>
      <c r="L285" s="144" t="n">
        <v>0</v>
      </c>
      <c r="M285" s="142" t="n">
        <f aca="false">VLOOKUP($A285,Table,MATCH(M$4,Curves,0))</f>
        <v>0.015</v>
      </c>
      <c r="N285" s="143" t="n">
        <f aca="false">M285</f>
        <v>0.015</v>
      </c>
      <c r="O285" s="144" t="n">
        <v>0</v>
      </c>
      <c r="P285" s="145"/>
      <c r="Q285" s="144" t="n">
        <f aca="false">M285+J285+G285</f>
        <v>4.013</v>
      </c>
      <c r="R285" s="144" t="n">
        <f aca="false">O285+L285+I285</f>
        <v>3.7904</v>
      </c>
      <c r="S285" s="145"/>
      <c r="T285" s="71" t="n">
        <f aca="false">A286-A285</f>
        <v>31</v>
      </c>
      <c r="U285" s="146" t="n">
        <f aca="false">CHOOSE(F$3,A286+24,A285)</f>
        <v>45407</v>
      </c>
      <c r="V285" s="71" t="n">
        <f aca="false">U285-C$3</f>
        <v>8519</v>
      </c>
      <c r="W285" s="142" t="n">
        <f aca="false">VLOOKUP($A285,Table,MATCH(W$4,Curves,0))</f>
        <v>0.058966861357273</v>
      </c>
      <c r="X285" s="147" t="n">
        <f aca="false">1/(1+CHOOSE(F$3,(W286+($K$3/10000))/2,(W285+($K$3/10000))/2))^(2*V285/365.25)</f>
        <v>0.257832898002687</v>
      </c>
      <c r="Y285" s="71" t="n">
        <f aca="false">IF(AND(mthbeg&lt;=A285,mthend&gt;=A285),1,0)</f>
        <v>0</v>
      </c>
      <c r="Z285" s="71" t="n">
        <f aca="false">T285*Y285</f>
        <v>0</v>
      </c>
      <c r="AB285" s="132" t="n">
        <f aca="false">F285*G285</f>
        <v>0</v>
      </c>
      <c r="AC285" s="132" t="n">
        <f aca="false">$F285*H285</f>
        <v>0</v>
      </c>
      <c r="AD285" s="132" t="n">
        <f aca="false">$F285*I285</f>
        <v>0</v>
      </c>
      <c r="AE285" s="132" t="n">
        <f aca="false">$F285*J285</f>
        <v>0</v>
      </c>
      <c r="AF285" s="132" t="n">
        <f aca="false">$F285*K285</f>
        <v>0</v>
      </c>
      <c r="AG285" s="132" t="n">
        <f aca="false">$F285*L285</f>
        <v>0</v>
      </c>
      <c r="AH285" s="132" t="n">
        <f aca="false">$F285*M285</f>
        <v>0</v>
      </c>
      <c r="AI285" s="132" t="n">
        <f aca="false">$F285*N285</f>
        <v>0</v>
      </c>
      <c r="AJ285" s="132" t="n">
        <f aca="false">F285*O285</f>
        <v>0</v>
      </c>
      <c r="AK285" s="137"/>
      <c r="AL285" s="132" t="n">
        <f aca="false">CHOOSE($G$3,AC285-AD285,AD285-AC285)</f>
        <v>0</v>
      </c>
      <c r="AM285" s="132" t="n">
        <f aca="false">CHOOSE($G$3,AF285-AG285,AG285-AF285)</f>
        <v>0</v>
      </c>
      <c r="AN285" s="132" t="n">
        <f aca="false">CHOOSE($G$3,AI285-AJ285,AJ285-AI285)</f>
        <v>0</v>
      </c>
      <c r="AO285" s="148" t="n">
        <f aca="false">SUM(AL285:AN285)</f>
        <v>0</v>
      </c>
      <c r="AQ285" s="132" t="n">
        <f aca="false">CHOOSE($G$3,AB285-AC285,AC285-AB285)</f>
        <v>0</v>
      </c>
      <c r="AR285" s="132" t="n">
        <f aca="false">CHOOSE($G$3,AE285-AF285,AF285-AE285)</f>
        <v>0</v>
      </c>
      <c r="AS285" s="132" t="n">
        <f aca="false">CHOOSE($G$3,AH285-AI285,AI285-AH285)</f>
        <v>0</v>
      </c>
      <c r="AT285" s="148" t="n">
        <f aca="false">AQ285+AR285+AS285</f>
        <v>0</v>
      </c>
      <c r="AU285" s="148"/>
      <c r="AV285" s="133" t="n">
        <f aca="false">AT285+AO285</f>
        <v>0</v>
      </c>
      <c r="AX285" s="133" t="n">
        <f aca="false">AJ285+AG285+AD285</f>
        <v>0</v>
      </c>
      <c r="AY285" s="149"/>
      <c r="AZ285" s="76" t="n">
        <f aca="false">R285*E285</f>
        <v>0</v>
      </c>
    </row>
    <row r="286" customFormat="false" ht="12" hidden="false" customHeight="true" outlineLevel="0" collapsed="false">
      <c r="A286" s="138" t="n">
        <f aca="false">EDATE(A285,1)</f>
        <v>45383</v>
      </c>
      <c r="B286" s="139" t="n">
        <f aca="false">VLOOKUP($A286,Table2,MATCH(I$3,Curves2,0))</f>
        <v>60900</v>
      </c>
      <c r="C286" s="140"/>
      <c r="D286" s="141" t="n">
        <f aca="false">B286+C286</f>
        <v>60900</v>
      </c>
      <c r="E286" s="126" t="n">
        <f aca="false">IF(Y286=0,0,IF(AND(Y286=1,$H$3=1),D286*T286,IF($H$3=2,D286,"N/A")))</f>
        <v>0</v>
      </c>
      <c r="F286" s="126" t="n">
        <f aca="false">E286*X286</f>
        <v>0</v>
      </c>
      <c r="G286" s="142" t="n">
        <f aca="false">VLOOKUP($A286,Table,MATCH(G$4,Curves,0))</f>
        <v>3.987</v>
      </c>
      <c r="H286" s="143" t="n">
        <f aca="false">G286</f>
        <v>3.987</v>
      </c>
      <c r="I286" s="142" t="n">
        <f aca="false">VLOOKUP($A286,Table1,MATCH(I$3,Curves1,0))</f>
        <v>3.7904</v>
      </c>
      <c r="J286" s="142" t="n">
        <f aca="false">VLOOKUP($A286,Table,MATCH(J$4,Curves,0))</f>
        <v>0.011</v>
      </c>
      <c r="K286" s="143" t="n">
        <f aca="false">J286</f>
        <v>0.011</v>
      </c>
      <c r="L286" s="144" t="n">
        <v>0</v>
      </c>
      <c r="M286" s="142" t="n">
        <f aca="false">VLOOKUP($A286,Table,MATCH(M$4,Curves,0))</f>
        <v>0.015</v>
      </c>
      <c r="N286" s="143" t="n">
        <f aca="false">M286</f>
        <v>0.015</v>
      </c>
      <c r="O286" s="144" t="n">
        <v>0</v>
      </c>
      <c r="P286" s="145"/>
      <c r="Q286" s="144" t="n">
        <f aca="false">M286+J286+G286</f>
        <v>4.013</v>
      </c>
      <c r="R286" s="144" t="n">
        <f aca="false">O286+L286+I286</f>
        <v>3.7904</v>
      </c>
      <c r="S286" s="145"/>
      <c r="T286" s="71" t="n">
        <f aca="false">A287-A286</f>
        <v>30</v>
      </c>
      <c r="U286" s="146" t="n">
        <f aca="false">CHOOSE(F$3,A287+24,A286)</f>
        <v>45437</v>
      </c>
      <c r="V286" s="71" t="n">
        <f aca="false">U286-C$3</f>
        <v>8549</v>
      </c>
      <c r="W286" s="142" t="n">
        <f aca="false">VLOOKUP($A286,Table,MATCH(W$4,Curves,0))</f>
        <v>0.058966861357273</v>
      </c>
      <c r="X286" s="147" t="n">
        <f aca="false">1/(1+CHOOSE(F$3,(W287+($K$3/10000))/2,(W286+($K$3/10000))/2))^(2*V286/365.25)</f>
        <v>0.256605129952154</v>
      </c>
      <c r="Y286" s="71" t="n">
        <f aca="false">IF(AND(mthbeg&lt;=A286,mthend&gt;=A286),1,0)</f>
        <v>0</v>
      </c>
      <c r="Z286" s="71" t="n">
        <f aca="false">T286*Y286</f>
        <v>0</v>
      </c>
      <c r="AB286" s="132" t="n">
        <f aca="false">F286*G286</f>
        <v>0</v>
      </c>
      <c r="AC286" s="132" t="n">
        <f aca="false">$F286*H286</f>
        <v>0</v>
      </c>
      <c r="AD286" s="132" t="n">
        <f aca="false">$F286*I286</f>
        <v>0</v>
      </c>
      <c r="AE286" s="132" t="n">
        <f aca="false">$F286*J286</f>
        <v>0</v>
      </c>
      <c r="AF286" s="132" t="n">
        <f aca="false">$F286*K286</f>
        <v>0</v>
      </c>
      <c r="AG286" s="132" t="n">
        <f aca="false">$F286*L286</f>
        <v>0</v>
      </c>
      <c r="AH286" s="132" t="n">
        <f aca="false">$F286*M286</f>
        <v>0</v>
      </c>
      <c r="AI286" s="132" t="n">
        <f aca="false">$F286*N286</f>
        <v>0</v>
      </c>
      <c r="AJ286" s="132" t="n">
        <f aca="false">F286*O286</f>
        <v>0</v>
      </c>
      <c r="AK286" s="137"/>
      <c r="AL286" s="132" t="n">
        <f aca="false">CHOOSE($G$3,AC286-AD286,AD286-AC286)</f>
        <v>0</v>
      </c>
      <c r="AM286" s="132" t="n">
        <f aca="false">CHOOSE($G$3,AF286-AG286,AG286-AF286)</f>
        <v>0</v>
      </c>
      <c r="AN286" s="132" t="n">
        <f aca="false">CHOOSE($G$3,AI286-AJ286,AJ286-AI286)</f>
        <v>0</v>
      </c>
      <c r="AO286" s="148" t="n">
        <f aca="false">SUM(AL286:AN286)</f>
        <v>0</v>
      </c>
      <c r="AQ286" s="132" t="n">
        <f aca="false">CHOOSE($G$3,AB286-AC286,AC286-AB286)</f>
        <v>0</v>
      </c>
      <c r="AR286" s="132" t="n">
        <f aca="false">CHOOSE($G$3,AE286-AF286,AF286-AE286)</f>
        <v>0</v>
      </c>
      <c r="AS286" s="132" t="n">
        <f aca="false">CHOOSE($G$3,AH286-AI286,AI286-AH286)</f>
        <v>0</v>
      </c>
      <c r="AT286" s="148" t="n">
        <f aca="false">AQ286+AR286+AS286</f>
        <v>0</v>
      </c>
      <c r="AU286" s="148"/>
      <c r="AV286" s="133" t="n">
        <f aca="false">AT286+AO286</f>
        <v>0</v>
      </c>
      <c r="AX286" s="133" t="n">
        <f aca="false">AJ286+AG286+AD286</f>
        <v>0</v>
      </c>
      <c r="AY286" s="149"/>
      <c r="AZ286" s="76" t="n">
        <f aca="false">R286*E286</f>
        <v>0</v>
      </c>
    </row>
    <row r="287" customFormat="false" ht="12" hidden="false" customHeight="true" outlineLevel="0" collapsed="false">
      <c r="A287" s="138" t="n">
        <f aca="false">EDATE(A286,1)</f>
        <v>45413</v>
      </c>
      <c r="B287" s="139" t="n">
        <f aca="false">VLOOKUP($A287,Table2,MATCH(I$3,Curves2,0))</f>
        <v>60900</v>
      </c>
      <c r="C287" s="140"/>
      <c r="D287" s="141" t="n">
        <f aca="false">B287+C287</f>
        <v>60900</v>
      </c>
      <c r="E287" s="126" t="n">
        <f aca="false">IF(Y287=0,0,IF(AND(Y287=1,$H$3=1),D287*T287,IF($H$3=2,D287,"N/A")))</f>
        <v>0</v>
      </c>
      <c r="F287" s="126" t="n">
        <f aca="false">E287*X287</f>
        <v>0</v>
      </c>
      <c r="G287" s="142" t="n">
        <f aca="false">VLOOKUP($A287,Table,MATCH(G$4,Curves,0))</f>
        <v>3.987</v>
      </c>
      <c r="H287" s="143" t="n">
        <f aca="false">G287</f>
        <v>3.987</v>
      </c>
      <c r="I287" s="142" t="n">
        <f aca="false">VLOOKUP($A287,Table1,MATCH(I$3,Curves1,0))</f>
        <v>3.7904</v>
      </c>
      <c r="J287" s="142" t="n">
        <f aca="false">VLOOKUP($A287,Table,MATCH(J$4,Curves,0))</f>
        <v>0.011</v>
      </c>
      <c r="K287" s="143" t="n">
        <f aca="false">J287</f>
        <v>0.011</v>
      </c>
      <c r="L287" s="144" t="n">
        <v>0</v>
      </c>
      <c r="M287" s="142" t="n">
        <f aca="false">VLOOKUP($A287,Table,MATCH(M$4,Curves,0))</f>
        <v>0.015</v>
      </c>
      <c r="N287" s="143" t="n">
        <f aca="false">M287</f>
        <v>0.015</v>
      </c>
      <c r="O287" s="144" t="n">
        <v>0</v>
      </c>
      <c r="P287" s="145"/>
      <c r="Q287" s="144" t="n">
        <f aca="false">M287+J287+G287</f>
        <v>4.013</v>
      </c>
      <c r="R287" s="144" t="n">
        <f aca="false">O287+L287+I287</f>
        <v>3.7904</v>
      </c>
      <c r="S287" s="145"/>
      <c r="T287" s="71" t="n">
        <f aca="false">A288-A287</f>
        <v>31</v>
      </c>
      <c r="U287" s="146" t="n">
        <f aca="false">CHOOSE(F$3,A288+24,A287)</f>
        <v>45468</v>
      </c>
      <c r="V287" s="71" t="n">
        <f aca="false">U287-C$3</f>
        <v>8580</v>
      </c>
      <c r="W287" s="142" t="n">
        <f aca="false">VLOOKUP($A287,Table,MATCH(W$4,Curves,0))</f>
        <v>0.058966861357273</v>
      </c>
      <c r="X287" s="147" t="n">
        <f aca="false">1/(1+CHOOSE(F$3,(W288+($K$3/10000))/2,(W287+($K$3/10000))/2))^(2*V287/365.25)</f>
        <v>0.255342578024613</v>
      </c>
      <c r="Y287" s="71" t="n">
        <f aca="false">IF(AND(mthbeg&lt;=A287,mthend&gt;=A287),1,0)</f>
        <v>0</v>
      </c>
      <c r="Z287" s="71" t="n">
        <f aca="false">T287*Y287</f>
        <v>0</v>
      </c>
      <c r="AB287" s="132" t="n">
        <f aca="false">F287*G287</f>
        <v>0</v>
      </c>
      <c r="AC287" s="132" t="n">
        <f aca="false">$F287*H287</f>
        <v>0</v>
      </c>
      <c r="AD287" s="132" t="n">
        <f aca="false">$F287*I287</f>
        <v>0</v>
      </c>
      <c r="AE287" s="132" t="n">
        <f aca="false">$F287*J287</f>
        <v>0</v>
      </c>
      <c r="AF287" s="132" t="n">
        <f aca="false">$F287*K287</f>
        <v>0</v>
      </c>
      <c r="AG287" s="132" t="n">
        <f aca="false">$F287*L287</f>
        <v>0</v>
      </c>
      <c r="AH287" s="132" t="n">
        <f aca="false">$F287*M287</f>
        <v>0</v>
      </c>
      <c r="AI287" s="132" t="n">
        <f aca="false">$F287*N287</f>
        <v>0</v>
      </c>
      <c r="AJ287" s="132" t="n">
        <f aca="false">F287*O287</f>
        <v>0</v>
      </c>
      <c r="AK287" s="137"/>
      <c r="AL287" s="132" t="n">
        <f aca="false">CHOOSE($G$3,AC287-AD287,AD287-AC287)</f>
        <v>0</v>
      </c>
      <c r="AM287" s="132" t="n">
        <f aca="false">CHOOSE($G$3,AF287-AG287,AG287-AF287)</f>
        <v>0</v>
      </c>
      <c r="AN287" s="132" t="n">
        <f aca="false">CHOOSE($G$3,AI287-AJ287,AJ287-AI287)</f>
        <v>0</v>
      </c>
      <c r="AO287" s="148" t="n">
        <f aca="false">SUM(AL287:AN287)</f>
        <v>0</v>
      </c>
      <c r="AQ287" s="132" t="n">
        <f aca="false">CHOOSE($G$3,AB287-AC287,AC287-AB287)</f>
        <v>0</v>
      </c>
      <c r="AR287" s="132" t="n">
        <f aca="false">CHOOSE($G$3,AE287-AF287,AF287-AE287)</f>
        <v>0</v>
      </c>
      <c r="AS287" s="132" t="n">
        <f aca="false">CHOOSE($G$3,AH287-AI287,AI287-AH287)</f>
        <v>0</v>
      </c>
      <c r="AT287" s="148" t="n">
        <f aca="false">AQ287+AR287+AS287</f>
        <v>0</v>
      </c>
      <c r="AU287" s="148"/>
      <c r="AV287" s="133" t="n">
        <f aca="false">AT287+AO287</f>
        <v>0</v>
      </c>
      <c r="AX287" s="133" t="n">
        <f aca="false">AJ287+AG287+AD287</f>
        <v>0</v>
      </c>
      <c r="AY287" s="149"/>
      <c r="AZ287" s="76" t="n">
        <f aca="false">R287*E287</f>
        <v>0</v>
      </c>
    </row>
    <row r="288" customFormat="false" ht="12" hidden="false" customHeight="true" outlineLevel="0" collapsed="false">
      <c r="A288" s="138" t="n">
        <f aca="false">EDATE(A287,1)</f>
        <v>45444</v>
      </c>
      <c r="B288" s="139" t="n">
        <f aca="false">VLOOKUP($A288,Table2,MATCH(I$3,Curves2,0))</f>
        <v>60900</v>
      </c>
      <c r="C288" s="140"/>
      <c r="D288" s="141" t="n">
        <f aca="false">B288+C288</f>
        <v>60900</v>
      </c>
      <c r="E288" s="126" t="n">
        <f aca="false">IF(Y288=0,0,IF(AND(Y288=1,$H$3=1),D288*T288,IF($H$3=2,D288,"N/A")))</f>
        <v>0</v>
      </c>
      <c r="F288" s="126" t="n">
        <f aca="false">E288*X288</f>
        <v>0</v>
      </c>
      <c r="G288" s="142" t="n">
        <f aca="false">VLOOKUP($A288,Table,MATCH(G$4,Curves,0))</f>
        <v>3.987</v>
      </c>
      <c r="H288" s="143" t="n">
        <f aca="false">G288</f>
        <v>3.987</v>
      </c>
      <c r="I288" s="142" t="n">
        <f aca="false">VLOOKUP($A288,Table1,MATCH(I$3,Curves1,0))</f>
        <v>3.7904</v>
      </c>
      <c r="J288" s="142" t="n">
        <f aca="false">VLOOKUP($A288,Table,MATCH(J$4,Curves,0))</f>
        <v>0.011</v>
      </c>
      <c r="K288" s="143" t="n">
        <f aca="false">J288</f>
        <v>0.011</v>
      </c>
      <c r="L288" s="144" t="n">
        <v>0</v>
      </c>
      <c r="M288" s="142" t="n">
        <f aca="false">VLOOKUP($A288,Table,MATCH(M$4,Curves,0))</f>
        <v>0.015</v>
      </c>
      <c r="N288" s="143" t="n">
        <f aca="false">M288</f>
        <v>0.015</v>
      </c>
      <c r="O288" s="144" t="n">
        <v>0</v>
      </c>
      <c r="P288" s="145"/>
      <c r="Q288" s="144" t="n">
        <f aca="false">M288+J288+G288</f>
        <v>4.013</v>
      </c>
      <c r="R288" s="144" t="n">
        <f aca="false">O288+L288+I288</f>
        <v>3.7904</v>
      </c>
      <c r="S288" s="145"/>
      <c r="T288" s="71" t="n">
        <f aca="false">A289-A288</f>
        <v>30</v>
      </c>
      <c r="U288" s="146" t="n">
        <f aca="false">CHOOSE(F$3,A289+24,A288)</f>
        <v>45498</v>
      </c>
      <c r="V288" s="71" t="n">
        <f aca="false">U288-C$3</f>
        <v>8610</v>
      </c>
      <c r="W288" s="142" t="n">
        <f aca="false">VLOOKUP($A288,Table,MATCH(W$4,Curves,0))</f>
        <v>0.058966861357273</v>
      </c>
      <c r="X288" s="147" t="n">
        <f aca="false">1/(1+CHOOSE(F$3,(W289+($K$3/10000))/2,(W288+($K$3/10000))/2))^(2*V288/365.25)</f>
        <v>0.254126668566712</v>
      </c>
      <c r="Y288" s="71" t="n">
        <f aca="false">IF(AND(mthbeg&lt;=A288,mthend&gt;=A288),1,0)</f>
        <v>0</v>
      </c>
      <c r="Z288" s="71" t="n">
        <f aca="false">T288*Y288</f>
        <v>0</v>
      </c>
      <c r="AB288" s="132" t="n">
        <f aca="false">F288*G288</f>
        <v>0</v>
      </c>
      <c r="AC288" s="132" t="n">
        <f aca="false">$F288*H288</f>
        <v>0</v>
      </c>
      <c r="AD288" s="132" t="n">
        <f aca="false">$F288*I288</f>
        <v>0</v>
      </c>
      <c r="AE288" s="132" t="n">
        <f aca="false">$F288*J288</f>
        <v>0</v>
      </c>
      <c r="AF288" s="132" t="n">
        <f aca="false">$F288*K288</f>
        <v>0</v>
      </c>
      <c r="AG288" s="132" t="n">
        <f aca="false">$F288*L288</f>
        <v>0</v>
      </c>
      <c r="AH288" s="132" t="n">
        <f aca="false">$F288*M288</f>
        <v>0</v>
      </c>
      <c r="AI288" s="132" t="n">
        <f aca="false">$F288*N288</f>
        <v>0</v>
      </c>
      <c r="AJ288" s="132" t="n">
        <f aca="false">F288*O288</f>
        <v>0</v>
      </c>
      <c r="AK288" s="137"/>
      <c r="AL288" s="132" t="n">
        <f aca="false">CHOOSE($G$3,AC288-AD288,AD288-AC288)</f>
        <v>0</v>
      </c>
      <c r="AM288" s="132" t="n">
        <f aca="false">CHOOSE($G$3,AF288-AG288,AG288-AF288)</f>
        <v>0</v>
      </c>
      <c r="AN288" s="132" t="n">
        <f aca="false">CHOOSE($G$3,AI288-AJ288,AJ288-AI288)</f>
        <v>0</v>
      </c>
      <c r="AO288" s="148" t="n">
        <f aca="false">SUM(AL288:AN288)</f>
        <v>0</v>
      </c>
      <c r="AQ288" s="132" t="n">
        <f aca="false">CHOOSE($G$3,AB288-AC288,AC288-AB288)</f>
        <v>0</v>
      </c>
      <c r="AR288" s="132" t="n">
        <f aca="false">CHOOSE($G$3,AE288-AF288,AF288-AE288)</f>
        <v>0</v>
      </c>
      <c r="AS288" s="132" t="n">
        <f aca="false">CHOOSE($G$3,AH288-AI288,AI288-AH288)</f>
        <v>0</v>
      </c>
      <c r="AT288" s="148" t="n">
        <f aca="false">AQ288+AR288+AS288</f>
        <v>0</v>
      </c>
      <c r="AU288" s="148"/>
      <c r="AV288" s="133" t="n">
        <f aca="false">AT288+AO288</f>
        <v>0</v>
      </c>
      <c r="AX288" s="133" t="n">
        <f aca="false">AJ288+AG288+AD288</f>
        <v>0</v>
      </c>
      <c r="AY288" s="149"/>
      <c r="AZ288" s="76" t="n">
        <f aca="false">R288*E288</f>
        <v>0</v>
      </c>
    </row>
    <row r="289" customFormat="false" ht="12" hidden="false" customHeight="true" outlineLevel="0" collapsed="false">
      <c r="A289" s="138" t="n">
        <f aca="false">EDATE(A288,1)</f>
        <v>45474</v>
      </c>
      <c r="B289" s="139" t="n">
        <f aca="false">VLOOKUP($A289,Table2,MATCH(I$3,Curves2,0))</f>
        <v>60900</v>
      </c>
      <c r="C289" s="140"/>
      <c r="D289" s="141" t="n">
        <f aca="false">B289+C289</f>
        <v>60900</v>
      </c>
      <c r="E289" s="126" t="n">
        <f aca="false">IF(Y289=0,0,IF(AND(Y289=1,$H$3=1),D289*T289,IF($H$3=2,D289,"N/A")))</f>
        <v>0</v>
      </c>
      <c r="F289" s="126" t="n">
        <f aca="false">E289*X289</f>
        <v>0</v>
      </c>
      <c r="G289" s="142" t="n">
        <f aca="false">VLOOKUP($A289,Table,MATCH(G$4,Curves,0))</f>
        <v>3.987</v>
      </c>
      <c r="H289" s="143" t="n">
        <f aca="false">G289</f>
        <v>3.987</v>
      </c>
      <c r="I289" s="142" t="n">
        <f aca="false">VLOOKUP($A289,Table1,MATCH(I$3,Curves1,0))</f>
        <v>3.7904</v>
      </c>
      <c r="J289" s="142" t="n">
        <f aca="false">VLOOKUP($A289,Table,MATCH(J$4,Curves,0))</f>
        <v>0.011</v>
      </c>
      <c r="K289" s="143" t="n">
        <f aca="false">J289</f>
        <v>0.011</v>
      </c>
      <c r="L289" s="144" t="n">
        <v>0</v>
      </c>
      <c r="M289" s="142" t="n">
        <f aca="false">VLOOKUP($A289,Table,MATCH(M$4,Curves,0))</f>
        <v>0.015</v>
      </c>
      <c r="N289" s="143" t="n">
        <f aca="false">M289</f>
        <v>0.015</v>
      </c>
      <c r="O289" s="144" t="n">
        <v>0</v>
      </c>
      <c r="P289" s="145"/>
      <c r="Q289" s="144" t="n">
        <f aca="false">M289+J289+G289</f>
        <v>4.013</v>
      </c>
      <c r="R289" s="144" t="n">
        <f aca="false">O289+L289+I289</f>
        <v>3.7904</v>
      </c>
      <c r="S289" s="145"/>
      <c r="T289" s="71" t="n">
        <f aca="false">A290-A289</f>
        <v>31</v>
      </c>
      <c r="U289" s="146" t="n">
        <f aca="false">CHOOSE(F$3,A290+24,A289)</f>
        <v>45529</v>
      </c>
      <c r="V289" s="71" t="n">
        <f aca="false">U289-C$3</f>
        <v>8641</v>
      </c>
      <c r="W289" s="142" t="n">
        <f aca="false">VLOOKUP($A289,Table,MATCH(W$4,Curves,0))</f>
        <v>0.058966861357273</v>
      </c>
      <c r="X289" s="147" t="n">
        <f aca="false">1/(1+CHOOSE(F$3,(W290+($K$3/10000))/2,(W289+($K$3/10000))/2))^(2*V289/365.25)</f>
        <v>0.252876311197402</v>
      </c>
      <c r="Y289" s="71" t="n">
        <f aca="false">IF(AND(mthbeg&lt;=A289,mthend&gt;=A289),1,0)</f>
        <v>0</v>
      </c>
      <c r="Z289" s="71" t="n">
        <f aca="false">T289*Y289</f>
        <v>0</v>
      </c>
      <c r="AB289" s="132" t="n">
        <f aca="false">F289*G289</f>
        <v>0</v>
      </c>
      <c r="AC289" s="132" t="n">
        <f aca="false">$F289*H289</f>
        <v>0</v>
      </c>
      <c r="AD289" s="132" t="n">
        <f aca="false">$F289*I289</f>
        <v>0</v>
      </c>
      <c r="AE289" s="132" t="n">
        <f aca="false">$F289*J289</f>
        <v>0</v>
      </c>
      <c r="AF289" s="132" t="n">
        <f aca="false">$F289*K289</f>
        <v>0</v>
      </c>
      <c r="AG289" s="132" t="n">
        <f aca="false">$F289*L289</f>
        <v>0</v>
      </c>
      <c r="AH289" s="132" t="n">
        <f aca="false">$F289*M289</f>
        <v>0</v>
      </c>
      <c r="AI289" s="132" t="n">
        <f aca="false">$F289*N289</f>
        <v>0</v>
      </c>
      <c r="AJ289" s="132" t="n">
        <f aca="false">F289*O289</f>
        <v>0</v>
      </c>
      <c r="AK289" s="137"/>
      <c r="AL289" s="132" t="n">
        <f aca="false">CHOOSE($G$3,AC289-AD289,AD289-AC289)</f>
        <v>0</v>
      </c>
      <c r="AM289" s="132" t="n">
        <f aca="false">CHOOSE($G$3,AF289-AG289,AG289-AF289)</f>
        <v>0</v>
      </c>
      <c r="AN289" s="132" t="n">
        <f aca="false">CHOOSE($G$3,AI289-AJ289,AJ289-AI289)</f>
        <v>0</v>
      </c>
      <c r="AO289" s="148" t="n">
        <f aca="false">SUM(AL289:AN289)</f>
        <v>0</v>
      </c>
      <c r="AQ289" s="132" t="n">
        <f aca="false">CHOOSE($G$3,AB289-AC289,AC289-AB289)</f>
        <v>0</v>
      </c>
      <c r="AR289" s="132" t="n">
        <f aca="false">CHOOSE($G$3,AE289-AF289,AF289-AE289)</f>
        <v>0</v>
      </c>
      <c r="AS289" s="132" t="n">
        <f aca="false">CHOOSE($G$3,AH289-AI289,AI289-AH289)</f>
        <v>0</v>
      </c>
      <c r="AT289" s="148" t="n">
        <f aca="false">AQ289+AR289+AS289</f>
        <v>0</v>
      </c>
      <c r="AU289" s="148"/>
      <c r="AV289" s="133" t="n">
        <f aca="false">AT289+AO289</f>
        <v>0</v>
      </c>
      <c r="AX289" s="133" t="n">
        <f aca="false">AJ289+AG289+AD289</f>
        <v>0</v>
      </c>
      <c r="AY289" s="149"/>
      <c r="AZ289" s="76" t="n">
        <f aca="false">R289*E289</f>
        <v>0</v>
      </c>
    </row>
    <row r="290" customFormat="false" ht="12" hidden="false" customHeight="true" outlineLevel="0" collapsed="false">
      <c r="A290" s="138" t="n">
        <f aca="false">EDATE(A289,1)</f>
        <v>45505</v>
      </c>
      <c r="B290" s="139" t="n">
        <f aca="false">VLOOKUP($A290,Table2,MATCH(I$3,Curves2,0))</f>
        <v>60900</v>
      </c>
      <c r="C290" s="140"/>
      <c r="D290" s="141" t="n">
        <f aca="false">B290+C290</f>
        <v>60900</v>
      </c>
      <c r="E290" s="126" t="n">
        <f aca="false">IF(Y290=0,0,IF(AND(Y290=1,$H$3=1),D290*T290,IF($H$3=2,D290,"N/A")))</f>
        <v>0</v>
      </c>
      <c r="F290" s="126" t="n">
        <f aca="false">E290*X290</f>
        <v>0</v>
      </c>
      <c r="G290" s="142" t="n">
        <f aca="false">VLOOKUP($A290,Table,MATCH(G$4,Curves,0))</f>
        <v>3.987</v>
      </c>
      <c r="H290" s="143" t="n">
        <f aca="false">G290</f>
        <v>3.987</v>
      </c>
      <c r="I290" s="142" t="n">
        <f aca="false">VLOOKUP($A290,Table1,MATCH(I$3,Curves1,0))</f>
        <v>3.7904</v>
      </c>
      <c r="J290" s="142" t="n">
        <f aca="false">VLOOKUP($A290,Table,MATCH(J$4,Curves,0))</f>
        <v>0.011</v>
      </c>
      <c r="K290" s="143" t="n">
        <f aca="false">J290</f>
        <v>0.011</v>
      </c>
      <c r="L290" s="144" t="n">
        <v>0</v>
      </c>
      <c r="M290" s="142" t="n">
        <f aca="false">VLOOKUP($A290,Table,MATCH(M$4,Curves,0))</f>
        <v>0.015</v>
      </c>
      <c r="N290" s="143" t="n">
        <f aca="false">M290</f>
        <v>0.015</v>
      </c>
      <c r="O290" s="144" t="n">
        <v>0</v>
      </c>
      <c r="P290" s="145"/>
      <c r="Q290" s="144" t="n">
        <f aca="false">M290+J290+G290</f>
        <v>4.013</v>
      </c>
      <c r="R290" s="144" t="n">
        <f aca="false">O290+L290+I290</f>
        <v>3.7904</v>
      </c>
      <c r="S290" s="145"/>
      <c r="T290" s="71" t="n">
        <f aca="false">A291-A290</f>
        <v>31</v>
      </c>
      <c r="U290" s="146" t="n">
        <f aca="false">CHOOSE(F$3,A291+24,A290)</f>
        <v>45560</v>
      </c>
      <c r="V290" s="71" t="n">
        <f aca="false">U290-C$3</f>
        <v>8672</v>
      </c>
      <c r="W290" s="142" t="n">
        <f aca="false">VLOOKUP($A290,Table,MATCH(W$4,Curves,0))</f>
        <v>0.058966861357273</v>
      </c>
      <c r="X290" s="147" t="n">
        <f aca="false">1/(1+CHOOSE(F$3,(W291+($K$3/10000))/2,(W290+($K$3/10000))/2))^(2*V290/365.25)</f>
        <v>0.251632105852827</v>
      </c>
      <c r="Y290" s="71" t="n">
        <f aca="false">IF(AND(mthbeg&lt;=A290,mthend&gt;=A290),1,0)</f>
        <v>0</v>
      </c>
      <c r="Z290" s="71" t="n">
        <f aca="false">T290*Y290</f>
        <v>0</v>
      </c>
      <c r="AB290" s="132" t="n">
        <f aca="false">F290*G290</f>
        <v>0</v>
      </c>
      <c r="AC290" s="132" t="n">
        <f aca="false">$F290*H290</f>
        <v>0</v>
      </c>
      <c r="AD290" s="132" t="n">
        <f aca="false">$F290*I290</f>
        <v>0</v>
      </c>
      <c r="AE290" s="132" t="n">
        <f aca="false">$F290*J290</f>
        <v>0</v>
      </c>
      <c r="AF290" s="132" t="n">
        <f aca="false">$F290*K290</f>
        <v>0</v>
      </c>
      <c r="AG290" s="132" t="n">
        <f aca="false">$F290*L290</f>
        <v>0</v>
      </c>
      <c r="AH290" s="132" t="n">
        <f aca="false">$F290*M290</f>
        <v>0</v>
      </c>
      <c r="AI290" s="132" t="n">
        <f aca="false">$F290*N290</f>
        <v>0</v>
      </c>
      <c r="AJ290" s="132" t="n">
        <f aca="false">F290*O290</f>
        <v>0</v>
      </c>
      <c r="AK290" s="137"/>
      <c r="AL290" s="132" t="n">
        <f aca="false">CHOOSE($G$3,AC290-AD290,AD290-AC290)</f>
        <v>0</v>
      </c>
      <c r="AM290" s="132" t="n">
        <f aca="false">CHOOSE($G$3,AF290-AG290,AG290-AF290)</f>
        <v>0</v>
      </c>
      <c r="AN290" s="132" t="n">
        <f aca="false">CHOOSE($G$3,AI290-AJ290,AJ290-AI290)</f>
        <v>0</v>
      </c>
      <c r="AO290" s="148" t="n">
        <f aca="false">SUM(AL290:AN290)</f>
        <v>0</v>
      </c>
      <c r="AQ290" s="132" t="n">
        <f aca="false">CHOOSE($G$3,AB290-AC290,AC290-AB290)</f>
        <v>0</v>
      </c>
      <c r="AR290" s="132" t="n">
        <f aca="false">CHOOSE($G$3,AE290-AF290,AF290-AE290)</f>
        <v>0</v>
      </c>
      <c r="AS290" s="132" t="n">
        <f aca="false">CHOOSE($G$3,AH290-AI290,AI290-AH290)</f>
        <v>0</v>
      </c>
      <c r="AT290" s="148" t="n">
        <f aca="false">AQ290+AR290+AS290</f>
        <v>0</v>
      </c>
      <c r="AU290" s="148"/>
      <c r="AV290" s="133" t="n">
        <f aca="false">AT290+AO290</f>
        <v>0</v>
      </c>
      <c r="AX290" s="133" t="n">
        <f aca="false">AJ290+AG290+AD290</f>
        <v>0</v>
      </c>
      <c r="AY290" s="149"/>
      <c r="AZ290" s="76" t="n">
        <f aca="false">R290*E290</f>
        <v>0</v>
      </c>
    </row>
    <row r="291" customFormat="false" ht="12" hidden="false" customHeight="true" outlineLevel="0" collapsed="false">
      <c r="A291" s="138" t="n">
        <f aca="false">EDATE(A290,1)</f>
        <v>45536</v>
      </c>
      <c r="B291" s="139" t="n">
        <f aca="false">VLOOKUP($A291,Table2,MATCH(I$3,Curves2,0))</f>
        <v>60900</v>
      </c>
      <c r="C291" s="140"/>
      <c r="D291" s="141" t="n">
        <f aca="false">B291+C291</f>
        <v>60900</v>
      </c>
      <c r="E291" s="126" t="n">
        <f aca="false">IF(Y291=0,0,IF(AND(Y291=1,$H$3=1),D291*T291,IF($H$3=2,D291,"N/A")))</f>
        <v>0</v>
      </c>
      <c r="F291" s="126" t="n">
        <f aca="false">E291*X291</f>
        <v>0</v>
      </c>
      <c r="G291" s="142" t="n">
        <f aca="false">VLOOKUP($A291,Table,MATCH(G$4,Curves,0))</f>
        <v>3.987</v>
      </c>
      <c r="H291" s="143" t="n">
        <f aca="false">G291</f>
        <v>3.987</v>
      </c>
      <c r="I291" s="142" t="n">
        <f aca="false">VLOOKUP($A291,Table1,MATCH(I$3,Curves1,0))</f>
        <v>3.7904</v>
      </c>
      <c r="J291" s="142" t="n">
        <f aca="false">VLOOKUP($A291,Table,MATCH(J$4,Curves,0))</f>
        <v>0.011</v>
      </c>
      <c r="K291" s="143" t="n">
        <f aca="false">J291</f>
        <v>0.011</v>
      </c>
      <c r="L291" s="144" t="n">
        <v>0</v>
      </c>
      <c r="M291" s="142" t="n">
        <f aca="false">VLOOKUP($A291,Table,MATCH(M$4,Curves,0))</f>
        <v>0.015</v>
      </c>
      <c r="N291" s="143" t="n">
        <f aca="false">M291</f>
        <v>0.015</v>
      </c>
      <c r="O291" s="144" t="n">
        <v>0</v>
      </c>
      <c r="P291" s="145"/>
      <c r="Q291" s="144" t="n">
        <f aca="false">M291+J291+G291</f>
        <v>4.013</v>
      </c>
      <c r="R291" s="144" t="n">
        <f aca="false">O291+L291+I291</f>
        <v>3.7904</v>
      </c>
      <c r="S291" s="145"/>
      <c r="T291" s="71" t="n">
        <f aca="false">A292-A291</f>
        <v>30</v>
      </c>
      <c r="U291" s="146" t="n">
        <f aca="false">CHOOSE(F$3,A292+24,A291)</f>
        <v>45590</v>
      </c>
      <c r="V291" s="71" t="n">
        <f aca="false">U291-C$3</f>
        <v>8702</v>
      </c>
      <c r="W291" s="142" t="n">
        <f aca="false">VLOOKUP($A291,Table,MATCH(W$4,Curves,0))</f>
        <v>0.058966861357273</v>
      </c>
      <c r="X291" s="147" t="n">
        <f aca="false">1/(1+CHOOSE(F$3,(W292+($K$3/10000))/2,(W291+($K$3/10000))/2))^(2*V291/365.25)</f>
        <v>0.250433865199879</v>
      </c>
      <c r="Y291" s="71" t="n">
        <f aca="false">IF(AND(mthbeg&lt;=A291,mthend&gt;=A291),1,0)</f>
        <v>0</v>
      </c>
      <c r="Z291" s="71" t="n">
        <f aca="false">T291*Y291</f>
        <v>0</v>
      </c>
      <c r="AB291" s="132" t="n">
        <f aca="false">F291*G291</f>
        <v>0</v>
      </c>
      <c r="AC291" s="132" t="n">
        <f aca="false">$F291*H291</f>
        <v>0</v>
      </c>
      <c r="AD291" s="132" t="n">
        <f aca="false">$F291*I291</f>
        <v>0</v>
      </c>
      <c r="AE291" s="132" t="n">
        <f aca="false">$F291*J291</f>
        <v>0</v>
      </c>
      <c r="AF291" s="132" t="n">
        <f aca="false">$F291*K291</f>
        <v>0</v>
      </c>
      <c r="AG291" s="132" t="n">
        <f aca="false">$F291*L291</f>
        <v>0</v>
      </c>
      <c r="AH291" s="132" t="n">
        <f aca="false">$F291*M291</f>
        <v>0</v>
      </c>
      <c r="AI291" s="132" t="n">
        <f aca="false">$F291*N291</f>
        <v>0</v>
      </c>
      <c r="AJ291" s="132" t="n">
        <f aca="false">F291*O291</f>
        <v>0</v>
      </c>
      <c r="AK291" s="137"/>
      <c r="AL291" s="132" t="n">
        <f aca="false">CHOOSE($G$3,AC291-AD291,AD291-AC291)</f>
        <v>0</v>
      </c>
      <c r="AM291" s="132" t="n">
        <f aca="false">CHOOSE($G$3,AF291-AG291,AG291-AF291)</f>
        <v>0</v>
      </c>
      <c r="AN291" s="132" t="n">
        <f aca="false">CHOOSE($G$3,AI291-AJ291,AJ291-AI291)</f>
        <v>0</v>
      </c>
      <c r="AO291" s="148" t="n">
        <f aca="false">SUM(AL291:AN291)</f>
        <v>0</v>
      </c>
      <c r="AQ291" s="132" t="n">
        <f aca="false">CHOOSE($G$3,AB291-AC291,AC291-AB291)</f>
        <v>0</v>
      </c>
      <c r="AR291" s="132" t="n">
        <f aca="false">CHOOSE($G$3,AE291-AF291,AF291-AE291)</f>
        <v>0</v>
      </c>
      <c r="AS291" s="132" t="n">
        <f aca="false">CHOOSE($G$3,AH291-AI291,AI291-AH291)</f>
        <v>0</v>
      </c>
      <c r="AT291" s="148" t="n">
        <f aca="false">AQ291+AR291+AS291</f>
        <v>0</v>
      </c>
      <c r="AU291" s="148"/>
      <c r="AV291" s="133" t="n">
        <f aca="false">AT291+AO291</f>
        <v>0</v>
      </c>
      <c r="AX291" s="133" t="n">
        <f aca="false">AJ291+AG291+AD291</f>
        <v>0</v>
      </c>
      <c r="AY291" s="149"/>
      <c r="AZ291" s="76" t="n">
        <f aca="false">R291*E291</f>
        <v>0</v>
      </c>
    </row>
    <row r="292" customFormat="false" ht="12" hidden="false" customHeight="true" outlineLevel="0" collapsed="false">
      <c r="A292" s="138" t="n">
        <f aca="false">EDATE(A291,1)</f>
        <v>45566</v>
      </c>
      <c r="B292" s="139" t="n">
        <f aca="false">VLOOKUP($A292,Table2,MATCH(I$3,Curves2,0))</f>
        <v>60900</v>
      </c>
      <c r="C292" s="140"/>
      <c r="D292" s="141" t="n">
        <f aca="false">B292+C292</f>
        <v>60900</v>
      </c>
      <c r="E292" s="126" t="n">
        <f aca="false">IF(Y292=0,0,IF(AND(Y292=1,$H$3=1),D292*T292,IF($H$3=2,D292,"N/A")))</f>
        <v>0</v>
      </c>
      <c r="F292" s="126" t="n">
        <f aca="false">E292*X292</f>
        <v>0</v>
      </c>
      <c r="G292" s="142" t="n">
        <f aca="false">VLOOKUP($A292,Table,MATCH(G$4,Curves,0))</f>
        <v>3.987</v>
      </c>
      <c r="H292" s="143" t="n">
        <f aca="false">G292</f>
        <v>3.987</v>
      </c>
      <c r="I292" s="142" t="n">
        <f aca="false">VLOOKUP($A292,Table1,MATCH(I$3,Curves1,0))</f>
        <v>3.7904</v>
      </c>
      <c r="J292" s="142" t="n">
        <f aca="false">VLOOKUP($A292,Table,MATCH(J$4,Curves,0))</f>
        <v>0.011</v>
      </c>
      <c r="K292" s="143" t="n">
        <f aca="false">J292</f>
        <v>0.011</v>
      </c>
      <c r="L292" s="144" t="n">
        <v>0</v>
      </c>
      <c r="M292" s="142" t="n">
        <f aca="false">VLOOKUP($A292,Table,MATCH(M$4,Curves,0))</f>
        <v>0.015</v>
      </c>
      <c r="N292" s="143" t="n">
        <f aca="false">M292</f>
        <v>0.015</v>
      </c>
      <c r="O292" s="144" t="n">
        <v>0</v>
      </c>
      <c r="P292" s="145"/>
      <c r="Q292" s="144" t="n">
        <f aca="false">M292+J292+G292</f>
        <v>4.013</v>
      </c>
      <c r="R292" s="144" t="n">
        <f aca="false">O292+L292+I292</f>
        <v>3.7904</v>
      </c>
      <c r="S292" s="145"/>
      <c r="T292" s="71" t="n">
        <f aca="false">A293-A292</f>
        <v>31</v>
      </c>
      <c r="U292" s="146" t="n">
        <f aca="false">CHOOSE(F$3,A293+24,A292)</f>
        <v>45621</v>
      </c>
      <c r="V292" s="71" t="n">
        <f aca="false">U292-C$3</f>
        <v>8733</v>
      </c>
      <c r="W292" s="142" t="n">
        <f aca="false">VLOOKUP($A292,Table,MATCH(W$4,Curves,0))</f>
        <v>0.058966861357273</v>
      </c>
      <c r="X292" s="147" t="n">
        <f aca="false">1/(1+CHOOSE(F$3,(W293+($K$3/10000))/2,(W292+($K$3/10000))/2))^(2*V292/365.25)</f>
        <v>0.24920167721015</v>
      </c>
      <c r="Y292" s="71" t="n">
        <f aca="false">IF(AND(mthbeg&lt;=A292,mthend&gt;=A292),1,0)</f>
        <v>0</v>
      </c>
      <c r="Z292" s="71" t="n">
        <f aca="false">T292*Y292</f>
        <v>0</v>
      </c>
      <c r="AB292" s="132" t="n">
        <f aca="false">F292*G292</f>
        <v>0</v>
      </c>
      <c r="AC292" s="132" t="n">
        <f aca="false">$F292*H292</f>
        <v>0</v>
      </c>
      <c r="AD292" s="132" t="n">
        <f aca="false">$F292*I292</f>
        <v>0</v>
      </c>
      <c r="AE292" s="132" t="n">
        <f aca="false">$F292*J292</f>
        <v>0</v>
      </c>
      <c r="AF292" s="132" t="n">
        <f aca="false">$F292*K292</f>
        <v>0</v>
      </c>
      <c r="AG292" s="132" t="n">
        <f aca="false">$F292*L292</f>
        <v>0</v>
      </c>
      <c r="AH292" s="132" t="n">
        <f aca="false">$F292*M292</f>
        <v>0</v>
      </c>
      <c r="AI292" s="132" t="n">
        <f aca="false">$F292*N292</f>
        <v>0</v>
      </c>
      <c r="AJ292" s="132" t="n">
        <f aca="false">F292*O292</f>
        <v>0</v>
      </c>
      <c r="AK292" s="137"/>
      <c r="AL292" s="132" t="n">
        <f aca="false">CHOOSE($G$3,AC292-AD292,AD292-AC292)</f>
        <v>0</v>
      </c>
      <c r="AM292" s="132" t="n">
        <f aca="false">CHOOSE($G$3,AF292-AG292,AG292-AF292)</f>
        <v>0</v>
      </c>
      <c r="AN292" s="132" t="n">
        <f aca="false">CHOOSE($G$3,AI292-AJ292,AJ292-AI292)</f>
        <v>0</v>
      </c>
      <c r="AO292" s="148" t="n">
        <f aca="false">SUM(AL292:AN292)</f>
        <v>0</v>
      </c>
      <c r="AQ292" s="132" t="n">
        <f aca="false">CHOOSE($G$3,AB292-AC292,AC292-AB292)</f>
        <v>0</v>
      </c>
      <c r="AR292" s="132" t="n">
        <f aca="false">CHOOSE($G$3,AE292-AF292,AF292-AE292)</f>
        <v>0</v>
      </c>
      <c r="AS292" s="132" t="n">
        <f aca="false">CHOOSE($G$3,AH292-AI292,AI292-AH292)</f>
        <v>0</v>
      </c>
      <c r="AT292" s="148" t="n">
        <f aca="false">AQ292+AR292+AS292</f>
        <v>0</v>
      </c>
      <c r="AU292" s="148"/>
      <c r="AV292" s="133" t="n">
        <f aca="false">AT292+AO292</f>
        <v>0</v>
      </c>
      <c r="AX292" s="133" t="n">
        <f aca="false">AJ292+AG292+AD292</f>
        <v>0</v>
      </c>
      <c r="AY292" s="149"/>
      <c r="AZ292" s="76" t="n">
        <f aca="false">R292*E292</f>
        <v>0</v>
      </c>
    </row>
    <row r="293" customFormat="false" ht="12" hidden="false" customHeight="true" outlineLevel="0" collapsed="false">
      <c r="A293" s="138" t="n">
        <f aca="false">EDATE(A292,1)</f>
        <v>45597</v>
      </c>
      <c r="B293" s="139" t="n">
        <f aca="false">VLOOKUP($A293,Table2,MATCH(I$3,Curves2,0))</f>
        <v>60900</v>
      </c>
      <c r="C293" s="140"/>
      <c r="D293" s="141" t="n">
        <f aca="false">B293+C293</f>
        <v>60900</v>
      </c>
      <c r="E293" s="126" t="n">
        <f aca="false">IF(Y293=0,0,IF(AND(Y293=1,$H$3=1),D293*T293,IF($H$3=2,D293,"N/A")))</f>
        <v>0</v>
      </c>
      <c r="F293" s="126" t="n">
        <f aca="false">E293*X293</f>
        <v>0</v>
      </c>
      <c r="G293" s="142" t="n">
        <f aca="false">VLOOKUP($A293,Table,MATCH(G$4,Curves,0))</f>
        <v>3.987</v>
      </c>
      <c r="H293" s="143" t="n">
        <f aca="false">G293</f>
        <v>3.987</v>
      </c>
      <c r="I293" s="142" t="n">
        <f aca="false">VLOOKUP($A293,Table1,MATCH(I$3,Curves1,0))</f>
        <v>3.7904</v>
      </c>
      <c r="J293" s="142" t="n">
        <f aca="false">VLOOKUP($A293,Table,MATCH(J$4,Curves,0))</f>
        <v>0.011</v>
      </c>
      <c r="K293" s="143" t="n">
        <f aca="false">J293</f>
        <v>0.011</v>
      </c>
      <c r="L293" s="144" t="n">
        <v>0</v>
      </c>
      <c r="M293" s="142" t="n">
        <f aca="false">VLOOKUP($A293,Table,MATCH(M$4,Curves,0))</f>
        <v>0.015</v>
      </c>
      <c r="N293" s="143" t="n">
        <f aca="false">M293</f>
        <v>0.015</v>
      </c>
      <c r="O293" s="144" t="n">
        <v>0</v>
      </c>
      <c r="P293" s="145"/>
      <c r="Q293" s="144" t="n">
        <f aca="false">M293+J293+G293</f>
        <v>4.013</v>
      </c>
      <c r="R293" s="144" t="n">
        <f aca="false">O293+L293+I293</f>
        <v>3.7904</v>
      </c>
      <c r="S293" s="145"/>
      <c r="T293" s="71" t="n">
        <f aca="false">A294-A293</f>
        <v>30</v>
      </c>
      <c r="U293" s="146" t="n">
        <f aca="false">CHOOSE(F$3,A294+24,A293)</f>
        <v>45651</v>
      </c>
      <c r="V293" s="71" t="n">
        <f aca="false">U293-C$3</f>
        <v>8763</v>
      </c>
      <c r="W293" s="142" t="n">
        <f aca="false">VLOOKUP($A293,Table,MATCH(W$4,Curves,0))</f>
        <v>0.058966861357273</v>
      </c>
      <c r="X293" s="147" t="n">
        <f aca="false">1/(1+CHOOSE(F$3,(W294+($K$3/10000))/2,(W293+($K$3/10000))/2))^(2*V293/365.25)</f>
        <v>0.248015009954777</v>
      </c>
      <c r="Y293" s="71" t="n">
        <f aca="false">IF(AND(mthbeg&lt;=A293,mthend&gt;=A293),1,0)</f>
        <v>0</v>
      </c>
      <c r="Z293" s="71" t="n">
        <f aca="false">T293*Y293</f>
        <v>0</v>
      </c>
      <c r="AB293" s="132" t="n">
        <f aca="false">F293*G293</f>
        <v>0</v>
      </c>
      <c r="AC293" s="132" t="n">
        <f aca="false">$F293*H293</f>
        <v>0</v>
      </c>
      <c r="AD293" s="132" t="n">
        <f aca="false">$F293*I293</f>
        <v>0</v>
      </c>
      <c r="AE293" s="132" t="n">
        <f aca="false">$F293*J293</f>
        <v>0</v>
      </c>
      <c r="AF293" s="132" t="n">
        <f aca="false">$F293*K293</f>
        <v>0</v>
      </c>
      <c r="AG293" s="132" t="n">
        <f aca="false">$F293*L293</f>
        <v>0</v>
      </c>
      <c r="AH293" s="132" t="n">
        <f aca="false">$F293*M293</f>
        <v>0</v>
      </c>
      <c r="AI293" s="132" t="n">
        <f aca="false">$F293*N293</f>
        <v>0</v>
      </c>
      <c r="AJ293" s="132" t="n">
        <f aca="false">F293*O293</f>
        <v>0</v>
      </c>
      <c r="AK293" s="137"/>
      <c r="AL293" s="132" t="n">
        <f aca="false">CHOOSE($G$3,AC293-AD293,AD293-AC293)</f>
        <v>0</v>
      </c>
      <c r="AM293" s="132" t="n">
        <f aca="false">CHOOSE($G$3,AF293-AG293,AG293-AF293)</f>
        <v>0</v>
      </c>
      <c r="AN293" s="132" t="n">
        <f aca="false">CHOOSE($G$3,AI293-AJ293,AJ293-AI293)</f>
        <v>0</v>
      </c>
      <c r="AO293" s="148" t="n">
        <f aca="false">SUM(AL293:AN293)</f>
        <v>0</v>
      </c>
      <c r="AQ293" s="132" t="n">
        <f aca="false">CHOOSE($G$3,AB293-AC293,AC293-AB293)</f>
        <v>0</v>
      </c>
      <c r="AR293" s="132" t="n">
        <f aca="false">CHOOSE($G$3,AE293-AF293,AF293-AE293)</f>
        <v>0</v>
      </c>
      <c r="AS293" s="132" t="n">
        <f aca="false">CHOOSE($G$3,AH293-AI293,AI293-AH293)</f>
        <v>0</v>
      </c>
      <c r="AT293" s="148" t="n">
        <f aca="false">AQ293+AR293+AS293</f>
        <v>0</v>
      </c>
      <c r="AU293" s="148"/>
      <c r="AV293" s="133" t="n">
        <f aca="false">AT293+AO293</f>
        <v>0</v>
      </c>
      <c r="AX293" s="133" t="n">
        <f aca="false">AJ293+AG293+AD293</f>
        <v>0</v>
      </c>
      <c r="AY293" s="149"/>
      <c r="AZ293" s="76" t="n">
        <f aca="false">R293*E293</f>
        <v>0</v>
      </c>
    </row>
    <row r="294" customFormat="false" ht="12" hidden="false" customHeight="true" outlineLevel="0" collapsed="false">
      <c r="A294" s="138" t="n">
        <f aca="false">EDATE(A293,1)</f>
        <v>45627</v>
      </c>
      <c r="B294" s="139" t="n">
        <f aca="false">VLOOKUP($A294,Table2,MATCH(I$3,Curves2,0))</f>
        <v>60900</v>
      </c>
      <c r="C294" s="140"/>
      <c r="D294" s="141" t="n">
        <f aca="false">B294+C294</f>
        <v>60900</v>
      </c>
      <c r="E294" s="126" t="n">
        <f aca="false">IF(Y294=0,0,IF(AND(Y294=1,$H$3=1),D294*T294,IF($H$3=2,D294,"N/A")))</f>
        <v>0</v>
      </c>
      <c r="F294" s="126" t="n">
        <f aca="false">E294*X294</f>
        <v>0</v>
      </c>
      <c r="G294" s="142" t="n">
        <f aca="false">VLOOKUP($A294,Table,MATCH(G$4,Curves,0))</f>
        <v>3.987</v>
      </c>
      <c r="H294" s="143" t="n">
        <f aca="false">G294</f>
        <v>3.987</v>
      </c>
      <c r="I294" s="142" t="n">
        <f aca="false">VLOOKUP($A294,Table1,MATCH(I$3,Curves1,0))</f>
        <v>3.7904</v>
      </c>
      <c r="J294" s="142" t="n">
        <f aca="false">VLOOKUP($A294,Table,MATCH(J$4,Curves,0))</f>
        <v>0.011</v>
      </c>
      <c r="K294" s="143" t="n">
        <f aca="false">J294</f>
        <v>0.011</v>
      </c>
      <c r="L294" s="144" t="n">
        <v>0</v>
      </c>
      <c r="M294" s="142" t="n">
        <f aca="false">VLOOKUP($A294,Table,MATCH(M$4,Curves,0))</f>
        <v>0.015</v>
      </c>
      <c r="N294" s="143" t="n">
        <f aca="false">M294</f>
        <v>0.015</v>
      </c>
      <c r="O294" s="144" t="n">
        <v>0</v>
      </c>
      <c r="P294" s="145"/>
      <c r="Q294" s="144" t="n">
        <f aca="false">M294+J294+G294</f>
        <v>4.013</v>
      </c>
      <c r="R294" s="144" t="n">
        <f aca="false">O294+L294+I294</f>
        <v>3.7904</v>
      </c>
      <c r="S294" s="145"/>
      <c r="T294" s="71" t="n">
        <f aca="false">A295-A294</f>
        <v>31</v>
      </c>
      <c r="U294" s="146" t="n">
        <f aca="false">CHOOSE(F$3,A295+24,A294)</f>
        <v>45682</v>
      </c>
      <c r="V294" s="71" t="n">
        <f aca="false">U294-C$3</f>
        <v>8794</v>
      </c>
      <c r="W294" s="142" t="n">
        <f aca="false">VLOOKUP($A294,Table,MATCH(W$4,Curves,0))</f>
        <v>0.058966861357273</v>
      </c>
      <c r="X294" s="147" t="n">
        <f aca="false">1/(1+CHOOSE(F$3,(W295+($K$3/10000))/2,(W294+($K$3/10000))/2))^(2*V294/365.25)</f>
        <v>0.246794723248366</v>
      </c>
      <c r="Y294" s="71" t="n">
        <f aca="false">IF(AND(mthbeg&lt;=A294,mthend&gt;=A294),1,0)</f>
        <v>0</v>
      </c>
      <c r="Z294" s="71" t="n">
        <f aca="false">T294*Y294</f>
        <v>0</v>
      </c>
      <c r="AB294" s="132" t="n">
        <f aca="false">F294*G294</f>
        <v>0</v>
      </c>
      <c r="AC294" s="132" t="n">
        <f aca="false">$F294*H294</f>
        <v>0</v>
      </c>
      <c r="AD294" s="132" t="n">
        <f aca="false">$F294*I294</f>
        <v>0</v>
      </c>
      <c r="AE294" s="132" t="n">
        <f aca="false">$F294*J294</f>
        <v>0</v>
      </c>
      <c r="AF294" s="132" t="n">
        <f aca="false">$F294*K294</f>
        <v>0</v>
      </c>
      <c r="AG294" s="132" t="n">
        <f aca="false">$F294*L294</f>
        <v>0</v>
      </c>
      <c r="AH294" s="132" t="n">
        <f aca="false">$F294*M294</f>
        <v>0</v>
      </c>
      <c r="AI294" s="132" t="n">
        <f aca="false">$F294*N294</f>
        <v>0</v>
      </c>
      <c r="AJ294" s="132" t="n">
        <f aca="false">F294*O294</f>
        <v>0</v>
      </c>
      <c r="AK294" s="137"/>
      <c r="AL294" s="132" t="n">
        <f aca="false">CHOOSE($G$3,AC294-AD294,AD294-AC294)</f>
        <v>0</v>
      </c>
      <c r="AM294" s="132" t="n">
        <f aca="false">CHOOSE($G$3,AF294-AG294,AG294-AF294)</f>
        <v>0</v>
      </c>
      <c r="AN294" s="132" t="n">
        <f aca="false">CHOOSE($G$3,AI294-AJ294,AJ294-AI294)</f>
        <v>0</v>
      </c>
      <c r="AO294" s="148" t="n">
        <f aca="false">SUM(AL294:AN294)</f>
        <v>0</v>
      </c>
      <c r="AQ294" s="132" t="n">
        <f aca="false">CHOOSE($G$3,AB294-AC294,AC294-AB294)</f>
        <v>0</v>
      </c>
      <c r="AR294" s="132" t="n">
        <f aca="false">CHOOSE($G$3,AE294-AF294,AF294-AE294)</f>
        <v>0</v>
      </c>
      <c r="AS294" s="132" t="n">
        <f aca="false">CHOOSE($G$3,AH294-AI294,AI294-AH294)</f>
        <v>0</v>
      </c>
      <c r="AT294" s="148" t="n">
        <f aca="false">AQ294+AR294+AS294</f>
        <v>0</v>
      </c>
      <c r="AU294" s="148"/>
      <c r="AV294" s="133" t="n">
        <f aca="false">AT294+AO294</f>
        <v>0</v>
      </c>
      <c r="AX294" s="133" t="n">
        <f aca="false">AJ294+AG294+AD294</f>
        <v>0</v>
      </c>
      <c r="AY294" s="149"/>
      <c r="AZ294" s="76" t="n">
        <f aca="false">R294*E294</f>
        <v>0</v>
      </c>
    </row>
    <row r="295" customFormat="false" ht="12" hidden="false" customHeight="true" outlineLevel="0" collapsed="false">
      <c r="A295" s="138" t="n">
        <f aca="false">EDATE(A294,1)</f>
        <v>45658</v>
      </c>
      <c r="B295" s="139" t="n">
        <f aca="false">VLOOKUP($A295,Table2,MATCH(I$3,Curves2,0))</f>
        <v>60900</v>
      </c>
      <c r="C295" s="140"/>
      <c r="D295" s="141" t="n">
        <f aca="false">B295+C295</f>
        <v>60900</v>
      </c>
      <c r="E295" s="126" t="n">
        <f aca="false">IF(Y295=0,0,IF(AND(Y295=1,$H$3=1),D295*T295,IF($H$3=2,D295,"N/A")))</f>
        <v>0</v>
      </c>
      <c r="F295" s="126" t="n">
        <f aca="false">E295*X295</f>
        <v>0</v>
      </c>
      <c r="G295" s="142" t="n">
        <f aca="false">VLOOKUP($A295,Table,MATCH(G$4,Curves,0))</f>
        <v>3.987</v>
      </c>
      <c r="H295" s="143" t="n">
        <f aca="false">G295</f>
        <v>3.987</v>
      </c>
      <c r="I295" s="142" t="n">
        <f aca="false">VLOOKUP($A295,Table1,MATCH(I$3,Curves1,0))</f>
        <v>3.7904</v>
      </c>
      <c r="J295" s="142" t="n">
        <f aca="false">VLOOKUP($A295,Table,MATCH(J$4,Curves,0))</f>
        <v>0.011</v>
      </c>
      <c r="K295" s="143" t="n">
        <f aca="false">J295</f>
        <v>0.011</v>
      </c>
      <c r="L295" s="144" t="n">
        <v>0</v>
      </c>
      <c r="M295" s="142" t="n">
        <f aca="false">VLOOKUP($A295,Table,MATCH(M$4,Curves,0))</f>
        <v>0.015</v>
      </c>
      <c r="N295" s="143" t="n">
        <f aca="false">M295</f>
        <v>0.015</v>
      </c>
      <c r="O295" s="144" t="n">
        <v>0</v>
      </c>
      <c r="P295" s="145"/>
      <c r="Q295" s="144" t="n">
        <f aca="false">M295+J295+G295</f>
        <v>4.013</v>
      </c>
      <c r="R295" s="144" t="n">
        <f aca="false">O295+L295+I295</f>
        <v>3.7904</v>
      </c>
      <c r="S295" s="145"/>
      <c r="T295" s="71" t="n">
        <f aca="false">A296-A295</f>
        <v>31</v>
      </c>
      <c r="U295" s="146" t="n">
        <f aca="false">CHOOSE(F$3,A296+24,A295)</f>
        <v>45713</v>
      </c>
      <c r="V295" s="71" t="n">
        <f aca="false">U295-C$3</f>
        <v>8825</v>
      </c>
      <c r="W295" s="142" t="n">
        <f aca="false">VLOOKUP($A295,Table,MATCH(W$4,Curves,0))</f>
        <v>0.058966861357273</v>
      </c>
      <c r="X295" s="147" t="n">
        <f aca="false">1/(1+CHOOSE(F$3,(W296+($K$3/10000))/2,(W295+($K$3/10000))/2))^(2*V295/365.25)</f>
        <v>0.24558044061262</v>
      </c>
      <c r="Y295" s="71" t="n">
        <f aca="false">IF(AND(mthbeg&lt;=A295,mthend&gt;=A295),1,0)</f>
        <v>0</v>
      </c>
      <c r="Z295" s="71" t="n">
        <f aca="false">T295*Y295</f>
        <v>0</v>
      </c>
      <c r="AB295" s="132" t="n">
        <f aca="false">F295*G295</f>
        <v>0</v>
      </c>
      <c r="AC295" s="132" t="n">
        <f aca="false">$F295*H295</f>
        <v>0</v>
      </c>
      <c r="AD295" s="132" t="n">
        <f aca="false">$F295*I295</f>
        <v>0</v>
      </c>
      <c r="AE295" s="132" t="n">
        <f aca="false">$F295*J295</f>
        <v>0</v>
      </c>
      <c r="AF295" s="132" t="n">
        <f aca="false">$F295*K295</f>
        <v>0</v>
      </c>
      <c r="AG295" s="132" t="n">
        <f aca="false">$F295*L295</f>
        <v>0</v>
      </c>
      <c r="AH295" s="132" t="n">
        <f aca="false">$F295*M295</f>
        <v>0</v>
      </c>
      <c r="AI295" s="132" t="n">
        <f aca="false">$F295*N295</f>
        <v>0</v>
      </c>
      <c r="AJ295" s="132" t="n">
        <f aca="false">F295*O295</f>
        <v>0</v>
      </c>
      <c r="AK295" s="137"/>
      <c r="AL295" s="132" t="n">
        <f aca="false">CHOOSE($G$3,AC295-AD295,AD295-AC295)</f>
        <v>0</v>
      </c>
      <c r="AM295" s="132" t="n">
        <f aca="false">CHOOSE($G$3,AF295-AG295,AG295-AF295)</f>
        <v>0</v>
      </c>
      <c r="AN295" s="132" t="n">
        <f aca="false">CHOOSE($G$3,AI295-AJ295,AJ295-AI295)</f>
        <v>0</v>
      </c>
      <c r="AO295" s="148" t="n">
        <f aca="false">SUM(AL295:AN295)</f>
        <v>0</v>
      </c>
      <c r="AQ295" s="132" t="n">
        <f aca="false">CHOOSE($G$3,AB295-AC295,AC295-AB295)</f>
        <v>0</v>
      </c>
      <c r="AR295" s="132" t="n">
        <f aca="false">CHOOSE($G$3,AE295-AF295,AF295-AE295)</f>
        <v>0</v>
      </c>
      <c r="AS295" s="132" t="n">
        <f aca="false">CHOOSE($G$3,AH295-AI295,AI295-AH295)</f>
        <v>0</v>
      </c>
      <c r="AT295" s="148" t="n">
        <f aca="false">AQ295+AR295+AS295</f>
        <v>0</v>
      </c>
      <c r="AU295" s="148"/>
      <c r="AV295" s="133" t="n">
        <f aca="false">AT295+AO295</f>
        <v>0</v>
      </c>
      <c r="AX295" s="133" t="n">
        <f aca="false">AJ295+AG295+AD295</f>
        <v>0</v>
      </c>
      <c r="AY295" s="149"/>
      <c r="AZ295" s="76" t="n">
        <f aca="false">R295*E295</f>
        <v>0</v>
      </c>
    </row>
    <row r="296" customFormat="false" ht="12" hidden="false" customHeight="true" outlineLevel="0" collapsed="false">
      <c r="A296" s="138" t="n">
        <f aca="false">EDATE(A295,1)</f>
        <v>45689</v>
      </c>
      <c r="B296" s="139" t="n">
        <f aca="false">VLOOKUP($A296,Table2,MATCH(I$3,Curves2,0))</f>
        <v>60900</v>
      </c>
      <c r="C296" s="140"/>
      <c r="D296" s="141" t="n">
        <f aca="false">B296+C296</f>
        <v>60900</v>
      </c>
      <c r="E296" s="126" t="n">
        <f aca="false">IF(Y296=0,0,IF(AND(Y296=1,$H$3=1),D296*T296,IF($H$3=2,D296,"N/A")))</f>
        <v>0</v>
      </c>
      <c r="F296" s="126" t="n">
        <f aca="false">E296*X296</f>
        <v>0</v>
      </c>
      <c r="G296" s="142" t="n">
        <f aca="false">VLOOKUP($A296,Table,MATCH(G$4,Curves,0))</f>
        <v>3.987</v>
      </c>
      <c r="H296" s="143" t="n">
        <f aca="false">G296</f>
        <v>3.987</v>
      </c>
      <c r="I296" s="142" t="n">
        <f aca="false">VLOOKUP($A296,Table1,MATCH(I$3,Curves1,0))</f>
        <v>3.7904</v>
      </c>
      <c r="J296" s="142" t="n">
        <f aca="false">VLOOKUP($A296,Table,MATCH(J$4,Curves,0))</f>
        <v>0.011</v>
      </c>
      <c r="K296" s="143" t="n">
        <f aca="false">J296</f>
        <v>0.011</v>
      </c>
      <c r="L296" s="144" t="n">
        <v>0</v>
      </c>
      <c r="M296" s="142" t="n">
        <f aca="false">VLOOKUP($A296,Table,MATCH(M$4,Curves,0))</f>
        <v>0.015</v>
      </c>
      <c r="N296" s="143" t="n">
        <f aca="false">M296</f>
        <v>0.015</v>
      </c>
      <c r="O296" s="144" t="n">
        <v>0</v>
      </c>
      <c r="P296" s="145"/>
      <c r="Q296" s="144" t="n">
        <f aca="false">M296+J296+G296</f>
        <v>4.013</v>
      </c>
      <c r="R296" s="144" t="n">
        <f aca="false">O296+L296+I296</f>
        <v>3.7904</v>
      </c>
      <c r="S296" s="145"/>
      <c r="T296" s="71" t="n">
        <f aca="false">A297-A296</f>
        <v>28</v>
      </c>
      <c r="U296" s="146" t="n">
        <f aca="false">CHOOSE(F$3,A297+24,A296)</f>
        <v>45741</v>
      </c>
      <c r="V296" s="71" t="n">
        <f aca="false">U296-C$3</f>
        <v>8853</v>
      </c>
      <c r="W296" s="142" t="n">
        <f aca="false">VLOOKUP($A296,Table,MATCH(W$4,Curves,0))</f>
        <v>0.058966861357273</v>
      </c>
      <c r="X296" s="147" t="n">
        <f aca="false">1/(1+CHOOSE(F$3,(W297+($K$3/10000))/2,(W296+($K$3/10000))/2))^(2*V296/365.25)</f>
        <v>0.244488805251268</v>
      </c>
      <c r="Y296" s="71" t="n">
        <f aca="false">IF(AND(mthbeg&lt;=A296,mthend&gt;=A296),1,0)</f>
        <v>0</v>
      </c>
      <c r="Z296" s="71" t="n">
        <f aca="false">T296*Y296</f>
        <v>0</v>
      </c>
      <c r="AB296" s="132" t="n">
        <f aca="false">F296*G296</f>
        <v>0</v>
      </c>
      <c r="AC296" s="132" t="n">
        <f aca="false">$F296*H296</f>
        <v>0</v>
      </c>
      <c r="AD296" s="132" t="n">
        <f aca="false">$F296*I296</f>
        <v>0</v>
      </c>
      <c r="AE296" s="132" t="n">
        <f aca="false">$F296*J296</f>
        <v>0</v>
      </c>
      <c r="AF296" s="132" t="n">
        <f aca="false">$F296*K296</f>
        <v>0</v>
      </c>
      <c r="AG296" s="132" t="n">
        <f aca="false">$F296*L296</f>
        <v>0</v>
      </c>
      <c r="AH296" s="132" t="n">
        <f aca="false">$F296*M296</f>
        <v>0</v>
      </c>
      <c r="AI296" s="132" t="n">
        <f aca="false">$F296*N296</f>
        <v>0</v>
      </c>
      <c r="AJ296" s="132" t="n">
        <f aca="false">F296*O296</f>
        <v>0</v>
      </c>
      <c r="AK296" s="137"/>
      <c r="AL296" s="132" t="n">
        <f aca="false">CHOOSE($G$3,AC296-AD296,AD296-AC296)</f>
        <v>0</v>
      </c>
      <c r="AM296" s="132" t="n">
        <f aca="false">CHOOSE($G$3,AF296-AG296,AG296-AF296)</f>
        <v>0</v>
      </c>
      <c r="AN296" s="132" t="n">
        <f aca="false">CHOOSE($G$3,AI296-AJ296,AJ296-AI296)</f>
        <v>0</v>
      </c>
      <c r="AO296" s="148" t="n">
        <f aca="false">SUM(AL296:AN296)</f>
        <v>0</v>
      </c>
      <c r="AQ296" s="132" t="n">
        <f aca="false">CHOOSE($G$3,AB296-AC296,AC296-AB296)</f>
        <v>0</v>
      </c>
      <c r="AR296" s="132" t="n">
        <f aca="false">CHOOSE($G$3,AE296-AF296,AF296-AE296)</f>
        <v>0</v>
      </c>
      <c r="AS296" s="132" t="n">
        <f aca="false">CHOOSE($G$3,AH296-AI296,AI296-AH296)</f>
        <v>0</v>
      </c>
      <c r="AT296" s="148" t="n">
        <f aca="false">AQ296+AR296+AS296</f>
        <v>0</v>
      </c>
      <c r="AU296" s="148"/>
      <c r="AV296" s="133" t="n">
        <f aca="false">AT296+AO296</f>
        <v>0</v>
      </c>
      <c r="AX296" s="133" t="n">
        <f aca="false">AJ296+AG296+AD296</f>
        <v>0</v>
      </c>
      <c r="AY296" s="149"/>
      <c r="AZ296" s="76" t="n">
        <f aca="false">R296*E296</f>
        <v>0</v>
      </c>
    </row>
    <row r="297" customFormat="false" ht="12" hidden="false" customHeight="true" outlineLevel="0" collapsed="false">
      <c r="A297" s="138" t="n">
        <f aca="false">EDATE(A296,1)</f>
        <v>45717</v>
      </c>
      <c r="B297" s="139" t="n">
        <f aca="false">VLOOKUP($A297,Table2,MATCH(I$3,Curves2,0))</f>
        <v>60900</v>
      </c>
      <c r="C297" s="140"/>
      <c r="D297" s="141" t="n">
        <f aca="false">B297+C297</f>
        <v>60900</v>
      </c>
      <c r="E297" s="126" t="n">
        <f aca="false">IF(Y297=0,0,IF(AND(Y297=1,$H$3=1),D297*T297,IF($H$3=2,D297,"N/A")))</f>
        <v>0</v>
      </c>
      <c r="F297" s="126" t="n">
        <f aca="false">E297*X297</f>
        <v>0</v>
      </c>
      <c r="G297" s="142" t="n">
        <f aca="false">VLOOKUP($A297,Table,MATCH(G$4,Curves,0))</f>
        <v>3.987</v>
      </c>
      <c r="H297" s="143" t="n">
        <f aca="false">G297</f>
        <v>3.987</v>
      </c>
      <c r="I297" s="142" t="n">
        <f aca="false">VLOOKUP($A297,Table1,MATCH(I$3,Curves1,0))</f>
        <v>3.7904</v>
      </c>
      <c r="J297" s="142" t="n">
        <f aca="false">VLOOKUP($A297,Table,MATCH(J$4,Curves,0))</f>
        <v>0.011</v>
      </c>
      <c r="K297" s="143" t="n">
        <f aca="false">J297</f>
        <v>0.011</v>
      </c>
      <c r="L297" s="144" t="n">
        <v>0</v>
      </c>
      <c r="M297" s="142" t="n">
        <f aca="false">VLOOKUP($A297,Table,MATCH(M$4,Curves,0))</f>
        <v>0.015</v>
      </c>
      <c r="N297" s="143" t="n">
        <f aca="false">M297</f>
        <v>0.015</v>
      </c>
      <c r="O297" s="144" t="n">
        <v>0</v>
      </c>
      <c r="P297" s="145"/>
      <c r="Q297" s="144" t="n">
        <f aca="false">M297+J297+G297</f>
        <v>4.013</v>
      </c>
      <c r="R297" s="144" t="n">
        <f aca="false">O297+L297+I297</f>
        <v>3.7904</v>
      </c>
      <c r="S297" s="145"/>
      <c r="T297" s="71" t="n">
        <f aca="false">A298-A297</f>
        <v>31</v>
      </c>
      <c r="U297" s="146" t="n">
        <f aca="false">CHOOSE(F$3,A298+24,A297)</f>
        <v>45772</v>
      </c>
      <c r="V297" s="71" t="n">
        <f aca="false">U297-C$3</f>
        <v>8884</v>
      </c>
      <c r="W297" s="142" t="n">
        <f aca="false">VLOOKUP($A297,Table,MATCH(W$4,Curves,0))</f>
        <v>0.058966861357273</v>
      </c>
      <c r="X297" s="147" t="n">
        <f aca="false">1/(1+CHOOSE(F$3,(W298+($K$3/10000))/2,(W297+($K$3/10000))/2))^(2*V297/365.25)</f>
        <v>0.24328586822351</v>
      </c>
      <c r="Y297" s="71" t="n">
        <f aca="false">IF(AND(mthbeg&lt;=A297,mthend&gt;=A297),1,0)</f>
        <v>0</v>
      </c>
      <c r="Z297" s="71" t="n">
        <f aca="false">T297*Y297</f>
        <v>0</v>
      </c>
      <c r="AB297" s="132" t="n">
        <f aca="false">F297*G297</f>
        <v>0</v>
      </c>
      <c r="AC297" s="132" t="n">
        <f aca="false">$F297*H297</f>
        <v>0</v>
      </c>
      <c r="AD297" s="132" t="n">
        <f aca="false">$F297*I297</f>
        <v>0</v>
      </c>
      <c r="AE297" s="132" t="n">
        <f aca="false">$F297*J297</f>
        <v>0</v>
      </c>
      <c r="AF297" s="132" t="n">
        <f aca="false">$F297*K297</f>
        <v>0</v>
      </c>
      <c r="AG297" s="132" t="n">
        <f aca="false">$F297*L297</f>
        <v>0</v>
      </c>
      <c r="AH297" s="132" t="n">
        <f aca="false">$F297*M297</f>
        <v>0</v>
      </c>
      <c r="AI297" s="132" t="n">
        <f aca="false">$F297*N297</f>
        <v>0</v>
      </c>
      <c r="AJ297" s="132" t="n">
        <f aca="false">F297*O297</f>
        <v>0</v>
      </c>
      <c r="AK297" s="137"/>
      <c r="AL297" s="132" t="n">
        <f aca="false">CHOOSE($G$3,AC297-AD297,AD297-AC297)</f>
        <v>0</v>
      </c>
      <c r="AM297" s="132" t="n">
        <f aca="false">CHOOSE($G$3,AF297-AG297,AG297-AF297)</f>
        <v>0</v>
      </c>
      <c r="AN297" s="132" t="n">
        <f aca="false">CHOOSE($G$3,AI297-AJ297,AJ297-AI297)</f>
        <v>0</v>
      </c>
      <c r="AO297" s="148" t="n">
        <f aca="false">SUM(AL297:AN297)</f>
        <v>0</v>
      </c>
      <c r="AQ297" s="132" t="n">
        <f aca="false">CHOOSE($G$3,AB297-AC297,AC297-AB297)</f>
        <v>0</v>
      </c>
      <c r="AR297" s="132" t="n">
        <f aca="false">CHOOSE($G$3,AE297-AF297,AF297-AE297)</f>
        <v>0</v>
      </c>
      <c r="AS297" s="132" t="n">
        <f aca="false">CHOOSE($G$3,AH297-AI297,AI297-AH297)</f>
        <v>0</v>
      </c>
      <c r="AT297" s="148" t="n">
        <f aca="false">AQ297+AR297+AS297</f>
        <v>0</v>
      </c>
      <c r="AU297" s="148"/>
      <c r="AV297" s="133" t="n">
        <f aca="false">AT297+AO297</f>
        <v>0</v>
      </c>
      <c r="AX297" s="133" t="n">
        <f aca="false">AJ297+AG297+AD297</f>
        <v>0</v>
      </c>
      <c r="AY297" s="149"/>
      <c r="AZ297" s="76" t="n">
        <f aca="false">R297*E297</f>
        <v>0</v>
      </c>
    </row>
    <row r="298" customFormat="false" ht="12" hidden="false" customHeight="true" outlineLevel="0" collapsed="false">
      <c r="A298" s="138" t="n">
        <f aca="false">EDATE(A297,1)</f>
        <v>45748</v>
      </c>
      <c r="B298" s="139" t="n">
        <f aca="false">VLOOKUP($A298,Table2,MATCH(I$3,Curves2,0))</f>
        <v>60900</v>
      </c>
      <c r="C298" s="140"/>
      <c r="D298" s="141" t="n">
        <f aca="false">B298+C298</f>
        <v>60900</v>
      </c>
      <c r="E298" s="126" t="n">
        <f aca="false">IF(Y298=0,0,IF(AND(Y298=1,$H$3=1),D298*T298,IF($H$3=2,D298,"N/A")))</f>
        <v>0</v>
      </c>
      <c r="F298" s="126" t="n">
        <f aca="false">E298*X298</f>
        <v>0</v>
      </c>
      <c r="G298" s="142" t="n">
        <f aca="false">VLOOKUP($A298,Table,MATCH(G$4,Curves,0))</f>
        <v>3.987</v>
      </c>
      <c r="H298" s="143" t="n">
        <f aca="false">G298</f>
        <v>3.987</v>
      </c>
      <c r="I298" s="142" t="n">
        <f aca="false">VLOOKUP($A298,Table1,MATCH(I$3,Curves1,0))</f>
        <v>3.7904</v>
      </c>
      <c r="J298" s="142" t="n">
        <f aca="false">VLOOKUP($A298,Table,MATCH(J$4,Curves,0))</f>
        <v>0.011</v>
      </c>
      <c r="K298" s="143" t="n">
        <f aca="false">J298</f>
        <v>0.011</v>
      </c>
      <c r="L298" s="144" t="n">
        <v>0</v>
      </c>
      <c r="M298" s="142" t="n">
        <f aca="false">VLOOKUP($A298,Table,MATCH(M$4,Curves,0))</f>
        <v>0.015</v>
      </c>
      <c r="N298" s="143" t="n">
        <f aca="false">M298</f>
        <v>0.015</v>
      </c>
      <c r="O298" s="144" t="n">
        <v>0</v>
      </c>
      <c r="P298" s="145"/>
      <c r="Q298" s="144" t="n">
        <f aca="false">M298+J298+G298</f>
        <v>4.013</v>
      </c>
      <c r="R298" s="144" t="n">
        <f aca="false">O298+L298+I298</f>
        <v>3.7904</v>
      </c>
      <c r="S298" s="145"/>
      <c r="T298" s="71" t="n">
        <f aca="false">A299-A298</f>
        <v>30</v>
      </c>
      <c r="U298" s="146" t="n">
        <f aca="false">CHOOSE(F$3,A299+24,A298)</f>
        <v>45802</v>
      </c>
      <c r="V298" s="71" t="n">
        <f aca="false">U298-C$3</f>
        <v>8914</v>
      </c>
      <c r="W298" s="142" t="n">
        <f aca="false">VLOOKUP($A298,Table,MATCH(W$4,Curves,0))</f>
        <v>0.058966861357273</v>
      </c>
      <c r="X298" s="147" t="n">
        <f aca="false">1/(1+CHOOSE(F$3,(W299+($K$3/10000))/2,(W298+($K$3/10000))/2))^(2*V298/365.25)</f>
        <v>0.242127371311499</v>
      </c>
      <c r="Y298" s="71" t="n">
        <f aca="false">IF(AND(mthbeg&lt;=A298,mthend&gt;=A298),1,0)</f>
        <v>0</v>
      </c>
      <c r="Z298" s="71" t="n">
        <f aca="false">T298*Y298</f>
        <v>0</v>
      </c>
      <c r="AB298" s="132" t="n">
        <f aca="false">F298*G298</f>
        <v>0</v>
      </c>
      <c r="AC298" s="132" t="n">
        <f aca="false">$F298*H298</f>
        <v>0</v>
      </c>
      <c r="AD298" s="132" t="n">
        <f aca="false">$F298*I298</f>
        <v>0</v>
      </c>
      <c r="AE298" s="132" t="n">
        <f aca="false">$F298*J298</f>
        <v>0</v>
      </c>
      <c r="AF298" s="132" t="n">
        <f aca="false">$F298*K298</f>
        <v>0</v>
      </c>
      <c r="AG298" s="132" t="n">
        <f aca="false">$F298*L298</f>
        <v>0</v>
      </c>
      <c r="AH298" s="132" t="n">
        <f aca="false">$F298*M298</f>
        <v>0</v>
      </c>
      <c r="AI298" s="132" t="n">
        <f aca="false">$F298*N298</f>
        <v>0</v>
      </c>
      <c r="AJ298" s="132" t="n">
        <f aca="false">F298*O298</f>
        <v>0</v>
      </c>
      <c r="AK298" s="137"/>
      <c r="AL298" s="132" t="n">
        <f aca="false">CHOOSE($G$3,AC298-AD298,AD298-AC298)</f>
        <v>0</v>
      </c>
      <c r="AM298" s="132" t="n">
        <f aca="false">CHOOSE($G$3,AF298-AG298,AG298-AF298)</f>
        <v>0</v>
      </c>
      <c r="AN298" s="132" t="n">
        <f aca="false">CHOOSE($G$3,AI298-AJ298,AJ298-AI298)</f>
        <v>0</v>
      </c>
      <c r="AO298" s="148" t="n">
        <f aca="false">SUM(AL298:AN298)</f>
        <v>0</v>
      </c>
      <c r="AQ298" s="132" t="n">
        <f aca="false">CHOOSE($G$3,AB298-AC298,AC298-AB298)</f>
        <v>0</v>
      </c>
      <c r="AR298" s="132" t="n">
        <f aca="false">CHOOSE($G$3,AE298-AF298,AF298-AE298)</f>
        <v>0</v>
      </c>
      <c r="AS298" s="132" t="n">
        <f aca="false">CHOOSE($G$3,AH298-AI298,AI298-AH298)</f>
        <v>0</v>
      </c>
      <c r="AT298" s="148" t="n">
        <f aca="false">AQ298+AR298+AS298</f>
        <v>0</v>
      </c>
      <c r="AU298" s="148"/>
      <c r="AV298" s="133" t="n">
        <f aca="false">AT298+AO298</f>
        <v>0</v>
      </c>
      <c r="AX298" s="133" t="n">
        <f aca="false">AJ298+AG298+AD298</f>
        <v>0</v>
      </c>
      <c r="AY298" s="149"/>
      <c r="AZ298" s="76" t="n">
        <f aca="false">R298*E298</f>
        <v>0</v>
      </c>
    </row>
    <row r="299" customFormat="false" ht="12" hidden="false" customHeight="true" outlineLevel="0" collapsed="false">
      <c r="A299" s="138" t="n">
        <f aca="false">EDATE(A298,1)</f>
        <v>45778</v>
      </c>
      <c r="B299" s="139" t="n">
        <f aca="false">VLOOKUP($A299,Table2,MATCH(I$3,Curves2,0))</f>
        <v>60900</v>
      </c>
      <c r="C299" s="140"/>
      <c r="D299" s="141" t="n">
        <f aca="false">B299+C299</f>
        <v>60900</v>
      </c>
      <c r="E299" s="126" t="n">
        <f aca="false">IF(Y299=0,0,IF(AND(Y299=1,$H$3=1),D299*T299,IF($H$3=2,D299,"N/A")))</f>
        <v>0</v>
      </c>
      <c r="F299" s="126" t="n">
        <f aca="false">E299*X299</f>
        <v>0</v>
      </c>
      <c r="G299" s="142" t="n">
        <f aca="false">VLOOKUP($A299,Table,MATCH(G$4,Curves,0))</f>
        <v>3.987</v>
      </c>
      <c r="H299" s="143" t="n">
        <f aca="false">G299</f>
        <v>3.987</v>
      </c>
      <c r="I299" s="142" t="n">
        <f aca="false">VLOOKUP($A299,Table1,MATCH(I$3,Curves1,0))</f>
        <v>3.7904</v>
      </c>
      <c r="J299" s="142" t="n">
        <f aca="false">VLOOKUP($A299,Table,MATCH(J$4,Curves,0))</f>
        <v>0.011</v>
      </c>
      <c r="K299" s="143" t="n">
        <f aca="false">J299</f>
        <v>0.011</v>
      </c>
      <c r="L299" s="144" t="n">
        <v>0</v>
      </c>
      <c r="M299" s="142" t="n">
        <f aca="false">VLOOKUP($A299,Table,MATCH(M$4,Curves,0))</f>
        <v>0.015</v>
      </c>
      <c r="N299" s="143" t="n">
        <f aca="false">M299</f>
        <v>0.015</v>
      </c>
      <c r="O299" s="144" t="n">
        <v>0</v>
      </c>
      <c r="P299" s="145"/>
      <c r="Q299" s="144" t="n">
        <f aca="false">M299+J299+G299</f>
        <v>4.013</v>
      </c>
      <c r="R299" s="144" t="n">
        <f aca="false">O299+L299+I299</f>
        <v>3.7904</v>
      </c>
      <c r="S299" s="145"/>
      <c r="T299" s="71" t="n">
        <f aca="false">A300-A299</f>
        <v>31</v>
      </c>
      <c r="U299" s="146" t="n">
        <f aca="false">CHOOSE(F$3,A300+24,A299)</f>
        <v>45833</v>
      </c>
      <c r="V299" s="71" t="n">
        <f aca="false">U299-C$3</f>
        <v>8945</v>
      </c>
      <c r="W299" s="142" t="n">
        <f aca="false">VLOOKUP($A299,Table,MATCH(W$4,Curves,0))</f>
        <v>0.058966861357273</v>
      </c>
      <c r="X299" s="147" t="n">
        <f aca="false">1/(1+CHOOSE(F$3,(W300+($K$3/10000))/2,(W299+($K$3/10000))/2))^(2*V299/365.25)</f>
        <v>0.240936053041997</v>
      </c>
      <c r="Y299" s="71" t="n">
        <f aca="false">IF(AND(mthbeg&lt;=A299,mthend&gt;=A299),1,0)</f>
        <v>0</v>
      </c>
      <c r="Z299" s="71" t="n">
        <f aca="false">T299*Y299</f>
        <v>0</v>
      </c>
      <c r="AB299" s="132" t="n">
        <f aca="false">F299*G299</f>
        <v>0</v>
      </c>
      <c r="AC299" s="132" t="n">
        <f aca="false">$F299*H299</f>
        <v>0</v>
      </c>
      <c r="AD299" s="132" t="n">
        <f aca="false">$F299*I299</f>
        <v>0</v>
      </c>
      <c r="AE299" s="132" t="n">
        <f aca="false">$F299*J299</f>
        <v>0</v>
      </c>
      <c r="AF299" s="132" t="n">
        <f aca="false">$F299*K299</f>
        <v>0</v>
      </c>
      <c r="AG299" s="132" t="n">
        <f aca="false">$F299*L299</f>
        <v>0</v>
      </c>
      <c r="AH299" s="132" t="n">
        <f aca="false">$F299*M299</f>
        <v>0</v>
      </c>
      <c r="AI299" s="132" t="n">
        <f aca="false">$F299*N299</f>
        <v>0</v>
      </c>
      <c r="AJ299" s="132" t="n">
        <f aca="false">F299*O299</f>
        <v>0</v>
      </c>
      <c r="AK299" s="137"/>
      <c r="AL299" s="132" t="n">
        <f aca="false">CHOOSE($G$3,AC299-AD299,AD299-AC299)</f>
        <v>0</v>
      </c>
      <c r="AM299" s="132" t="n">
        <f aca="false">CHOOSE($G$3,AF299-AG299,AG299-AF299)</f>
        <v>0</v>
      </c>
      <c r="AN299" s="132" t="n">
        <f aca="false">CHOOSE($G$3,AI299-AJ299,AJ299-AI299)</f>
        <v>0</v>
      </c>
      <c r="AO299" s="148" t="n">
        <f aca="false">SUM(AL299:AN299)</f>
        <v>0</v>
      </c>
      <c r="AQ299" s="132" t="n">
        <f aca="false">CHOOSE($G$3,AB299-AC299,AC299-AB299)</f>
        <v>0</v>
      </c>
      <c r="AR299" s="132" t="n">
        <f aca="false">CHOOSE($G$3,AE299-AF299,AF299-AE299)</f>
        <v>0</v>
      </c>
      <c r="AS299" s="132" t="n">
        <f aca="false">CHOOSE($G$3,AH299-AI299,AI299-AH299)</f>
        <v>0</v>
      </c>
      <c r="AT299" s="148" t="n">
        <f aca="false">AQ299+AR299+AS299</f>
        <v>0</v>
      </c>
      <c r="AU299" s="148"/>
      <c r="AV299" s="133" t="n">
        <f aca="false">AT299+AO299</f>
        <v>0</v>
      </c>
      <c r="AX299" s="133" t="n">
        <f aca="false">AJ299+AG299+AD299</f>
        <v>0</v>
      </c>
      <c r="AY299" s="149"/>
      <c r="AZ299" s="76" t="n">
        <f aca="false">R299*E299</f>
        <v>0</v>
      </c>
    </row>
    <row r="300" customFormat="false" ht="12" hidden="false" customHeight="true" outlineLevel="0" collapsed="false">
      <c r="A300" s="138" t="n">
        <f aca="false">EDATE(A299,1)</f>
        <v>45809</v>
      </c>
      <c r="B300" s="139" t="n">
        <f aca="false">VLOOKUP($A300,Table2,MATCH(I$3,Curves2,0))</f>
        <v>60900</v>
      </c>
      <c r="C300" s="140"/>
      <c r="D300" s="141" t="n">
        <f aca="false">B300+C300</f>
        <v>60900</v>
      </c>
      <c r="E300" s="126" t="n">
        <f aca="false">IF(Y300=0,0,IF(AND(Y300=1,$H$3=1),D300*T300,IF($H$3=2,D300,"N/A")))</f>
        <v>0</v>
      </c>
      <c r="F300" s="126" t="n">
        <f aca="false">E300*X300</f>
        <v>0</v>
      </c>
      <c r="G300" s="142" t="n">
        <f aca="false">VLOOKUP($A300,Table,MATCH(G$4,Curves,0))</f>
        <v>3.987</v>
      </c>
      <c r="H300" s="143" t="n">
        <f aca="false">G300</f>
        <v>3.987</v>
      </c>
      <c r="I300" s="142" t="n">
        <f aca="false">VLOOKUP($A300,Table1,MATCH(I$3,Curves1,0))</f>
        <v>3.7904</v>
      </c>
      <c r="J300" s="142" t="n">
        <f aca="false">VLOOKUP($A300,Table,MATCH(J$4,Curves,0))</f>
        <v>0.011</v>
      </c>
      <c r="K300" s="143" t="n">
        <f aca="false">J300</f>
        <v>0.011</v>
      </c>
      <c r="L300" s="144" t="n">
        <v>0</v>
      </c>
      <c r="M300" s="142" t="n">
        <f aca="false">VLOOKUP($A300,Table,MATCH(M$4,Curves,0))</f>
        <v>0.015</v>
      </c>
      <c r="N300" s="143" t="n">
        <f aca="false">M300</f>
        <v>0.015</v>
      </c>
      <c r="O300" s="144" t="n">
        <v>0</v>
      </c>
      <c r="P300" s="145"/>
      <c r="Q300" s="144" t="n">
        <f aca="false">M300+J300+G300</f>
        <v>4.013</v>
      </c>
      <c r="R300" s="144" t="n">
        <f aca="false">O300+L300+I300</f>
        <v>3.7904</v>
      </c>
      <c r="S300" s="145"/>
      <c r="T300" s="71" t="n">
        <f aca="false">A301-A300</f>
        <v>30</v>
      </c>
      <c r="U300" s="146" t="n">
        <f aca="false">CHOOSE(F$3,A301+24,A300)</f>
        <v>45863</v>
      </c>
      <c r="V300" s="71" t="n">
        <f aca="false">U300-C$3</f>
        <v>8975</v>
      </c>
      <c r="W300" s="142" t="n">
        <f aca="false">VLOOKUP($A300,Table,MATCH(W$4,Curves,0))</f>
        <v>0.058966861357273</v>
      </c>
      <c r="X300" s="147" t="n">
        <f aca="false">1/(1+CHOOSE(F$3,(W301+($K$3/10000))/2,(W300+($K$3/10000))/2))^(2*V300/365.25)</f>
        <v>0.23978874565633</v>
      </c>
      <c r="Y300" s="71" t="n">
        <f aca="false">IF(AND(mthbeg&lt;=A300,mthend&gt;=A300),1,0)</f>
        <v>0</v>
      </c>
      <c r="Z300" s="71" t="n">
        <f aca="false">T300*Y300</f>
        <v>0</v>
      </c>
      <c r="AB300" s="132" t="n">
        <f aca="false">F300*G300</f>
        <v>0</v>
      </c>
      <c r="AC300" s="132" t="n">
        <f aca="false">$F300*H300</f>
        <v>0</v>
      </c>
      <c r="AD300" s="132" t="n">
        <f aca="false">$F300*I300</f>
        <v>0</v>
      </c>
      <c r="AE300" s="132" t="n">
        <f aca="false">$F300*J300</f>
        <v>0</v>
      </c>
      <c r="AF300" s="132" t="n">
        <f aca="false">$F300*K300</f>
        <v>0</v>
      </c>
      <c r="AG300" s="132" t="n">
        <f aca="false">$F300*L300</f>
        <v>0</v>
      </c>
      <c r="AH300" s="132" t="n">
        <f aca="false">$F300*M300</f>
        <v>0</v>
      </c>
      <c r="AI300" s="132" t="n">
        <f aca="false">$F300*N300</f>
        <v>0</v>
      </c>
      <c r="AJ300" s="132" t="n">
        <f aca="false">F300*O300</f>
        <v>0</v>
      </c>
      <c r="AK300" s="137"/>
      <c r="AL300" s="132" t="n">
        <f aca="false">CHOOSE($G$3,AC300-AD300,AD300-AC300)</f>
        <v>0</v>
      </c>
      <c r="AM300" s="132" t="n">
        <f aca="false">CHOOSE($G$3,AF300-AG300,AG300-AF300)</f>
        <v>0</v>
      </c>
      <c r="AN300" s="132" t="n">
        <f aca="false">CHOOSE($G$3,AI300-AJ300,AJ300-AI300)</f>
        <v>0</v>
      </c>
      <c r="AO300" s="148" t="n">
        <f aca="false">SUM(AL300:AN300)</f>
        <v>0</v>
      </c>
      <c r="AQ300" s="132" t="n">
        <f aca="false">CHOOSE($G$3,AB300-AC300,AC300-AB300)</f>
        <v>0</v>
      </c>
      <c r="AR300" s="132" t="n">
        <f aca="false">CHOOSE($G$3,AE300-AF300,AF300-AE300)</f>
        <v>0</v>
      </c>
      <c r="AS300" s="132" t="n">
        <f aca="false">CHOOSE($G$3,AH300-AI300,AI300-AH300)</f>
        <v>0</v>
      </c>
      <c r="AT300" s="148" t="n">
        <f aca="false">AQ300+AR300+AS300</f>
        <v>0</v>
      </c>
      <c r="AU300" s="148"/>
      <c r="AV300" s="133" t="n">
        <f aca="false">AT300+AO300</f>
        <v>0</v>
      </c>
      <c r="AX300" s="133" t="n">
        <f aca="false">AJ300+AG300+AD300</f>
        <v>0</v>
      </c>
      <c r="AY300" s="149"/>
      <c r="AZ300" s="76" t="n">
        <f aca="false">R300*E300</f>
        <v>0</v>
      </c>
    </row>
    <row r="301" customFormat="false" ht="12" hidden="false" customHeight="true" outlineLevel="0" collapsed="false">
      <c r="A301" s="138" t="n">
        <f aca="false">EDATE(A300,1)</f>
        <v>45839</v>
      </c>
      <c r="B301" s="139" t="n">
        <f aca="false">VLOOKUP($A301,Table2,MATCH(I$3,Curves2,0))</f>
        <v>60900</v>
      </c>
      <c r="C301" s="140"/>
      <c r="D301" s="141" t="n">
        <f aca="false">B301+C301</f>
        <v>60900</v>
      </c>
      <c r="E301" s="126" t="n">
        <f aca="false">IF(Y301=0,0,IF(AND(Y301=1,$H$3=1),D301*T301,IF($H$3=2,D301,"N/A")))</f>
        <v>0</v>
      </c>
      <c r="F301" s="126" t="n">
        <f aca="false">E301*X301</f>
        <v>0</v>
      </c>
      <c r="G301" s="142" t="n">
        <f aca="false">VLOOKUP($A301,Table,MATCH(G$4,Curves,0))</f>
        <v>3.987</v>
      </c>
      <c r="H301" s="143" t="n">
        <f aca="false">G301</f>
        <v>3.987</v>
      </c>
      <c r="I301" s="142" t="n">
        <f aca="false">VLOOKUP($A301,Table1,MATCH(I$3,Curves1,0))</f>
        <v>3.7904</v>
      </c>
      <c r="J301" s="142" t="n">
        <f aca="false">VLOOKUP($A301,Table,MATCH(J$4,Curves,0))</f>
        <v>0.011</v>
      </c>
      <c r="K301" s="143" t="n">
        <f aca="false">J301</f>
        <v>0.011</v>
      </c>
      <c r="L301" s="144" t="n">
        <v>0</v>
      </c>
      <c r="M301" s="142" t="n">
        <f aca="false">VLOOKUP($A301,Table,MATCH(M$4,Curves,0))</f>
        <v>0.015</v>
      </c>
      <c r="N301" s="143" t="n">
        <f aca="false">M301</f>
        <v>0.015</v>
      </c>
      <c r="O301" s="144" t="n">
        <v>0</v>
      </c>
      <c r="P301" s="145"/>
      <c r="Q301" s="144" t="n">
        <f aca="false">M301+J301+G301</f>
        <v>4.013</v>
      </c>
      <c r="R301" s="144" t="n">
        <f aca="false">O301+L301+I301</f>
        <v>3.7904</v>
      </c>
      <c r="S301" s="145"/>
      <c r="T301" s="71" t="n">
        <f aca="false">A302-A301</f>
        <v>31</v>
      </c>
      <c r="U301" s="146" t="n">
        <f aca="false">CHOOSE(F$3,A302+24,A301)</f>
        <v>45894</v>
      </c>
      <c r="V301" s="71" t="n">
        <f aca="false">U301-C$3</f>
        <v>9006</v>
      </c>
      <c r="W301" s="142" t="n">
        <f aca="false">VLOOKUP($A301,Table,MATCH(W$4,Curves,0))</f>
        <v>0.058966861357273</v>
      </c>
      <c r="X301" s="147" t="n">
        <f aca="false">1/(1+CHOOSE(F$3,(W302+($K$3/10000))/2,(W301+($K$3/10000))/2))^(2*V301/365.25)</f>
        <v>0.238608933923464</v>
      </c>
      <c r="Y301" s="71" t="n">
        <f aca="false">IF(AND(mthbeg&lt;=A301,mthend&gt;=A301),1,0)</f>
        <v>0</v>
      </c>
      <c r="Z301" s="71" t="n">
        <f aca="false">T301*Y301</f>
        <v>0</v>
      </c>
      <c r="AB301" s="132" t="n">
        <f aca="false">F301*G301</f>
        <v>0</v>
      </c>
      <c r="AC301" s="132" t="n">
        <f aca="false">$F301*H301</f>
        <v>0</v>
      </c>
      <c r="AD301" s="132" t="n">
        <f aca="false">$F301*I301</f>
        <v>0</v>
      </c>
      <c r="AE301" s="132" t="n">
        <f aca="false">$F301*J301</f>
        <v>0</v>
      </c>
      <c r="AF301" s="132" t="n">
        <f aca="false">$F301*K301</f>
        <v>0</v>
      </c>
      <c r="AG301" s="132" t="n">
        <f aca="false">$F301*L301</f>
        <v>0</v>
      </c>
      <c r="AH301" s="132" t="n">
        <f aca="false">$F301*M301</f>
        <v>0</v>
      </c>
      <c r="AI301" s="132" t="n">
        <f aca="false">$F301*N301</f>
        <v>0</v>
      </c>
      <c r="AJ301" s="132" t="n">
        <f aca="false">F301*O301</f>
        <v>0</v>
      </c>
      <c r="AK301" s="137"/>
      <c r="AL301" s="132" t="n">
        <f aca="false">CHOOSE($G$3,AC301-AD301,AD301-AC301)</f>
        <v>0</v>
      </c>
      <c r="AM301" s="132" t="n">
        <f aca="false">CHOOSE($G$3,AF301-AG301,AG301-AF301)</f>
        <v>0</v>
      </c>
      <c r="AN301" s="132" t="n">
        <f aca="false">CHOOSE($G$3,AI301-AJ301,AJ301-AI301)</f>
        <v>0</v>
      </c>
      <c r="AO301" s="148" t="n">
        <f aca="false">SUM(AL301:AN301)</f>
        <v>0</v>
      </c>
      <c r="AQ301" s="132" t="n">
        <f aca="false">CHOOSE($G$3,AB301-AC301,AC301-AB301)</f>
        <v>0</v>
      </c>
      <c r="AR301" s="132" t="n">
        <f aca="false">CHOOSE($G$3,AE301-AF301,AF301-AE301)</f>
        <v>0</v>
      </c>
      <c r="AS301" s="132" t="n">
        <f aca="false">CHOOSE($G$3,AH301-AI301,AI301-AH301)</f>
        <v>0</v>
      </c>
      <c r="AT301" s="148" t="n">
        <f aca="false">AQ301+AR301+AS301</f>
        <v>0</v>
      </c>
      <c r="AU301" s="148"/>
      <c r="AV301" s="133" t="n">
        <f aca="false">AT301+AO301</f>
        <v>0</v>
      </c>
      <c r="AX301" s="133" t="n">
        <f aca="false">AJ301+AG301+AD301</f>
        <v>0</v>
      </c>
      <c r="AY301" s="149"/>
      <c r="AZ301" s="76" t="n">
        <f aca="false">R301*E301</f>
        <v>0</v>
      </c>
    </row>
    <row r="302" customFormat="false" ht="12" hidden="false" customHeight="true" outlineLevel="0" collapsed="false">
      <c r="A302" s="138" t="n">
        <f aca="false">EDATE(A301,1)</f>
        <v>45870</v>
      </c>
      <c r="B302" s="139" t="n">
        <f aca="false">VLOOKUP($A302,Table2,MATCH(I$3,Curves2,0))</f>
        <v>60900</v>
      </c>
      <c r="C302" s="140"/>
      <c r="D302" s="141" t="n">
        <f aca="false">B302+C302</f>
        <v>60900</v>
      </c>
      <c r="E302" s="126" t="n">
        <f aca="false">IF(Y302=0,0,IF(AND(Y302=1,$H$3=1),D302*T302,IF($H$3=2,D302,"N/A")))</f>
        <v>0</v>
      </c>
      <c r="F302" s="126" t="n">
        <f aca="false">E302*X302</f>
        <v>0</v>
      </c>
      <c r="G302" s="142" t="n">
        <f aca="false">VLOOKUP($A302,Table,MATCH(G$4,Curves,0))</f>
        <v>3.987</v>
      </c>
      <c r="H302" s="143" t="n">
        <f aca="false">G302</f>
        <v>3.987</v>
      </c>
      <c r="I302" s="142" t="n">
        <f aca="false">VLOOKUP($A302,Table1,MATCH(I$3,Curves1,0))</f>
        <v>3.7904</v>
      </c>
      <c r="J302" s="142" t="n">
        <f aca="false">VLOOKUP($A302,Table,MATCH(J$4,Curves,0))</f>
        <v>0.011</v>
      </c>
      <c r="K302" s="143" t="n">
        <f aca="false">J302</f>
        <v>0.011</v>
      </c>
      <c r="L302" s="144" t="n">
        <v>0</v>
      </c>
      <c r="M302" s="142" t="n">
        <f aca="false">VLOOKUP($A302,Table,MATCH(M$4,Curves,0))</f>
        <v>0.015</v>
      </c>
      <c r="N302" s="143" t="n">
        <f aca="false">M302</f>
        <v>0.015</v>
      </c>
      <c r="O302" s="144" t="n">
        <v>0</v>
      </c>
      <c r="P302" s="145"/>
      <c r="Q302" s="144" t="n">
        <f aca="false">M302+J302+G302</f>
        <v>4.013</v>
      </c>
      <c r="R302" s="144" t="n">
        <f aca="false">O302+L302+I302</f>
        <v>3.7904</v>
      </c>
      <c r="S302" s="145"/>
      <c r="T302" s="71" t="n">
        <f aca="false">A303-A302</f>
        <v>31</v>
      </c>
      <c r="U302" s="146" t="n">
        <f aca="false">CHOOSE(F$3,A303+24,A302)</f>
        <v>45925</v>
      </c>
      <c r="V302" s="71" t="n">
        <f aca="false">U302-C$3</f>
        <v>9037</v>
      </c>
      <c r="W302" s="142" t="n">
        <f aca="false">VLOOKUP($A302,Table,MATCH(W$4,Curves,0))</f>
        <v>0.058966861357273</v>
      </c>
      <c r="X302" s="147" t="n">
        <f aca="false">1/(1+CHOOSE(F$3,(W303+($K$3/10000))/2,(W302+($K$3/10000))/2))^(2*V302/365.25)</f>
        <v>0.237434927115768</v>
      </c>
      <c r="Y302" s="71" t="n">
        <f aca="false">IF(AND(mthbeg&lt;=A302,mthend&gt;=A302),1,0)</f>
        <v>0</v>
      </c>
      <c r="Z302" s="71" t="n">
        <f aca="false">T302*Y302</f>
        <v>0</v>
      </c>
      <c r="AB302" s="132" t="n">
        <f aca="false">F302*G302</f>
        <v>0</v>
      </c>
      <c r="AC302" s="132" t="n">
        <f aca="false">$F302*H302</f>
        <v>0</v>
      </c>
      <c r="AD302" s="132" t="n">
        <f aca="false">$F302*I302</f>
        <v>0</v>
      </c>
      <c r="AE302" s="132" t="n">
        <f aca="false">$F302*J302</f>
        <v>0</v>
      </c>
      <c r="AF302" s="132" t="n">
        <f aca="false">$F302*K302</f>
        <v>0</v>
      </c>
      <c r="AG302" s="132" t="n">
        <f aca="false">$F302*L302</f>
        <v>0</v>
      </c>
      <c r="AH302" s="132" t="n">
        <f aca="false">$F302*M302</f>
        <v>0</v>
      </c>
      <c r="AI302" s="132" t="n">
        <f aca="false">$F302*N302</f>
        <v>0</v>
      </c>
      <c r="AJ302" s="132" t="n">
        <f aca="false">F302*O302</f>
        <v>0</v>
      </c>
      <c r="AK302" s="137"/>
      <c r="AL302" s="132" t="n">
        <f aca="false">CHOOSE($G$3,AC302-AD302,AD302-AC302)</f>
        <v>0</v>
      </c>
      <c r="AM302" s="132" t="n">
        <f aca="false">CHOOSE($G$3,AF302-AG302,AG302-AF302)</f>
        <v>0</v>
      </c>
      <c r="AN302" s="132" t="n">
        <f aca="false">CHOOSE($G$3,AI302-AJ302,AJ302-AI302)</f>
        <v>0</v>
      </c>
      <c r="AO302" s="148" t="n">
        <f aca="false">SUM(AL302:AN302)</f>
        <v>0</v>
      </c>
      <c r="AQ302" s="132" t="n">
        <f aca="false">CHOOSE($G$3,AB302-AC302,AC302-AB302)</f>
        <v>0</v>
      </c>
      <c r="AR302" s="132" t="n">
        <f aca="false">CHOOSE($G$3,AE302-AF302,AF302-AE302)</f>
        <v>0</v>
      </c>
      <c r="AS302" s="132" t="n">
        <f aca="false">CHOOSE($G$3,AH302-AI302,AI302-AH302)</f>
        <v>0</v>
      </c>
      <c r="AT302" s="148" t="n">
        <f aca="false">AQ302+AR302+AS302</f>
        <v>0</v>
      </c>
      <c r="AU302" s="148"/>
      <c r="AV302" s="133" t="n">
        <f aca="false">AT302+AO302</f>
        <v>0</v>
      </c>
      <c r="AX302" s="133" t="n">
        <f aca="false">AJ302+AG302+AD302</f>
        <v>0</v>
      </c>
      <c r="AY302" s="149"/>
      <c r="AZ302" s="76" t="n">
        <f aca="false">R302*E302</f>
        <v>0</v>
      </c>
    </row>
    <row r="303" customFormat="false" ht="12" hidden="false" customHeight="true" outlineLevel="0" collapsed="false">
      <c r="A303" s="138" t="n">
        <f aca="false">EDATE(A302,1)</f>
        <v>45901</v>
      </c>
      <c r="B303" s="139" t="n">
        <f aca="false">VLOOKUP($A303,Table2,MATCH(I$3,Curves2,0))</f>
        <v>60900</v>
      </c>
      <c r="C303" s="140"/>
      <c r="D303" s="141" t="n">
        <f aca="false">B303+C303</f>
        <v>60900</v>
      </c>
      <c r="E303" s="126" t="n">
        <f aca="false">IF(Y303=0,0,IF(AND(Y303=1,$H$3=1),D303*T303,IF($H$3=2,D303,"N/A")))</f>
        <v>0</v>
      </c>
      <c r="F303" s="126" t="n">
        <f aca="false">E303*X303</f>
        <v>0</v>
      </c>
      <c r="G303" s="142" t="n">
        <f aca="false">VLOOKUP($A303,Table,MATCH(G$4,Curves,0))</f>
        <v>3.987</v>
      </c>
      <c r="H303" s="143" t="n">
        <f aca="false">G303</f>
        <v>3.987</v>
      </c>
      <c r="I303" s="142" t="n">
        <f aca="false">VLOOKUP($A303,Table1,MATCH(I$3,Curves1,0))</f>
        <v>3.7904</v>
      </c>
      <c r="J303" s="142" t="n">
        <f aca="false">VLOOKUP($A303,Table,MATCH(J$4,Curves,0))</f>
        <v>0.011</v>
      </c>
      <c r="K303" s="143" t="n">
        <f aca="false">J303</f>
        <v>0.011</v>
      </c>
      <c r="L303" s="144" t="n">
        <v>0</v>
      </c>
      <c r="M303" s="142" t="n">
        <f aca="false">VLOOKUP($A303,Table,MATCH(M$4,Curves,0))</f>
        <v>0.015</v>
      </c>
      <c r="N303" s="143" t="n">
        <f aca="false">M303</f>
        <v>0.015</v>
      </c>
      <c r="O303" s="144" t="n">
        <v>0</v>
      </c>
      <c r="P303" s="145"/>
      <c r="Q303" s="144" t="n">
        <f aca="false">M303+J303+G303</f>
        <v>4.013</v>
      </c>
      <c r="R303" s="144" t="n">
        <f aca="false">O303+L303+I303</f>
        <v>3.7904</v>
      </c>
      <c r="S303" s="145"/>
      <c r="T303" s="71" t="n">
        <f aca="false">A304-A303</f>
        <v>30</v>
      </c>
      <c r="U303" s="146" t="n">
        <f aca="false">CHOOSE(F$3,A304+24,A303)</f>
        <v>45955</v>
      </c>
      <c r="V303" s="71" t="n">
        <f aca="false">U303-C$3</f>
        <v>9067</v>
      </c>
      <c r="W303" s="142" t="n">
        <f aca="false">VLOOKUP($A303,Table,MATCH(W$4,Curves,0))</f>
        <v>0.058966861357273</v>
      </c>
      <c r="X303" s="147" t="n">
        <f aca="false">1/(1+CHOOSE(F$3,(W304+($K$3/10000))/2,(W303+($K$3/10000))/2))^(2*V303/365.25)</f>
        <v>0.236304291654384</v>
      </c>
      <c r="Y303" s="71" t="n">
        <f aca="false">IF(AND(mthbeg&lt;=A303,mthend&gt;=A303),1,0)</f>
        <v>0</v>
      </c>
      <c r="Z303" s="71" t="n">
        <f aca="false">T303*Y303</f>
        <v>0</v>
      </c>
      <c r="AB303" s="132" t="n">
        <f aca="false">F303*G303</f>
        <v>0</v>
      </c>
      <c r="AC303" s="132" t="n">
        <f aca="false">$F303*H303</f>
        <v>0</v>
      </c>
      <c r="AD303" s="132" t="n">
        <f aca="false">$F303*I303</f>
        <v>0</v>
      </c>
      <c r="AE303" s="132" t="n">
        <f aca="false">$F303*J303</f>
        <v>0</v>
      </c>
      <c r="AF303" s="132" t="n">
        <f aca="false">$F303*K303</f>
        <v>0</v>
      </c>
      <c r="AG303" s="132" t="n">
        <f aca="false">$F303*L303</f>
        <v>0</v>
      </c>
      <c r="AH303" s="132" t="n">
        <f aca="false">$F303*M303</f>
        <v>0</v>
      </c>
      <c r="AI303" s="132" t="n">
        <f aca="false">$F303*N303</f>
        <v>0</v>
      </c>
      <c r="AJ303" s="132" t="n">
        <f aca="false">F303*O303</f>
        <v>0</v>
      </c>
      <c r="AK303" s="137"/>
      <c r="AL303" s="132" t="n">
        <f aca="false">CHOOSE($G$3,AC303-AD303,AD303-AC303)</f>
        <v>0</v>
      </c>
      <c r="AM303" s="132" t="n">
        <f aca="false">CHOOSE($G$3,AF303-AG303,AG303-AF303)</f>
        <v>0</v>
      </c>
      <c r="AN303" s="132" t="n">
        <f aca="false">CHOOSE($G$3,AI303-AJ303,AJ303-AI303)</f>
        <v>0</v>
      </c>
      <c r="AO303" s="148" t="n">
        <f aca="false">SUM(AL303:AN303)</f>
        <v>0</v>
      </c>
      <c r="AQ303" s="132" t="n">
        <f aca="false">CHOOSE($G$3,AB303-AC303,AC303-AB303)</f>
        <v>0</v>
      </c>
      <c r="AR303" s="132" t="n">
        <f aca="false">CHOOSE($G$3,AE303-AF303,AF303-AE303)</f>
        <v>0</v>
      </c>
      <c r="AS303" s="132" t="n">
        <f aca="false">CHOOSE($G$3,AH303-AI303,AI303-AH303)</f>
        <v>0</v>
      </c>
      <c r="AT303" s="148" t="n">
        <f aca="false">AQ303+AR303+AS303</f>
        <v>0</v>
      </c>
      <c r="AU303" s="148"/>
      <c r="AV303" s="133" t="n">
        <f aca="false">AT303+AO303</f>
        <v>0</v>
      </c>
      <c r="AX303" s="133" t="n">
        <f aca="false">AJ303+AG303+AD303</f>
        <v>0</v>
      </c>
      <c r="AY303" s="149"/>
      <c r="AZ303" s="76" t="n">
        <f aca="false">R303*E303</f>
        <v>0</v>
      </c>
    </row>
    <row r="304" customFormat="false" ht="12" hidden="false" customHeight="true" outlineLevel="0" collapsed="false">
      <c r="A304" s="138" t="n">
        <f aca="false">EDATE(A303,1)</f>
        <v>45931</v>
      </c>
      <c r="B304" s="139" t="n">
        <f aca="false">VLOOKUP($A304,Table2,MATCH(I$3,Curves2,0))</f>
        <v>60900</v>
      </c>
      <c r="C304" s="140"/>
      <c r="D304" s="141" t="n">
        <f aca="false">B304+C304</f>
        <v>60900</v>
      </c>
      <c r="E304" s="126" t="n">
        <f aca="false">IF(Y304=0,0,IF(AND(Y304=1,$H$3=1),D304*T304,IF($H$3=2,D304,"N/A")))</f>
        <v>0</v>
      </c>
      <c r="F304" s="126" t="n">
        <f aca="false">E304*X304</f>
        <v>0</v>
      </c>
      <c r="G304" s="142" t="n">
        <f aca="false">VLOOKUP($A304,Table,MATCH(G$4,Curves,0))</f>
        <v>3.987</v>
      </c>
      <c r="H304" s="143" t="n">
        <f aca="false">G304</f>
        <v>3.987</v>
      </c>
      <c r="I304" s="142" t="n">
        <f aca="false">VLOOKUP($A304,Table1,MATCH(I$3,Curves1,0))</f>
        <v>3.7904</v>
      </c>
      <c r="J304" s="142" t="n">
        <f aca="false">VLOOKUP($A304,Table,MATCH(J$4,Curves,0))</f>
        <v>0.011</v>
      </c>
      <c r="K304" s="143" t="n">
        <f aca="false">J304</f>
        <v>0.011</v>
      </c>
      <c r="L304" s="144" t="n">
        <v>0</v>
      </c>
      <c r="M304" s="142" t="n">
        <f aca="false">VLOOKUP($A304,Table,MATCH(M$4,Curves,0))</f>
        <v>0.015</v>
      </c>
      <c r="N304" s="143" t="n">
        <f aca="false">M304</f>
        <v>0.015</v>
      </c>
      <c r="O304" s="144" t="n">
        <v>0</v>
      </c>
      <c r="P304" s="145"/>
      <c r="Q304" s="144" t="n">
        <f aca="false">M304+J304+G304</f>
        <v>4.013</v>
      </c>
      <c r="R304" s="144" t="n">
        <f aca="false">O304+L304+I304</f>
        <v>3.7904</v>
      </c>
      <c r="S304" s="145"/>
      <c r="T304" s="71" t="n">
        <f aca="false">A305-A304</f>
        <v>31</v>
      </c>
      <c r="U304" s="146" t="n">
        <f aca="false">CHOOSE(F$3,A305+24,A304)</f>
        <v>45986</v>
      </c>
      <c r="V304" s="71" t="n">
        <f aca="false">U304-C$3</f>
        <v>9098</v>
      </c>
      <c r="W304" s="142" t="n">
        <f aca="false">VLOOKUP($A304,Table,MATCH(W$4,Curves,0))</f>
        <v>0.058966861357273</v>
      </c>
      <c r="X304" s="147" t="n">
        <f aca="false">1/(1+CHOOSE(F$3,(W305+($K$3/10000))/2,(W304+($K$3/10000))/2))^(2*V304/365.25)</f>
        <v>0.235141624177821</v>
      </c>
      <c r="Y304" s="71" t="n">
        <f aca="false">IF(AND(mthbeg&lt;=A304,mthend&gt;=A304),1,0)</f>
        <v>0</v>
      </c>
      <c r="Z304" s="71" t="n">
        <f aca="false">T304*Y304</f>
        <v>0</v>
      </c>
      <c r="AB304" s="132" t="n">
        <f aca="false">F304*G304</f>
        <v>0</v>
      </c>
      <c r="AC304" s="132" t="n">
        <f aca="false">$F304*H304</f>
        <v>0</v>
      </c>
      <c r="AD304" s="132" t="n">
        <f aca="false">$F304*I304</f>
        <v>0</v>
      </c>
      <c r="AE304" s="132" t="n">
        <f aca="false">$F304*J304</f>
        <v>0</v>
      </c>
      <c r="AF304" s="132" t="n">
        <f aca="false">$F304*K304</f>
        <v>0</v>
      </c>
      <c r="AG304" s="132" t="n">
        <f aca="false">$F304*L304</f>
        <v>0</v>
      </c>
      <c r="AH304" s="132" t="n">
        <f aca="false">$F304*M304</f>
        <v>0</v>
      </c>
      <c r="AI304" s="132" t="n">
        <f aca="false">$F304*N304</f>
        <v>0</v>
      </c>
      <c r="AJ304" s="132" t="n">
        <f aca="false">F304*O304</f>
        <v>0</v>
      </c>
      <c r="AK304" s="137"/>
      <c r="AL304" s="132" t="n">
        <f aca="false">CHOOSE($G$3,AC304-AD304,AD304-AC304)</f>
        <v>0</v>
      </c>
      <c r="AM304" s="132" t="n">
        <f aca="false">CHOOSE($G$3,AF304-AG304,AG304-AF304)</f>
        <v>0</v>
      </c>
      <c r="AN304" s="132" t="n">
        <f aca="false">CHOOSE($G$3,AI304-AJ304,AJ304-AI304)</f>
        <v>0</v>
      </c>
      <c r="AO304" s="148" t="n">
        <f aca="false">SUM(AL304:AN304)</f>
        <v>0</v>
      </c>
      <c r="AQ304" s="132" t="n">
        <f aca="false">CHOOSE($G$3,AB304-AC304,AC304-AB304)</f>
        <v>0</v>
      </c>
      <c r="AR304" s="132" t="n">
        <f aca="false">CHOOSE($G$3,AE304-AF304,AF304-AE304)</f>
        <v>0</v>
      </c>
      <c r="AS304" s="132" t="n">
        <f aca="false">CHOOSE($G$3,AH304-AI304,AI304-AH304)</f>
        <v>0</v>
      </c>
      <c r="AT304" s="148" t="n">
        <f aca="false">AQ304+AR304+AS304</f>
        <v>0</v>
      </c>
      <c r="AU304" s="148"/>
      <c r="AV304" s="133" t="n">
        <f aca="false">AT304+AO304</f>
        <v>0</v>
      </c>
      <c r="AX304" s="133" t="n">
        <f aca="false">AJ304+AG304+AD304</f>
        <v>0</v>
      </c>
      <c r="AY304" s="149"/>
      <c r="AZ304" s="76" t="n">
        <f aca="false">R304*E304</f>
        <v>0</v>
      </c>
    </row>
    <row r="305" customFormat="false" ht="12" hidden="false" customHeight="true" outlineLevel="0" collapsed="false">
      <c r="A305" s="138" t="n">
        <f aca="false">EDATE(A304,1)</f>
        <v>45962</v>
      </c>
      <c r="B305" s="139" t="n">
        <f aca="false">VLOOKUP($A305,Table2,MATCH(I$3,Curves2,0))</f>
        <v>60900</v>
      </c>
      <c r="C305" s="140"/>
      <c r="D305" s="141" t="n">
        <f aca="false">B305+C305</f>
        <v>60900</v>
      </c>
      <c r="E305" s="126" t="n">
        <f aca="false">IF(Y305=0,0,IF(AND(Y305=1,$H$3=1),D305*T305,IF($H$3=2,D305,"N/A")))</f>
        <v>0</v>
      </c>
      <c r="F305" s="126" t="n">
        <f aca="false">E305*X305</f>
        <v>0</v>
      </c>
      <c r="G305" s="142" t="n">
        <f aca="false">VLOOKUP($A305,Table,MATCH(G$4,Curves,0))</f>
        <v>3.987</v>
      </c>
      <c r="H305" s="143" t="n">
        <f aca="false">G305</f>
        <v>3.987</v>
      </c>
      <c r="I305" s="142" t="n">
        <f aca="false">VLOOKUP($A305,Table1,MATCH(I$3,Curves1,0))</f>
        <v>3.7904</v>
      </c>
      <c r="J305" s="142" t="n">
        <f aca="false">VLOOKUP($A305,Table,MATCH(J$4,Curves,0))</f>
        <v>0.011</v>
      </c>
      <c r="K305" s="143" t="n">
        <f aca="false">J305</f>
        <v>0.011</v>
      </c>
      <c r="L305" s="144" t="n">
        <v>0</v>
      </c>
      <c r="M305" s="142" t="n">
        <f aca="false">VLOOKUP($A305,Table,MATCH(M$4,Curves,0))</f>
        <v>0.015</v>
      </c>
      <c r="N305" s="143" t="n">
        <f aca="false">M305</f>
        <v>0.015</v>
      </c>
      <c r="O305" s="144" t="n">
        <v>0</v>
      </c>
      <c r="P305" s="145"/>
      <c r="Q305" s="144" t="n">
        <f aca="false">M305+J305+G305</f>
        <v>4.013</v>
      </c>
      <c r="R305" s="144" t="n">
        <f aca="false">O305+L305+I305</f>
        <v>3.7904</v>
      </c>
      <c r="S305" s="145"/>
      <c r="T305" s="71" t="n">
        <f aca="false">A306-A305</f>
        <v>30</v>
      </c>
      <c r="U305" s="146" t="n">
        <f aca="false">CHOOSE(F$3,A306+24,A305)</f>
        <v>46016</v>
      </c>
      <c r="V305" s="71" t="n">
        <f aca="false">U305-C$3</f>
        <v>9128</v>
      </c>
      <c r="W305" s="142" t="n">
        <f aca="false">VLOOKUP($A305,Table,MATCH(W$4,Curves,0))</f>
        <v>0.058966861357273</v>
      </c>
      <c r="X305" s="147" t="n">
        <f aca="false">1/(1+CHOOSE(F$3,(W306+($K$3/10000))/2,(W305+($K$3/10000))/2))^(2*V305/365.25)</f>
        <v>0.234021909138536</v>
      </c>
      <c r="Y305" s="71" t="n">
        <f aca="false">IF(AND(mthbeg&lt;=A305,mthend&gt;=A305),1,0)</f>
        <v>0</v>
      </c>
      <c r="Z305" s="71" t="n">
        <f aca="false">T305*Y305</f>
        <v>0</v>
      </c>
      <c r="AB305" s="132" t="n">
        <f aca="false">F305*G305</f>
        <v>0</v>
      </c>
      <c r="AC305" s="132" t="n">
        <f aca="false">$F305*H305</f>
        <v>0</v>
      </c>
      <c r="AD305" s="132" t="n">
        <f aca="false">$F305*I305</f>
        <v>0</v>
      </c>
      <c r="AE305" s="132" t="n">
        <f aca="false">$F305*J305</f>
        <v>0</v>
      </c>
      <c r="AF305" s="132" t="n">
        <f aca="false">$F305*K305</f>
        <v>0</v>
      </c>
      <c r="AG305" s="132" t="n">
        <f aca="false">$F305*L305</f>
        <v>0</v>
      </c>
      <c r="AH305" s="132" t="n">
        <f aca="false">$F305*M305</f>
        <v>0</v>
      </c>
      <c r="AI305" s="132" t="n">
        <f aca="false">$F305*N305</f>
        <v>0</v>
      </c>
      <c r="AJ305" s="132" t="n">
        <f aca="false">F305*O305</f>
        <v>0</v>
      </c>
      <c r="AK305" s="137"/>
      <c r="AL305" s="132" t="n">
        <f aca="false">CHOOSE($G$3,AC305-AD305,AD305-AC305)</f>
        <v>0</v>
      </c>
      <c r="AM305" s="132" t="n">
        <f aca="false">CHOOSE($G$3,AF305-AG305,AG305-AF305)</f>
        <v>0</v>
      </c>
      <c r="AN305" s="132" t="n">
        <f aca="false">CHOOSE($G$3,AI305-AJ305,AJ305-AI305)</f>
        <v>0</v>
      </c>
      <c r="AO305" s="148" t="n">
        <f aca="false">SUM(AL305:AN305)</f>
        <v>0</v>
      </c>
      <c r="AQ305" s="132" t="n">
        <f aca="false">CHOOSE($G$3,AB305-AC305,AC305-AB305)</f>
        <v>0</v>
      </c>
      <c r="AR305" s="132" t="n">
        <f aca="false">CHOOSE($G$3,AE305-AF305,AF305-AE305)</f>
        <v>0</v>
      </c>
      <c r="AS305" s="132" t="n">
        <f aca="false">CHOOSE($G$3,AH305-AI305,AI305-AH305)</f>
        <v>0</v>
      </c>
      <c r="AT305" s="148" t="n">
        <f aca="false">AQ305+AR305+AS305</f>
        <v>0</v>
      </c>
      <c r="AU305" s="148"/>
      <c r="AV305" s="133" t="n">
        <f aca="false">AT305+AO305</f>
        <v>0</v>
      </c>
      <c r="AX305" s="133" t="n">
        <f aca="false">AJ305+AG305+AD305</f>
        <v>0</v>
      </c>
      <c r="AY305" s="149"/>
      <c r="AZ305" s="76" t="n">
        <f aca="false">R305*E305</f>
        <v>0</v>
      </c>
    </row>
    <row r="306" customFormat="false" ht="12" hidden="false" customHeight="true" outlineLevel="0" collapsed="false">
      <c r="A306" s="138" t="n">
        <f aca="false">EDATE(A305,1)</f>
        <v>45992</v>
      </c>
      <c r="B306" s="139" t="n">
        <f aca="false">VLOOKUP($A306,Table2,MATCH(I$3,Curves2,0))</f>
        <v>60900</v>
      </c>
      <c r="C306" s="140"/>
      <c r="D306" s="141" t="n">
        <f aca="false">B306+C306</f>
        <v>60900</v>
      </c>
      <c r="E306" s="126" t="n">
        <f aca="false">IF(Y306=0,0,IF(AND(Y306=1,$H$3=1),D306*T306,IF($H$3=2,D306,"N/A")))</f>
        <v>0</v>
      </c>
      <c r="F306" s="126" t="n">
        <f aca="false">E306*X306</f>
        <v>0</v>
      </c>
      <c r="G306" s="142" t="n">
        <f aca="false">VLOOKUP($A306,Table,MATCH(G$4,Curves,0))</f>
        <v>3.987</v>
      </c>
      <c r="H306" s="143" t="n">
        <f aca="false">G306</f>
        <v>3.987</v>
      </c>
      <c r="I306" s="142" t="n">
        <f aca="false">VLOOKUP($A306,Table1,MATCH(I$3,Curves1,0))</f>
        <v>3.7904</v>
      </c>
      <c r="J306" s="142" t="n">
        <f aca="false">VLOOKUP($A306,Table,MATCH(J$4,Curves,0))</f>
        <v>0.011</v>
      </c>
      <c r="K306" s="143" t="n">
        <f aca="false">J306</f>
        <v>0.011</v>
      </c>
      <c r="L306" s="144" t="n">
        <v>0</v>
      </c>
      <c r="M306" s="142" t="n">
        <f aca="false">VLOOKUP($A306,Table,MATCH(M$4,Curves,0))</f>
        <v>0.015</v>
      </c>
      <c r="N306" s="143" t="n">
        <f aca="false">M306</f>
        <v>0.015</v>
      </c>
      <c r="O306" s="144" t="n">
        <v>0</v>
      </c>
      <c r="P306" s="145"/>
      <c r="Q306" s="144" t="n">
        <f aca="false">M306+J306+G306</f>
        <v>4.013</v>
      </c>
      <c r="R306" s="144" t="n">
        <f aca="false">O306+L306+I306</f>
        <v>3.7904</v>
      </c>
      <c r="S306" s="145"/>
      <c r="T306" s="71" t="n">
        <f aca="false">A307-A306</f>
        <v>31</v>
      </c>
      <c r="U306" s="146" t="n">
        <f aca="false">CHOOSE(F$3,A307+24,A306)</f>
        <v>46047</v>
      </c>
      <c r="V306" s="71" t="n">
        <f aca="false">U306-C$3</f>
        <v>9159</v>
      </c>
      <c r="W306" s="142" t="n">
        <f aca="false">VLOOKUP($A306,Table,MATCH(W$4,Curves,0))</f>
        <v>0.058966861357273</v>
      </c>
      <c r="X306" s="147" t="n">
        <f aca="false">1/(1+CHOOSE(F$3,(W307+($K$3/10000))/2,(W306+($K$3/10000))/2))^(2*V306/365.25)</f>
        <v>0.232870471470377</v>
      </c>
      <c r="Y306" s="71" t="n">
        <f aca="false">IF(AND(mthbeg&lt;=A306,mthend&gt;=A306),1,0)</f>
        <v>0</v>
      </c>
      <c r="Z306" s="71" t="n">
        <f aca="false">T306*Y306</f>
        <v>0</v>
      </c>
      <c r="AB306" s="132" t="n">
        <f aca="false">F306*G306</f>
        <v>0</v>
      </c>
      <c r="AC306" s="132" t="n">
        <f aca="false">$F306*H306</f>
        <v>0</v>
      </c>
      <c r="AD306" s="132" t="n">
        <f aca="false">$F306*I306</f>
        <v>0</v>
      </c>
      <c r="AE306" s="132" t="n">
        <f aca="false">$F306*J306</f>
        <v>0</v>
      </c>
      <c r="AF306" s="132" t="n">
        <f aca="false">$F306*K306</f>
        <v>0</v>
      </c>
      <c r="AG306" s="132" t="n">
        <f aca="false">$F306*L306</f>
        <v>0</v>
      </c>
      <c r="AH306" s="132" t="n">
        <f aca="false">$F306*M306</f>
        <v>0</v>
      </c>
      <c r="AI306" s="132" t="n">
        <f aca="false">$F306*N306</f>
        <v>0</v>
      </c>
      <c r="AJ306" s="132" t="n">
        <f aca="false">F306*O306</f>
        <v>0</v>
      </c>
      <c r="AK306" s="137"/>
      <c r="AL306" s="132" t="n">
        <f aca="false">CHOOSE($G$3,AC306-AD306,AD306-AC306)</f>
        <v>0</v>
      </c>
      <c r="AM306" s="132" t="n">
        <f aca="false">CHOOSE($G$3,AF306-AG306,AG306-AF306)</f>
        <v>0</v>
      </c>
      <c r="AN306" s="132" t="n">
        <f aca="false">CHOOSE($G$3,AI306-AJ306,AJ306-AI306)</f>
        <v>0</v>
      </c>
      <c r="AO306" s="148" t="n">
        <f aca="false">SUM(AL306:AN306)</f>
        <v>0</v>
      </c>
      <c r="AQ306" s="132" t="n">
        <f aca="false">CHOOSE($G$3,AB306-AC306,AC306-AB306)</f>
        <v>0</v>
      </c>
      <c r="AR306" s="132" t="n">
        <f aca="false">CHOOSE($G$3,AE306-AF306,AF306-AE306)</f>
        <v>0</v>
      </c>
      <c r="AS306" s="132" t="n">
        <f aca="false">CHOOSE($G$3,AH306-AI306,AI306-AH306)</f>
        <v>0</v>
      </c>
      <c r="AT306" s="148" t="n">
        <f aca="false">AQ306+AR306+AS306</f>
        <v>0</v>
      </c>
      <c r="AU306" s="148"/>
      <c r="AV306" s="133" t="n">
        <f aca="false">AT306+AO306</f>
        <v>0</v>
      </c>
      <c r="AX306" s="133" t="n">
        <f aca="false">AJ306+AG306+AD306</f>
        <v>0</v>
      </c>
      <c r="AY306" s="149"/>
      <c r="AZ306" s="76" t="n">
        <f aca="false">R306*E306</f>
        <v>0</v>
      </c>
    </row>
    <row r="307" customFormat="false" ht="12" hidden="false" customHeight="true" outlineLevel="0" collapsed="false">
      <c r="A307" s="138" t="n">
        <f aca="false">EDATE(A306,1)</f>
        <v>46023</v>
      </c>
      <c r="B307" s="139" t="n">
        <f aca="false">VLOOKUP($A307,Table2,MATCH(I$3,Curves2,0))</f>
        <v>60900</v>
      </c>
      <c r="C307" s="140"/>
      <c r="D307" s="141" t="n">
        <f aca="false">B307+C307</f>
        <v>60900</v>
      </c>
      <c r="E307" s="126" t="n">
        <f aca="false">IF(Y307=0,0,IF(AND(Y307=1,$H$3=1),D307*T307,IF($H$3=2,D307,"N/A")))</f>
        <v>0</v>
      </c>
      <c r="F307" s="126" t="n">
        <f aca="false">E307*X307</f>
        <v>0</v>
      </c>
      <c r="G307" s="142" t="n">
        <f aca="false">VLOOKUP($A307,Table,MATCH(G$4,Curves,0))</f>
        <v>3.987</v>
      </c>
      <c r="H307" s="143" t="n">
        <f aca="false">G307</f>
        <v>3.987</v>
      </c>
      <c r="I307" s="142" t="n">
        <f aca="false">VLOOKUP($A307,Table1,MATCH(I$3,Curves1,0))</f>
        <v>3.7904</v>
      </c>
      <c r="J307" s="142" t="n">
        <f aca="false">VLOOKUP($A307,Table,MATCH(J$4,Curves,0))</f>
        <v>0.011</v>
      </c>
      <c r="K307" s="143" t="n">
        <f aca="false">J307</f>
        <v>0.011</v>
      </c>
      <c r="L307" s="144" t="n">
        <v>0</v>
      </c>
      <c r="M307" s="142" t="n">
        <f aca="false">VLOOKUP($A307,Table,MATCH(M$4,Curves,0))</f>
        <v>0.015</v>
      </c>
      <c r="N307" s="143" t="n">
        <f aca="false">M307</f>
        <v>0.015</v>
      </c>
      <c r="O307" s="144" t="n">
        <v>0</v>
      </c>
      <c r="P307" s="145"/>
      <c r="Q307" s="144" t="n">
        <f aca="false">M307+J307+G307</f>
        <v>4.013</v>
      </c>
      <c r="R307" s="144" t="n">
        <f aca="false">O307+L307+I307</f>
        <v>3.7904</v>
      </c>
      <c r="S307" s="145"/>
      <c r="T307" s="71" t="n">
        <f aca="false">A308-A307</f>
        <v>31</v>
      </c>
      <c r="U307" s="146" t="n">
        <f aca="false">CHOOSE(F$3,A308+24,A307)</f>
        <v>46078</v>
      </c>
      <c r="V307" s="71" t="n">
        <f aca="false">U307-C$3</f>
        <v>9190</v>
      </c>
      <c r="W307" s="142" t="n">
        <f aca="false">VLOOKUP($A307,Table,MATCH(W$4,Curves,0))</f>
        <v>0.058966861357273</v>
      </c>
      <c r="X307" s="147" t="n">
        <f aca="false">1/(1+CHOOSE(F$3,(W308+($K$3/10000))/2,(W307+($K$3/10000))/2))^(2*V307/365.25)</f>
        <v>0.231724699120942</v>
      </c>
      <c r="Y307" s="71" t="n">
        <f aca="false">IF(AND(mthbeg&lt;=A307,mthend&gt;=A307),1,0)</f>
        <v>0</v>
      </c>
      <c r="Z307" s="71" t="n">
        <f aca="false">T307*Y307</f>
        <v>0</v>
      </c>
      <c r="AB307" s="132" t="n">
        <f aca="false">F307*G307</f>
        <v>0</v>
      </c>
      <c r="AC307" s="132" t="n">
        <f aca="false">$F307*H307</f>
        <v>0</v>
      </c>
      <c r="AD307" s="132" t="n">
        <f aca="false">$F307*I307</f>
        <v>0</v>
      </c>
      <c r="AE307" s="132" t="n">
        <f aca="false">$F307*J307</f>
        <v>0</v>
      </c>
      <c r="AF307" s="132" t="n">
        <f aca="false">$F307*K307</f>
        <v>0</v>
      </c>
      <c r="AG307" s="132" t="n">
        <f aca="false">$F307*L307</f>
        <v>0</v>
      </c>
      <c r="AH307" s="132" t="n">
        <f aca="false">$F307*M307</f>
        <v>0</v>
      </c>
      <c r="AI307" s="132" t="n">
        <f aca="false">$F307*N307</f>
        <v>0</v>
      </c>
      <c r="AJ307" s="132" t="n">
        <f aca="false">F307*O307</f>
        <v>0</v>
      </c>
      <c r="AK307" s="137"/>
      <c r="AL307" s="132" t="n">
        <f aca="false">CHOOSE($G$3,AC307-AD307,AD307-AC307)</f>
        <v>0</v>
      </c>
      <c r="AM307" s="132" t="n">
        <f aca="false">CHOOSE($G$3,AF307-AG307,AG307-AF307)</f>
        <v>0</v>
      </c>
      <c r="AN307" s="132" t="n">
        <f aca="false">CHOOSE($G$3,AI307-AJ307,AJ307-AI307)</f>
        <v>0</v>
      </c>
      <c r="AO307" s="148" t="n">
        <f aca="false">SUM(AL307:AN307)</f>
        <v>0</v>
      </c>
      <c r="AQ307" s="132" t="n">
        <f aca="false">CHOOSE($G$3,AB307-AC307,AC307-AB307)</f>
        <v>0</v>
      </c>
      <c r="AR307" s="132" t="n">
        <f aca="false">CHOOSE($G$3,AE307-AF307,AF307-AE307)</f>
        <v>0</v>
      </c>
      <c r="AS307" s="132" t="n">
        <f aca="false">CHOOSE($G$3,AH307-AI307,AI307-AH307)</f>
        <v>0</v>
      </c>
      <c r="AT307" s="148" t="n">
        <f aca="false">AQ307+AR307+AS307</f>
        <v>0</v>
      </c>
      <c r="AU307" s="148"/>
      <c r="AV307" s="133" t="n">
        <f aca="false">AT307+AO307</f>
        <v>0</v>
      </c>
      <c r="AX307" s="133" t="n">
        <f aca="false">AJ307+AG307+AD307</f>
        <v>0</v>
      </c>
      <c r="AY307" s="149"/>
      <c r="AZ307" s="76" t="n">
        <f aca="false">R307*E307</f>
        <v>0</v>
      </c>
    </row>
    <row r="308" customFormat="false" ht="12" hidden="false" customHeight="true" outlineLevel="0" collapsed="false">
      <c r="A308" s="138" t="n">
        <f aca="false">EDATE(A307,1)</f>
        <v>46054</v>
      </c>
      <c r="B308" s="139" t="n">
        <f aca="false">VLOOKUP($A308,Table2,MATCH(I$3,Curves2,0))</f>
        <v>60900</v>
      </c>
      <c r="C308" s="140"/>
      <c r="D308" s="141" t="n">
        <f aca="false">B308+C308</f>
        <v>60900</v>
      </c>
      <c r="E308" s="126" t="n">
        <f aca="false">IF(Y308=0,0,IF(AND(Y308=1,$H$3=1),D308*T308,IF($H$3=2,D308,"N/A")))</f>
        <v>0</v>
      </c>
      <c r="F308" s="126" t="n">
        <f aca="false">E308*X308</f>
        <v>0</v>
      </c>
      <c r="G308" s="142" t="n">
        <f aca="false">VLOOKUP($A308,Table,MATCH(G$4,Curves,0))</f>
        <v>3.987</v>
      </c>
      <c r="H308" s="143" t="n">
        <f aca="false">G308</f>
        <v>3.987</v>
      </c>
      <c r="I308" s="142" t="n">
        <f aca="false">VLOOKUP($A308,Table1,MATCH(I$3,Curves1,0))</f>
        <v>3.7904</v>
      </c>
      <c r="J308" s="142" t="n">
        <f aca="false">VLOOKUP($A308,Table,MATCH(J$4,Curves,0))</f>
        <v>0.011</v>
      </c>
      <c r="K308" s="143" t="n">
        <f aca="false">J308</f>
        <v>0.011</v>
      </c>
      <c r="L308" s="144" t="n">
        <v>0</v>
      </c>
      <c r="M308" s="142" t="n">
        <f aca="false">VLOOKUP($A308,Table,MATCH(M$4,Curves,0))</f>
        <v>0.015</v>
      </c>
      <c r="N308" s="143" t="n">
        <f aca="false">M308</f>
        <v>0.015</v>
      </c>
      <c r="O308" s="144" t="n">
        <v>0</v>
      </c>
      <c r="P308" s="145"/>
      <c r="Q308" s="144" t="n">
        <f aca="false">M308+J308+G308</f>
        <v>4.013</v>
      </c>
      <c r="R308" s="144" t="n">
        <f aca="false">O308+L308+I308</f>
        <v>3.7904</v>
      </c>
      <c r="S308" s="145"/>
      <c r="T308" s="71" t="n">
        <f aca="false">A309-A308</f>
        <v>28</v>
      </c>
      <c r="U308" s="146" t="n">
        <f aca="false">CHOOSE(F$3,A309+24,A308)</f>
        <v>46106</v>
      </c>
      <c r="V308" s="71" t="n">
        <f aca="false">U308-C$3</f>
        <v>9218</v>
      </c>
      <c r="W308" s="142" t="n">
        <f aca="false">VLOOKUP($A308,Table,MATCH(W$4,Curves,0))</f>
        <v>0.058966861357273</v>
      </c>
      <c r="X308" s="147" t="n">
        <f aca="false">1/(1+CHOOSE(F$3,(W309+($K$3/10000))/2,(W308+($K$3/10000))/2))^(2*V308/365.25)</f>
        <v>0.230694654240219</v>
      </c>
      <c r="Y308" s="71" t="n">
        <f aca="false">IF(AND(mthbeg&lt;=A308,mthend&gt;=A308),1,0)</f>
        <v>0</v>
      </c>
      <c r="Z308" s="71" t="n">
        <f aca="false">T308*Y308</f>
        <v>0</v>
      </c>
      <c r="AB308" s="132" t="n">
        <f aca="false">F308*G308</f>
        <v>0</v>
      </c>
      <c r="AC308" s="132" t="n">
        <f aca="false">$F308*H308</f>
        <v>0</v>
      </c>
      <c r="AD308" s="132" t="n">
        <f aca="false">$F308*I308</f>
        <v>0</v>
      </c>
      <c r="AE308" s="132" t="n">
        <f aca="false">$F308*J308</f>
        <v>0</v>
      </c>
      <c r="AF308" s="132" t="n">
        <f aca="false">$F308*K308</f>
        <v>0</v>
      </c>
      <c r="AG308" s="132" t="n">
        <f aca="false">$F308*L308</f>
        <v>0</v>
      </c>
      <c r="AH308" s="132" t="n">
        <f aca="false">$F308*M308</f>
        <v>0</v>
      </c>
      <c r="AI308" s="132" t="n">
        <f aca="false">$F308*N308</f>
        <v>0</v>
      </c>
      <c r="AJ308" s="132" t="n">
        <f aca="false">F308*O308</f>
        <v>0</v>
      </c>
      <c r="AK308" s="137"/>
      <c r="AL308" s="132" t="n">
        <f aca="false">CHOOSE($G$3,AC308-AD308,AD308-AC308)</f>
        <v>0</v>
      </c>
      <c r="AM308" s="132" t="n">
        <f aca="false">CHOOSE($G$3,AF308-AG308,AG308-AF308)</f>
        <v>0</v>
      </c>
      <c r="AN308" s="132" t="n">
        <f aca="false">CHOOSE($G$3,AI308-AJ308,AJ308-AI308)</f>
        <v>0</v>
      </c>
      <c r="AO308" s="148" t="n">
        <f aca="false">SUM(AL308:AN308)</f>
        <v>0</v>
      </c>
      <c r="AQ308" s="132" t="n">
        <f aca="false">CHOOSE($G$3,AB308-AC308,AC308-AB308)</f>
        <v>0</v>
      </c>
      <c r="AR308" s="132" t="n">
        <f aca="false">CHOOSE($G$3,AE308-AF308,AF308-AE308)</f>
        <v>0</v>
      </c>
      <c r="AS308" s="132" t="n">
        <f aca="false">CHOOSE($G$3,AH308-AI308,AI308-AH308)</f>
        <v>0</v>
      </c>
      <c r="AT308" s="148" t="n">
        <f aca="false">AQ308+AR308+AS308</f>
        <v>0</v>
      </c>
      <c r="AU308" s="148"/>
      <c r="AV308" s="133" t="n">
        <f aca="false">AT308+AO308</f>
        <v>0</v>
      </c>
      <c r="AX308" s="133" t="n">
        <f aca="false">AJ308+AG308+AD308</f>
        <v>0</v>
      </c>
      <c r="AY308" s="149"/>
      <c r="AZ308" s="76" t="n">
        <f aca="false">R308*E308</f>
        <v>0</v>
      </c>
    </row>
    <row r="309" customFormat="false" ht="12" hidden="false" customHeight="true" outlineLevel="0" collapsed="false">
      <c r="A309" s="138" t="n">
        <f aca="false">EDATE(A308,1)</f>
        <v>46082</v>
      </c>
      <c r="B309" s="139" t="n">
        <f aca="false">VLOOKUP($A309,Table2,MATCH(I$3,Curves2,0))</f>
        <v>60900</v>
      </c>
      <c r="C309" s="140"/>
      <c r="D309" s="141" t="n">
        <f aca="false">B309+C309</f>
        <v>60900</v>
      </c>
      <c r="E309" s="126" t="n">
        <f aca="false">IF(Y309=0,0,IF(AND(Y309=1,$H$3=1),D309*T309,IF($H$3=2,D309,"N/A")))</f>
        <v>0</v>
      </c>
      <c r="F309" s="126" t="n">
        <f aca="false">E309*X309</f>
        <v>0</v>
      </c>
      <c r="G309" s="142" t="n">
        <f aca="false">VLOOKUP($A309,Table,MATCH(G$4,Curves,0))</f>
        <v>3.987</v>
      </c>
      <c r="H309" s="143" t="n">
        <f aca="false">G309</f>
        <v>3.987</v>
      </c>
      <c r="I309" s="142" t="n">
        <f aca="false">VLOOKUP($A309,Table1,MATCH(I$3,Curves1,0))</f>
        <v>3.7904</v>
      </c>
      <c r="J309" s="142" t="n">
        <f aca="false">VLOOKUP($A309,Table,MATCH(J$4,Curves,0))</f>
        <v>0.011</v>
      </c>
      <c r="K309" s="143" t="n">
        <f aca="false">J309</f>
        <v>0.011</v>
      </c>
      <c r="L309" s="144" t="n">
        <v>0</v>
      </c>
      <c r="M309" s="142" t="n">
        <f aca="false">VLOOKUP($A309,Table,MATCH(M$4,Curves,0))</f>
        <v>0.015</v>
      </c>
      <c r="N309" s="143" t="n">
        <f aca="false">M309</f>
        <v>0.015</v>
      </c>
      <c r="O309" s="144" t="n">
        <v>0</v>
      </c>
      <c r="P309" s="145"/>
      <c r="Q309" s="144" t="n">
        <f aca="false">M309+J309+G309</f>
        <v>4.013</v>
      </c>
      <c r="R309" s="144" t="n">
        <f aca="false">O309+L309+I309</f>
        <v>3.7904</v>
      </c>
      <c r="S309" s="145"/>
      <c r="T309" s="71" t="n">
        <f aca="false">A310-A309</f>
        <v>31</v>
      </c>
      <c r="U309" s="146" t="n">
        <f aca="false">CHOOSE(F$3,A310+24,A309)</f>
        <v>46137</v>
      </c>
      <c r="V309" s="71" t="n">
        <f aca="false">U309-C$3</f>
        <v>9249</v>
      </c>
      <c r="W309" s="142" t="n">
        <f aca="false">VLOOKUP($A309,Table,MATCH(W$4,Curves,0))</f>
        <v>0.058966861357273</v>
      </c>
      <c r="X309" s="147" t="n">
        <f aca="false">1/(1+CHOOSE(F$3,(W310+($K$3/10000))/2,(W309+($K$3/10000))/2))^(2*V309/365.25)</f>
        <v>0.22955958737527</v>
      </c>
      <c r="Y309" s="71" t="n">
        <f aca="false">IF(AND(mthbeg&lt;=A309,mthend&gt;=A309),1,0)</f>
        <v>0</v>
      </c>
      <c r="Z309" s="71" t="n">
        <f aca="false">T309*Y309</f>
        <v>0</v>
      </c>
      <c r="AB309" s="132" t="n">
        <f aca="false">F309*G309</f>
        <v>0</v>
      </c>
      <c r="AC309" s="132" t="n">
        <f aca="false">$F309*H309</f>
        <v>0</v>
      </c>
      <c r="AD309" s="132" t="n">
        <f aca="false">$F309*I309</f>
        <v>0</v>
      </c>
      <c r="AE309" s="132" t="n">
        <f aca="false">$F309*J309</f>
        <v>0</v>
      </c>
      <c r="AF309" s="132" t="n">
        <f aca="false">$F309*K309</f>
        <v>0</v>
      </c>
      <c r="AG309" s="132" t="n">
        <f aca="false">$F309*L309</f>
        <v>0</v>
      </c>
      <c r="AH309" s="132" t="n">
        <f aca="false">$F309*M309</f>
        <v>0</v>
      </c>
      <c r="AI309" s="132" t="n">
        <f aca="false">$F309*N309</f>
        <v>0</v>
      </c>
      <c r="AJ309" s="132" t="n">
        <f aca="false">F309*O309</f>
        <v>0</v>
      </c>
      <c r="AK309" s="137"/>
      <c r="AL309" s="132" t="n">
        <f aca="false">CHOOSE($G$3,AC309-AD309,AD309-AC309)</f>
        <v>0</v>
      </c>
      <c r="AM309" s="132" t="n">
        <f aca="false">CHOOSE($G$3,AF309-AG309,AG309-AF309)</f>
        <v>0</v>
      </c>
      <c r="AN309" s="132" t="n">
        <f aca="false">CHOOSE($G$3,AI309-AJ309,AJ309-AI309)</f>
        <v>0</v>
      </c>
      <c r="AO309" s="148" t="n">
        <f aca="false">SUM(AL309:AN309)</f>
        <v>0</v>
      </c>
      <c r="AQ309" s="132" t="n">
        <f aca="false">CHOOSE($G$3,AB309-AC309,AC309-AB309)</f>
        <v>0</v>
      </c>
      <c r="AR309" s="132" t="n">
        <f aca="false">CHOOSE($G$3,AE309-AF309,AF309-AE309)</f>
        <v>0</v>
      </c>
      <c r="AS309" s="132" t="n">
        <f aca="false">CHOOSE($G$3,AH309-AI309,AI309-AH309)</f>
        <v>0</v>
      </c>
      <c r="AT309" s="148" t="n">
        <f aca="false">AQ309+AR309+AS309</f>
        <v>0</v>
      </c>
      <c r="AU309" s="148"/>
      <c r="AV309" s="133" t="n">
        <f aca="false">AT309+AO309</f>
        <v>0</v>
      </c>
      <c r="AX309" s="133" t="n">
        <f aca="false">AJ309+AG309+AD309</f>
        <v>0</v>
      </c>
      <c r="AY309" s="149"/>
      <c r="AZ309" s="76" t="n">
        <f aca="false">R309*E309</f>
        <v>0</v>
      </c>
    </row>
    <row r="310" customFormat="false" ht="12" hidden="false" customHeight="true" outlineLevel="0" collapsed="false">
      <c r="A310" s="138" t="n">
        <f aca="false">EDATE(A309,1)</f>
        <v>46113</v>
      </c>
      <c r="B310" s="139" t="n">
        <f aca="false">VLOOKUP($A310,Table2,MATCH(I$3,Curves2,0))</f>
        <v>60900</v>
      </c>
      <c r="C310" s="140"/>
      <c r="D310" s="141" t="n">
        <f aca="false">B310+C310</f>
        <v>60900</v>
      </c>
      <c r="E310" s="126" t="n">
        <f aca="false">IF(Y310=0,0,IF(AND(Y310=1,$H$3=1),D310*T310,IF($H$3=2,D310,"N/A")))</f>
        <v>0</v>
      </c>
      <c r="F310" s="126" t="n">
        <f aca="false">E310*X310</f>
        <v>0</v>
      </c>
      <c r="G310" s="142" t="n">
        <f aca="false">VLOOKUP($A310,Table,MATCH(G$4,Curves,0))</f>
        <v>3.987</v>
      </c>
      <c r="H310" s="143" t="n">
        <f aca="false">G310</f>
        <v>3.987</v>
      </c>
      <c r="I310" s="142" t="n">
        <f aca="false">VLOOKUP($A310,Table1,MATCH(I$3,Curves1,0))</f>
        <v>3.7904</v>
      </c>
      <c r="J310" s="142" t="n">
        <f aca="false">VLOOKUP($A310,Table,MATCH(J$4,Curves,0))</f>
        <v>0.011</v>
      </c>
      <c r="K310" s="143" t="n">
        <f aca="false">J310</f>
        <v>0.011</v>
      </c>
      <c r="L310" s="144" t="n">
        <v>0</v>
      </c>
      <c r="M310" s="142" t="n">
        <f aca="false">VLOOKUP($A310,Table,MATCH(M$4,Curves,0))</f>
        <v>0.015</v>
      </c>
      <c r="N310" s="143" t="n">
        <f aca="false">M310</f>
        <v>0.015</v>
      </c>
      <c r="O310" s="144" t="n">
        <v>0</v>
      </c>
      <c r="P310" s="145"/>
      <c r="Q310" s="144" t="n">
        <f aca="false">M310+J310+G310</f>
        <v>4.013</v>
      </c>
      <c r="R310" s="144" t="n">
        <f aca="false">O310+L310+I310</f>
        <v>3.7904</v>
      </c>
      <c r="S310" s="145"/>
      <c r="T310" s="71" t="n">
        <f aca="false">A311-A310</f>
        <v>30</v>
      </c>
      <c r="U310" s="146" t="n">
        <f aca="false">CHOOSE(F$3,A311+24,A310)</f>
        <v>46167</v>
      </c>
      <c r="V310" s="71" t="n">
        <f aca="false">U310-C$3</f>
        <v>9279</v>
      </c>
      <c r="W310" s="142" t="n">
        <f aca="false">VLOOKUP($A310,Table,MATCH(W$4,Curves,0))</f>
        <v>0.058966861357273</v>
      </c>
      <c r="X310" s="147" t="n">
        <f aca="false">1/(1+CHOOSE(F$3,(W311+($K$3/10000))/2,(W310+($K$3/10000))/2))^(2*V310/365.25)</f>
        <v>0.228466453297904</v>
      </c>
      <c r="Y310" s="71" t="n">
        <f aca="false">IF(AND(mthbeg&lt;=A310,mthend&gt;=A310),1,0)</f>
        <v>0</v>
      </c>
      <c r="Z310" s="71" t="n">
        <f aca="false">T310*Y310</f>
        <v>0</v>
      </c>
      <c r="AB310" s="132" t="n">
        <f aca="false">F310*G310</f>
        <v>0</v>
      </c>
      <c r="AC310" s="132" t="n">
        <f aca="false">$F310*H310</f>
        <v>0</v>
      </c>
      <c r="AD310" s="132" t="n">
        <f aca="false">$F310*I310</f>
        <v>0</v>
      </c>
      <c r="AE310" s="132" t="n">
        <f aca="false">$F310*J310</f>
        <v>0</v>
      </c>
      <c r="AF310" s="132" t="n">
        <f aca="false">$F310*K310</f>
        <v>0</v>
      </c>
      <c r="AG310" s="132" t="n">
        <f aca="false">$F310*L310</f>
        <v>0</v>
      </c>
      <c r="AH310" s="132" t="n">
        <f aca="false">$F310*M310</f>
        <v>0</v>
      </c>
      <c r="AI310" s="132" t="n">
        <f aca="false">$F310*N310</f>
        <v>0</v>
      </c>
      <c r="AJ310" s="132" t="n">
        <f aca="false">F310*O310</f>
        <v>0</v>
      </c>
      <c r="AK310" s="137"/>
      <c r="AL310" s="132" t="n">
        <f aca="false">CHOOSE($G$3,AC310-AD310,AD310-AC310)</f>
        <v>0</v>
      </c>
      <c r="AM310" s="132" t="n">
        <f aca="false">CHOOSE($G$3,AF310-AG310,AG310-AF310)</f>
        <v>0</v>
      </c>
      <c r="AN310" s="132" t="n">
        <f aca="false">CHOOSE($G$3,AI310-AJ310,AJ310-AI310)</f>
        <v>0</v>
      </c>
      <c r="AO310" s="148" t="n">
        <f aca="false">SUM(AL310:AN310)</f>
        <v>0</v>
      </c>
      <c r="AQ310" s="132" t="n">
        <f aca="false">CHOOSE($G$3,AB310-AC310,AC310-AB310)</f>
        <v>0</v>
      </c>
      <c r="AR310" s="132" t="n">
        <f aca="false">CHOOSE($G$3,AE310-AF310,AF310-AE310)</f>
        <v>0</v>
      </c>
      <c r="AS310" s="132" t="n">
        <f aca="false">CHOOSE($G$3,AH310-AI310,AI310-AH310)</f>
        <v>0</v>
      </c>
      <c r="AT310" s="148" t="n">
        <f aca="false">AQ310+AR310+AS310</f>
        <v>0</v>
      </c>
      <c r="AU310" s="148"/>
      <c r="AV310" s="133" t="n">
        <f aca="false">AT310+AO310</f>
        <v>0</v>
      </c>
      <c r="AX310" s="133" t="n">
        <f aca="false">AJ310+AG310+AD310</f>
        <v>0</v>
      </c>
      <c r="AY310" s="149"/>
      <c r="AZ310" s="76" t="n">
        <f aca="false">R310*E310</f>
        <v>0</v>
      </c>
    </row>
    <row r="311" customFormat="false" ht="12" hidden="false" customHeight="true" outlineLevel="0" collapsed="false">
      <c r="A311" s="138" t="n">
        <f aca="false">EDATE(A310,1)</f>
        <v>46143</v>
      </c>
      <c r="B311" s="139" t="n">
        <f aca="false">VLOOKUP($A311,Table2,MATCH(I$3,Curves2,0))</f>
        <v>60900</v>
      </c>
      <c r="C311" s="140"/>
      <c r="D311" s="141" t="n">
        <f aca="false">B311+C311</f>
        <v>60900</v>
      </c>
      <c r="E311" s="126" t="n">
        <f aca="false">IF(Y311=0,0,IF(AND(Y311=1,$H$3=1),D311*T311,IF($H$3=2,D311,"N/A")))</f>
        <v>0</v>
      </c>
      <c r="F311" s="126" t="n">
        <f aca="false">E311*X311</f>
        <v>0</v>
      </c>
      <c r="G311" s="142" t="n">
        <f aca="false">VLOOKUP($A311,Table,MATCH(G$4,Curves,0))</f>
        <v>3.987</v>
      </c>
      <c r="H311" s="143" t="n">
        <f aca="false">G311</f>
        <v>3.987</v>
      </c>
      <c r="I311" s="142" t="n">
        <f aca="false">VLOOKUP($A311,Table1,MATCH(I$3,Curves1,0))</f>
        <v>3.7904</v>
      </c>
      <c r="J311" s="142" t="n">
        <f aca="false">VLOOKUP($A311,Table,MATCH(J$4,Curves,0))</f>
        <v>0.011</v>
      </c>
      <c r="K311" s="143" t="n">
        <f aca="false">J311</f>
        <v>0.011</v>
      </c>
      <c r="L311" s="144" t="n">
        <v>0</v>
      </c>
      <c r="M311" s="142" t="n">
        <f aca="false">VLOOKUP($A311,Table,MATCH(M$4,Curves,0))</f>
        <v>0.015</v>
      </c>
      <c r="N311" s="143" t="n">
        <f aca="false">M311</f>
        <v>0.015</v>
      </c>
      <c r="O311" s="144" t="n">
        <v>0</v>
      </c>
      <c r="P311" s="145"/>
      <c r="Q311" s="144" t="n">
        <f aca="false">M311+J311+G311</f>
        <v>4.013</v>
      </c>
      <c r="R311" s="144" t="n">
        <f aca="false">O311+L311+I311</f>
        <v>3.7904</v>
      </c>
      <c r="S311" s="145"/>
      <c r="T311" s="71" t="n">
        <f aca="false">A312-A311</f>
        <v>31</v>
      </c>
      <c r="U311" s="146" t="n">
        <f aca="false">CHOOSE(F$3,A312+24,A311)</f>
        <v>46198</v>
      </c>
      <c r="V311" s="71" t="n">
        <f aca="false">U311-C$3</f>
        <v>9310</v>
      </c>
      <c r="W311" s="142" t="n">
        <f aca="false">VLOOKUP($A311,Table,MATCH(W$4,Curves,0))</f>
        <v>0.058966861357273</v>
      </c>
      <c r="X311" s="147" t="n">
        <f aca="false">1/(1+CHOOSE(F$3,(W312+($K$3/10000))/2,(W311+($K$3/10000))/2))^(2*V311/365.25)</f>
        <v>0.22734234965647</v>
      </c>
      <c r="Y311" s="71" t="n">
        <f aca="false">IF(AND(mthbeg&lt;=A311,mthend&gt;=A311),1,0)</f>
        <v>0</v>
      </c>
      <c r="Z311" s="71" t="n">
        <f aca="false">T311*Y311</f>
        <v>0</v>
      </c>
      <c r="AB311" s="132" t="n">
        <f aca="false">F311*G311</f>
        <v>0</v>
      </c>
      <c r="AC311" s="132" t="n">
        <f aca="false">$F311*H311</f>
        <v>0</v>
      </c>
      <c r="AD311" s="132" t="n">
        <f aca="false">$F311*I311</f>
        <v>0</v>
      </c>
      <c r="AE311" s="132" t="n">
        <f aca="false">$F311*J311</f>
        <v>0</v>
      </c>
      <c r="AF311" s="132" t="n">
        <f aca="false">$F311*K311</f>
        <v>0</v>
      </c>
      <c r="AG311" s="132" t="n">
        <f aca="false">$F311*L311</f>
        <v>0</v>
      </c>
      <c r="AH311" s="132" t="n">
        <f aca="false">$F311*M311</f>
        <v>0</v>
      </c>
      <c r="AI311" s="132" t="n">
        <f aca="false">$F311*N311</f>
        <v>0</v>
      </c>
      <c r="AJ311" s="132" t="n">
        <f aca="false">F311*O311</f>
        <v>0</v>
      </c>
      <c r="AK311" s="137"/>
      <c r="AL311" s="132" t="n">
        <f aca="false">CHOOSE($G$3,AC311-AD311,AD311-AC311)</f>
        <v>0</v>
      </c>
      <c r="AM311" s="132" t="n">
        <f aca="false">CHOOSE($G$3,AF311-AG311,AG311-AF311)</f>
        <v>0</v>
      </c>
      <c r="AN311" s="132" t="n">
        <f aca="false">CHOOSE($G$3,AI311-AJ311,AJ311-AI311)</f>
        <v>0</v>
      </c>
      <c r="AO311" s="148" t="n">
        <f aca="false">SUM(AL311:AN311)</f>
        <v>0</v>
      </c>
      <c r="AQ311" s="132" t="n">
        <f aca="false">CHOOSE($G$3,AB311-AC311,AC311-AB311)</f>
        <v>0</v>
      </c>
      <c r="AR311" s="132" t="n">
        <f aca="false">CHOOSE($G$3,AE311-AF311,AF311-AE311)</f>
        <v>0</v>
      </c>
      <c r="AS311" s="132" t="n">
        <f aca="false">CHOOSE($G$3,AH311-AI311,AI311-AH311)</f>
        <v>0</v>
      </c>
      <c r="AT311" s="148" t="n">
        <f aca="false">AQ311+AR311+AS311</f>
        <v>0</v>
      </c>
      <c r="AU311" s="148"/>
      <c r="AV311" s="133" t="n">
        <f aca="false">AT311+AO311</f>
        <v>0</v>
      </c>
      <c r="AX311" s="133" t="n">
        <f aca="false">AJ311+AG311+AD311</f>
        <v>0</v>
      </c>
      <c r="AY311" s="149"/>
      <c r="AZ311" s="76" t="n">
        <f aca="false">R311*E311</f>
        <v>0</v>
      </c>
    </row>
    <row r="312" customFormat="false" ht="12" hidden="false" customHeight="true" outlineLevel="0" collapsed="false">
      <c r="A312" s="138" t="n">
        <f aca="false">EDATE(A311,1)</f>
        <v>46174</v>
      </c>
      <c r="B312" s="139" t="n">
        <f aca="false">VLOOKUP($A312,Table2,MATCH(I$3,Curves2,0))</f>
        <v>60900</v>
      </c>
      <c r="C312" s="140"/>
      <c r="D312" s="141" t="n">
        <f aca="false">B312+C312</f>
        <v>60900</v>
      </c>
      <c r="E312" s="126" t="n">
        <f aca="false">IF(Y312=0,0,IF(AND(Y312=1,$H$3=1),D312*T312,IF($H$3=2,D312,"N/A")))</f>
        <v>0</v>
      </c>
      <c r="F312" s="126" t="n">
        <f aca="false">E312*X312</f>
        <v>0</v>
      </c>
      <c r="G312" s="142" t="n">
        <f aca="false">VLOOKUP($A312,Table,MATCH(G$4,Curves,0))</f>
        <v>3.987</v>
      </c>
      <c r="H312" s="143" t="n">
        <f aca="false">G312</f>
        <v>3.987</v>
      </c>
      <c r="I312" s="142" t="n">
        <f aca="false">VLOOKUP($A312,Table1,MATCH(I$3,Curves1,0))</f>
        <v>3.7904</v>
      </c>
      <c r="J312" s="142" t="n">
        <f aca="false">VLOOKUP($A312,Table,MATCH(J$4,Curves,0))</f>
        <v>0.011</v>
      </c>
      <c r="K312" s="143" t="n">
        <f aca="false">J312</f>
        <v>0.011</v>
      </c>
      <c r="L312" s="144" t="n">
        <v>0</v>
      </c>
      <c r="M312" s="142" t="n">
        <f aca="false">VLOOKUP($A312,Table,MATCH(M$4,Curves,0))</f>
        <v>0.015</v>
      </c>
      <c r="N312" s="143" t="n">
        <f aca="false">M312</f>
        <v>0.015</v>
      </c>
      <c r="O312" s="144" t="n">
        <v>0</v>
      </c>
      <c r="P312" s="145"/>
      <c r="Q312" s="144" t="n">
        <f aca="false">M312+J312+G312</f>
        <v>4.013</v>
      </c>
      <c r="R312" s="144" t="n">
        <f aca="false">O312+L312+I312</f>
        <v>3.7904</v>
      </c>
      <c r="S312" s="145"/>
      <c r="T312" s="71" t="n">
        <f aca="false">A313-A312</f>
        <v>30</v>
      </c>
      <c r="U312" s="146" t="n">
        <f aca="false">CHOOSE(F$3,A313+24,A312)</f>
        <v>46228</v>
      </c>
      <c r="V312" s="71" t="n">
        <f aca="false">U312-C$3</f>
        <v>9340</v>
      </c>
      <c r="W312" s="142" t="n">
        <f aca="false">VLOOKUP($A312,Table,MATCH(W$4,Curves,0))</f>
        <v>0.058966861357273</v>
      </c>
      <c r="X312" s="147" t="n">
        <f aca="false">1/(1+CHOOSE(F$3,(W313+($K$3/10000))/2,(W312+($K$3/10000))/2))^(2*V312/365.25)</f>
        <v>0.226259773788133</v>
      </c>
      <c r="Y312" s="71" t="n">
        <f aca="false">IF(AND(mthbeg&lt;=A312,mthend&gt;=A312),1,0)</f>
        <v>0</v>
      </c>
      <c r="Z312" s="71" t="n">
        <f aca="false">T312*Y312</f>
        <v>0</v>
      </c>
      <c r="AB312" s="132" t="n">
        <f aca="false">F312*G312</f>
        <v>0</v>
      </c>
      <c r="AC312" s="132" t="n">
        <f aca="false">$F312*H312</f>
        <v>0</v>
      </c>
      <c r="AD312" s="132" t="n">
        <f aca="false">$F312*I312</f>
        <v>0</v>
      </c>
      <c r="AE312" s="132" t="n">
        <f aca="false">$F312*J312</f>
        <v>0</v>
      </c>
      <c r="AF312" s="132" t="n">
        <f aca="false">$F312*K312</f>
        <v>0</v>
      </c>
      <c r="AG312" s="132" t="n">
        <f aca="false">$F312*L312</f>
        <v>0</v>
      </c>
      <c r="AH312" s="132" t="n">
        <f aca="false">$F312*M312</f>
        <v>0</v>
      </c>
      <c r="AI312" s="132" t="n">
        <f aca="false">$F312*N312</f>
        <v>0</v>
      </c>
      <c r="AJ312" s="132" t="n">
        <f aca="false">F312*O312</f>
        <v>0</v>
      </c>
      <c r="AK312" s="137"/>
      <c r="AL312" s="132" t="n">
        <f aca="false">CHOOSE($G$3,AC312-AD312,AD312-AC312)</f>
        <v>0</v>
      </c>
      <c r="AM312" s="132" t="n">
        <f aca="false">CHOOSE($G$3,AF312-AG312,AG312-AF312)</f>
        <v>0</v>
      </c>
      <c r="AN312" s="132" t="n">
        <f aca="false">CHOOSE($G$3,AI312-AJ312,AJ312-AI312)</f>
        <v>0</v>
      </c>
      <c r="AO312" s="148" t="n">
        <f aca="false">SUM(AL312:AN312)</f>
        <v>0</v>
      </c>
      <c r="AQ312" s="132" t="n">
        <f aca="false">CHOOSE($G$3,AB312-AC312,AC312-AB312)</f>
        <v>0</v>
      </c>
      <c r="AR312" s="132" t="n">
        <f aca="false">CHOOSE($G$3,AE312-AF312,AF312-AE312)</f>
        <v>0</v>
      </c>
      <c r="AS312" s="132" t="n">
        <f aca="false">CHOOSE($G$3,AH312-AI312,AI312-AH312)</f>
        <v>0</v>
      </c>
      <c r="AT312" s="148" t="n">
        <f aca="false">AQ312+AR312+AS312</f>
        <v>0</v>
      </c>
      <c r="AU312" s="148"/>
      <c r="AV312" s="133" t="n">
        <f aca="false">AT312+AO312</f>
        <v>0</v>
      </c>
      <c r="AX312" s="133" t="n">
        <f aca="false">AJ312+AG312+AD312</f>
        <v>0</v>
      </c>
      <c r="AY312" s="149"/>
      <c r="AZ312" s="76" t="n">
        <f aca="false">R312*E312</f>
        <v>0</v>
      </c>
    </row>
    <row r="313" customFormat="false" ht="12" hidden="false" customHeight="true" outlineLevel="0" collapsed="false">
      <c r="A313" s="138" t="n">
        <f aca="false">EDATE(A312,1)</f>
        <v>46204</v>
      </c>
      <c r="B313" s="139" t="n">
        <f aca="false">VLOOKUP($A313,Table2,MATCH(I$3,Curves2,0))</f>
        <v>60900</v>
      </c>
      <c r="C313" s="140"/>
      <c r="D313" s="141" t="n">
        <f aca="false">B313+C313</f>
        <v>60900</v>
      </c>
      <c r="E313" s="126" t="n">
        <f aca="false">IF(Y313=0,0,IF(AND(Y313=1,$H$3=1),D313*T313,IF($H$3=2,D313,"N/A")))</f>
        <v>0</v>
      </c>
      <c r="F313" s="126" t="n">
        <f aca="false">E313*X313</f>
        <v>0</v>
      </c>
      <c r="G313" s="142" t="n">
        <f aca="false">VLOOKUP($A313,Table,MATCH(G$4,Curves,0))</f>
        <v>3.987</v>
      </c>
      <c r="H313" s="143" t="n">
        <f aca="false">G313</f>
        <v>3.987</v>
      </c>
      <c r="I313" s="142" t="n">
        <f aca="false">VLOOKUP($A313,Table1,MATCH(I$3,Curves1,0))</f>
        <v>3.7904</v>
      </c>
      <c r="J313" s="142" t="n">
        <f aca="false">VLOOKUP($A313,Table,MATCH(J$4,Curves,0))</f>
        <v>0.011</v>
      </c>
      <c r="K313" s="143" t="n">
        <f aca="false">J313</f>
        <v>0.011</v>
      </c>
      <c r="L313" s="144" t="n">
        <v>0</v>
      </c>
      <c r="M313" s="142" t="n">
        <f aca="false">VLOOKUP($A313,Table,MATCH(M$4,Curves,0))</f>
        <v>0.015</v>
      </c>
      <c r="N313" s="143" t="n">
        <f aca="false">M313</f>
        <v>0.015</v>
      </c>
      <c r="O313" s="144" t="n">
        <v>0</v>
      </c>
      <c r="P313" s="145"/>
      <c r="Q313" s="144" t="n">
        <f aca="false">M313+J313+G313</f>
        <v>4.013</v>
      </c>
      <c r="R313" s="144" t="n">
        <f aca="false">O313+L313+I313</f>
        <v>3.7904</v>
      </c>
      <c r="S313" s="145"/>
      <c r="T313" s="71" t="n">
        <f aca="false">A314-A313</f>
        <v>31</v>
      </c>
      <c r="U313" s="146" t="n">
        <f aca="false">CHOOSE(F$3,A314+24,A313)</f>
        <v>46259</v>
      </c>
      <c r="V313" s="71" t="n">
        <f aca="false">U313-C$3</f>
        <v>9371</v>
      </c>
      <c r="W313" s="142" t="n">
        <f aca="false">VLOOKUP($A313,Table,MATCH(W$4,Curves,0))</f>
        <v>0.058966861357273</v>
      </c>
      <c r="X313" s="147" t="n">
        <f aca="false">1/(1+CHOOSE(F$3,(W314+($K$3/10000))/2,(W313+($K$3/10000))/2))^(2*V313/365.25)</f>
        <v>0.225146527480179</v>
      </c>
      <c r="Y313" s="71" t="n">
        <f aca="false">IF(AND(mthbeg&lt;=A313,mthend&gt;=A313),1,0)</f>
        <v>0</v>
      </c>
      <c r="Z313" s="71" t="n">
        <f aca="false">T313*Y313</f>
        <v>0</v>
      </c>
      <c r="AB313" s="132" t="n">
        <f aca="false">F313*G313</f>
        <v>0</v>
      </c>
      <c r="AC313" s="132" t="n">
        <f aca="false">$F313*H313</f>
        <v>0</v>
      </c>
      <c r="AD313" s="132" t="n">
        <f aca="false">$F313*I313</f>
        <v>0</v>
      </c>
      <c r="AE313" s="132" t="n">
        <f aca="false">$F313*J313</f>
        <v>0</v>
      </c>
      <c r="AF313" s="132" t="n">
        <f aca="false">$F313*K313</f>
        <v>0</v>
      </c>
      <c r="AG313" s="132" t="n">
        <f aca="false">$F313*L313</f>
        <v>0</v>
      </c>
      <c r="AH313" s="132" t="n">
        <f aca="false">$F313*M313</f>
        <v>0</v>
      </c>
      <c r="AI313" s="132" t="n">
        <f aca="false">$F313*N313</f>
        <v>0</v>
      </c>
      <c r="AJ313" s="132" t="n">
        <f aca="false">F313*O313</f>
        <v>0</v>
      </c>
      <c r="AK313" s="137"/>
      <c r="AL313" s="132" t="n">
        <f aca="false">CHOOSE($G$3,AC313-AD313,AD313-AC313)</f>
        <v>0</v>
      </c>
      <c r="AM313" s="132" t="n">
        <f aca="false">CHOOSE($G$3,AF313-AG313,AG313-AF313)</f>
        <v>0</v>
      </c>
      <c r="AN313" s="132" t="n">
        <f aca="false">CHOOSE($G$3,AI313-AJ313,AJ313-AI313)</f>
        <v>0</v>
      </c>
      <c r="AO313" s="148" t="n">
        <f aca="false">SUM(AL313:AN313)</f>
        <v>0</v>
      </c>
      <c r="AQ313" s="132" t="n">
        <f aca="false">CHOOSE($G$3,AB313-AC313,AC313-AB313)</f>
        <v>0</v>
      </c>
      <c r="AR313" s="132" t="n">
        <f aca="false">CHOOSE($G$3,AE313-AF313,AF313-AE313)</f>
        <v>0</v>
      </c>
      <c r="AS313" s="132" t="n">
        <f aca="false">CHOOSE($G$3,AH313-AI313,AI313-AH313)</f>
        <v>0</v>
      </c>
      <c r="AT313" s="148" t="n">
        <f aca="false">AQ313+AR313+AS313</f>
        <v>0</v>
      </c>
      <c r="AU313" s="148"/>
      <c r="AV313" s="133" t="n">
        <f aca="false">AT313+AO313</f>
        <v>0</v>
      </c>
      <c r="AX313" s="133" t="n">
        <f aca="false">AJ313+AG313+AD313</f>
        <v>0</v>
      </c>
      <c r="AY313" s="149"/>
      <c r="AZ313" s="76" t="n">
        <f aca="false">R313*E313</f>
        <v>0</v>
      </c>
    </row>
    <row r="314" customFormat="false" ht="12" hidden="false" customHeight="true" outlineLevel="0" collapsed="false">
      <c r="A314" s="138" t="n">
        <f aca="false">EDATE(A313,1)</f>
        <v>46235</v>
      </c>
      <c r="B314" s="139" t="n">
        <f aca="false">VLOOKUP($A314,Table2,MATCH(I$3,Curves2,0))</f>
        <v>60900</v>
      </c>
      <c r="C314" s="140"/>
      <c r="D314" s="141" t="n">
        <f aca="false">B314+C314</f>
        <v>60900</v>
      </c>
      <c r="E314" s="126" t="n">
        <f aca="false">IF(Y314=0,0,IF(AND(Y314=1,$H$3=1),D314*T314,IF($H$3=2,D314,"N/A")))</f>
        <v>0</v>
      </c>
      <c r="F314" s="126" t="n">
        <f aca="false">E314*X314</f>
        <v>0</v>
      </c>
      <c r="G314" s="142" t="n">
        <f aca="false">VLOOKUP($A314,Table,MATCH(G$4,Curves,0))</f>
        <v>3.987</v>
      </c>
      <c r="H314" s="143" t="n">
        <f aca="false">G314</f>
        <v>3.987</v>
      </c>
      <c r="I314" s="142" t="n">
        <f aca="false">VLOOKUP($A314,Table1,MATCH(I$3,Curves1,0))</f>
        <v>3.7904</v>
      </c>
      <c r="J314" s="142" t="n">
        <f aca="false">VLOOKUP($A314,Table,MATCH(J$4,Curves,0))</f>
        <v>0.011</v>
      </c>
      <c r="K314" s="143" t="n">
        <f aca="false">J314</f>
        <v>0.011</v>
      </c>
      <c r="L314" s="144" t="n">
        <v>0</v>
      </c>
      <c r="M314" s="142" t="n">
        <f aca="false">VLOOKUP($A314,Table,MATCH(M$4,Curves,0))</f>
        <v>0.015</v>
      </c>
      <c r="N314" s="143" t="n">
        <f aca="false">M314</f>
        <v>0.015</v>
      </c>
      <c r="O314" s="144" t="n">
        <v>0</v>
      </c>
      <c r="P314" s="145"/>
      <c r="Q314" s="144" t="n">
        <f aca="false">M314+J314+G314</f>
        <v>4.013</v>
      </c>
      <c r="R314" s="144" t="n">
        <f aca="false">O314+L314+I314</f>
        <v>3.7904</v>
      </c>
      <c r="S314" s="145"/>
      <c r="T314" s="71" t="n">
        <f aca="false">A315-A314</f>
        <v>31</v>
      </c>
      <c r="U314" s="146" t="n">
        <f aca="false">CHOOSE(F$3,A315+24,A314)</f>
        <v>46290</v>
      </c>
      <c r="V314" s="71" t="n">
        <f aca="false">U314-C$3</f>
        <v>9402</v>
      </c>
      <c r="W314" s="142" t="n">
        <f aca="false">VLOOKUP($A314,Table,MATCH(W$4,Curves,0))</f>
        <v>0.058966861357273</v>
      </c>
      <c r="X314" s="147" t="n">
        <f aca="false">1/(1+CHOOSE(F$3,(W315+($K$3/10000))/2,(W314+($K$3/10000))/2))^(2*V314/365.25)</f>
        <v>0.224038758581317</v>
      </c>
      <c r="Y314" s="71" t="n">
        <f aca="false">IF(AND(mthbeg&lt;=A314,mthend&gt;=A314),1,0)</f>
        <v>0</v>
      </c>
      <c r="Z314" s="71" t="n">
        <f aca="false">T314*Y314</f>
        <v>0</v>
      </c>
      <c r="AB314" s="132" t="n">
        <f aca="false">F314*G314</f>
        <v>0</v>
      </c>
      <c r="AC314" s="132" t="n">
        <f aca="false">$F314*H314</f>
        <v>0</v>
      </c>
      <c r="AD314" s="132" t="n">
        <f aca="false">$F314*I314</f>
        <v>0</v>
      </c>
      <c r="AE314" s="132" t="n">
        <f aca="false">$F314*J314</f>
        <v>0</v>
      </c>
      <c r="AF314" s="132" t="n">
        <f aca="false">$F314*K314</f>
        <v>0</v>
      </c>
      <c r="AG314" s="132" t="n">
        <f aca="false">$F314*L314</f>
        <v>0</v>
      </c>
      <c r="AH314" s="132" t="n">
        <f aca="false">$F314*M314</f>
        <v>0</v>
      </c>
      <c r="AI314" s="132" t="n">
        <f aca="false">$F314*N314</f>
        <v>0</v>
      </c>
      <c r="AJ314" s="132" t="n">
        <f aca="false">F314*O314</f>
        <v>0</v>
      </c>
      <c r="AK314" s="137"/>
      <c r="AL314" s="132" t="n">
        <f aca="false">CHOOSE($G$3,AC314-AD314,AD314-AC314)</f>
        <v>0</v>
      </c>
      <c r="AM314" s="132" t="n">
        <f aca="false">CHOOSE($G$3,AF314-AG314,AG314-AF314)</f>
        <v>0</v>
      </c>
      <c r="AN314" s="132" t="n">
        <f aca="false">CHOOSE($G$3,AI314-AJ314,AJ314-AI314)</f>
        <v>0</v>
      </c>
      <c r="AO314" s="148" t="n">
        <f aca="false">SUM(AL314:AN314)</f>
        <v>0</v>
      </c>
      <c r="AQ314" s="132" t="n">
        <f aca="false">CHOOSE($G$3,AB314-AC314,AC314-AB314)</f>
        <v>0</v>
      </c>
      <c r="AR314" s="132" t="n">
        <f aca="false">CHOOSE($G$3,AE314-AF314,AF314-AE314)</f>
        <v>0</v>
      </c>
      <c r="AS314" s="132" t="n">
        <f aca="false">CHOOSE($G$3,AH314-AI314,AI314-AH314)</f>
        <v>0</v>
      </c>
      <c r="AT314" s="148" t="n">
        <f aca="false">AQ314+AR314+AS314</f>
        <v>0</v>
      </c>
      <c r="AU314" s="148"/>
      <c r="AV314" s="133" t="n">
        <f aca="false">AT314+AO314</f>
        <v>0</v>
      </c>
      <c r="AX314" s="133" t="n">
        <f aca="false">AJ314+AG314+AD314</f>
        <v>0</v>
      </c>
      <c r="AY314" s="149"/>
      <c r="AZ314" s="76" t="n">
        <f aca="false">R314*E314</f>
        <v>0</v>
      </c>
    </row>
    <row r="315" customFormat="false" ht="12" hidden="false" customHeight="true" outlineLevel="0" collapsed="false">
      <c r="A315" s="138" t="n">
        <f aca="false">EDATE(A314,1)</f>
        <v>46266</v>
      </c>
      <c r="B315" s="139" t="n">
        <f aca="false">VLOOKUP($A315,Table2,MATCH(I$3,Curves2,0))</f>
        <v>60900</v>
      </c>
      <c r="C315" s="140"/>
      <c r="D315" s="141" t="n">
        <f aca="false">B315+C315</f>
        <v>60900</v>
      </c>
      <c r="E315" s="126" t="n">
        <f aca="false">IF(Y315=0,0,IF(AND(Y315=1,$H$3=1),D315*T315,IF($H$3=2,D315,"N/A")))</f>
        <v>0</v>
      </c>
      <c r="F315" s="126" t="n">
        <f aca="false">E315*X315</f>
        <v>0</v>
      </c>
      <c r="G315" s="142" t="n">
        <f aca="false">VLOOKUP($A315,Table,MATCH(G$4,Curves,0))</f>
        <v>3.987</v>
      </c>
      <c r="H315" s="143" t="n">
        <f aca="false">G315</f>
        <v>3.987</v>
      </c>
      <c r="I315" s="142" t="n">
        <f aca="false">VLOOKUP($A315,Table1,MATCH(I$3,Curves1,0))</f>
        <v>3.7904</v>
      </c>
      <c r="J315" s="142" t="n">
        <f aca="false">VLOOKUP($A315,Table,MATCH(J$4,Curves,0))</f>
        <v>0.011</v>
      </c>
      <c r="K315" s="143" t="n">
        <f aca="false">J315</f>
        <v>0.011</v>
      </c>
      <c r="L315" s="144" t="n">
        <v>0</v>
      </c>
      <c r="M315" s="142" t="n">
        <f aca="false">VLOOKUP($A315,Table,MATCH(M$4,Curves,0))</f>
        <v>0.015</v>
      </c>
      <c r="N315" s="143" t="n">
        <f aca="false">M315</f>
        <v>0.015</v>
      </c>
      <c r="O315" s="144" t="n">
        <v>0</v>
      </c>
      <c r="P315" s="145"/>
      <c r="Q315" s="144" t="n">
        <f aca="false">M315+J315+G315</f>
        <v>4.013</v>
      </c>
      <c r="R315" s="144" t="n">
        <f aca="false">O315+L315+I315</f>
        <v>3.7904</v>
      </c>
      <c r="S315" s="145"/>
      <c r="T315" s="71" t="n">
        <f aca="false">A316-A315</f>
        <v>30</v>
      </c>
      <c r="U315" s="146" t="n">
        <f aca="false">CHOOSE(F$3,A316+24,A315)</f>
        <v>46320</v>
      </c>
      <c r="V315" s="71" t="n">
        <f aca="false">U315-C$3</f>
        <v>9432</v>
      </c>
      <c r="W315" s="142" t="n">
        <f aca="false">VLOOKUP($A315,Table,MATCH(W$4,Curves,0))</f>
        <v>0.058966861357273</v>
      </c>
      <c r="X315" s="147" t="n">
        <f aca="false">1/(1+CHOOSE(F$3,(W316+($K$3/10000))/2,(W315+($K$3/10000))/2))^(2*V315/365.25)</f>
        <v>0.222971914000979</v>
      </c>
      <c r="Y315" s="71" t="n">
        <f aca="false">IF(AND(mthbeg&lt;=A315,mthend&gt;=A315),1,0)</f>
        <v>0</v>
      </c>
      <c r="Z315" s="71" t="n">
        <f aca="false">T315*Y315</f>
        <v>0</v>
      </c>
      <c r="AB315" s="132" t="n">
        <f aca="false">F315*G315</f>
        <v>0</v>
      </c>
      <c r="AC315" s="132" t="n">
        <f aca="false">$F315*H315</f>
        <v>0</v>
      </c>
      <c r="AD315" s="132" t="n">
        <f aca="false">$F315*I315</f>
        <v>0</v>
      </c>
      <c r="AE315" s="132" t="n">
        <f aca="false">$F315*J315</f>
        <v>0</v>
      </c>
      <c r="AF315" s="132" t="n">
        <f aca="false">$F315*K315</f>
        <v>0</v>
      </c>
      <c r="AG315" s="132" t="n">
        <f aca="false">$F315*L315</f>
        <v>0</v>
      </c>
      <c r="AH315" s="132" t="n">
        <f aca="false">$F315*M315</f>
        <v>0</v>
      </c>
      <c r="AI315" s="132" t="n">
        <f aca="false">$F315*N315</f>
        <v>0</v>
      </c>
      <c r="AJ315" s="132" t="n">
        <f aca="false">F315*O315</f>
        <v>0</v>
      </c>
      <c r="AK315" s="137"/>
      <c r="AL315" s="132" t="n">
        <f aca="false">CHOOSE($G$3,AC315-AD315,AD315-AC315)</f>
        <v>0</v>
      </c>
      <c r="AM315" s="132" t="n">
        <f aca="false">CHOOSE($G$3,AF315-AG315,AG315-AF315)</f>
        <v>0</v>
      </c>
      <c r="AN315" s="132" t="n">
        <f aca="false">CHOOSE($G$3,AI315-AJ315,AJ315-AI315)</f>
        <v>0</v>
      </c>
      <c r="AO315" s="148" t="n">
        <f aca="false">SUM(AL315:AN315)</f>
        <v>0</v>
      </c>
      <c r="AQ315" s="132" t="n">
        <f aca="false">CHOOSE($G$3,AB315-AC315,AC315-AB315)</f>
        <v>0</v>
      </c>
      <c r="AR315" s="132" t="n">
        <f aca="false">CHOOSE($G$3,AE315-AF315,AF315-AE315)</f>
        <v>0</v>
      </c>
      <c r="AS315" s="132" t="n">
        <f aca="false">CHOOSE($G$3,AH315-AI315,AI315-AH315)</f>
        <v>0</v>
      </c>
      <c r="AT315" s="148" t="n">
        <f aca="false">AQ315+AR315+AS315</f>
        <v>0</v>
      </c>
      <c r="AU315" s="148"/>
      <c r="AV315" s="133" t="n">
        <f aca="false">AT315+AO315</f>
        <v>0</v>
      </c>
      <c r="AX315" s="133" t="n">
        <f aca="false">AJ315+AG315+AD315</f>
        <v>0</v>
      </c>
      <c r="AY315" s="149"/>
      <c r="AZ315" s="76" t="n">
        <f aca="false">R315*E315</f>
        <v>0</v>
      </c>
    </row>
    <row r="316" customFormat="false" ht="12" hidden="false" customHeight="true" outlineLevel="0" collapsed="false">
      <c r="A316" s="138" t="n">
        <f aca="false">EDATE(A315,1)</f>
        <v>46296</v>
      </c>
      <c r="B316" s="139" t="n">
        <f aca="false">VLOOKUP($A316,Table2,MATCH(I$3,Curves2,0))</f>
        <v>60900</v>
      </c>
      <c r="C316" s="140"/>
      <c r="D316" s="141" t="n">
        <f aca="false">B316+C316</f>
        <v>60900</v>
      </c>
      <c r="E316" s="126" t="n">
        <f aca="false">IF(Y316=0,0,IF(AND(Y316=1,$H$3=1),D316*T316,IF($H$3=2,D316,"N/A")))</f>
        <v>0</v>
      </c>
      <c r="F316" s="126" t="n">
        <f aca="false">E316*X316</f>
        <v>0</v>
      </c>
      <c r="G316" s="142" t="n">
        <f aca="false">VLOOKUP($A316,Table,MATCH(G$4,Curves,0))</f>
        <v>3.987</v>
      </c>
      <c r="H316" s="143" t="n">
        <f aca="false">G316</f>
        <v>3.987</v>
      </c>
      <c r="I316" s="142" t="n">
        <f aca="false">VLOOKUP($A316,Table1,MATCH(I$3,Curves1,0))</f>
        <v>3.7904</v>
      </c>
      <c r="J316" s="142" t="n">
        <f aca="false">VLOOKUP($A316,Table,MATCH(J$4,Curves,0))</f>
        <v>0.011</v>
      </c>
      <c r="K316" s="143" t="n">
        <f aca="false">J316</f>
        <v>0.011</v>
      </c>
      <c r="L316" s="144" t="n">
        <v>0</v>
      </c>
      <c r="M316" s="142" t="n">
        <f aca="false">VLOOKUP($A316,Table,MATCH(M$4,Curves,0))</f>
        <v>0.015</v>
      </c>
      <c r="N316" s="143" t="n">
        <f aca="false">M316</f>
        <v>0.015</v>
      </c>
      <c r="O316" s="144" t="n">
        <v>0</v>
      </c>
      <c r="P316" s="145"/>
      <c r="Q316" s="144" t="n">
        <f aca="false">M316+J316+G316</f>
        <v>4.013</v>
      </c>
      <c r="R316" s="144" t="n">
        <f aca="false">O316+L316+I316</f>
        <v>3.7904</v>
      </c>
      <c r="S316" s="145"/>
      <c r="T316" s="71" t="n">
        <f aca="false">A317-A316</f>
        <v>31</v>
      </c>
      <c r="U316" s="146" t="n">
        <f aca="false">CHOOSE(F$3,A317+24,A316)</f>
        <v>46351</v>
      </c>
      <c r="V316" s="71" t="n">
        <f aca="false">U316-C$3</f>
        <v>9463</v>
      </c>
      <c r="W316" s="142" t="n">
        <f aca="false">VLOOKUP($A316,Table,MATCH(W$4,Curves,0))</f>
        <v>0.058966861357273</v>
      </c>
      <c r="X316" s="147" t="n">
        <f aca="false">1/(1+CHOOSE(F$3,(W317+($K$3/10000))/2,(W316+($K$3/10000))/2))^(2*V316/365.25)</f>
        <v>0.221874844663893</v>
      </c>
      <c r="Y316" s="71" t="n">
        <f aca="false">IF(AND(mthbeg&lt;=A316,mthend&gt;=A316),1,0)</f>
        <v>0</v>
      </c>
      <c r="Z316" s="71" t="n">
        <f aca="false">T316*Y316</f>
        <v>0</v>
      </c>
      <c r="AB316" s="132" t="n">
        <f aca="false">F316*G316</f>
        <v>0</v>
      </c>
      <c r="AC316" s="132" t="n">
        <f aca="false">$F316*H316</f>
        <v>0</v>
      </c>
      <c r="AD316" s="132" t="n">
        <f aca="false">$F316*I316</f>
        <v>0</v>
      </c>
      <c r="AE316" s="132" t="n">
        <f aca="false">$F316*J316</f>
        <v>0</v>
      </c>
      <c r="AF316" s="132" t="n">
        <f aca="false">$F316*K316</f>
        <v>0</v>
      </c>
      <c r="AG316" s="132" t="n">
        <f aca="false">$F316*L316</f>
        <v>0</v>
      </c>
      <c r="AH316" s="132" t="n">
        <f aca="false">$F316*M316</f>
        <v>0</v>
      </c>
      <c r="AI316" s="132" t="n">
        <f aca="false">$F316*N316</f>
        <v>0</v>
      </c>
      <c r="AJ316" s="132" t="n">
        <f aca="false">F316*O316</f>
        <v>0</v>
      </c>
      <c r="AK316" s="137"/>
      <c r="AL316" s="132" t="n">
        <f aca="false">CHOOSE($G$3,AC316-AD316,AD316-AC316)</f>
        <v>0</v>
      </c>
      <c r="AM316" s="132" t="n">
        <f aca="false">CHOOSE($G$3,AF316-AG316,AG316-AF316)</f>
        <v>0</v>
      </c>
      <c r="AN316" s="132" t="n">
        <f aca="false">CHOOSE($G$3,AI316-AJ316,AJ316-AI316)</f>
        <v>0</v>
      </c>
      <c r="AO316" s="148" t="n">
        <f aca="false">SUM(AL316:AN316)</f>
        <v>0</v>
      </c>
      <c r="AQ316" s="132" t="n">
        <f aca="false">CHOOSE($G$3,AB316-AC316,AC316-AB316)</f>
        <v>0</v>
      </c>
      <c r="AR316" s="132" t="n">
        <f aca="false">CHOOSE($G$3,AE316-AF316,AF316-AE316)</f>
        <v>0</v>
      </c>
      <c r="AS316" s="132" t="n">
        <f aca="false">CHOOSE($G$3,AH316-AI316,AI316-AH316)</f>
        <v>0</v>
      </c>
      <c r="AT316" s="148" t="n">
        <f aca="false">AQ316+AR316+AS316</f>
        <v>0</v>
      </c>
      <c r="AU316" s="148"/>
      <c r="AV316" s="133" t="n">
        <f aca="false">AT316+AO316</f>
        <v>0</v>
      </c>
      <c r="AX316" s="133" t="n">
        <f aca="false">AJ316+AG316+AD316</f>
        <v>0</v>
      </c>
      <c r="AY316" s="149"/>
      <c r="AZ316" s="76" t="n">
        <f aca="false">R316*E316</f>
        <v>0</v>
      </c>
    </row>
    <row r="317" customFormat="false" ht="12" hidden="false" customHeight="true" outlineLevel="0" collapsed="false">
      <c r="A317" s="138" t="n">
        <f aca="false">EDATE(A316,1)</f>
        <v>46327</v>
      </c>
      <c r="B317" s="139" t="n">
        <f aca="false">VLOOKUP($A317,Table2,MATCH(I$3,Curves2,0))</f>
        <v>60900</v>
      </c>
      <c r="C317" s="140"/>
      <c r="D317" s="141" t="n">
        <f aca="false">B317+C317</f>
        <v>60900</v>
      </c>
      <c r="E317" s="126" t="n">
        <f aca="false">IF(Y317=0,0,IF(AND(Y317=1,$H$3=1),D317*T317,IF($H$3=2,D317,"N/A")))</f>
        <v>0</v>
      </c>
      <c r="F317" s="126" t="n">
        <f aca="false">E317*X317</f>
        <v>0</v>
      </c>
      <c r="G317" s="142" t="n">
        <f aca="false">VLOOKUP($A317,Table,MATCH(G$4,Curves,0))</f>
        <v>3.987</v>
      </c>
      <c r="H317" s="143" t="n">
        <f aca="false">G317</f>
        <v>3.987</v>
      </c>
      <c r="I317" s="142" t="n">
        <f aca="false">VLOOKUP($A317,Table1,MATCH(I$3,Curves1,0))</f>
        <v>3.7904</v>
      </c>
      <c r="J317" s="142" t="n">
        <f aca="false">VLOOKUP($A317,Table,MATCH(J$4,Curves,0))</f>
        <v>0.011</v>
      </c>
      <c r="K317" s="143" t="n">
        <f aca="false">J317</f>
        <v>0.011</v>
      </c>
      <c r="L317" s="144" t="n">
        <v>0</v>
      </c>
      <c r="M317" s="142" t="n">
        <f aca="false">VLOOKUP($A317,Table,MATCH(M$4,Curves,0))</f>
        <v>0.015</v>
      </c>
      <c r="N317" s="143" t="n">
        <f aca="false">M317</f>
        <v>0.015</v>
      </c>
      <c r="O317" s="144" t="n">
        <v>0</v>
      </c>
      <c r="P317" s="145"/>
      <c r="Q317" s="144" t="n">
        <f aca="false">M317+J317+G317</f>
        <v>4.013</v>
      </c>
      <c r="R317" s="144" t="n">
        <f aca="false">O317+L317+I317</f>
        <v>3.7904</v>
      </c>
      <c r="S317" s="145"/>
      <c r="T317" s="71" t="n">
        <f aca="false">A318-A317</f>
        <v>30</v>
      </c>
      <c r="U317" s="146" t="n">
        <f aca="false">CHOOSE(F$3,A318+24,A317)</f>
        <v>46381</v>
      </c>
      <c r="V317" s="71" t="n">
        <f aca="false">U317-C$3</f>
        <v>9493</v>
      </c>
      <c r="W317" s="142" t="n">
        <f aca="false">VLOOKUP($A317,Table,MATCH(W$4,Curves,0))</f>
        <v>0.058966861357273</v>
      </c>
      <c r="X317" s="147" t="n">
        <f aca="false">1/(1+CHOOSE(F$3,(W318+($K$3/10000))/2,(W317+($K$3/10000))/2))^(2*V317/365.25)</f>
        <v>0.220818304371302</v>
      </c>
      <c r="Y317" s="71" t="n">
        <f aca="false">IF(AND(mthbeg&lt;=A317,mthend&gt;=A317),1,0)</f>
        <v>0</v>
      </c>
      <c r="Z317" s="71" t="n">
        <f aca="false">T317*Y317</f>
        <v>0</v>
      </c>
      <c r="AB317" s="132" t="n">
        <f aca="false">F317*G317</f>
        <v>0</v>
      </c>
      <c r="AC317" s="132" t="n">
        <f aca="false">$F317*H317</f>
        <v>0</v>
      </c>
      <c r="AD317" s="132" t="n">
        <f aca="false">$F317*I317</f>
        <v>0</v>
      </c>
      <c r="AE317" s="132" t="n">
        <f aca="false">$F317*J317</f>
        <v>0</v>
      </c>
      <c r="AF317" s="132" t="n">
        <f aca="false">$F317*K317</f>
        <v>0</v>
      </c>
      <c r="AG317" s="132" t="n">
        <f aca="false">$F317*L317</f>
        <v>0</v>
      </c>
      <c r="AH317" s="132" t="n">
        <f aca="false">$F317*M317</f>
        <v>0</v>
      </c>
      <c r="AI317" s="132" t="n">
        <f aca="false">$F317*N317</f>
        <v>0</v>
      </c>
      <c r="AJ317" s="132" t="n">
        <f aca="false">F317*O317</f>
        <v>0</v>
      </c>
      <c r="AK317" s="137"/>
      <c r="AL317" s="132" t="n">
        <f aca="false">CHOOSE($G$3,AC317-AD317,AD317-AC317)</f>
        <v>0</v>
      </c>
      <c r="AM317" s="132" t="n">
        <f aca="false">CHOOSE($G$3,AF317-AG317,AG317-AF317)</f>
        <v>0</v>
      </c>
      <c r="AN317" s="132" t="n">
        <f aca="false">CHOOSE($G$3,AI317-AJ317,AJ317-AI317)</f>
        <v>0</v>
      </c>
      <c r="AO317" s="148" t="n">
        <f aca="false">SUM(AL317:AN317)</f>
        <v>0</v>
      </c>
      <c r="AQ317" s="132" t="n">
        <f aca="false">CHOOSE($G$3,AB317-AC317,AC317-AB317)</f>
        <v>0</v>
      </c>
      <c r="AR317" s="132" t="n">
        <f aca="false">CHOOSE($G$3,AE317-AF317,AF317-AE317)</f>
        <v>0</v>
      </c>
      <c r="AS317" s="132" t="n">
        <f aca="false">CHOOSE($G$3,AH317-AI317,AI317-AH317)</f>
        <v>0</v>
      </c>
      <c r="AT317" s="148" t="n">
        <f aca="false">AQ317+AR317+AS317</f>
        <v>0</v>
      </c>
      <c r="AU317" s="148"/>
      <c r="AV317" s="133" t="n">
        <f aca="false">AT317+AO317</f>
        <v>0</v>
      </c>
      <c r="AX317" s="133" t="n">
        <f aca="false">AJ317+AG317+AD317</f>
        <v>0</v>
      </c>
      <c r="AY317" s="149"/>
      <c r="AZ317" s="76" t="n">
        <f aca="false">R317*E317</f>
        <v>0</v>
      </c>
    </row>
    <row r="318" customFormat="false" ht="12" hidden="false" customHeight="true" outlineLevel="0" collapsed="false">
      <c r="A318" s="138" t="n">
        <f aca="false">EDATE(A317,1)</f>
        <v>46357</v>
      </c>
      <c r="B318" s="139" t="n">
        <f aca="false">VLOOKUP($A318,Table2,MATCH(I$3,Curves2,0))</f>
        <v>60900</v>
      </c>
      <c r="C318" s="140"/>
      <c r="D318" s="141" t="n">
        <f aca="false">B318+C318</f>
        <v>60900</v>
      </c>
      <c r="E318" s="126" t="n">
        <f aca="false">IF(Y318=0,0,IF(AND(Y318=1,$H$3=1),D318*T318,IF($H$3=2,D318,"N/A")))</f>
        <v>0</v>
      </c>
      <c r="F318" s="126" t="n">
        <f aca="false">E318*X318</f>
        <v>0</v>
      </c>
      <c r="G318" s="142" t="n">
        <f aca="false">VLOOKUP($A318,Table,MATCH(G$4,Curves,0))</f>
        <v>3.987</v>
      </c>
      <c r="H318" s="143" t="n">
        <f aca="false">G318</f>
        <v>3.987</v>
      </c>
      <c r="I318" s="142" t="n">
        <f aca="false">VLOOKUP($A318,Table1,MATCH(I$3,Curves1,0))</f>
        <v>3.7904</v>
      </c>
      <c r="J318" s="142" t="n">
        <f aca="false">VLOOKUP($A318,Table,MATCH(J$4,Curves,0))</f>
        <v>0.011</v>
      </c>
      <c r="K318" s="143" t="n">
        <f aca="false">J318</f>
        <v>0.011</v>
      </c>
      <c r="L318" s="144" t="n">
        <v>0</v>
      </c>
      <c r="M318" s="142" t="n">
        <f aca="false">VLOOKUP($A318,Table,MATCH(M$4,Curves,0))</f>
        <v>0.015</v>
      </c>
      <c r="N318" s="143" t="n">
        <f aca="false">M318</f>
        <v>0.015</v>
      </c>
      <c r="O318" s="144" t="n">
        <v>0</v>
      </c>
      <c r="P318" s="145"/>
      <c r="Q318" s="144" t="n">
        <f aca="false">M318+J318+G318</f>
        <v>4.013</v>
      </c>
      <c r="R318" s="144" t="n">
        <f aca="false">O318+L318+I318</f>
        <v>3.7904</v>
      </c>
      <c r="S318" s="145"/>
      <c r="T318" s="71" t="n">
        <f aca="false">A319-A318</f>
        <v>31</v>
      </c>
      <c r="U318" s="146" t="n">
        <f aca="false">CHOOSE(F$3,A319+24,A318)</f>
        <v>46412</v>
      </c>
      <c r="V318" s="71" t="n">
        <f aca="false">U318-C$3</f>
        <v>9524</v>
      </c>
      <c r="W318" s="142" t="n">
        <f aca="false">VLOOKUP($A318,Table,MATCH(W$4,Curves,0))</f>
        <v>0.058966861357273</v>
      </c>
      <c r="X318" s="147" t="n">
        <f aca="false">1/(1+CHOOSE(F$3,(W319+($K$3/10000))/2,(W318+($K$3/10000))/2))^(2*V318/365.25)</f>
        <v>0.219731831252575</v>
      </c>
      <c r="Y318" s="71" t="n">
        <f aca="false">IF(AND(mthbeg&lt;=A318,mthend&gt;=A318),1,0)</f>
        <v>0</v>
      </c>
      <c r="Z318" s="71" t="n">
        <f aca="false">T318*Y318</f>
        <v>0</v>
      </c>
      <c r="AB318" s="132" t="n">
        <f aca="false">F318*G318</f>
        <v>0</v>
      </c>
      <c r="AC318" s="132" t="n">
        <f aca="false">$F318*H318</f>
        <v>0</v>
      </c>
      <c r="AD318" s="132" t="n">
        <f aca="false">$F318*I318</f>
        <v>0</v>
      </c>
      <c r="AE318" s="132" t="n">
        <f aca="false">$F318*J318</f>
        <v>0</v>
      </c>
      <c r="AF318" s="132" t="n">
        <f aca="false">$F318*K318</f>
        <v>0</v>
      </c>
      <c r="AG318" s="132" t="n">
        <f aca="false">$F318*L318</f>
        <v>0</v>
      </c>
      <c r="AH318" s="132" t="n">
        <f aca="false">$F318*M318</f>
        <v>0</v>
      </c>
      <c r="AI318" s="132" t="n">
        <f aca="false">$F318*N318</f>
        <v>0</v>
      </c>
      <c r="AJ318" s="132" t="n">
        <f aca="false">F318*O318</f>
        <v>0</v>
      </c>
      <c r="AK318" s="137"/>
      <c r="AL318" s="132" t="n">
        <f aca="false">CHOOSE($G$3,AC318-AD318,AD318-AC318)</f>
        <v>0</v>
      </c>
      <c r="AM318" s="132" t="n">
        <f aca="false">CHOOSE($G$3,AF318-AG318,AG318-AF318)</f>
        <v>0</v>
      </c>
      <c r="AN318" s="132" t="n">
        <f aca="false">CHOOSE($G$3,AI318-AJ318,AJ318-AI318)</f>
        <v>0</v>
      </c>
      <c r="AO318" s="148" t="n">
        <f aca="false">SUM(AL318:AN318)</f>
        <v>0</v>
      </c>
      <c r="AQ318" s="132" t="n">
        <f aca="false">CHOOSE($G$3,AB318-AC318,AC318-AB318)</f>
        <v>0</v>
      </c>
      <c r="AR318" s="132" t="n">
        <f aca="false">CHOOSE($G$3,AE318-AF318,AF318-AE318)</f>
        <v>0</v>
      </c>
      <c r="AS318" s="132" t="n">
        <f aca="false">CHOOSE($G$3,AH318-AI318,AI318-AH318)</f>
        <v>0</v>
      </c>
      <c r="AT318" s="148" t="n">
        <f aca="false">AQ318+AR318+AS318</f>
        <v>0</v>
      </c>
      <c r="AU318" s="148"/>
      <c r="AV318" s="133" t="n">
        <f aca="false">AT318+AO318</f>
        <v>0</v>
      </c>
      <c r="AX318" s="133" t="n">
        <f aca="false">AJ318+AG318+AD318</f>
        <v>0</v>
      </c>
      <c r="AY318" s="149"/>
      <c r="AZ318" s="76" t="n">
        <f aca="false">R318*E318</f>
        <v>0</v>
      </c>
    </row>
    <row r="319" customFormat="false" ht="12" hidden="false" customHeight="true" outlineLevel="0" collapsed="false">
      <c r="A319" s="138" t="n">
        <f aca="false">EDATE(A318,1)</f>
        <v>46388</v>
      </c>
      <c r="B319" s="139" t="n">
        <f aca="false">VLOOKUP($A319,Table2,MATCH(I$3,Curves2,0))</f>
        <v>60900</v>
      </c>
      <c r="C319" s="140"/>
      <c r="D319" s="141" t="n">
        <f aca="false">B319+C319</f>
        <v>60900</v>
      </c>
      <c r="E319" s="126" t="n">
        <f aca="false">IF(Y319=0,0,IF(AND(Y319=1,$H$3=1),D319*T319,IF($H$3=2,D319,"N/A")))</f>
        <v>0</v>
      </c>
      <c r="F319" s="126" t="n">
        <f aca="false">E319*X319</f>
        <v>0</v>
      </c>
      <c r="G319" s="142" t="n">
        <f aca="false">VLOOKUP($A319,Table,MATCH(G$4,Curves,0))</f>
        <v>3.987</v>
      </c>
      <c r="H319" s="143" t="n">
        <f aca="false">G319</f>
        <v>3.987</v>
      </c>
      <c r="I319" s="142" t="n">
        <f aca="false">VLOOKUP($A319,Table1,MATCH(I$3,Curves1,0))</f>
        <v>3.7904</v>
      </c>
      <c r="J319" s="142" t="n">
        <f aca="false">VLOOKUP($A319,Table,MATCH(J$4,Curves,0))</f>
        <v>0.011</v>
      </c>
      <c r="K319" s="143" t="n">
        <f aca="false">J319</f>
        <v>0.011</v>
      </c>
      <c r="L319" s="144" t="n">
        <v>0</v>
      </c>
      <c r="M319" s="142" t="n">
        <f aca="false">VLOOKUP($A319,Table,MATCH(M$4,Curves,0))</f>
        <v>0.015</v>
      </c>
      <c r="N319" s="143" t="n">
        <f aca="false">M319</f>
        <v>0.015</v>
      </c>
      <c r="O319" s="144" t="n">
        <v>0</v>
      </c>
      <c r="P319" s="145"/>
      <c r="Q319" s="144" t="n">
        <f aca="false">M319+J319+G319</f>
        <v>4.013</v>
      </c>
      <c r="R319" s="144" t="n">
        <f aca="false">O319+L319+I319</f>
        <v>3.7904</v>
      </c>
      <c r="S319" s="145"/>
      <c r="T319" s="71" t="n">
        <f aca="false">A320-A319</f>
        <v>31</v>
      </c>
      <c r="U319" s="146" t="n">
        <f aca="false">CHOOSE(F$3,A320+24,A319)</f>
        <v>46443</v>
      </c>
      <c r="V319" s="71" t="n">
        <f aca="false">U319-C$3</f>
        <v>9555</v>
      </c>
      <c r="W319" s="142" t="n">
        <f aca="false">VLOOKUP($A319,Table,MATCH(W$4,Curves,0))</f>
        <v>0.058966861357273</v>
      </c>
      <c r="X319" s="147" t="n">
        <f aca="false">1/(1+CHOOSE(F$3,(W320+($K$3/10000))/2,(W319+($K$3/10000))/2))^(2*V319/365.25)</f>
        <v>0.218650703813144</v>
      </c>
      <c r="Y319" s="71" t="n">
        <f aca="false">IF(AND(mthbeg&lt;=A319,mthend&gt;=A319),1,0)</f>
        <v>0</v>
      </c>
      <c r="Z319" s="71" t="n">
        <f aca="false">T319*Y319</f>
        <v>0</v>
      </c>
      <c r="AB319" s="132" t="n">
        <f aca="false">F319*G319</f>
        <v>0</v>
      </c>
      <c r="AC319" s="132" t="n">
        <f aca="false">$F319*H319</f>
        <v>0</v>
      </c>
      <c r="AD319" s="132" t="n">
        <f aca="false">$F319*I319</f>
        <v>0</v>
      </c>
      <c r="AE319" s="132" t="n">
        <f aca="false">$F319*J319</f>
        <v>0</v>
      </c>
      <c r="AF319" s="132" t="n">
        <f aca="false">$F319*K319</f>
        <v>0</v>
      </c>
      <c r="AG319" s="132" t="n">
        <f aca="false">$F319*L319</f>
        <v>0</v>
      </c>
      <c r="AH319" s="132" t="n">
        <f aca="false">$F319*M319</f>
        <v>0</v>
      </c>
      <c r="AI319" s="132" t="n">
        <f aca="false">$F319*N319</f>
        <v>0</v>
      </c>
      <c r="AJ319" s="132" t="n">
        <f aca="false">F319*O319</f>
        <v>0</v>
      </c>
      <c r="AK319" s="137"/>
      <c r="AL319" s="132" t="n">
        <f aca="false">CHOOSE($G$3,AC319-AD319,AD319-AC319)</f>
        <v>0</v>
      </c>
      <c r="AM319" s="132" t="n">
        <f aca="false">CHOOSE($G$3,AF319-AG319,AG319-AF319)</f>
        <v>0</v>
      </c>
      <c r="AN319" s="132" t="n">
        <f aca="false">CHOOSE($G$3,AI319-AJ319,AJ319-AI319)</f>
        <v>0</v>
      </c>
      <c r="AO319" s="148" t="n">
        <f aca="false">SUM(AL319:AN319)</f>
        <v>0</v>
      </c>
      <c r="AQ319" s="132" t="n">
        <f aca="false">CHOOSE($G$3,AB319-AC319,AC319-AB319)</f>
        <v>0</v>
      </c>
      <c r="AR319" s="132" t="n">
        <f aca="false">CHOOSE($G$3,AE319-AF319,AF319-AE319)</f>
        <v>0</v>
      </c>
      <c r="AS319" s="132" t="n">
        <f aca="false">CHOOSE($G$3,AH319-AI319,AI319-AH319)</f>
        <v>0</v>
      </c>
      <c r="AT319" s="148" t="n">
        <f aca="false">AQ319+AR319+AS319</f>
        <v>0</v>
      </c>
      <c r="AU319" s="148"/>
      <c r="AV319" s="133" t="n">
        <f aca="false">AT319+AO319</f>
        <v>0</v>
      </c>
      <c r="AX319" s="133" t="n">
        <f aca="false">AJ319+AG319+AD319</f>
        <v>0</v>
      </c>
      <c r="AY319" s="149"/>
      <c r="AZ319" s="76" t="n">
        <f aca="false">R319*E319</f>
        <v>0</v>
      </c>
    </row>
    <row r="320" customFormat="false" ht="12" hidden="false" customHeight="true" outlineLevel="0" collapsed="false">
      <c r="A320" s="138" t="n">
        <f aca="false">EDATE(A319,1)</f>
        <v>46419</v>
      </c>
      <c r="B320" s="139" t="n">
        <f aca="false">VLOOKUP($A320,Table2,MATCH(I$3,Curves2,0))</f>
        <v>60900</v>
      </c>
      <c r="C320" s="140"/>
      <c r="D320" s="141" t="n">
        <f aca="false">B320+C320</f>
        <v>60900</v>
      </c>
      <c r="E320" s="126" t="n">
        <f aca="false">IF(Y320=0,0,IF(AND(Y320=1,$H$3=1),D320*T320,IF($H$3=2,D320,"N/A")))</f>
        <v>0</v>
      </c>
      <c r="F320" s="126" t="n">
        <f aca="false">E320*X320</f>
        <v>0</v>
      </c>
      <c r="G320" s="142" t="n">
        <f aca="false">VLOOKUP($A320,Table,MATCH(G$4,Curves,0))</f>
        <v>3.987</v>
      </c>
      <c r="H320" s="143" t="n">
        <f aca="false">G320</f>
        <v>3.987</v>
      </c>
      <c r="I320" s="142" t="n">
        <f aca="false">VLOOKUP($A320,Table1,MATCH(I$3,Curves1,0))</f>
        <v>3.7904</v>
      </c>
      <c r="J320" s="142" t="n">
        <f aca="false">VLOOKUP($A320,Table,MATCH(J$4,Curves,0))</f>
        <v>0.011</v>
      </c>
      <c r="K320" s="143" t="n">
        <f aca="false">J320</f>
        <v>0.011</v>
      </c>
      <c r="L320" s="144" t="n">
        <v>0</v>
      </c>
      <c r="M320" s="142" t="n">
        <f aca="false">VLOOKUP($A320,Table,MATCH(M$4,Curves,0))</f>
        <v>0.015</v>
      </c>
      <c r="N320" s="143" t="n">
        <f aca="false">M320</f>
        <v>0.015</v>
      </c>
      <c r="O320" s="144" t="n">
        <v>0</v>
      </c>
      <c r="P320" s="145"/>
      <c r="Q320" s="144" t="n">
        <f aca="false">M320+J320+G320</f>
        <v>4.013</v>
      </c>
      <c r="R320" s="144" t="n">
        <f aca="false">O320+L320+I320</f>
        <v>3.7904</v>
      </c>
      <c r="S320" s="145"/>
      <c r="T320" s="71" t="n">
        <f aca="false">A321-A320</f>
        <v>28</v>
      </c>
      <c r="U320" s="146" t="n">
        <f aca="false">CHOOSE(F$3,A321+24,A320)</f>
        <v>46471</v>
      </c>
      <c r="V320" s="71" t="n">
        <f aca="false">U320-C$3</f>
        <v>9583</v>
      </c>
      <c r="W320" s="142" t="n">
        <f aca="false">VLOOKUP($A320,Table,MATCH(W$4,Curves,0))</f>
        <v>0.058966861357273</v>
      </c>
      <c r="X320" s="147" t="n">
        <f aca="false">1/(1+CHOOSE(F$3,(W321+($K$3/10000))/2,(W320+($K$3/10000))/2))^(2*V320/365.25)</f>
        <v>0.217678774454799</v>
      </c>
      <c r="Y320" s="71" t="n">
        <f aca="false">IF(AND(mthbeg&lt;=A320,mthend&gt;=A320),1,0)</f>
        <v>0</v>
      </c>
      <c r="Z320" s="71" t="n">
        <f aca="false">T320*Y320</f>
        <v>0</v>
      </c>
      <c r="AB320" s="132" t="n">
        <f aca="false">F320*G320</f>
        <v>0</v>
      </c>
      <c r="AC320" s="132" t="n">
        <f aca="false">$F320*H320</f>
        <v>0</v>
      </c>
      <c r="AD320" s="132" t="n">
        <f aca="false">$F320*I320</f>
        <v>0</v>
      </c>
      <c r="AE320" s="132" t="n">
        <f aca="false">$F320*J320</f>
        <v>0</v>
      </c>
      <c r="AF320" s="132" t="n">
        <f aca="false">$F320*K320</f>
        <v>0</v>
      </c>
      <c r="AG320" s="132" t="n">
        <f aca="false">$F320*L320</f>
        <v>0</v>
      </c>
      <c r="AH320" s="132" t="n">
        <f aca="false">$F320*M320</f>
        <v>0</v>
      </c>
      <c r="AI320" s="132" t="n">
        <f aca="false">$F320*N320</f>
        <v>0</v>
      </c>
      <c r="AJ320" s="132" t="n">
        <f aca="false">F320*O320</f>
        <v>0</v>
      </c>
      <c r="AK320" s="137"/>
      <c r="AL320" s="132" t="n">
        <f aca="false">CHOOSE($G$3,AC320-AD320,AD320-AC320)</f>
        <v>0</v>
      </c>
      <c r="AM320" s="132" t="n">
        <f aca="false">CHOOSE($G$3,AF320-AG320,AG320-AF320)</f>
        <v>0</v>
      </c>
      <c r="AN320" s="132" t="n">
        <f aca="false">CHOOSE($G$3,AI320-AJ320,AJ320-AI320)</f>
        <v>0</v>
      </c>
      <c r="AO320" s="148" t="n">
        <f aca="false">SUM(AL320:AN320)</f>
        <v>0</v>
      </c>
      <c r="AQ320" s="132" t="n">
        <f aca="false">CHOOSE($G$3,AB320-AC320,AC320-AB320)</f>
        <v>0</v>
      </c>
      <c r="AR320" s="132" t="n">
        <f aca="false">CHOOSE($G$3,AE320-AF320,AF320-AE320)</f>
        <v>0</v>
      </c>
      <c r="AS320" s="132" t="n">
        <f aca="false">CHOOSE($G$3,AH320-AI320,AI320-AH320)</f>
        <v>0</v>
      </c>
      <c r="AT320" s="148" t="n">
        <f aca="false">AQ320+AR320+AS320</f>
        <v>0</v>
      </c>
      <c r="AU320" s="148"/>
      <c r="AV320" s="133" t="n">
        <f aca="false">AT320+AO320</f>
        <v>0</v>
      </c>
      <c r="AX320" s="133" t="n">
        <f aca="false">AJ320+AG320+AD320</f>
        <v>0</v>
      </c>
      <c r="AY320" s="149"/>
      <c r="AZ320" s="76" t="n">
        <f aca="false">R320*E320</f>
        <v>0</v>
      </c>
    </row>
    <row r="321" customFormat="false" ht="12" hidden="false" customHeight="true" outlineLevel="0" collapsed="false">
      <c r="A321" s="138" t="n">
        <f aca="false">EDATE(A320,1)</f>
        <v>46447</v>
      </c>
      <c r="B321" s="139" t="n">
        <f aca="false">VLOOKUP($A321,Table2,MATCH(I$3,Curves2,0))</f>
        <v>60900</v>
      </c>
      <c r="C321" s="140"/>
      <c r="D321" s="141" t="n">
        <f aca="false">B321+C321</f>
        <v>60900</v>
      </c>
      <c r="E321" s="126" t="n">
        <f aca="false">IF(Y321=0,0,IF(AND(Y321=1,$H$3=1),D321*T321,IF($H$3=2,D321,"N/A")))</f>
        <v>0</v>
      </c>
      <c r="F321" s="126" t="n">
        <f aca="false">E321*X321</f>
        <v>0</v>
      </c>
      <c r="G321" s="142" t="n">
        <f aca="false">VLOOKUP($A321,Table,MATCH(G$4,Curves,0))</f>
        <v>3.987</v>
      </c>
      <c r="H321" s="143" t="n">
        <f aca="false">G321</f>
        <v>3.987</v>
      </c>
      <c r="I321" s="142" t="n">
        <f aca="false">VLOOKUP($A321,Table1,MATCH(I$3,Curves1,0))</f>
        <v>3.7904</v>
      </c>
      <c r="J321" s="142" t="n">
        <f aca="false">VLOOKUP($A321,Table,MATCH(J$4,Curves,0))</f>
        <v>0.011</v>
      </c>
      <c r="K321" s="143" t="n">
        <f aca="false">J321</f>
        <v>0.011</v>
      </c>
      <c r="L321" s="144" t="n">
        <v>0</v>
      </c>
      <c r="M321" s="142" t="n">
        <f aca="false">VLOOKUP($A321,Table,MATCH(M$4,Curves,0))</f>
        <v>0.015</v>
      </c>
      <c r="N321" s="143" t="n">
        <f aca="false">M321</f>
        <v>0.015</v>
      </c>
      <c r="O321" s="144" t="n">
        <v>0</v>
      </c>
      <c r="P321" s="145"/>
      <c r="Q321" s="144" t="n">
        <f aca="false">M321+J321+G321</f>
        <v>4.013</v>
      </c>
      <c r="R321" s="144" t="n">
        <f aca="false">O321+L321+I321</f>
        <v>3.7904</v>
      </c>
      <c r="S321" s="145"/>
      <c r="T321" s="71" t="n">
        <f aca="false">A322-A321</f>
        <v>31</v>
      </c>
      <c r="U321" s="146" t="n">
        <f aca="false">CHOOSE(F$3,A322+24,A321)</f>
        <v>46502</v>
      </c>
      <c r="V321" s="71" t="n">
        <f aca="false">U321-C$3</f>
        <v>9614</v>
      </c>
      <c r="W321" s="142" t="n">
        <f aca="false">VLOOKUP($A321,Table,MATCH(W$4,Curves,0))</f>
        <v>0.058966861357273</v>
      </c>
      <c r="X321" s="147" t="n">
        <f aca="false">1/(1+CHOOSE(F$3,(W322+($K$3/10000))/2,(W321+($K$3/10000))/2))^(2*V321/365.25)</f>
        <v>0.216607748492364</v>
      </c>
      <c r="Y321" s="71" t="n">
        <f aca="false">IF(AND(mthbeg&lt;=A321,mthend&gt;=A321),1,0)</f>
        <v>0</v>
      </c>
      <c r="Z321" s="71" t="n">
        <f aca="false">T321*Y321</f>
        <v>0</v>
      </c>
      <c r="AB321" s="132" t="n">
        <f aca="false">F321*G321</f>
        <v>0</v>
      </c>
      <c r="AC321" s="132" t="n">
        <f aca="false">$F321*H321</f>
        <v>0</v>
      </c>
      <c r="AD321" s="132" t="n">
        <f aca="false">$F321*I321</f>
        <v>0</v>
      </c>
      <c r="AE321" s="132" t="n">
        <f aca="false">$F321*J321</f>
        <v>0</v>
      </c>
      <c r="AF321" s="132" t="n">
        <f aca="false">$F321*K321</f>
        <v>0</v>
      </c>
      <c r="AG321" s="132" t="n">
        <f aca="false">$F321*L321</f>
        <v>0</v>
      </c>
      <c r="AH321" s="132" t="n">
        <f aca="false">$F321*M321</f>
        <v>0</v>
      </c>
      <c r="AI321" s="132" t="n">
        <f aca="false">$F321*N321</f>
        <v>0</v>
      </c>
      <c r="AJ321" s="132" t="n">
        <f aca="false">F321*O321</f>
        <v>0</v>
      </c>
      <c r="AK321" s="137"/>
      <c r="AL321" s="132" t="n">
        <f aca="false">CHOOSE($G$3,AC321-AD321,AD321-AC321)</f>
        <v>0</v>
      </c>
      <c r="AM321" s="132" t="n">
        <f aca="false">CHOOSE($G$3,AF321-AG321,AG321-AF321)</f>
        <v>0</v>
      </c>
      <c r="AN321" s="132" t="n">
        <f aca="false">CHOOSE($G$3,AI321-AJ321,AJ321-AI321)</f>
        <v>0</v>
      </c>
      <c r="AO321" s="148" t="n">
        <f aca="false">SUM(AL321:AN321)</f>
        <v>0</v>
      </c>
      <c r="AQ321" s="132" t="n">
        <f aca="false">CHOOSE($G$3,AB321-AC321,AC321-AB321)</f>
        <v>0</v>
      </c>
      <c r="AR321" s="132" t="n">
        <f aca="false">CHOOSE($G$3,AE321-AF321,AF321-AE321)</f>
        <v>0</v>
      </c>
      <c r="AS321" s="132" t="n">
        <f aca="false">CHOOSE($G$3,AH321-AI321,AI321-AH321)</f>
        <v>0</v>
      </c>
      <c r="AT321" s="148" t="n">
        <f aca="false">AQ321+AR321+AS321</f>
        <v>0</v>
      </c>
      <c r="AU321" s="148"/>
      <c r="AV321" s="133" t="n">
        <f aca="false">AT321+AO321</f>
        <v>0</v>
      </c>
      <c r="AX321" s="133" t="n">
        <f aca="false">AJ321+AG321+AD321</f>
        <v>0</v>
      </c>
      <c r="AY321" s="149"/>
      <c r="AZ321" s="76" t="n">
        <f aca="false">R321*E321</f>
        <v>0</v>
      </c>
    </row>
    <row r="322" customFormat="false" ht="12" hidden="false" customHeight="true" outlineLevel="0" collapsed="false">
      <c r="A322" s="138" t="n">
        <f aca="false">EDATE(A321,1)</f>
        <v>46478</v>
      </c>
      <c r="B322" s="139" t="n">
        <f aca="false">VLOOKUP($A322,Table2,MATCH(I$3,Curves2,0))</f>
        <v>60900</v>
      </c>
      <c r="C322" s="140"/>
      <c r="D322" s="141" t="n">
        <f aca="false">B322+C322</f>
        <v>60900</v>
      </c>
      <c r="E322" s="126" t="n">
        <f aca="false">IF(Y322=0,0,IF(AND(Y322=1,$H$3=1),D322*T322,IF($H$3=2,D322,"N/A")))</f>
        <v>0</v>
      </c>
      <c r="F322" s="126" t="n">
        <f aca="false">E322*X322</f>
        <v>0</v>
      </c>
      <c r="G322" s="142" t="n">
        <f aca="false">VLOOKUP($A322,Table,MATCH(G$4,Curves,0))</f>
        <v>3.987</v>
      </c>
      <c r="H322" s="143" t="n">
        <f aca="false">G322</f>
        <v>3.987</v>
      </c>
      <c r="I322" s="142" t="n">
        <f aca="false">VLOOKUP($A322,Table1,MATCH(I$3,Curves1,0))</f>
        <v>3.7904</v>
      </c>
      <c r="J322" s="142" t="n">
        <f aca="false">VLOOKUP($A322,Table,MATCH(J$4,Curves,0))</f>
        <v>0.011</v>
      </c>
      <c r="K322" s="143" t="n">
        <f aca="false">J322</f>
        <v>0.011</v>
      </c>
      <c r="L322" s="144" t="n">
        <v>0</v>
      </c>
      <c r="M322" s="142" t="n">
        <f aca="false">VLOOKUP($A322,Table,MATCH(M$4,Curves,0))</f>
        <v>0.015</v>
      </c>
      <c r="N322" s="143" t="n">
        <f aca="false">M322</f>
        <v>0.015</v>
      </c>
      <c r="O322" s="144" t="n">
        <v>0</v>
      </c>
      <c r="P322" s="145"/>
      <c r="Q322" s="144" t="n">
        <f aca="false">M322+J322+G322</f>
        <v>4.013</v>
      </c>
      <c r="R322" s="144" t="n">
        <f aca="false">O322+L322+I322</f>
        <v>3.7904</v>
      </c>
      <c r="S322" s="145"/>
      <c r="T322" s="71" t="n">
        <f aca="false">A323-A322</f>
        <v>30</v>
      </c>
      <c r="U322" s="146" t="n">
        <f aca="false">CHOOSE(F$3,A323+24,A322)</f>
        <v>46532</v>
      </c>
      <c r="V322" s="71" t="n">
        <f aca="false">U322-C$3</f>
        <v>9644</v>
      </c>
      <c r="W322" s="142" t="n">
        <f aca="false">VLOOKUP($A322,Table,MATCH(W$4,Curves,0))</f>
        <v>0.058966861357273</v>
      </c>
      <c r="X322" s="147" t="n">
        <f aca="false">1/(1+CHOOSE(F$3,(W323+($K$3/10000))/2,(W322+($K$3/10000))/2))^(2*V322/365.25)</f>
        <v>0.21557628945375</v>
      </c>
      <c r="Y322" s="71" t="n">
        <f aca="false">IF(AND(mthbeg&lt;=A322,mthend&gt;=A322),1,0)</f>
        <v>0</v>
      </c>
      <c r="Z322" s="71" t="n">
        <f aca="false">T322*Y322</f>
        <v>0</v>
      </c>
      <c r="AB322" s="132" t="n">
        <f aca="false">F322*G322</f>
        <v>0</v>
      </c>
      <c r="AC322" s="132" t="n">
        <f aca="false">$F322*H322</f>
        <v>0</v>
      </c>
      <c r="AD322" s="132" t="n">
        <f aca="false">$F322*I322</f>
        <v>0</v>
      </c>
      <c r="AE322" s="132" t="n">
        <f aca="false">$F322*J322</f>
        <v>0</v>
      </c>
      <c r="AF322" s="132" t="n">
        <f aca="false">$F322*K322</f>
        <v>0</v>
      </c>
      <c r="AG322" s="132" t="n">
        <f aca="false">$F322*L322</f>
        <v>0</v>
      </c>
      <c r="AH322" s="132" t="n">
        <f aca="false">$F322*M322</f>
        <v>0</v>
      </c>
      <c r="AI322" s="132" t="n">
        <f aca="false">$F322*N322</f>
        <v>0</v>
      </c>
      <c r="AJ322" s="132" t="n">
        <f aca="false">F322*O322</f>
        <v>0</v>
      </c>
      <c r="AK322" s="137"/>
      <c r="AL322" s="132" t="n">
        <f aca="false">CHOOSE($G$3,AC322-AD322,AD322-AC322)</f>
        <v>0</v>
      </c>
      <c r="AM322" s="132" t="n">
        <f aca="false">CHOOSE($G$3,AF322-AG322,AG322-AF322)</f>
        <v>0</v>
      </c>
      <c r="AN322" s="132" t="n">
        <f aca="false">CHOOSE($G$3,AI322-AJ322,AJ322-AI322)</f>
        <v>0</v>
      </c>
      <c r="AO322" s="148" t="n">
        <f aca="false">SUM(AL322:AN322)</f>
        <v>0</v>
      </c>
      <c r="AQ322" s="132" t="n">
        <f aca="false">CHOOSE($G$3,AB322-AC322,AC322-AB322)</f>
        <v>0</v>
      </c>
      <c r="AR322" s="132" t="n">
        <f aca="false">CHOOSE($G$3,AE322-AF322,AF322-AE322)</f>
        <v>0</v>
      </c>
      <c r="AS322" s="132" t="n">
        <f aca="false">CHOOSE($G$3,AH322-AI322,AI322-AH322)</f>
        <v>0</v>
      </c>
      <c r="AT322" s="148" t="n">
        <f aca="false">AQ322+AR322+AS322</f>
        <v>0</v>
      </c>
      <c r="AU322" s="148"/>
      <c r="AV322" s="133" t="n">
        <f aca="false">AT322+AO322</f>
        <v>0</v>
      </c>
      <c r="AX322" s="133" t="n">
        <f aca="false">AJ322+AG322+AD322</f>
        <v>0</v>
      </c>
      <c r="AY322" s="149"/>
      <c r="AZ322" s="76" t="n">
        <f aca="false">R322*E322</f>
        <v>0</v>
      </c>
    </row>
    <row r="323" customFormat="false" ht="12" hidden="false" customHeight="true" outlineLevel="0" collapsed="false">
      <c r="A323" s="138" t="n">
        <f aca="false">EDATE(A322,1)</f>
        <v>46508</v>
      </c>
      <c r="B323" s="139" t="n">
        <f aca="false">VLOOKUP($A323,Table2,MATCH(I$3,Curves2,0))</f>
        <v>60900</v>
      </c>
      <c r="C323" s="140"/>
      <c r="D323" s="141" t="n">
        <f aca="false">B323+C323</f>
        <v>60900</v>
      </c>
      <c r="E323" s="126" t="n">
        <f aca="false">IF(Y323=0,0,IF(AND(Y323=1,$H$3=1),D323*T323,IF($H$3=2,D323,"N/A")))</f>
        <v>0</v>
      </c>
      <c r="F323" s="126" t="n">
        <f aca="false">E323*X323</f>
        <v>0</v>
      </c>
      <c r="G323" s="142" t="n">
        <f aca="false">VLOOKUP($A323,Table,MATCH(G$4,Curves,0))</f>
        <v>3.987</v>
      </c>
      <c r="H323" s="143" t="n">
        <f aca="false">G323</f>
        <v>3.987</v>
      </c>
      <c r="I323" s="142" t="n">
        <f aca="false">VLOOKUP($A323,Table1,MATCH(I$3,Curves1,0))</f>
        <v>3.7904</v>
      </c>
      <c r="J323" s="142" t="n">
        <f aca="false">VLOOKUP($A323,Table,MATCH(J$4,Curves,0))</f>
        <v>0.011</v>
      </c>
      <c r="K323" s="143" t="n">
        <f aca="false">J323</f>
        <v>0.011</v>
      </c>
      <c r="L323" s="144" t="n">
        <v>0</v>
      </c>
      <c r="M323" s="142" t="n">
        <f aca="false">VLOOKUP($A323,Table,MATCH(M$4,Curves,0))</f>
        <v>0.015</v>
      </c>
      <c r="N323" s="143" t="n">
        <f aca="false">M323</f>
        <v>0.015</v>
      </c>
      <c r="O323" s="144" t="n">
        <v>0</v>
      </c>
      <c r="P323" s="145"/>
      <c r="Q323" s="144" t="n">
        <f aca="false">M323+J323+G323</f>
        <v>4.013</v>
      </c>
      <c r="R323" s="144" t="n">
        <f aca="false">O323+L323+I323</f>
        <v>3.7904</v>
      </c>
      <c r="S323" s="145"/>
      <c r="T323" s="71" t="n">
        <f aca="false">A324-A323</f>
        <v>31</v>
      </c>
      <c r="U323" s="146" t="n">
        <f aca="false">CHOOSE(F$3,A324+24,A323)</f>
        <v>46563</v>
      </c>
      <c r="V323" s="71" t="n">
        <f aca="false">U323-C$3</f>
        <v>9675</v>
      </c>
      <c r="W323" s="142" t="n">
        <f aca="false">VLOOKUP($A323,Table,MATCH(W$4,Curves,0))</f>
        <v>0.058966861357273</v>
      </c>
      <c r="X323" s="147" t="n">
        <f aca="false">1/(1+CHOOSE(F$3,(W324+($K$3/10000))/2,(W323+($K$3/10000))/2))^(2*V323/365.25)</f>
        <v>0.214515608165606</v>
      </c>
      <c r="Y323" s="71" t="n">
        <f aca="false">IF(AND(mthbeg&lt;=A323,mthend&gt;=A323),1,0)</f>
        <v>0</v>
      </c>
      <c r="Z323" s="71" t="n">
        <f aca="false">T323*Y323</f>
        <v>0</v>
      </c>
      <c r="AB323" s="132" t="n">
        <f aca="false">F323*G323</f>
        <v>0</v>
      </c>
      <c r="AC323" s="132" t="n">
        <f aca="false">$F323*H323</f>
        <v>0</v>
      </c>
      <c r="AD323" s="132" t="n">
        <f aca="false">$F323*I323</f>
        <v>0</v>
      </c>
      <c r="AE323" s="132" t="n">
        <f aca="false">$F323*J323</f>
        <v>0</v>
      </c>
      <c r="AF323" s="132" t="n">
        <f aca="false">$F323*K323</f>
        <v>0</v>
      </c>
      <c r="AG323" s="132" t="n">
        <f aca="false">$F323*L323</f>
        <v>0</v>
      </c>
      <c r="AH323" s="132" t="n">
        <f aca="false">$F323*M323</f>
        <v>0</v>
      </c>
      <c r="AI323" s="132" t="n">
        <f aca="false">$F323*N323</f>
        <v>0</v>
      </c>
      <c r="AJ323" s="132" t="n">
        <f aca="false">F323*O323</f>
        <v>0</v>
      </c>
      <c r="AK323" s="137"/>
      <c r="AL323" s="132" t="n">
        <f aca="false">CHOOSE($G$3,AC323-AD323,AD323-AC323)</f>
        <v>0</v>
      </c>
      <c r="AM323" s="132" t="n">
        <f aca="false">CHOOSE($G$3,AF323-AG323,AG323-AF323)</f>
        <v>0</v>
      </c>
      <c r="AN323" s="132" t="n">
        <f aca="false">CHOOSE($G$3,AI323-AJ323,AJ323-AI323)</f>
        <v>0</v>
      </c>
      <c r="AO323" s="148" t="n">
        <f aca="false">SUM(AL323:AN323)</f>
        <v>0</v>
      </c>
      <c r="AQ323" s="132" t="n">
        <f aca="false">CHOOSE($G$3,AB323-AC323,AC323-AB323)</f>
        <v>0</v>
      </c>
      <c r="AR323" s="132" t="n">
        <f aca="false">CHOOSE($G$3,AE323-AF323,AF323-AE323)</f>
        <v>0</v>
      </c>
      <c r="AS323" s="132" t="n">
        <f aca="false">CHOOSE($G$3,AH323-AI323,AI323-AH323)</f>
        <v>0</v>
      </c>
      <c r="AT323" s="148" t="n">
        <f aca="false">AQ323+AR323+AS323</f>
        <v>0</v>
      </c>
      <c r="AU323" s="148"/>
      <c r="AV323" s="133" t="n">
        <f aca="false">AT323+AO323</f>
        <v>0</v>
      </c>
      <c r="AX323" s="133" t="n">
        <f aca="false">AJ323+AG323+AD323</f>
        <v>0</v>
      </c>
      <c r="AY323" s="149"/>
      <c r="AZ323" s="76" t="n">
        <f aca="false">R323*E323</f>
        <v>0</v>
      </c>
    </row>
    <row r="324" customFormat="false" ht="12" hidden="false" customHeight="true" outlineLevel="0" collapsed="false">
      <c r="A324" s="138" t="n">
        <f aca="false">EDATE(A323,1)</f>
        <v>46539</v>
      </c>
      <c r="B324" s="139" t="n">
        <f aca="false">VLOOKUP($A324,Table2,MATCH(I$3,Curves2,0))</f>
        <v>60900</v>
      </c>
      <c r="C324" s="140"/>
      <c r="D324" s="141" t="n">
        <f aca="false">B324+C324</f>
        <v>60900</v>
      </c>
      <c r="E324" s="126" t="n">
        <f aca="false">IF(Y324=0,0,IF(AND(Y324=1,$H$3=1),D324*T324,IF($H$3=2,D324,"N/A")))</f>
        <v>0</v>
      </c>
      <c r="F324" s="126" t="n">
        <f aca="false">E324*X324</f>
        <v>0</v>
      </c>
      <c r="G324" s="142" t="n">
        <f aca="false">VLOOKUP($A324,Table,MATCH(G$4,Curves,0))</f>
        <v>3.987</v>
      </c>
      <c r="H324" s="143" t="n">
        <f aca="false">G324</f>
        <v>3.987</v>
      </c>
      <c r="I324" s="142" t="n">
        <f aca="false">VLOOKUP($A324,Table1,MATCH(I$3,Curves1,0))</f>
        <v>3.7904</v>
      </c>
      <c r="J324" s="142" t="n">
        <f aca="false">VLOOKUP($A324,Table,MATCH(J$4,Curves,0))</f>
        <v>0.011</v>
      </c>
      <c r="K324" s="143" t="n">
        <f aca="false">J324</f>
        <v>0.011</v>
      </c>
      <c r="L324" s="144" t="n">
        <v>0</v>
      </c>
      <c r="M324" s="142" t="n">
        <f aca="false">VLOOKUP($A324,Table,MATCH(M$4,Curves,0))</f>
        <v>0.015</v>
      </c>
      <c r="N324" s="143" t="n">
        <f aca="false">M324</f>
        <v>0.015</v>
      </c>
      <c r="O324" s="144" t="n">
        <v>0</v>
      </c>
      <c r="P324" s="145"/>
      <c r="Q324" s="144" t="n">
        <f aca="false">M324+J324+G324</f>
        <v>4.013</v>
      </c>
      <c r="R324" s="144" t="n">
        <f aca="false">O324+L324+I324</f>
        <v>3.7904</v>
      </c>
      <c r="S324" s="145"/>
      <c r="T324" s="71" t="n">
        <f aca="false">A325-A324</f>
        <v>30</v>
      </c>
      <c r="U324" s="146" t="n">
        <f aca="false">CHOOSE(F$3,A325+24,A324)</f>
        <v>46593</v>
      </c>
      <c r="V324" s="71" t="n">
        <f aca="false">U324-C$3</f>
        <v>9705</v>
      </c>
      <c r="W324" s="142" t="n">
        <f aca="false">VLOOKUP($A324,Table,MATCH(W$4,Curves,0))</f>
        <v>0.058966861357273</v>
      </c>
      <c r="X324" s="147" t="n">
        <f aca="false">1/(1+CHOOSE(F$3,(W325+($K$3/10000))/2,(W324+($K$3/10000))/2))^(2*V324/365.25)</f>
        <v>0.213494111637868</v>
      </c>
      <c r="Y324" s="71" t="n">
        <f aca="false">IF(AND(mthbeg&lt;=A324,mthend&gt;=A324),1,0)</f>
        <v>0</v>
      </c>
      <c r="Z324" s="71" t="n">
        <f aca="false">T324*Y324</f>
        <v>0</v>
      </c>
      <c r="AB324" s="132" t="n">
        <f aca="false">F324*G324</f>
        <v>0</v>
      </c>
      <c r="AC324" s="132" t="n">
        <f aca="false">$F324*H324</f>
        <v>0</v>
      </c>
      <c r="AD324" s="132" t="n">
        <f aca="false">$F324*I324</f>
        <v>0</v>
      </c>
      <c r="AE324" s="132" t="n">
        <f aca="false">$F324*J324</f>
        <v>0</v>
      </c>
      <c r="AF324" s="132" t="n">
        <f aca="false">$F324*K324</f>
        <v>0</v>
      </c>
      <c r="AG324" s="132" t="n">
        <f aca="false">$F324*L324</f>
        <v>0</v>
      </c>
      <c r="AH324" s="132" t="n">
        <f aca="false">$F324*M324</f>
        <v>0</v>
      </c>
      <c r="AI324" s="132" t="n">
        <f aca="false">$F324*N324</f>
        <v>0</v>
      </c>
      <c r="AJ324" s="132" t="n">
        <f aca="false">F324*O324</f>
        <v>0</v>
      </c>
      <c r="AK324" s="137"/>
      <c r="AL324" s="132" t="n">
        <f aca="false">CHOOSE($G$3,AC324-AD324,AD324-AC324)</f>
        <v>0</v>
      </c>
      <c r="AM324" s="132" t="n">
        <f aca="false">CHOOSE($G$3,AF324-AG324,AG324-AF324)</f>
        <v>0</v>
      </c>
      <c r="AN324" s="132" t="n">
        <f aca="false">CHOOSE($G$3,AI324-AJ324,AJ324-AI324)</f>
        <v>0</v>
      </c>
      <c r="AO324" s="148" t="n">
        <f aca="false">SUM(AL324:AN324)</f>
        <v>0</v>
      </c>
      <c r="AQ324" s="132" t="n">
        <f aca="false">CHOOSE($G$3,AB324-AC324,AC324-AB324)</f>
        <v>0</v>
      </c>
      <c r="AR324" s="132" t="n">
        <f aca="false">CHOOSE($G$3,AE324-AF324,AF324-AE324)</f>
        <v>0</v>
      </c>
      <c r="AS324" s="132" t="n">
        <f aca="false">CHOOSE($G$3,AH324-AI324,AI324-AH324)</f>
        <v>0</v>
      </c>
      <c r="AT324" s="148" t="n">
        <f aca="false">AQ324+AR324+AS324</f>
        <v>0</v>
      </c>
      <c r="AU324" s="148"/>
      <c r="AV324" s="133" t="n">
        <f aca="false">AT324+AO324</f>
        <v>0</v>
      </c>
      <c r="AX324" s="133" t="n">
        <f aca="false">AJ324+AG324+AD324</f>
        <v>0</v>
      </c>
      <c r="AY324" s="149"/>
      <c r="AZ324" s="76" t="n">
        <f aca="false">R324*E324</f>
        <v>0</v>
      </c>
    </row>
    <row r="325" customFormat="false" ht="12" hidden="false" customHeight="true" outlineLevel="0" collapsed="false">
      <c r="A325" s="138" t="n">
        <f aca="false">EDATE(A324,1)</f>
        <v>46569</v>
      </c>
      <c r="B325" s="139" t="n">
        <f aca="false">VLOOKUP($A325,Table2,MATCH(I$3,Curves2,0))</f>
        <v>60900</v>
      </c>
      <c r="C325" s="140"/>
      <c r="D325" s="141" t="n">
        <f aca="false">B325+C325</f>
        <v>60900</v>
      </c>
      <c r="E325" s="126" t="n">
        <f aca="false">IF(Y325=0,0,IF(AND(Y325=1,$H$3=1),D325*T325,IF($H$3=2,D325,"N/A")))</f>
        <v>0</v>
      </c>
      <c r="F325" s="126" t="n">
        <f aca="false">E325*X325</f>
        <v>0</v>
      </c>
      <c r="G325" s="142" t="n">
        <f aca="false">VLOOKUP($A325,Table,MATCH(G$4,Curves,0))</f>
        <v>3.987</v>
      </c>
      <c r="H325" s="143" t="n">
        <f aca="false">G325</f>
        <v>3.987</v>
      </c>
      <c r="I325" s="142" t="n">
        <f aca="false">VLOOKUP($A325,Table1,MATCH(I$3,Curves1,0))</f>
        <v>3.7904</v>
      </c>
      <c r="J325" s="142" t="n">
        <f aca="false">VLOOKUP($A325,Table,MATCH(J$4,Curves,0))</f>
        <v>0.011</v>
      </c>
      <c r="K325" s="143" t="n">
        <f aca="false">J325</f>
        <v>0.011</v>
      </c>
      <c r="L325" s="144" t="n">
        <v>0</v>
      </c>
      <c r="M325" s="142" t="n">
        <f aca="false">VLOOKUP($A325,Table,MATCH(M$4,Curves,0))</f>
        <v>0.015</v>
      </c>
      <c r="N325" s="143" t="n">
        <f aca="false">M325</f>
        <v>0.015</v>
      </c>
      <c r="O325" s="144" t="n">
        <v>0</v>
      </c>
      <c r="P325" s="145"/>
      <c r="Q325" s="144" t="n">
        <f aca="false">M325+J325+G325</f>
        <v>4.013</v>
      </c>
      <c r="R325" s="144" t="n">
        <f aca="false">O325+L325+I325</f>
        <v>3.7904</v>
      </c>
      <c r="S325" s="145"/>
      <c r="T325" s="71" t="n">
        <f aca="false">A326-A325</f>
        <v>31</v>
      </c>
      <c r="U325" s="146" t="n">
        <f aca="false">CHOOSE(F$3,A326+24,A325)</f>
        <v>46624</v>
      </c>
      <c r="V325" s="71" t="n">
        <f aca="false">U325-C$3</f>
        <v>9736</v>
      </c>
      <c r="W325" s="142" t="n">
        <f aca="false">VLOOKUP($A325,Table,MATCH(W$4,Curves,0))</f>
        <v>0.058966861357273</v>
      </c>
      <c r="X325" s="147" t="n">
        <f aca="false">1/(1+CHOOSE(F$3,(W326+($K$3/10000))/2,(W325+($K$3/10000))/2))^(2*V325/365.25)</f>
        <v>0.212443675108336</v>
      </c>
      <c r="Y325" s="71" t="n">
        <f aca="false">IF(AND(mthbeg&lt;=A325,mthend&gt;=A325),1,0)</f>
        <v>0</v>
      </c>
      <c r="Z325" s="71" t="n">
        <f aca="false">T325*Y325</f>
        <v>0</v>
      </c>
      <c r="AB325" s="132" t="n">
        <f aca="false">F325*G325</f>
        <v>0</v>
      </c>
      <c r="AC325" s="132" t="n">
        <f aca="false">$F325*H325</f>
        <v>0</v>
      </c>
      <c r="AD325" s="132" t="n">
        <f aca="false">$F325*I325</f>
        <v>0</v>
      </c>
      <c r="AE325" s="132" t="n">
        <f aca="false">$F325*J325</f>
        <v>0</v>
      </c>
      <c r="AF325" s="132" t="n">
        <f aca="false">$F325*K325</f>
        <v>0</v>
      </c>
      <c r="AG325" s="132" t="n">
        <f aca="false">$F325*L325</f>
        <v>0</v>
      </c>
      <c r="AH325" s="132" t="n">
        <f aca="false">$F325*M325</f>
        <v>0</v>
      </c>
      <c r="AI325" s="132" t="n">
        <f aca="false">$F325*N325</f>
        <v>0</v>
      </c>
      <c r="AJ325" s="132" t="n">
        <f aca="false">F325*O325</f>
        <v>0</v>
      </c>
      <c r="AK325" s="137"/>
      <c r="AL325" s="132" t="n">
        <f aca="false">CHOOSE($G$3,AC325-AD325,AD325-AC325)</f>
        <v>0</v>
      </c>
      <c r="AM325" s="132" t="n">
        <f aca="false">CHOOSE($G$3,AF325-AG325,AG325-AF325)</f>
        <v>0</v>
      </c>
      <c r="AN325" s="132" t="n">
        <f aca="false">CHOOSE($G$3,AI325-AJ325,AJ325-AI325)</f>
        <v>0</v>
      </c>
      <c r="AO325" s="148" t="n">
        <f aca="false">SUM(AL325:AN325)</f>
        <v>0</v>
      </c>
      <c r="AQ325" s="132" t="n">
        <f aca="false">CHOOSE($G$3,AB325-AC325,AC325-AB325)</f>
        <v>0</v>
      </c>
      <c r="AR325" s="132" t="n">
        <f aca="false">CHOOSE($G$3,AE325-AF325,AF325-AE325)</f>
        <v>0</v>
      </c>
      <c r="AS325" s="132" t="n">
        <f aca="false">CHOOSE($G$3,AH325-AI325,AI325-AH325)</f>
        <v>0</v>
      </c>
      <c r="AT325" s="148" t="n">
        <f aca="false">AQ325+AR325+AS325</f>
        <v>0</v>
      </c>
      <c r="AU325" s="148"/>
      <c r="AV325" s="133" t="n">
        <f aca="false">AT325+AO325</f>
        <v>0</v>
      </c>
      <c r="AX325" s="133" t="n">
        <f aca="false">AJ325+AG325+AD325</f>
        <v>0</v>
      </c>
      <c r="AY325" s="149"/>
      <c r="AZ325" s="76" t="n">
        <f aca="false">R325*E325</f>
        <v>0</v>
      </c>
    </row>
    <row r="326" customFormat="false" ht="12" hidden="false" customHeight="true" outlineLevel="0" collapsed="false">
      <c r="A326" s="138" t="n">
        <f aca="false">EDATE(A325,1)</f>
        <v>46600</v>
      </c>
      <c r="B326" s="139" t="n">
        <f aca="false">VLOOKUP($A326,Table2,MATCH(I$3,Curves2,0))</f>
        <v>60900</v>
      </c>
      <c r="C326" s="140"/>
      <c r="D326" s="141" t="n">
        <f aca="false">B326+C326</f>
        <v>60900</v>
      </c>
      <c r="E326" s="126" t="n">
        <f aca="false">IF(Y326=0,0,IF(AND(Y326=1,$H$3=1),D326*T326,IF($H$3=2,D326,"N/A")))</f>
        <v>0</v>
      </c>
      <c r="F326" s="126" t="n">
        <f aca="false">E326*X326</f>
        <v>0</v>
      </c>
      <c r="G326" s="142" t="n">
        <f aca="false">VLOOKUP($A326,Table,MATCH(G$4,Curves,0))</f>
        <v>3.987</v>
      </c>
      <c r="H326" s="143" t="n">
        <f aca="false">G326</f>
        <v>3.987</v>
      </c>
      <c r="I326" s="142" t="n">
        <f aca="false">VLOOKUP($A326,Table1,MATCH(I$3,Curves1,0))</f>
        <v>3.7904</v>
      </c>
      <c r="J326" s="142" t="n">
        <f aca="false">VLOOKUP($A326,Table,MATCH(J$4,Curves,0))</f>
        <v>0.011</v>
      </c>
      <c r="K326" s="143" t="n">
        <f aca="false">J326</f>
        <v>0.011</v>
      </c>
      <c r="L326" s="144" t="n">
        <v>0</v>
      </c>
      <c r="M326" s="142" t="n">
        <f aca="false">VLOOKUP($A326,Table,MATCH(M$4,Curves,0))</f>
        <v>0.015</v>
      </c>
      <c r="N326" s="143" t="n">
        <f aca="false">M326</f>
        <v>0.015</v>
      </c>
      <c r="O326" s="144" t="n">
        <v>0</v>
      </c>
      <c r="P326" s="145"/>
      <c r="Q326" s="144" t="n">
        <f aca="false">M326+J326+G326</f>
        <v>4.013</v>
      </c>
      <c r="R326" s="144" t="n">
        <f aca="false">O326+L326+I326</f>
        <v>3.7904</v>
      </c>
      <c r="S326" s="145"/>
      <c r="T326" s="71" t="n">
        <f aca="false">A327-A326</f>
        <v>31</v>
      </c>
      <c r="U326" s="146" t="n">
        <f aca="false">CHOOSE(F$3,A327+24,A326)</f>
        <v>46655</v>
      </c>
      <c r="V326" s="71" t="n">
        <f aca="false">U326-C$3</f>
        <v>9767</v>
      </c>
      <c r="W326" s="142" t="n">
        <f aca="false">VLOOKUP($A326,Table,MATCH(W$4,Curves,0))</f>
        <v>0.058966861357273</v>
      </c>
      <c r="X326" s="147" t="n">
        <f aca="false">1/(1+CHOOSE(F$3,(W327+($K$3/10000))/2,(W326+($K$3/10000))/2))^(2*V326/365.25)</f>
        <v>0.211398406950401</v>
      </c>
      <c r="Y326" s="71" t="n">
        <f aca="false">IF(AND(mthbeg&lt;=A326,mthend&gt;=A326),1,0)</f>
        <v>0</v>
      </c>
      <c r="Z326" s="71" t="n">
        <f aca="false">T326*Y326</f>
        <v>0</v>
      </c>
      <c r="AB326" s="132" t="n">
        <f aca="false">F326*G326</f>
        <v>0</v>
      </c>
      <c r="AC326" s="132" t="n">
        <f aca="false">$F326*H326</f>
        <v>0</v>
      </c>
      <c r="AD326" s="132" t="n">
        <f aca="false">$F326*I326</f>
        <v>0</v>
      </c>
      <c r="AE326" s="132" t="n">
        <f aca="false">$F326*J326</f>
        <v>0</v>
      </c>
      <c r="AF326" s="132" t="n">
        <f aca="false">$F326*K326</f>
        <v>0</v>
      </c>
      <c r="AG326" s="132" t="n">
        <f aca="false">$F326*L326</f>
        <v>0</v>
      </c>
      <c r="AH326" s="132" t="n">
        <f aca="false">$F326*M326</f>
        <v>0</v>
      </c>
      <c r="AI326" s="132" t="n">
        <f aca="false">$F326*N326</f>
        <v>0</v>
      </c>
      <c r="AJ326" s="132" t="n">
        <f aca="false">F326*O326</f>
        <v>0</v>
      </c>
      <c r="AK326" s="137"/>
      <c r="AL326" s="132" t="n">
        <f aca="false">CHOOSE($G$3,AC326-AD326,AD326-AC326)</f>
        <v>0</v>
      </c>
      <c r="AM326" s="132" t="n">
        <f aca="false">CHOOSE($G$3,AF326-AG326,AG326-AF326)</f>
        <v>0</v>
      </c>
      <c r="AN326" s="132" t="n">
        <f aca="false">CHOOSE($G$3,AI326-AJ326,AJ326-AI326)</f>
        <v>0</v>
      </c>
      <c r="AO326" s="148" t="n">
        <f aca="false">SUM(AL326:AN326)</f>
        <v>0</v>
      </c>
      <c r="AQ326" s="132" t="n">
        <f aca="false">CHOOSE($G$3,AB326-AC326,AC326-AB326)</f>
        <v>0</v>
      </c>
      <c r="AR326" s="132" t="n">
        <f aca="false">CHOOSE($G$3,AE326-AF326,AF326-AE326)</f>
        <v>0</v>
      </c>
      <c r="AS326" s="132" t="n">
        <f aca="false">CHOOSE($G$3,AH326-AI326,AI326-AH326)</f>
        <v>0</v>
      </c>
      <c r="AT326" s="148" t="n">
        <f aca="false">AQ326+AR326+AS326</f>
        <v>0</v>
      </c>
      <c r="AU326" s="148"/>
      <c r="AV326" s="133" t="n">
        <f aca="false">AT326+AO326</f>
        <v>0</v>
      </c>
      <c r="AX326" s="133" t="n">
        <f aca="false">AJ326+AG326+AD326</f>
        <v>0</v>
      </c>
      <c r="AY326" s="149"/>
      <c r="AZ326" s="76" t="n">
        <f aca="false">R326*E326</f>
        <v>0</v>
      </c>
    </row>
    <row r="327" customFormat="false" ht="12" hidden="false" customHeight="true" outlineLevel="0" collapsed="false">
      <c r="A327" s="138" t="n">
        <f aca="false">EDATE(A326,1)</f>
        <v>46631</v>
      </c>
      <c r="B327" s="139" t="n">
        <f aca="false">VLOOKUP($A327,Table2,MATCH(I$3,Curves2,0))</f>
        <v>60900</v>
      </c>
      <c r="C327" s="140"/>
      <c r="D327" s="141" t="n">
        <f aca="false">B327+C327</f>
        <v>60900</v>
      </c>
      <c r="E327" s="126" t="n">
        <f aca="false">IF(Y327=0,0,IF(AND(Y327=1,$H$3=1),D327*T327,IF($H$3=2,D327,"N/A")))</f>
        <v>0</v>
      </c>
      <c r="F327" s="126" t="n">
        <f aca="false">E327*X327</f>
        <v>0</v>
      </c>
      <c r="G327" s="142" t="n">
        <f aca="false">VLOOKUP($A327,Table,MATCH(G$4,Curves,0))</f>
        <v>3.987</v>
      </c>
      <c r="H327" s="143" t="n">
        <f aca="false">G327</f>
        <v>3.987</v>
      </c>
      <c r="I327" s="142" t="n">
        <f aca="false">VLOOKUP($A327,Table1,MATCH(I$3,Curves1,0))</f>
        <v>3.7904</v>
      </c>
      <c r="J327" s="142" t="n">
        <f aca="false">VLOOKUP($A327,Table,MATCH(J$4,Curves,0))</f>
        <v>0.011</v>
      </c>
      <c r="K327" s="143" t="n">
        <f aca="false">J327</f>
        <v>0.011</v>
      </c>
      <c r="L327" s="144" t="n">
        <v>0</v>
      </c>
      <c r="M327" s="142" t="n">
        <f aca="false">VLOOKUP($A327,Table,MATCH(M$4,Curves,0))</f>
        <v>0.015</v>
      </c>
      <c r="N327" s="143" t="n">
        <f aca="false">M327</f>
        <v>0.015</v>
      </c>
      <c r="O327" s="144" t="n">
        <v>0</v>
      </c>
      <c r="P327" s="145"/>
      <c r="Q327" s="144" t="n">
        <f aca="false">M327+J327+G327</f>
        <v>4.013</v>
      </c>
      <c r="R327" s="144" t="n">
        <f aca="false">O327+L327+I327</f>
        <v>3.7904</v>
      </c>
      <c r="S327" s="145"/>
      <c r="T327" s="71" t="n">
        <f aca="false">A328-A327</f>
        <v>30</v>
      </c>
      <c r="U327" s="146" t="n">
        <f aca="false">CHOOSE(F$3,A328+24,A327)</f>
        <v>46685</v>
      </c>
      <c r="V327" s="71" t="n">
        <f aca="false">U327-C$3</f>
        <v>9797</v>
      </c>
      <c r="W327" s="142" t="n">
        <f aca="false">VLOOKUP($A327,Table,MATCH(W$4,Curves,0))</f>
        <v>0.058966861357273</v>
      </c>
      <c r="X327" s="147" t="n">
        <f aca="false">1/(1+CHOOSE(F$3,(W328+($K$3/10000))/2,(W327+($K$3/10000))/2))^(2*V327/365.25)</f>
        <v>0.210391754145433</v>
      </c>
      <c r="Y327" s="71" t="n">
        <f aca="false">IF(AND(mthbeg&lt;=A327,mthend&gt;=A327),1,0)</f>
        <v>0</v>
      </c>
      <c r="Z327" s="71" t="n">
        <f aca="false">T327*Y327</f>
        <v>0</v>
      </c>
      <c r="AB327" s="132" t="n">
        <f aca="false">F327*G327</f>
        <v>0</v>
      </c>
      <c r="AC327" s="132" t="n">
        <f aca="false">$F327*H327</f>
        <v>0</v>
      </c>
      <c r="AD327" s="132" t="n">
        <f aca="false">$F327*I327</f>
        <v>0</v>
      </c>
      <c r="AE327" s="132" t="n">
        <f aca="false">$F327*J327</f>
        <v>0</v>
      </c>
      <c r="AF327" s="132" t="n">
        <f aca="false">$F327*K327</f>
        <v>0</v>
      </c>
      <c r="AG327" s="132" t="n">
        <f aca="false">$F327*L327</f>
        <v>0</v>
      </c>
      <c r="AH327" s="132" t="n">
        <f aca="false">$F327*M327</f>
        <v>0</v>
      </c>
      <c r="AI327" s="132" t="n">
        <f aca="false">$F327*N327</f>
        <v>0</v>
      </c>
      <c r="AJ327" s="132" t="n">
        <f aca="false">F327*O327</f>
        <v>0</v>
      </c>
      <c r="AK327" s="137"/>
      <c r="AL327" s="132" t="n">
        <f aca="false">CHOOSE($G$3,AC327-AD327,AD327-AC327)</f>
        <v>0</v>
      </c>
      <c r="AM327" s="132" t="n">
        <f aca="false">CHOOSE($G$3,AF327-AG327,AG327-AF327)</f>
        <v>0</v>
      </c>
      <c r="AN327" s="132" t="n">
        <f aca="false">CHOOSE($G$3,AI327-AJ327,AJ327-AI327)</f>
        <v>0</v>
      </c>
      <c r="AO327" s="148" t="n">
        <f aca="false">SUM(AL327:AN327)</f>
        <v>0</v>
      </c>
      <c r="AQ327" s="132" t="n">
        <f aca="false">CHOOSE($G$3,AB327-AC327,AC327-AB327)</f>
        <v>0</v>
      </c>
      <c r="AR327" s="132" t="n">
        <f aca="false">CHOOSE($G$3,AE327-AF327,AF327-AE327)</f>
        <v>0</v>
      </c>
      <c r="AS327" s="132" t="n">
        <f aca="false">CHOOSE($G$3,AH327-AI327,AI327-AH327)</f>
        <v>0</v>
      </c>
      <c r="AT327" s="148" t="n">
        <f aca="false">AQ327+AR327+AS327</f>
        <v>0</v>
      </c>
      <c r="AU327" s="148"/>
      <c r="AV327" s="133" t="n">
        <f aca="false">AT327+AO327</f>
        <v>0</v>
      </c>
      <c r="AX327" s="133" t="n">
        <f aca="false">AJ327+AG327+AD327</f>
        <v>0</v>
      </c>
      <c r="AY327" s="149"/>
      <c r="AZ327" s="76" t="n">
        <f aca="false">R327*E327</f>
        <v>0</v>
      </c>
    </row>
    <row r="328" customFormat="false" ht="12" hidden="false" customHeight="true" outlineLevel="0" collapsed="false">
      <c r="A328" s="138" t="n">
        <f aca="false">EDATE(A327,1)</f>
        <v>46661</v>
      </c>
      <c r="B328" s="139" t="n">
        <f aca="false">VLOOKUP($A328,Table2,MATCH(I$3,Curves2,0))</f>
        <v>60900</v>
      </c>
      <c r="C328" s="140"/>
      <c r="D328" s="141" t="n">
        <f aca="false">B328+C328</f>
        <v>60900</v>
      </c>
      <c r="E328" s="126" t="n">
        <f aca="false">IF(Y328=0,0,IF(AND(Y328=1,$H$3=1),D328*T328,IF($H$3=2,D328,"N/A")))</f>
        <v>0</v>
      </c>
      <c r="F328" s="126" t="n">
        <f aca="false">E328*X328</f>
        <v>0</v>
      </c>
      <c r="G328" s="142" t="n">
        <f aca="false">VLOOKUP($A328,Table,MATCH(G$4,Curves,0))</f>
        <v>3.987</v>
      </c>
      <c r="H328" s="143" t="n">
        <f aca="false">G328</f>
        <v>3.987</v>
      </c>
      <c r="I328" s="142" t="n">
        <f aca="false">VLOOKUP($A328,Table1,MATCH(I$3,Curves1,0))</f>
        <v>3.7904</v>
      </c>
      <c r="J328" s="142" t="n">
        <f aca="false">VLOOKUP($A328,Table,MATCH(J$4,Curves,0))</f>
        <v>0.011</v>
      </c>
      <c r="K328" s="143" t="n">
        <f aca="false">J328</f>
        <v>0.011</v>
      </c>
      <c r="L328" s="144" t="n">
        <v>0</v>
      </c>
      <c r="M328" s="142" t="n">
        <f aca="false">VLOOKUP($A328,Table,MATCH(M$4,Curves,0))</f>
        <v>0.015</v>
      </c>
      <c r="N328" s="143" t="n">
        <f aca="false">M328</f>
        <v>0.015</v>
      </c>
      <c r="O328" s="144" t="n">
        <v>0</v>
      </c>
      <c r="P328" s="145"/>
      <c r="Q328" s="144" t="n">
        <f aca="false">M328+J328+G328</f>
        <v>4.013</v>
      </c>
      <c r="R328" s="144" t="n">
        <f aca="false">O328+L328+I328</f>
        <v>3.7904</v>
      </c>
      <c r="S328" s="145"/>
      <c r="T328" s="71" t="n">
        <f aca="false">A329-A328</f>
        <v>31</v>
      </c>
      <c r="U328" s="146" t="n">
        <f aca="false">CHOOSE(F$3,A329+24,A328)</f>
        <v>46716</v>
      </c>
      <c r="V328" s="71" t="n">
        <f aca="false">U328-C$3</f>
        <v>9828</v>
      </c>
      <c r="W328" s="142" t="n">
        <f aca="false">VLOOKUP($A328,Table,MATCH(W$4,Curves,0))</f>
        <v>0.058966861357273</v>
      </c>
      <c r="X328" s="147" t="n">
        <f aca="false">1/(1+CHOOSE(F$3,(W329+($K$3/10000))/2,(W328+($K$3/10000))/2))^(2*V328/365.25)</f>
        <v>0.209356581875944</v>
      </c>
      <c r="Y328" s="71" t="n">
        <f aca="false">IF(AND(mthbeg&lt;=A328,mthend&gt;=A328),1,0)</f>
        <v>0</v>
      </c>
      <c r="Z328" s="71" t="n">
        <f aca="false">T328*Y328</f>
        <v>0</v>
      </c>
      <c r="AB328" s="132" t="n">
        <f aca="false">F328*G328</f>
        <v>0</v>
      </c>
      <c r="AC328" s="132" t="n">
        <f aca="false">$F328*H328</f>
        <v>0</v>
      </c>
      <c r="AD328" s="132" t="n">
        <f aca="false">$F328*I328</f>
        <v>0</v>
      </c>
      <c r="AE328" s="132" t="n">
        <f aca="false">$F328*J328</f>
        <v>0</v>
      </c>
      <c r="AF328" s="132" t="n">
        <f aca="false">$F328*K328</f>
        <v>0</v>
      </c>
      <c r="AG328" s="132" t="n">
        <f aca="false">$F328*L328</f>
        <v>0</v>
      </c>
      <c r="AH328" s="132" t="n">
        <f aca="false">$F328*M328</f>
        <v>0</v>
      </c>
      <c r="AI328" s="132" t="n">
        <f aca="false">$F328*N328</f>
        <v>0</v>
      </c>
      <c r="AJ328" s="132" t="n">
        <f aca="false">F328*O328</f>
        <v>0</v>
      </c>
      <c r="AK328" s="137"/>
      <c r="AL328" s="132" t="n">
        <f aca="false">CHOOSE($G$3,AC328-AD328,AD328-AC328)</f>
        <v>0</v>
      </c>
      <c r="AM328" s="132" t="n">
        <f aca="false">CHOOSE($G$3,AF328-AG328,AG328-AF328)</f>
        <v>0</v>
      </c>
      <c r="AN328" s="132" t="n">
        <f aca="false">CHOOSE($G$3,AI328-AJ328,AJ328-AI328)</f>
        <v>0</v>
      </c>
      <c r="AO328" s="148" t="n">
        <f aca="false">SUM(AL328:AN328)</f>
        <v>0</v>
      </c>
      <c r="AQ328" s="132" t="n">
        <f aca="false">CHOOSE($G$3,AB328-AC328,AC328-AB328)</f>
        <v>0</v>
      </c>
      <c r="AR328" s="132" t="n">
        <f aca="false">CHOOSE($G$3,AE328-AF328,AF328-AE328)</f>
        <v>0</v>
      </c>
      <c r="AS328" s="132" t="n">
        <f aca="false">CHOOSE($G$3,AH328-AI328,AI328-AH328)</f>
        <v>0</v>
      </c>
      <c r="AT328" s="148" t="n">
        <f aca="false">AQ328+AR328+AS328</f>
        <v>0</v>
      </c>
      <c r="AU328" s="148"/>
      <c r="AV328" s="133" t="n">
        <f aca="false">AT328+AO328</f>
        <v>0</v>
      </c>
      <c r="AX328" s="133" t="n">
        <f aca="false">AJ328+AG328+AD328</f>
        <v>0</v>
      </c>
      <c r="AY328" s="149"/>
      <c r="AZ328" s="76" t="n">
        <f aca="false">R328*E328</f>
        <v>0</v>
      </c>
    </row>
    <row r="329" customFormat="false" ht="12" hidden="false" customHeight="true" outlineLevel="0" collapsed="false">
      <c r="A329" s="138" t="n">
        <f aca="false">EDATE(A328,1)</f>
        <v>46692</v>
      </c>
      <c r="B329" s="139" t="n">
        <f aca="false">VLOOKUP($A329,Table2,MATCH(I$3,Curves2,0))</f>
        <v>60900</v>
      </c>
      <c r="C329" s="140"/>
      <c r="D329" s="141" t="n">
        <f aca="false">B329+C329</f>
        <v>60900</v>
      </c>
      <c r="E329" s="126" t="n">
        <f aca="false">IF(Y329=0,0,IF(AND(Y329=1,$H$3=1),D329*T329,IF($H$3=2,D329,"N/A")))</f>
        <v>0</v>
      </c>
      <c r="F329" s="126" t="n">
        <f aca="false">E329*X329</f>
        <v>0</v>
      </c>
      <c r="G329" s="142" t="n">
        <f aca="false">VLOOKUP($A329,Table,MATCH(G$4,Curves,0))</f>
        <v>3.987</v>
      </c>
      <c r="H329" s="143" t="n">
        <f aca="false">G329</f>
        <v>3.987</v>
      </c>
      <c r="I329" s="142" t="n">
        <f aca="false">VLOOKUP($A329,Table1,MATCH(I$3,Curves1,0))</f>
        <v>3.7904</v>
      </c>
      <c r="J329" s="142" t="n">
        <f aca="false">VLOOKUP($A329,Table,MATCH(J$4,Curves,0))</f>
        <v>0.011</v>
      </c>
      <c r="K329" s="143" t="n">
        <f aca="false">J329</f>
        <v>0.011</v>
      </c>
      <c r="L329" s="144" t="n">
        <v>0</v>
      </c>
      <c r="M329" s="142" t="n">
        <f aca="false">VLOOKUP($A329,Table,MATCH(M$4,Curves,0))</f>
        <v>0.015</v>
      </c>
      <c r="N329" s="143" t="n">
        <f aca="false">M329</f>
        <v>0.015</v>
      </c>
      <c r="O329" s="144" t="n">
        <v>0</v>
      </c>
      <c r="P329" s="145"/>
      <c r="Q329" s="144" t="n">
        <f aca="false">M329+J329+G329</f>
        <v>4.013</v>
      </c>
      <c r="R329" s="144" t="n">
        <f aca="false">O329+L329+I329</f>
        <v>3.7904</v>
      </c>
      <c r="S329" s="145"/>
      <c r="T329" s="71" t="n">
        <f aca="false">A330-A329</f>
        <v>30</v>
      </c>
      <c r="U329" s="146" t="n">
        <f aca="false">CHOOSE(F$3,A330+24,A329)</f>
        <v>46746</v>
      </c>
      <c r="V329" s="71" t="n">
        <f aca="false">U329-C$3</f>
        <v>9858</v>
      </c>
      <c r="W329" s="142" t="n">
        <f aca="false">VLOOKUP($A329,Table,MATCH(W$4,Curves,0))</f>
        <v>0.058966861357273</v>
      </c>
      <c r="X329" s="147" t="n">
        <f aca="false">1/(1+CHOOSE(F$3,(W330+($K$3/10000))/2,(W329+($K$3/10000))/2))^(2*V329/365.25)</f>
        <v>0.208359651986907</v>
      </c>
      <c r="Y329" s="71" t="n">
        <f aca="false">IF(AND(mthbeg&lt;=A329,mthend&gt;=A329),1,0)</f>
        <v>0</v>
      </c>
      <c r="Z329" s="71" t="n">
        <f aca="false">T329*Y329</f>
        <v>0</v>
      </c>
      <c r="AB329" s="132" t="n">
        <f aca="false">F329*G329</f>
        <v>0</v>
      </c>
      <c r="AC329" s="132" t="n">
        <f aca="false">$F329*H329</f>
        <v>0</v>
      </c>
      <c r="AD329" s="132" t="n">
        <f aca="false">$F329*I329</f>
        <v>0</v>
      </c>
      <c r="AE329" s="132" t="n">
        <f aca="false">$F329*J329</f>
        <v>0</v>
      </c>
      <c r="AF329" s="132" t="n">
        <f aca="false">$F329*K329</f>
        <v>0</v>
      </c>
      <c r="AG329" s="132" t="n">
        <f aca="false">$F329*L329</f>
        <v>0</v>
      </c>
      <c r="AH329" s="132" t="n">
        <f aca="false">$F329*M329</f>
        <v>0</v>
      </c>
      <c r="AI329" s="132" t="n">
        <f aca="false">$F329*N329</f>
        <v>0</v>
      </c>
      <c r="AJ329" s="132" t="n">
        <f aca="false">F329*O329</f>
        <v>0</v>
      </c>
      <c r="AK329" s="137"/>
      <c r="AL329" s="132" t="n">
        <f aca="false">CHOOSE($G$3,AC329-AD329,AD329-AC329)</f>
        <v>0</v>
      </c>
      <c r="AM329" s="132" t="n">
        <f aca="false">CHOOSE($G$3,AF329-AG329,AG329-AF329)</f>
        <v>0</v>
      </c>
      <c r="AN329" s="132" t="n">
        <f aca="false">CHOOSE($G$3,AI329-AJ329,AJ329-AI329)</f>
        <v>0</v>
      </c>
      <c r="AO329" s="148" t="n">
        <f aca="false">SUM(AL329:AN329)</f>
        <v>0</v>
      </c>
      <c r="AQ329" s="132" t="n">
        <f aca="false">CHOOSE($G$3,AB329-AC329,AC329-AB329)</f>
        <v>0</v>
      </c>
      <c r="AR329" s="132" t="n">
        <f aca="false">CHOOSE($G$3,AE329-AF329,AF329-AE329)</f>
        <v>0</v>
      </c>
      <c r="AS329" s="132" t="n">
        <f aca="false">CHOOSE($G$3,AH329-AI329,AI329-AH329)</f>
        <v>0</v>
      </c>
      <c r="AT329" s="148" t="n">
        <f aca="false">AQ329+AR329+AS329</f>
        <v>0</v>
      </c>
      <c r="AU329" s="148"/>
      <c r="AV329" s="133" t="n">
        <f aca="false">AT329+AO329</f>
        <v>0</v>
      </c>
      <c r="AX329" s="133" t="n">
        <f aca="false">AJ329+AG329+AD329</f>
        <v>0</v>
      </c>
      <c r="AY329" s="149"/>
      <c r="AZ329" s="76" t="n">
        <f aca="false">R329*E329</f>
        <v>0</v>
      </c>
    </row>
    <row r="330" customFormat="false" ht="12" hidden="false" customHeight="true" outlineLevel="0" collapsed="false">
      <c r="A330" s="138" t="n">
        <f aca="false">EDATE(A329,1)</f>
        <v>46722</v>
      </c>
      <c r="B330" s="139" t="n">
        <f aca="false">VLOOKUP($A330,Table2,MATCH(I$3,Curves2,0))</f>
        <v>60900</v>
      </c>
      <c r="C330" s="140"/>
      <c r="D330" s="141" t="n">
        <f aca="false">B330+C330</f>
        <v>60900</v>
      </c>
      <c r="E330" s="126" t="n">
        <f aca="false">IF(Y330=0,0,IF(AND(Y330=1,$H$3=1),D330*T330,IF($H$3=2,D330,"N/A")))</f>
        <v>0</v>
      </c>
      <c r="F330" s="126" t="n">
        <f aca="false">E330*X330</f>
        <v>0</v>
      </c>
      <c r="G330" s="142" t="n">
        <f aca="false">VLOOKUP($A330,Table,MATCH(G$4,Curves,0))</f>
        <v>3.987</v>
      </c>
      <c r="H330" s="143" t="n">
        <f aca="false">G330</f>
        <v>3.987</v>
      </c>
      <c r="I330" s="142" t="n">
        <f aca="false">VLOOKUP($A330,Table1,MATCH(I$3,Curves1,0))</f>
        <v>3.7904</v>
      </c>
      <c r="J330" s="142" t="n">
        <f aca="false">VLOOKUP($A330,Table,MATCH(J$4,Curves,0))</f>
        <v>0.011</v>
      </c>
      <c r="K330" s="143" t="n">
        <f aca="false">J330</f>
        <v>0.011</v>
      </c>
      <c r="L330" s="144" t="n">
        <v>0</v>
      </c>
      <c r="M330" s="142" t="n">
        <f aca="false">VLOOKUP($A330,Table,MATCH(M$4,Curves,0))</f>
        <v>0.015</v>
      </c>
      <c r="N330" s="143" t="n">
        <f aca="false">M330</f>
        <v>0.015</v>
      </c>
      <c r="O330" s="144" t="n">
        <v>0</v>
      </c>
      <c r="P330" s="145"/>
      <c r="Q330" s="144" t="n">
        <f aca="false">M330+J330+G330</f>
        <v>4.013</v>
      </c>
      <c r="R330" s="144" t="n">
        <f aca="false">O330+L330+I330</f>
        <v>3.7904</v>
      </c>
      <c r="S330" s="145"/>
      <c r="T330" s="71" t="n">
        <f aca="false">A331-A330</f>
        <v>31</v>
      </c>
      <c r="U330" s="146" t="n">
        <f aca="false">CHOOSE(F$3,A331+24,A330)</f>
        <v>46777</v>
      </c>
      <c r="V330" s="71" t="n">
        <f aca="false">U330-C$3</f>
        <v>9889</v>
      </c>
      <c r="W330" s="142" t="n">
        <f aca="false">VLOOKUP($A330,Table,MATCH(W$4,Curves,0))</f>
        <v>0.058966861357273</v>
      </c>
      <c r="X330" s="147" t="n">
        <f aca="false">1/(1+CHOOSE(F$3,(W331+($K$3/10000))/2,(W330+($K$3/10000))/2))^(2*V330/365.25)</f>
        <v>0.207334478093123</v>
      </c>
      <c r="Y330" s="71" t="n">
        <f aca="false">IF(AND(mthbeg&lt;=A330,mthend&gt;=A330),1,0)</f>
        <v>0</v>
      </c>
      <c r="Z330" s="71" t="n">
        <f aca="false">T330*Y330</f>
        <v>0</v>
      </c>
      <c r="AB330" s="132" t="n">
        <f aca="false">F330*G330</f>
        <v>0</v>
      </c>
      <c r="AC330" s="132" t="n">
        <f aca="false">$F330*H330</f>
        <v>0</v>
      </c>
      <c r="AD330" s="132" t="n">
        <f aca="false">$F330*I330</f>
        <v>0</v>
      </c>
      <c r="AE330" s="132" t="n">
        <f aca="false">$F330*J330</f>
        <v>0</v>
      </c>
      <c r="AF330" s="132" t="n">
        <f aca="false">$F330*K330</f>
        <v>0</v>
      </c>
      <c r="AG330" s="132" t="n">
        <f aca="false">$F330*L330</f>
        <v>0</v>
      </c>
      <c r="AH330" s="132" t="n">
        <f aca="false">$F330*M330</f>
        <v>0</v>
      </c>
      <c r="AI330" s="132" t="n">
        <f aca="false">$F330*N330</f>
        <v>0</v>
      </c>
      <c r="AJ330" s="132" t="n">
        <f aca="false">F330*O330</f>
        <v>0</v>
      </c>
      <c r="AK330" s="137"/>
      <c r="AL330" s="132" t="n">
        <f aca="false">CHOOSE($G$3,AC330-AD330,AD330-AC330)</f>
        <v>0</v>
      </c>
      <c r="AM330" s="132" t="n">
        <f aca="false">CHOOSE($G$3,AF330-AG330,AG330-AF330)</f>
        <v>0</v>
      </c>
      <c r="AN330" s="132" t="n">
        <f aca="false">CHOOSE($G$3,AI330-AJ330,AJ330-AI330)</f>
        <v>0</v>
      </c>
      <c r="AO330" s="148" t="n">
        <f aca="false">SUM(AL330:AN330)</f>
        <v>0</v>
      </c>
      <c r="AQ330" s="132" t="n">
        <f aca="false">CHOOSE($G$3,AB330-AC330,AC330-AB330)</f>
        <v>0</v>
      </c>
      <c r="AR330" s="132" t="n">
        <f aca="false">CHOOSE($G$3,AE330-AF330,AF330-AE330)</f>
        <v>0</v>
      </c>
      <c r="AS330" s="132" t="n">
        <f aca="false">CHOOSE($G$3,AH330-AI330,AI330-AH330)</f>
        <v>0</v>
      </c>
      <c r="AT330" s="148" t="n">
        <f aca="false">AQ330+AR330+AS330</f>
        <v>0</v>
      </c>
      <c r="AU330" s="148"/>
      <c r="AV330" s="133" t="n">
        <f aca="false">AT330+AO330</f>
        <v>0</v>
      </c>
      <c r="AX330" s="133" t="n">
        <f aca="false">AJ330+AG330+AD330</f>
        <v>0</v>
      </c>
      <c r="AY330" s="149"/>
      <c r="AZ330" s="76" t="n">
        <f aca="false">R330*E330</f>
        <v>0</v>
      </c>
    </row>
    <row r="331" customFormat="false" ht="12" hidden="false" customHeight="true" outlineLevel="0" collapsed="false">
      <c r="A331" s="138" t="n">
        <f aca="false">EDATE(A330,1)</f>
        <v>46753</v>
      </c>
      <c r="B331" s="139" t="n">
        <f aca="false">VLOOKUP($A331,Table2,MATCH(I$3,Curves2,0))</f>
        <v>60900</v>
      </c>
      <c r="C331" s="140"/>
      <c r="D331" s="141" t="n">
        <f aca="false">B331+C331</f>
        <v>60900</v>
      </c>
      <c r="E331" s="126" t="n">
        <f aca="false">IF(Y331=0,0,IF(AND(Y331=1,$H$3=1),D331*T331,IF($H$3=2,D331,"N/A")))</f>
        <v>0</v>
      </c>
      <c r="F331" s="126" t="n">
        <f aca="false">E331*X331</f>
        <v>0</v>
      </c>
      <c r="G331" s="142" t="n">
        <f aca="false">VLOOKUP($A331,Table,MATCH(G$4,Curves,0))</f>
        <v>3.987</v>
      </c>
      <c r="H331" s="143" t="n">
        <f aca="false">G331</f>
        <v>3.987</v>
      </c>
      <c r="I331" s="142" t="n">
        <f aca="false">VLOOKUP($A331,Table1,MATCH(I$3,Curves1,0))</f>
        <v>3.7904</v>
      </c>
      <c r="J331" s="142" t="n">
        <f aca="false">VLOOKUP($A331,Table,MATCH(J$4,Curves,0))</f>
        <v>0.011</v>
      </c>
      <c r="K331" s="143" t="n">
        <f aca="false">J331</f>
        <v>0.011</v>
      </c>
      <c r="L331" s="144" t="n">
        <v>0</v>
      </c>
      <c r="M331" s="142" t="n">
        <f aca="false">VLOOKUP($A331,Table,MATCH(M$4,Curves,0))</f>
        <v>0.015</v>
      </c>
      <c r="N331" s="143" t="n">
        <f aca="false">M331</f>
        <v>0.015</v>
      </c>
      <c r="O331" s="144" t="n">
        <v>0</v>
      </c>
      <c r="P331" s="145"/>
      <c r="Q331" s="144" t="n">
        <f aca="false">M331+J331+G331</f>
        <v>4.013</v>
      </c>
      <c r="R331" s="144" t="n">
        <f aca="false">O331+L331+I331</f>
        <v>3.7904</v>
      </c>
      <c r="S331" s="145"/>
      <c r="T331" s="71" t="n">
        <f aca="false">A332-A331</f>
        <v>31</v>
      </c>
      <c r="U331" s="146" t="n">
        <f aca="false">CHOOSE(F$3,A332+24,A331)</f>
        <v>46808</v>
      </c>
      <c r="V331" s="71" t="n">
        <f aca="false">U331-C$3</f>
        <v>9920</v>
      </c>
      <c r="W331" s="142" t="n">
        <f aca="false">VLOOKUP($A331,Table,MATCH(W$4,Curves,0))</f>
        <v>0.058966861357273</v>
      </c>
      <c r="X331" s="147" t="n">
        <f aca="false">1/(1+CHOOSE(F$3,(W332+($K$3/10000))/2,(W331+($K$3/10000))/2))^(2*V331/365.25)</f>
        <v>0.206314348273384</v>
      </c>
      <c r="Y331" s="71" t="n">
        <f aca="false">IF(AND(mthbeg&lt;=A331,mthend&gt;=A331),1,0)</f>
        <v>0</v>
      </c>
      <c r="Z331" s="71" t="n">
        <f aca="false">T331*Y331</f>
        <v>0</v>
      </c>
      <c r="AB331" s="132" t="n">
        <f aca="false">F331*G331</f>
        <v>0</v>
      </c>
      <c r="AC331" s="132" t="n">
        <f aca="false">$F331*H331</f>
        <v>0</v>
      </c>
      <c r="AD331" s="132" t="n">
        <f aca="false">$F331*I331</f>
        <v>0</v>
      </c>
      <c r="AE331" s="132" t="n">
        <f aca="false">$F331*J331</f>
        <v>0</v>
      </c>
      <c r="AF331" s="132" t="n">
        <f aca="false">$F331*K331</f>
        <v>0</v>
      </c>
      <c r="AG331" s="132" t="n">
        <f aca="false">$F331*L331</f>
        <v>0</v>
      </c>
      <c r="AH331" s="132" t="n">
        <f aca="false">$F331*M331</f>
        <v>0</v>
      </c>
      <c r="AI331" s="132" t="n">
        <f aca="false">$F331*N331</f>
        <v>0</v>
      </c>
      <c r="AJ331" s="132" t="n">
        <f aca="false">F331*O331</f>
        <v>0</v>
      </c>
      <c r="AK331" s="137"/>
      <c r="AL331" s="132" t="n">
        <f aca="false">CHOOSE($G$3,AC331-AD331,AD331-AC331)</f>
        <v>0</v>
      </c>
      <c r="AM331" s="132" t="n">
        <f aca="false">CHOOSE($G$3,AF331-AG331,AG331-AF331)</f>
        <v>0</v>
      </c>
      <c r="AN331" s="132" t="n">
        <f aca="false">CHOOSE($G$3,AI331-AJ331,AJ331-AI331)</f>
        <v>0</v>
      </c>
      <c r="AO331" s="148" t="n">
        <f aca="false">SUM(AL331:AN331)</f>
        <v>0</v>
      </c>
      <c r="AQ331" s="132" t="n">
        <f aca="false">CHOOSE($G$3,AB331-AC331,AC331-AB331)</f>
        <v>0</v>
      </c>
      <c r="AR331" s="132" t="n">
        <f aca="false">CHOOSE($G$3,AE331-AF331,AF331-AE331)</f>
        <v>0</v>
      </c>
      <c r="AS331" s="132" t="n">
        <f aca="false">CHOOSE($G$3,AH331-AI331,AI331-AH331)</f>
        <v>0</v>
      </c>
      <c r="AT331" s="148" t="n">
        <f aca="false">AQ331+AR331+AS331</f>
        <v>0</v>
      </c>
      <c r="AU331" s="148"/>
      <c r="AV331" s="133" t="n">
        <f aca="false">AT331+AO331</f>
        <v>0</v>
      </c>
      <c r="AX331" s="133" t="n">
        <f aca="false">AJ331+AG331+AD331</f>
        <v>0</v>
      </c>
      <c r="AY331" s="149"/>
      <c r="AZ331" s="76" t="n">
        <f aca="false">R331*E331</f>
        <v>0</v>
      </c>
    </row>
    <row r="332" customFormat="false" ht="12" hidden="false" customHeight="true" outlineLevel="0" collapsed="false">
      <c r="A332" s="138" t="n">
        <f aca="false">EDATE(A331,1)</f>
        <v>46784</v>
      </c>
      <c r="B332" s="139" t="n">
        <f aca="false">VLOOKUP($A332,Table2,MATCH(I$3,Curves2,0))</f>
        <v>60900</v>
      </c>
      <c r="C332" s="140"/>
      <c r="D332" s="141" t="n">
        <f aca="false">B332+C332</f>
        <v>60900</v>
      </c>
      <c r="E332" s="126" t="n">
        <f aca="false">IF(Y332=0,0,IF(AND(Y332=1,$H$3=1),D332*T332,IF($H$3=2,D332,"N/A")))</f>
        <v>0</v>
      </c>
      <c r="F332" s="126" t="n">
        <f aca="false">E332*X332</f>
        <v>0</v>
      </c>
      <c r="G332" s="142" t="n">
        <f aca="false">VLOOKUP($A332,Table,MATCH(G$4,Curves,0))</f>
        <v>3.987</v>
      </c>
      <c r="H332" s="143" t="n">
        <f aca="false">G332</f>
        <v>3.987</v>
      </c>
      <c r="I332" s="142" t="n">
        <f aca="false">VLOOKUP($A332,Table1,MATCH(I$3,Curves1,0))</f>
        <v>3.7904</v>
      </c>
      <c r="J332" s="142" t="n">
        <f aca="false">VLOOKUP($A332,Table,MATCH(J$4,Curves,0))</f>
        <v>0.011</v>
      </c>
      <c r="K332" s="143" t="n">
        <f aca="false">J332</f>
        <v>0.011</v>
      </c>
      <c r="L332" s="144" t="n">
        <v>0</v>
      </c>
      <c r="M332" s="142" t="n">
        <f aca="false">VLOOKUP($A332,Table,MATCH(M$4,Curves,0))</f>
        <v>0.015</v>
      </c>
      <c r="N332" s="143" t="n">
        <f aca="false">M332</f>
        <v>0.015</v>
      </c>
      <c r="O332" s="144" t="n">
        <v>0</v>
      </c>
      <c r="P332" s="145"/>
      <c r="Q332" s="144" t="n">
        <f aca="false">M332+J332+G332</f>
        <v>4.013</v>
      </c>
      <c r="R332" s="144" t="n">
        <f aca="false">O332+L332+I332</f>
        <v>3.7904</v>
      </c>
      <c r="S332" s="145"/>
      <c r="T332" s="71" t="n">
        <f aca="false">A333-A332</f>
        <v>29</v>
      </c>
      <c r="U332" s="146" t="n">
        <f aca="false">CHOOSE(F$3,A333+24,A332)</f>
        <v>46837</v>
      </c>
      <c r="V332" s="71" t="n">
        <f aca="false">U332-C$3</f>
        <v>9949</v>
      </c>
      <c r="W332" s="142" t="n">
        <f aca="false">VLOOKUP($A332,Table,MATCH(W$4,Curves,0))</f>
        <v>0.058966861357273</v>
      </c>
      <c r="X332" s="147" t="n">
        <f aca="false">1/(1+CHOOSE(F$3,(W333+($K$3/10000))/2,(W332+($K$3/10000))/2))^(2*V332/365.25)</f>
        <v>0.205364577729721</v>
      </c>
      <c r="Y332" s="71" t="n">
        <f aca="false">IF(AND(mthbeg&lt;=A332,mthend&gt;=A332),1,0)</f>
        <v>0</v>
      </c>
      <c r="Z332" s="71" t="n">
        <f aca="false">T332*Y332</f>
        <v>0</v>
      </c>
      <c r="AB332" s="132" t="n">
        <f aca="false">F332*G332</f>
        <v>0</v>
      </c>
      <c r="AC332" s="132" t="n">
        <f aca="false">$F332*H332</f>
        <v>0</v>
      </c>
      <c r="AD332" s="132" t="n">
        <f aca="false">$F332*I332</f>
        <v>0</v>
      </c>
      <c r="AE332" s="132" t="n">
        <f aca="false">$F332*J332</f>
        <v>0</v>
      </c>
      <c r="AF332" s="132" t="n">
        <f aca="false">$F332*K332</f>
        <v>0</v>
      </c>
      <c r="AG332" s="132" t="n">
        <f aca="false">$F332*L332</f>
        <v>0</v>
      </c>
      <c r="AH332" s="132" t="n">
        <f aca="false">$F332*M332</f>
        <v>0</v>
      </c>
      <c r="AI332" s="132" t="n">
        <f aca="false">$F332*N332</f>
        <v>0</v>
      </c>
      <c r="AJ332" s="132" t="n">
        <f aca="false">F332*O332</f>
        <v>0</v>
      </c>
      <c r="AK332" s="137"/>
      <c r="AL332" s="132" t="n">
        <f aca="false">CHOOSE($G$3,AC332-AD332,AD332-AC332)</f>
        <v>0</v>
      </c>
      <c r="AM332" s="132" t="n">
        <f aca="false">CHOOSE($G$3,AF332-AG332,AG332-AF332)</f>
        <v>0</v>
      </c>
      <c r="AN332" s="132" t="n">
        <f aca="false">CHOOSE($G$3,AI332-AJ332,AJ332-AI332)</f>
        <v>0</v>
      </c>
      <c r="AO332" s="148" t="n">
        <f aca="false">SUM(AL332:AN332)</f>
        <v>0</v>
      </c>
      <c r="AQ332" s="132" t="n">
        <f aca="false">CHOOSE($G$3,AB332-AC332,AC332-AB332)</f>
        <v>0</v>
      </c>
      <c r="AR332" s="132" t="n">
        <f aca="false">CHOOSE($G$3,AE332-AF332,AF332-AE332)</f>
        <v>0</v>
      </c>
      <c r="AS332" s="132" t="n">
        <f aca="false">CHOOSE($G$3,AH332-AI332,AI332-AH332)</f>
        <v>0</v>
      </c>
      <c r="AT332" s="148" t="n">
        <f aca="false">AQ332+AR332+AS332</f>
        <v>0</v>
      </c>
      <c r="AU332" s="148"/>
      <c r="AV332" s="133" t="n">
        <f aca="false">AT332+AO332</f>
        <v>0</v>
      </c>
      <c r="AX332" s="133" t="n">
        <f aca="false">AJ332+AG332+AD332</f>
        <v>0</v>
      </c>
      <c r="AY332" s="149"/>
      <c r="AZ332" s="76" t="n">
        <f aca="false">R332*E332</f>
        <v>0</v>
      </c>
    </row>
    <row r="333" customFormat="false" ht="12" hidden="false" customHeight="true" outlineLevel="0" collapsed="false">
      <c r="A333" s="138" t="n">
        <f aca="false">EDATE(A332,1)</f>
        <v>46813</v>
      </c>
      <c r="B333" s="139" t="n">
        <f aca="false">VLOOKUP($A333,Table2,MATCH(I$3,Curves2,0))</f>
        <v>60900</v>
      </c>
      <c r="C333" s="140"/>
      <c r="D333" s="141" t="n">
        <f aca="false">B333+C333</f>
        <v>60900</v>
      </c>
      <c r="E333" s="126" t="n">
        <f aca="false">IF(Y333=0,0,IF(AND(Y333=1,$H$3=1),D333*T333,IF($H$3=2,D333,"N/A")))</f>
        <v>0</v>
      </c>
      <c r="F333" s="126" t="n">
        <f aca="false">E333*X333</f>
        <v>0</v>
      </c>
      <c r="G333" s="142" t="n">
        <f aca="false">VLOOKUP($A333,Table,MATCH(G$4,Curves,0))</f>
        <v>3.987</v>
      </c>
      <c r="H333" s="143" t="n">
        <f aca="false">G333</f>
        <v>3.987</v>
      </c>
      <c r="I333" s="142" t="n">
        <f aca="false">VLOOKUP($A333,Table1,MATCH(I$3,Curves1,0))</f>
        <v>3.7904</v>
      </c>
      <c r="J333" s="142" t="n">
        <f aca="false">VLOOKUP($A333,Table,MATCH(J$4,Curves,0))</f>
        <v>0.011</v>
      </c>
      <c r="K333" s="143" t="n">
        <f aca="false">J333</f>
        <v>0.011</v>
      </c>
      <c r="L333" s="144" t="n">
        <v>0</v>
      </c>
      <c r="M333" s="142" t="n">
        <f aca="false">VLOOKUP($A333,Table,MATCH(M$4,Curves,0))</f>
        <v>0.015</v>
      </c>
      <c r="N333" s="143" t="n">
        <f aca="false">M333</f>
        <v>0.015</v>
      </c>
      <c r="O333" s="144" t="n">
        <v>0</v>
      </c>
      <c r="P333" s="145"/>
      <c r="Q333" s="144" t="n">
        <f aca="false">M333+J333+G333</f>
        <v>4.013</v>
      </c>
      <c r="R333" s="144" t="n">
        <f aca="false">O333+L333+I333</f>
        <v>3.7904</v>
      </c>
      <c r="S333" s="145"/>
      <c r="T333" s="71" t="n">
        <f aca="false">A334-A333</f>
        <v>31</v>
      </c>
      <c r="U333" s="146" t="n">
        <f aca="false">CHOOSE(F$3,A334+24,A333)</f>
        <v>46868</v>
      </c>
      <c r="V333" s="71" t="n">
        <f aca="false">U333-C$3</f>
        <v>9980</v>
      </c>
      <c r="W333" s="142" t="n">
        <f aca="false">VLOOKUP($A333,Table,MATCH(W$4,Curves,0))</f>
        <v>0.058966861357273</v>
      </c>
      <c r="X333" s="147" t="n">
        <f aca="false">1/(1+CHOOSE(F$3,(W334+($K$3/10000))/2,(W333+($K$3/10000))/2))^(2*V333/365.25)</f>
        <v>0.204354140239599</v>
      </c>
      <c r="Y333" s="71" t="n">
        <f aca="false">IF(AND(mthbeg&lt;=A333,mthend&gt;=A333),1,0)</f>
        <v>0</v>
      </c>
      <c r="Z333" s="71" t="n">
        <f aca="false">T333*Y333</f>
        <v>0</v>
      </c>
      <c r="AB333" s="132" t="n">
        <f aca="false">F333*G333</f>
        <v>0</v>
      </c>
      <c r="AC333" s="132" t="n">
        <f aca="false">$F333*H333</f>
        <v>0</v>
      </c>
      <c r="AD333" s="132" t="n">
        <f aca="false">$F333*I333</f>
        <v>0</v>
      </c>
      <c r="AE333" s="132" t="n">
        <f aca="false">$F333*J333</f>
        <v>0</v>
      </c>
      <c r="AF333" s="132" t="n">
        <f aca="false">$F333*K333</f>
        <v>0</v>
      </c>
      <c r="AG333" s="132" t="n">
        <f aca="false">$F333*L333</f>
        <v>0</v>
      </c>
      <c r="AH333" s="132" t="n">
        <f aca="false">$F333*M333</f>
        <v>0</v>
      </c>
      <c r="AI333" s="132" t="n">
        <f aca="false">$F333*N333</f>
        <v>0</v>
      </c>
      <c r="AJ333" s="132" t="n">
        <f aca="false">F333*O333</f>
        <v>0</v>
      </c>
      <c r="AK333" s="137"/>
      <c r="AL333" s="132" t="n">
        <f aca="false">CHOOSE($G$3,AC333-AD333,AD333-AC333)</f>
        <v>0</v>
      </c>
      <c r="AM333" s="132" t="n">
        <f aca="false">CHOOSE($G$3,AF333-AG333,AG333-AF333)</f>
        <v>0</v>
      </c>
      <c r="AN333" s="132" t="n">
        <f aca="false">CHOOSE($G$3,AI333-AJ333,AJ333-AI333)</f>
        <v>0</v>
      </c>
      <c r="AO333" s="148" t="n">
        <f aca="false">SUM(AL333:AN333)</f>
        <v>0</v>
      </c>
      <c r="AQ333" s="132" t="n">
        <f aca="false">CHOOSE($G$3,AB333-AC333,AC333-AB333)</f>
        <v>0</v>
      </c>
      <c r="AR333" s="132" t="n">
        <f aca="false">CHOOSE($G$3,AE333-AF333,AF333-AE333)</f>
        <v>0</v>
      </c>
      <c r="AS333" s="132" t="n">
        <f aca="false">CHOOSE($G$3,AH333-AI333,AI333-AH333)</f>
        <v>0</v>
      </c>
      <c r="AT333" s="148" t="n">
        <f aca="false">AQ333+AR333+AS333</f>
        <v>0</v>
      </c>
      <c r="AU333" s="148"/>
      <c r="AV333" s="133" t="n">
        <f aca="false">AT333+AO333</f>
        <v>0</v>
      </c>
      <c r="AX333" s="133" t="n">
        <f aca="false">AJ333+AG333+AD333</f>
        <v>0</v>
      </c>
      <c r="AY333" s="149"/>
      <c r="AZ333" s="76" t="n">
        <f aca="false">R333*E333</f>
        <v>0</v>
      </c>
    </row>
    <row r="334" customFormat="false" ht="12" hidden="false" customHeight="true" outlineLevel="0" collapsed="false">
      <c r="A334" s="138" t="n">
        <f aca="false">EDATE(A333,1)</f>
        <v>46844</v>
      </c>
      <c r="B334" s="139" t="n">
        <f aca="false">VLOOKUP($A334,Table2,MATCH(I$3,Curves2,0))</f>
        <v>60900</v>
      </c>
      <c r="C334" s="140"/>
      <c r="D334" s="141" t="n">
        <f aca="false">B334+C334</f>
        <v>60900</v>
      </c>
      <c r="E334" s="126" t="n">
        <f aca="false">IF(Y334=0,0,IF(AND(Y334=1,$H$3=1),D334*T334,IF($H$3=2,D334,"N/A")))</f>
        <v>0</v>
      </c>
      <c r="F334" s="126" t="n">
        <f aca="false">E334*X334</f>
        <v>0</v>
      </c>
      <c r="G334" s="142" t="n">
        <f aca="false">VLOOKUP($A334,Table,MATCH(G$4,Curves,0))</f>
        <v>3.987</v>
      </c>
      <c r="H334" s="143" t="n">
        <f aca="false">G334</f>
        <v>3.987</v>
      </c>
      <c r="I334" s="142" t="n">
        <f aca="false">VLOOKUP($A334,Table1,MATCH(I$3,Curves1,0))</f>
        <v>3.7904</v>
      </c>
      <c r="J334" s="142" t="n">
        <f aca="false">VLOOKUP($A334,Table,MATCH(J$4,Curves,0))</f>
        <v>0.011</v>
      </c>
      <c r="K334" s="143" t="n">
        <f aca="false">J334</f>
        <v>0.011</v>
      </c>
      <c r="L334" s="144" t="n">
        <v>0</v>
      </c>
      <c r="M334" s="142" t="n">
        <f aca="false">VLOOKUP($A334,Table,MATCH(M$4,Curves,0))</f>
        <v>0.015</v>
      </c>
      <c r="N334" s="143" t="n">
        <f aca="false">M334</f>
        <v>0.015</v>
      </c>
      <c r="O334" s="144" t="n">
        <v>0</v>
      </c>
      <c r="P334" s="145"/>
      <c r="Q334" s="144" t="n">
        <f aca="false">M334+J334+G334</f>
        <v>4.013</v>
      </c>
      <c r="R334" s="144" t="n">
        <f aca="false">O334+L334+I334</f>
        <v>3.7904</v>
      </c>
      <c r="S334" s="145"/>
      <c r="T334" s="71" t="n">
        <f aca="false">A335-A334</f>
        <v>30</v>
      </c>
      <c r="U334" s="146" t="n">
        <f aca="false">CHOOSE(F$3,A335+24,A334)</f>
        <v>46898</v>
      </c>
      <c r="V334" s="71" t="n">
        <f aca="false">U334-C$3</f>
        <v>10010</v>
      </c>
      <c r="W334" s="142" t="n">
        <f aca="false">VLOOKUP($A334,Table,MATCH(W$4,Curves,0))</f>
        <v>0.058966861357273</v>
      </c>
      <c r="X334" s="147" t="n">
        <f aca="false">1/(1+CHOOSE(F$3,(W335+($K$3/10000))/2,(W334+($K$3/10000))/2))^(2*V334/365.25)</f>
        <v>0.203381031352704</v>
      </c>
      <c r="Y334" s="71" t="n">
        <f aca="false">IF(AND(mthbeg&lt;=A334,mthend&gt;=A334),1,0)</f>
        <v>0</v>
      </c>
      <c r="Z334" s="71" t="n">
        <f aca="false">T334*Y334</f>
        <v>0</v>
      </c>
      <c r="AB334" s="132" t="n">
        <f aca="false">F334*G334</f>
        <v>0</v>
      </c>
      <c r="AC334" s="132" t="n">
        <f aca="false">$F334*H334</f>
        <v>0</v>
      </c>
      <c r="AD334" s="132" t="n">
        <f aca="false">$F334*I334</f>
        <v>0</v>
      </c>
      <c r="AE334" s="132" t="n">
        <f aca="false">$F334*J334</f>
        <v>0</v>
      </c>
      <c r="AF334" s="132" t="n">
        <f aca="false">$F334*K334</f>
        <v>0</v>
      </c>
      <c r="AG334" s="132" t="n">
        <f aca="false">$F334*L334</f>
        <v>0</v>
      </c>
      <c r="AH334" s="132" t="n">
        <f aca="false">$F334*M334</f>
        <v>0</v>
      </c>
      <c r="AI334" s="132" t="n">
        <f aca="false">$F334*N334</f>
        <v>0</v>
      </c>
      <c r="AJ334" s="132" t="n">
        <f aca="false">F334*O334</f>
        <v>0</v>
      </c>
      <c r="AK334" s="137"/>
      <c r="AL334" s="132" t="n">
        <f aca="false">CHOOSE($G$3,AC334-AD334,AD334-AC334)</f>
        <v>0</v>
      </c>
      <c r="AM334" s="132" t="n">
        <f aca="false">CHOOSE($G$3,AF334-AG334,AG334-AF334)</f>
        <v>0</v>
      </c>
      <c r="AN334" s="132" t="n">
        <f aca="false">CHOOSE($G$3,AI334-AJ334,AJ334-AI334)</f>
        <v>0</v>
      </c>
      <c r="AO334" s="148" t="n">
        <f aca="false">SUM(AL334:AN334)</f>
        <v>0</v>
      </c>
      <c r="AQ334" s="132" t="n">
        <f aca="false">CHOOSE($G$3,AB334-AC334,AC334-AB334)</f>
        <v>0</v>
      </c>
      <c r="AR334" s="132" t="n">
        <f aca="false">CHOOSE($G$3,AE334-AF334,AF334-AE334)</f>
        <v>0</v>
      </c>
      <c r="AS334" s="132" t="n">
        <f aca="false">CHOOSE($G$3,AH334-AI334,AI334-AH334)</f>
        <v>0</v>
      </c>
      <c r="AT334" s="148" t="n">
        <f aca="false">AQ334+AR334+AS334</f>
        <v>0</v>
      </c>
      <c r="AU334" s="148"/>
      <c r="AV334" s="133" t="n">
        <f aca="false">AT334+AO334</f>
        <v>0</v>
      </c>
      <c r="AX334" s="133" t="n">
        <f aca="false">AJ334+AG334+AD334</f>
        <v>0</v>
      </c>
      <c r="AY334" s="149"/>
      <c r="AZ334" s="76" t="n">
        <f aca="false">R334*E334</f>
        <v>0</v>
      </c>
    </row>
    <row r="335" customFormat="false" ht="12" hidden="false" customHeight="true" outlineLevel="0" collapsed="false">
      <c r="A335" s="138" t="n">
        <f aca="false">EDATE(A334,1)</f>
        <v>46874</v>
      </c>
      <c r="B335" s="139" t="n">
        <f aca="false">VLOOKUP($A335,Table2,MATCH(I$3,Curves2,0))</f>
        <v>60900</v>
      </c>
      <c r="C335" s="140"/>
      <c r="D335" s="141" t="n">
        <f aca="false">B335+C335</f>
        <v>60900</v>
      </c>
      <c r="E335" s="126" t="n">
        <f aca="false">IF(Y335=0,0,IF(AND(Y335=1,$H$3=1),D335*T335,IF($H$3=2,D335,"N/A")))</f>
        <v>0</v>
      </c>
      <c r="F335" s="126" t="n">
        <f aca="false">E335*X335</f>
        <v>0</v>
      </c>
      <c r="G335" s="142" t="n">
        <f aca="false">VLOOKUP($A335,Table,MATCH(G$4,Curves,0))</f>
        <v>3.987</v>
      </c>
      <c r="H335" s="143" t="n">
        <f aca="false">G335</f>
        <v>3.987</v>
      </c>
      <c r="I335" s="142" t="n">
        <f aca="false">VLOOKUP($A335,Table1,MATCH(I$3,Curves1,0))</f>
        <v>3.7904</v>
      </c>
      <c r="J335" s="142" t="n">
        <f aca="false">VLOOKUP($A335,Table,MATCH(J$4,Curves,0))</f>
        <v>0.011</v>
      </c>
      <c r="K335" s="143" t="n">
        <f aca="false">J335</f>
        <v>0.011</v>
      </c>
      <c r="L335" s="144" t="n">
        <v>0</v>
      </c>
      <c r="M335" s="142" t="n">
        <f aca="false">VLOOKUP($A335,Table,MATCH(M$4,Curves,0))</f>
        <v>0.015</v>
      </c>
      <c r="N335" s="143" t="n">
        <f aca="false">M335</f>
        <v>0.015</v>
      </c>
      <c r="O335" s="144" t="n">
        <v>0</v>
      </c>
      <c r="P335" s="145"/>
      <c r="Q335" s="144" t="n">
        <f aca="false">M335+J335+G335</f>
        <v>4.013</v>
      </c>
      <c r="R335" s="144" t="n">
        <f aca="false">O335+L335+I335</f>
        <v>3.7904</v>
      </c>
      <c r="S335" s="145"/>
      <c r="T335" s="71" t="n">
        <f aca="false">A336-A335</f>
        <v>31</v>
      </c>
      <c r="U335" s="146" t="n">
        <f aca="false">CHOOSE(F$3,A336+24,A335)</f>
        <v>46929</v>
      </c>
      <c r="V335" s="71" t="n">
        <f aca="false">U335-C$3</f>
        <v>10041</v>
      </c>
      <c r="W335" s="142" t="n">
        <f aca="false">VLOOKUP($A335,Table,MATCH(W$4,Curves,0))</f>
        <v>0.058966861357273</v>
      </c>
      <c r="X335" s="147" t="n">
        <f aca="false">1/(1+CHOOSE(F$3,(W336+($K$3/10000))/2,(W335+($K$3/10000))/2))^(2*V335/365.25)</f>
        <v>0.202380353333494</v>
      </c>
      <c r="Y335" s="71" t="n">
        <f aca="false">IF(AND(mthbeg&lt;=A335,mthend&gt;=A335),1,0)</f>
        <v>0</v>
      </c>
      <c r="Z335" s="71" t="n">
        <f aca="false">T335*Y335</f>
        <v>0</v>
      </c>
      <c r="AB335" s="132" t="n">
        <f aca="false">F335*G335</f>
        <v>0</v>
      </c>
      <c r="AC335" s="132" t="n">
        <f aca="false">$F335*H335</f>
        <v>0</v>
      </c>
      <c r="AD335" s="132" t="n">
        <f aca="false">$F335*I335</f>
        <v>0</v>
      </c>
      <c r="AE335" s="132" t="n">
        <f aca="false">$F335*J335</f>
        <v>0</v>
      </c>
      <c r="AF335" s="132" t="n">
        <f aca="false">$F335*K335</f>
        <v>0</v>
      </c>
      <c r="AG335" s="132" t="n">
        <f aca="false">$F335*L335</f>
        <v>0</v>
      </c>
      <c r="AH335" s="132" t="n">
        <f aca="false">$F335*M335</f>
        <v>0</v>
      </c>
      <c r="AI335" s="132" t="n">
        <f aca="false">$F335*N335</f>
        <v>0</v>
      </c>
      <c r="AJ335" s="132" t="n">
        <f aca="false">F335*O335</f>
        <v>0</v>
      </c>
      <c r="AK335" s="137"/>
      <c r="AL335" s="132" t="n">
        <f aca="false">CHOOSE($G$3,AC335-AD335,AD335-AC335)</f>
        <v>0</v>
      </c>
      <c r="AM335" s="132" t="n">
        <f aca="false">CHOOSE($G$3,AF335-AG335,AG335-AF335)</f>
        <v>0</v>
      </c>
      <c r="AN335" s="132" t="n">
        <f aca="false">CHOOSE($G$3,AI335-AJ335,AJ335-AI335)</f>
        <v>0</v>
      </c>
      <c r="AO335" s="148" t="n">
        <f aca="false">SUM(AL335:AN335)</f>
        <v>0</v>
      </c>
      <c r="AQ335" s="132" t="n">
        <f aca="false">CHOOSE($G$3,AB335-AC335,AC335-AB335)</f>
        <v>0</v>
      </c>
      <c r="AR335" s="132" t="n">
        <f aca="false">CHOOSE($G$3,AE335-AF335,AF335-AE335)</f>
        <v>0</v>
      </c>
      <c r="AS335" s="132" t="n">
        <f aca="false">CHOOSE($G$3,AH335-AI335,AI335-AH335)</f>
        <v>0</v>
      </c>
      <c r="AT335" s="148" t="n">
        <f aca="false">AQ335+AR335+AS335</f>
        <v>0</v>
      </c>
      <c r="AU335" s="148"/>
      <c r="AV335" s="133" t="n">
        <f aca="false">AT335+AO335</f>
        <v>0</v>
      </c>
      <c r="AX335" s="133" t="n">
        <f aca="false">AJ335+AG335+AD335</f>
        <v>0</v>
      </c>
      <c r="AY335" s="149"/>
      <c r="AZ335" s="76" t="n">
        <f aca="false">R335*E335</f>
        <v>0</v>
      </c>
    </row>
    <row r="336" customFormat="false" ht="12" hidden="false" customHeight="true" outlineLevel="0" collapsed="false">
      <c r="A336" s="138" t="n">
        <f aca="false">EDATE(A335,1)</f>
        <v>46905</v>
      </c>
      <c r="B336" s="139" t="n">
        <f aca="false">VLOOKUP($A336,Table2,MATCH(I$3,Curves2,0))</f>
        <v>60900</v>
      </c>
      <c r="C336" s="140"/>
      <c r="D336" s="141" t="n">
        <f aca="false">B336+C336</f>
        <v>60900</v>
      </c>
      <c r="E336" s="126" t="n">
        <f aca="false">IF(Y336=0,0,IF(AND(Y336=1,$H$3=1),D336*T336,IF($H$3=2,D336,"N/A")))</f>
        <v>0</v>
      </c>
      <c r="F336" s="126" t="n">
        <f aca="false">E336*X336</f>
        <v>0</v>
      </c>
      <c r="G336" s="142" t="n">
        <f aca="false">VLOOKUP($A336,Table,MATCH(G$4,Curves,0))</f>
        <v>3.987</v>
      </c>
      <c r="H336" s="143" t="n">
        <f aca="false">G336</f>
        <v>3.987</v>
      </c>
      <c r="I336" s="142" t="n">
        <f aca="false">VLOOKUP($A336,Table1,MATCH(I$3,Curves1,0))</f>
        <v>3.7904</v>
      </c>
      <c r="J336" s="142" t="n">
        <f aca="false">VLOOKUP($A336,Table,MATCH(J$4,Curves,0))</f>
        <v>0.011</v>
      </c>
      <c r="K336" s="143" t="n">
        <f aca="false">J336</f>
        <v>0.011</v>
      </c>
      <c r="L336" s="144" t="n">
        <v>0</v>
      </c>
      <c r="M336" s="142" t="n">
        <f aca="false">VLOOKUP($A336,Table,MATCH(M$4,Curves,0))</f>
        <v>0.015</v>
      </c>
      <c r="N336" s="143" t="n">
        <f aca="false">M336</f>
        <v>0.015</v>
      </c>
      <c r="O336" s="144" t="n">
        <v>0</v>
      </c>
      <c r="P336" s="145"/>
      <c r="Q336" s="144" t="n">
        <f aca="false">M336+J336+G336</f>
        <v>4.013</v>
      </c>
      <c r="R336" s="144" t="n">
        <f aca="false">O336+L336+I336</f>
        <v>3.7904</v>
      </c>
      <c r="S336" s="145"/>
      <c r="T336" s="71" t="n">
        <f aca="false">A337-A336</f>
        <v>30</v>
      </c>
      <c r="U336" s="146" t="n">
        <f aca="false">CHOOSE(F$3,A337+24,A336)</f>
        <v>46959</v>
      </c>
      <c r="V336" s="71" t="n">
        <f aca="false">U336-C$3</f>
        <v>10071</v>
      </c>
      <c r="W336" s="142" t="n">
        <f aca="false">VLOOKUP($A336,Table,MATCH(W$4,Curves,0))</f>
        <v>0.058966861357273</v>
      </c>
      <c r="X336" s="147" t="n">
        <f aca="false">1/(1+CHOOSE(F$3,(W337+($K$3/10000))/2,(W336+($K$3/10000))/2))^(2*V336/365.25)</f>
        <v>0.201416643373271</v>
      </c>
      <c r="Y336" s="71" t="n">
        <f aca="false">IF(AND(mthbeg&lt;=A336,mthend&gt;=A336),1,0)</f>
        <v>0</v>
      </c>
      <c r="Z336" s="71" t="n">
        <f aca="false">T336*Y336</f>
        <v>0</v>
      </c>
      <c r="AB336" s="132" t="n">
        <f aca="false">F336*G336</f>
        <v>0</v>
      </c>
      <c r="AC336" s="132" t="n">
        <f aca="false">$F336*H336</f>
        <v>0</v>
      </c>
      <c r="AD336" s="132" t="n">
        <f aca="false">$F336*I336</f>
        <v>0</v>
      </c>
      <c r="AE336" s="132" t="n">
        <f aca="false">$F336*J336</f>
        <v>0</v>
      </c>
      <c r="AF336" s="132" t="n">
        <f aca="false">$F336*K336</f>
        <v>0</v>
      </c>
      <c r="AG336" s="132" t="n">
        <f aca="false">$F336*L336</f>
        <v>0</v>
      </c>
      <c r="AH336" s="132" t="n">
        <f aca="false">$F336*M336</f>
        <v>0</v>
      </c>
      <c r="AI336" s="132" t="n">
        <f aca="false">$F336*N336</f>
        <v>0</v>
      </c>
      <c r="AJ336" s="132" t="n">
        <f aca="false">F336*O336</f>
        <v>0</v>
      </c>
      <c r="AK336" s="137"/>
      <c r="AL336" s="132" t="n">
        <f aca="false">CHOOSE($G$3,AC336-AD336,AD336-AC336)</f>
        <v>0</v>
      </c>
      <c r="AM336" s="132" t="n">
        <f aca="false">CHOOSE($G$3,AF336-AG336,AG336-AF336)</f>
        <v>0</v>
      </c>
      <c r="AN336" s="132" t="n">
        <f aca="false">CHOOSE($G$3,AI336-AJ336,AJ336-AI336)</f>
        <v>0</v>
      </c>
      <c r="AO336" s="148" t="n">
        <f aca="false">SUM(AL336:AN336)</f>
        <v>0</v>
      </c>
      <c r="AQ336" s="132" t="n">
        <f aca="false">CHOOSE($G$3,AB336-AC336,AC336-AB336)</f>
        <v>0</v>
      </c>
      <c r="AR336" s="132" t="n">
        <f aca="false">CHOOSE($G$3,AE336-AF336,AF336-AE336)</f>
        <v>0</v>
      </c>
      <c r="AS336" s="132" t="n">
        <f aca="false">CHOOSE($G$3,AH336-AI336,AI336-AH336)</f>
        <v>0</v>
      </c>
      <c r="AT336" s="148" t="n">
        <f aca="false">AQ336+AR336+AS336</f>
        <v>0</v>
      </c>
      <c r="AU336" s="148"/>
      <c r="AV336" s="133" t="n">
        <f aca="false">AT336+AO336</f>
        <v>0</v>
      </c>
      <c r="AX336" s="133" t="n">
        <f aca="false">AJ336+AG336+AD336</f>
        <v>0</v>
      </c>
      <c r="AY336" s="149"/>
      <c r="AZ336" s="76" t="n">
        <f aca="false">R336*E336</f>
        <v>0</v>
      </c>
    </row>
    <row r="337" customFormat="false" ht="12" hidden="false" customHeight="true" outlineLevel="0" collapsed="false">
      <c r="A337" s="138" t="n">
        <f aca="false">EDATE(A336,1)</f>
        <v>46935</v>
      </c>
      <c r="B337" s="139" t="n">
        <f aca="false">VLOOKUP($A337,Table2,MATCH(I$3,Curves2,0))</f>
        <v>60900</v>
      </c>
      <c r="C337" s="140"/>
      <c r="D337" s="141" t="n">
        <f aca="false">B337+C337</f>
        <v>60900</v>
      </c>
      <c r="E337" s="126" t="n">
        <f aca="false">IF(Y337=0,0,IF(AND(Y337=1,$H$3=1),D337*T337,IF($H$3=2,D337,"N/A")))</f>
        <v>0</v>
      </c>
      <c r="F337" s="126" t="n">
        <f aca="false">E337*X337</f>
        <v>0</v>
      </c>
      <c r="G337" s="142" t="n">
        <f aca="false">VLOOKUP($A337,Table,MATCH(G$4,Curves,0))</f>
        <v>3.987</v>
      </c>
      <c r="H337" s="143" t="n">
        <f aca="false">G337</f>
        <v>3.987</v>
      </c>
      <c r="I337" s="142" t="n">
        <f aca="false">VLOOKUP($A337,Table1,MATCH(I$3,Curves1,0))</f>
        <v>3.7904</v>
      </c>
      <c r="J337" s="142" t="n">
        <f aca="false">VLOOKUP($A337,Table,MATCH(J$4,Curves,0))</f>
        <v>0.011</v>
      </c>
      <c r="K337" s="143" t="n">
        <f aca="false">J337</f>
        <v>0.011</v>
      </c>
      <c r="L337" s="144" t="n">
        <v>0</v>
      </c>
      <c r="M337" s="142" t="n">
        <f aca="false">VLOOKUP($A337,Table,MATCH(M$4,Curves,0))</f>
        <v>0.015</v>
      </c>
      <c r="N337" s="143" t="n">
        <f aca="false">M337</f>
        <v>0.015</v>
      </c>
      <c r="O337" s="144" t="n">
        <v>0</v>
      </c>
      <c r="P337" s="145"/>
      <c r="Q337" s="144" t="n">
        <f aca="false">M337+J337+G337</f>
        <v>4.013</v>
      </c>
      <c r="R337" s="144" t="n">
        <f aca="false">O337+L337+I337</f>
        <v>3.7904</v>
      </c>
      <c r="S337" s="145"/>
      <c r="T337" s="71" t="n">
        <f aca="false">A338-A337</f>
        <v>31</v>
      </c>
      <c r="U337" s="146" t="n">
        <f aca="false">CHOOSE(F$3,A338+24,A337)</f>
        <v>46990</v>
      </c>
      <c r="V337" s="71" t="n">
        <f aca="false">U337-C$3</f>
        <v>10102</v>
      </c>
      <c r="W337" s="142" t="n">
        <f aca="false">VLOOKUP($A337,Table,MATCH(W$4,Curves,0))</f>
        <v>0.058966861357273</v>
      </c>
      <c r="X337" s="147" t="n">
        <f aca="false">1/(1+CHOOSE(F$3,(W338+($K$3/10000))/2,(W337+($K$3/10000))/2))^(2*V337/365.25)</f>
        <v>0.200425630561574</v>
      </c>
      <c r="Y337" s="71" t="n">
        <f aca="false">IF(AND(mthbeg&lt;=A337,mthend&gt;=A337),1,0)</f>
        <v>0</v>
      </c>
      <c r="Z337" s="71" t="n">
        <f aca="false">T337*Y337</f>
        <v>0</v>
      </c>
      <c r="AB337" s="132" t="n">
        <f aca="false">F337*G337</f>
        <v>0</v>
      </c>
      <c r="AC337" s="132" t="n">
        <f aca="false">$F337*H337</f>
        <v>0</v>
      </c>
      <c r="AD337" s="132" t="n">
        <f aca="false">$F337*I337</f>
        <v>0</v>
      </c>
      <c r="AE337" s="132" t="n">
        <f aca="false">$F337*J337</f>
        <v>0</v>
      </c>
      <c r="AF337" s="132" t="n">
        <f aca="false">$F337*K337</f>
        <v>0</v>
      </c>
      <c r="AG337" s="132" t="n">
        <f aca="false">$F337*L337</f>
        <v>0</v>
      </c>
      <c r="AH337" s="132" t="n">
        <f aca="false">$F337*M337</f>
        <v>0</v>
      </c>
      <c r="AI337" s="132" t="n">
        <f aca="false">$F337*N337</f>
        <v>0</v>
      </c>
      <c r="AJ337" s="132" t="n">
        <f aca="false">F337*O337</f>
        <v>0</v>
      </c>
      <c r="AK337" s="137"/>
      <c r="AL337" s="132" t="n">
        <f aca="false">CHOOSE($G$3,AC337-AD337,AD337-AC337)</f>
        <v>0</v>
      </c>
      <c r="AM337" s="132" t="n">
        <f aca="false">CHOOSE($G$3,AF337-AG337,AG337-AF337)</f>
        <v>0</v>
      </c>
      <c r="AN337" s="132" t="n">
        <f aca="false">CHOOSE($G$3,AI337-AJ337,AJ337-AI337)</f>
        <v>0</v>
      </c>
      <c r="AO337" s="148" t="n">
        <f aca="false">SUM(AL337:AN337)</f>
        <v>0</v>
      </c>
      <c r="AQ337" s="132" t="n">
        <f aca="false">CHOOSE($G$3,AB337-AC337,AC337-AB337)</f>
        <v>0</v>
      </c>
      <c r="AR337" s="132" t="n">
        <f aca="false">CHOOSE($G$3,AE337-AF337,AF337-AE337)</f>
        <v>0</v>
      </c>
      <c r="AS337" s="132" t="n">
        <f aca="false">CHOOSE($G$3,AH337-AI337,AI337-AH337)</f>
        <v>0</v>
      </c>
      <c r="AT337" s="148" t="n">
        <f aca="false">AQ337+AR337+AS337</f>
        <v>0</v>
      </c>
      <c r="AU337" s="148"/>
      <c r="AV337" s="133" t="n">
        <f aca="false">AT337+AO337</f>
        <v>0</v>
      </c>
      <c r="AX337" s="133" t="n">
        <f aca="false">AJ337+AG337+AD337</f>
        <v>0</v>
      </c>
      <c r="AY337" s="149"/>
      <c r="AZ337" s="76" t="n">
        <f aca="false">R337*E337</f>
        <v>0</v>
      </c>
    </row>
    <row r="338" customFormat="false" ht="12" hidden="false" customHeight="true" outlineLevel="0" collapsed="false">
      <c r="A338" s="138" t="n">
        <f aca="false">EDATE(A337,1)</f>
        <v>46966</v>
      </c>
      <c r="B338" s="139" t="n">
        <f aca="false">VLOOKUP($A338,Table2,MATCH(I$3,Curves2,0))</f>
        <v>60900</v>
      </c>
      <c r="C338" s="140"/>
      <c r="D338" s="141" t="n">
        <f aca="false">B338+C338</f>
        <v>60900</v>
      </c>
      <c r="E338" s="126" t="n">
        <f aca="false">IF(Y338=0,0,IF(AND(Y338=1,$H$3=1),D338*T338,IF($H$3=2,D338,"N/A")))</f>
        <v>0</v>
      </c>
      <c r="F338" s="126" t="n">
        <f aca="false">E338*X338</f>
        <v>0</v>
      </c>
      <c r="G338" s="142" t="n">
        <f aca="false">VLOOKUP($A338,Table,MATCH(G$4,Curves,0))</f>
        <v>3.987</v>
      </c>
      <c r="H338" s="143" t="n">
        <f aca="false">G338</f>
        <v>3.987</v>
      </c>
      <c r="I338" s="142" t="n">
        <f aca="false">VLOOKUP($A338,Table1,MATCH(I$3,Curves1,0))</f>
        <v>3.7904</v>
      </c>
      <c r="J338" s="142" t="n">
        <f aca="false">VLOOKUP($A338,Table,MATCH(J$4,Curves,0))</f>
        <v>0.011</v>
      </c>
      <c r="K338" s="143" t="n">
        <f aca="false">J338</f>
        <v>0.011</v>
      </c>
      <c r="L338" s="144" t="n">
        <v>0</v>
      </c>
      <c r="M338" s="142" t="n">
        <f aca="false">VLOOKUP($A338,Table,MATCH(M$4,Curves,0))</f>
        <v>0.015</v>
      </c>
      <c r="N338" s="143" t="n">
        <f aca="false">M338</f>
        <v>0.015</v>
      </c>
      <c r="O338" s="144" t="n">
        <v>0</v>
      </c>
      <c r="P338" s="145"/>
      <c r="Q338" s="144" t="n">
        <f aca="false">M338+J338+G338</f>
        <v>4.013</v>
      </c>
      <c r="R338" s="144" t="n">
        <f aca="false">O338+L338+I338</f>
        <v>3.7904</v>
      </c>
      <c r="S338" s="145"/>
      <c r="T338" s="71" t="n">
        <f aca="false">A339-A338</f>
        <v>31</v>
      </c>
      <c r="U338" s="146" t="n">
        <f aca="false">CHOOSE(F$3,A339+24,A338)</f>
        <v>47021</v>
      </c>
      <c r="V338" s="71" t="n">
        <f aca="false">U338-C$3</f>
        <v>10133</v>
      </c>
      <c r="W338" s="142" t="n">
        <f aca="false">VLOOKUP($A338,Table,MATCH(W$4,Curves,0))</f>
        <v>0.058966861357273</v>
      </c>
      <c r="X338" s="147" t="n">
        <f aca="false">1/(1+CHOOSE(F$3,(W339+($K$3/10000))/2,(W338+($K$3/10000))/2))^(2*V338/365.25)</f>
        <v>0.199439493744117</v>
      </c>
      <c r="Y338" s="71" t="n">
        <f aca="false">IF(AND(mthbeg&lt;=A338,mthend&gt;=A338),1,0)</f>
        <v>0</v>
      </c>
      <c r="Z338" s="71" t="n">
        <f aca="false">T338*Y338</f>
        <v>0</v>
      </c>
      <c r="AB338" s="132" t="n">
        <f aca="false">F338*G338</f>
        <v>0</v>
      </c>
      <c r="AC338" s="132" t="n">
        <f aca="false">$F338*H338</f>
        <v>0</v>
      </c>
      <c r="AD338" s="132" t="n">
        <f aca="false">$F338*I338</f>
        <v>0</v>
      </c>
      <c r="AE338" s="132" t="n">
        <f aca="false">$F338*J338</f>
        <v>0</v>
      </c>
      <c r="AF338" s="132" t="n">
        <f aca="false">$F338*K338</f>
        <v>0</v>
      </c>
      <c r="AG338" s="132" t="n">
        <f aca="false">$F338*L338</f>
        <v>0</v>
      </c>
      <c r="AH338" s="132" t="n">
        <f aca="false">$F338*M338</f>
        <v>0</v>
      </c>
      <c r="AI338" s="132" t="n">
        <f aca="false">$F338*N338</f>
        <v>0</v>
      </c>
      <c r="AJ338" s="132" t="n">
        <f aca="false">F338*O338</f>
        <v>0</v>
      </c>
      <c r="AK338" s="137"/>
      <c r="AL338" s="132" t="n">
        <f aca="false">CHOOSE($G$3,AC338-AD338,AD338-AC338)</f>
        <v>0</v>
      </c>
      <c r="AM338" s="132" t="n">
        <f aca="false">CHOOSE($G$3,AF338-AG338,AG338-AF338)</f>
        <v>0</v>
      </c>
      <c r="AN338" s="132" t="n">
        <f aca="false">CHOOSE($G$3,AI338-AJ338,AJ338-AI338)</f>
        <v>0</v>
      </c>
      <c r="AO338" s="148" t="n">
        <f aca="false">SUM(AL338:AN338)</f>
        <v>0</v>
      </c>
      <c r="AQ338" s="132" t="n">
        <f aca="false">CHOOSE($G$3,AB338-AC338,AC338-AB338)</f>
        <v>0</v>
      </c>
      <c r="AR338" s="132" t="n">
        <f aca="false">CHOOSE($G$3,AE338-AF338,AF338-AE338)</f>
        <v>0</v>
      </c>
      <c r="AS338" s="132" t="n">
        <f aca="false">CHOOSE($G$3,AH338-AI338,AI338-AH338)</f>
        <v>0</v>
      </c>
      <c r="AT338" s="148" t="n">
        <f aca="false">AQ338+AR338+AS338</f>
        <v>0</v>
      </c>
      <c r="AU338" s="148"/>
      <c r="AV338" s="133" t="n">
        <f aca="false">AT338+AO338</f>
        <v>0</v>
      </c>
      <c r="AX338" s="133" t="n">
        <f aca="false">AJ338+AG338+AD338</f>
        <v>0</v>
      </c>
      <c r="AY338" s="149"/>
      <c r="AZ338" s="76" t="n">
        <f aca="false">R338*E338</f>
        <v>0</v>
      </c>
    </row>
    <row r="339" customFormat="false" ht="12" hidden="false" customHeight="true" outlineLevel="0" collapsed="false">
      <c r="A339" s="138" t="n">
        <f aca="false">EDATE(A338,1)</f>
        <v>46997</v>
      </c>
      <c r="B339" s="139" t="n">
        <f aca="false">VLOOKUP($A339,Table2,MATCH(I$3,Curves2,0))</f>
        <v>60900</v>
      </c>
      <c r="C339" s="140"/>
      <c r="D339" s="141" t="n">
        <f aca="false">B339+C339</f>
        <v>60900</v>
      </c>
      <c r="E339" s="126" t="n">
        <f aca="false">IF(Y339=0,0,IF(AND(Y339=1,$H$3=1),D339*T339,IF($H$3=2,D339,"N/A")))</f>
        <v>0</v>
      </c>
      <c r="F339" s="126" t="n">
        <f aca="false">E339*X339</f>
        <v>0</v>
      </c>
      <c r="G339" s="142" t="n">
        <f aca="false">VLOOKUP($A339,Table,MATCH(G$4,Curves,0))</f>
        <v>3.987</v>
      </c>
      <c r="H339" s="143" t="n">
        <f aca="false">G339</f>
        <v>3.987</v>
      </c>
      <c r="I339" s="142" t="n">
        <f aca="false">VLOOKUP($A339,Table1,MATCH(I$3,Curves1,0))</f>
        <v>3.7904</v>
      </c>
      <c r="J339" s="142" t="n">
        <f aca="false">VLOOKUP($A339,Table,MATCH(J$4,Curves,0))</f>
        <v>0.011</v>
      </c>
      <c r="K339" s="143" t="n">
        <f aca="false">J339</f>
        <v>0.011</v>
      </c>
      <c r="L339" s="144" t="n">
        <v>0</v>
      </c>
      <c r="M339" s="142" t="n">
        <f aca="false">VLOOKUP($A339,Table,MATCH(M$4,Curves,0))</f>
        <v>0.015</v>
      </c>
      <c r="N339" s="143" t="n">
        <f aca="false">M339</f>
        <v>0.015</v>
      </c>
      <c r="O339" s="144" t="n">
        <v>0</v>
      </c>
      <c r="P339" s="145"/>
      <c r="Q339" s="144" t="n">
        <f aca="false">M339+J339+G339</f>
        <v>4.013</v>
      </c>
      <c r="R339" s="144" t="n">
        <f aca="false">O339+L339+I339</f>
        <v>3.7904</v>
      </c>
      <c r="S339" s="145"/>
      <c r="T339" s="71" t="n">
        <f aca="false">A340-A339</f>
        <v>30</v>
      </c>
      <c r="U339" s="146" t="n">
        <f aca="false">CHOOSE(F$3,A340+24,A339)</f>
        <v>47051</v>
      </c>
      <c r="V339" s="71" t="n">
        <f aca="false">U339-C$3</f>
        <v>10163</v>
      </c>
      <c r="W339" s="142" t="n">
        <f aca="false">VLOOKUP($A339,Table,MATCH(W$4,Curves,0))</f>
        <v>0.058966861357273</v>
      </c>
      <c r="X339" s="147" t="n">
        <f aca="false">1/(1+CHOOSE(F$3,(W340+($K$3/10000))/2,(W339+($K$3/10000))/2))^(2*V339/365.25)</f>
        <v>0.198489787789871</v>
      </c>
      <c r="Y339" s="71" t="n">
        <f aca="false">IF(AND(mthbeg&lt;=A339,mthend&gt;=A339),1,0)</f>
        <v>0</v>
      </c>
      <c r="Z339" s="71" t="n">
        <f aca="false">T339*Y339</f>
        <v>0</v>
      </c>
      <c r="AB339" s="132" t="n">
        <f aca="false">F339*G339</f>
        <v>0</v>
      </c>
      <c r="AC339" s="132" t="n">
        <f aca="false">$F339*H339</f>
        <v>0</v>
      </c>
      <c r="AD339" s="132" t="n">
        <f aca="false">$F339*I339</f>
        <v>0</v>
      </c>
      <c r="AE339" s="132" t="n">
        <f aca="false">$F339*J339</f>
        <v>0</v>
      </c>
      <c r="AF339" s="132" t="n">
        <f aca="false">$F339*K339</f>
        <v>0</v>
      </c>
      <c r="AG339" s="132" t="n">
        <f aca="false">$F339*L339</f>
        <v>0</v>
      </c>
      <c r="AH339" s="132" t="n">
        <f aca="false">$F339*M339</f>
        <v>0</v>
      </c>
      <c r="AI339" s="132" t="n">
        <f aca="false">$F339*N339</f>
        <v>0</v>
      </c>
      <c r="AJ339" s="132" t="n">
        <f aca="false">F339*O339</f>
        <v>0</v>
      </c>
      <c r="AK339" s="137"/>
      <c r="AL339" s="132" t="n">
        <f aca="false">CHOOSE($G$3,AC339-AD339,AD339-AC339)</f>
        <v>0</v>
      </c>
      <c r="AM339" s="132" t="n">
        <f aca="false">CHOOSE($G$3,AF339-AG339,AG339-AF339)</f>
        <v>0</v>
      </c>
      <c r="AN339" s="132" t="n">
        <f aca="false">CHOOSE($G$3,AI339-AJ339,AJ339-AI339)</f>
        <v>0</v>
      </c>
      <c r="AO339" s="148" t="n">
        <f aca="false">SUM(AL339:AN339)</f>
        <v>0</v>
      </c>
      <c r="AQ339" s="132" t="n">
        <f aca="false">CHOOSE($G$3,AB339-AC339,AC339-AB339)</f>
        <v>0</v>
      </c>
      <c r="AR339" s="132" t="n">
        <f aca="false">CHOOSE($G$3,AE339-AF339,AF339-AE339)</f>
        <v>0</v>
      </c>
      <c r="AS339" s="132" t="n">
        <f aca="false">CHOOSE($G$3,AH339-AI339,AI339-AH339)</f>
        <v>0</v>
      </c>
      <c r="AT339" s="148" t="n">
        <f aca="false">AQ339+AR339+AS339</f>
        <v>0</v>
      </c>
      <c r="AU339" s="148"/>
      <c r="AV339" s="133" t="n">
        <f aca="false">AT339+AO339</f>
        <v>0</v>
      </c>
      <c r="AX339" s="133" t="n">
        <f aca="false">AJ339+AG339+AD339</f>
        <v>0</v>
      </c>
      <c r="AY339" s="149"/>
      <c r="AZ339" s="76" t="n">
        <f aca="false">R339*E339</f>
        <v>0</v>
      </c>
    </row>
    <row r="340" customFormat="false" ht="12" hidden="false" customHeight="true" outlineLevel="0" collapsed="false">
      <c r="A340" s="138" t="n">
        <f aca="false">EDATE(A339,1)</f>
        <v>47027</v>
      </c>
      <c r="B340" s="139" t="n">
        <f aca="false">VLOOKUP($A340,Table2,MATCH(I$3,Curves2,0))</f>
        <v>60900</v>
      </c>
      <c r="C340" s="140"/>
      <c r="D340" s="141" t="n">
        <f aca="false">B340+C340</f>
        <v>60900</v>
      </c>
      <c r="E340" s="126" t="n">
        <f aca="false">IF(Y340=0,0,IF(AND(Y340=1,$H$3=1),D340*T340,IF($H$3=2,D340,"N/A")))</f>
        <v>0</v>
      </c>
      <c r="F340" s="126" t="n">
        <f aca="false">E340*X340</f>
        <v>0</v>
      </c>
      <c r="G340" s="142" t="n">
        <f aca="false">VLOOKUP($A340,Table,MATCH(G$4,Curves,0))</f>
        <v>3.987</v>
      </c>
      <c r="H340" s="143" t="n">
        <f aca="false">G340</f>
        <v>3.987</v>
      </c>
      <c r="I340" s="142" t="n">
        <f aca="false">VLOOKUP($A340,Table1,MATCH(I$3,Curves1,0))</f>
        <v>3.7904</v>
      </c>
      <c r="J340" s="142" t="n">
        <f aca="false">VLOOKUP($A340,Table,MATCH(J$4,Curves,0))</f>
        <v>0.011</v>
      </c>
      <c r="K340" s="143" t="n">
        <f aca="false">J340</f>
        <v>0.011</v>
      </c>
      <c r="L340" s="144" t="n">
        <v>0</v>
      </c>
      <c r="M340" s="142" t="n">
        <f aca="false">VLOOKUP($A340,Table,MATCH(M$4,Curves,0))</f>
        <v>0.015</v>
      </c>
      <c r="N340" s="143" t="n">
        <f aca="false">M340</f>
        <v>0.015</v>
      </c>
      <c r="O340" s="144" t="n">
        <v>0</v>
      </c>
      <c r="P340" s="145"/>
      <c r="Q340" s="144" t="n">
        <f aca="false">M340+J340+G340</f>
        <v>4.013</v>
      </c>
      <c r="R340" s="144" t="n">
        <f aca="false">O340+L340+I340</f>
        <v>3.7904</v>
      </c>
      <c r="S340" s="145"/>
      <c r="T340" s="71" t="n">
        <f aca="false">A341-A340</f>
        <v>31</v>
      </c>
      <c r="U340" s="146" t="n">
        <f aca="false">CHOOSE(F$3,A341+24,A340)</f>
        <v>47082</v>
      </c>
      <c r="V340" s="71" t="n">
        <f aca="false">U340-C$3</f>
        <v>10194</v>
      </c>
      <c r="W340" s="142" t="n">
        <f aca="false">VLOOKUP($A340,Table,MATCH(W$4,Curves,0))</f>
        <v>0.058966861357273</v>
      </c>
      <c r="X340" s="147" t="n">
        <f aca="false">1/(1+CHOOSE(F$3,(W341+($K$3/10000))/2,(W340+($K$3/10000))/2))^(2*V340/365.25)</f>
        <v>0.197513175731422</v>
      </c>
      <c r="Y340" s="71" t="n">
        <f aca="false">IF(AND(mthbeg&lt;=A340,mthend&gt;=A340),1,0)</f>
        <v>0</v>
      </c>
      <c r="Z340" s="71" t="n">
        <f aca="false">T340*Y340</f>
        <v>0</v>
      </c>
      <c r="AB340" s="132" t="n">
        <f aca="false">F340*G340</f>
        <v>0</v>
      </c>
      <c r="AC340" s="132" t="n">
        <f aca="false">$F340*H340</f>
        <v>0</v>
      </c>
      <c r="AD340" s="132" t="n">
        <f aca="false">$F340*I340</f>
        <v>0</v>
      </c>
      <c r="AE340" s="132" t="n">
        <f aca="false">$F340*J340</f>
        <v>0</v>
      </c>
      <c r="AF340" s="132" t="n">
        <f aca="false">$F340*K340</f>
        <v>0</v>
      </c>
      <c r="AG340" s="132" t="n">
        <f aca="false">$F340*L340</f>
        <v>0</v>
      </c>
      <c r="AH340" s="132" t="n">
        <f aca="false">$F340*M340</f>
        <v>0</v>
      </c>
      <c r="AI340" s="132" t="n">
        <f aca="false">$F340*N340</f>
        <v>0</v>
      </c>
      <c r="AJ340" s="132" t="n">
        <f aca="false">F340*O340</f>
        <v>0</v>
      </c>
      <c r="AK340" s="137"/>
      <c r="AL340" s="132" t="n">
        <f aca="false">CHOOSE($G$3,AC340-AD340,AD340-AC340)</f>
        <v>0</v>
      </c>
      <c r="AM340" s="132" t="n">
        <f aca="false">CHOOSE($G$3,AF340-AG340,AG340-AF340)</f>
        <v>0</v>
      </c>
      <c r="AN340" s="132" t="n">
        <f aca="false">CHOOSE($G$3,AI340-AJ340,AJ340-AI340)</f>
        <v>0</v>
      </c>
      <c r="AO340" s="148" t="n">
        <f aca="false">SUM(AL340:AN340)</f>
        <v>0</v>
      </c>
      <c r="AQ340" s="132" t="n">
        <f aca="false">CHOOSE($G$3,AB340-AC340,AC340-AB340)</f>
        <v>0</v>
      </c>
      <c r="AR340" s="132" t="n">
        <f aca="false">CHOOSE($G$3,AE340-AF340,AF340-AE340)</f>
        <v>0</v>
      </c>
      <c r="AS340" s="132" t="n">
        <f aca="false">CHOOSE($G$3,AH340-AI340,AI340-AH340)</f>
        <v>0</v>
      </c>
      <c r="AT340" s="148" t="n">
        <f aca="false">AQ340+AR340+AS340</f>
        <v>0</v>
      </c>
      <c r="AU340" s="148"/>
      <c r="AV340" s="133" t="n">
        <f aca="false">AT340+AO340</f>
        <v>0</v>
      </c>
      <c r="AX340" s="133" t="n">
        <f aca="false">AJ340+AG340+AD340</f>
        <v>0</v>
      </c>
      <c r="AY340" s="149"/>
      <c r="AZ340" s="76" t="n">
        <f aca="false">R340*E340</f>
        <v>0</v>
      </c>
    </row>
    <row r="341" customFormat="false" ht="12" hidden="false" customHeight="true" outlineLevel="0" collapsed="false">
      <c r="A341" s="138" t="n">
        <f aca="false">EDATE(A340,1)</f>
        <v>47058</v>
      </c>
      <c r="B341" s="139" t="n">
        <f aca="false">VLOOKUP($A341,Table2,MATCH(I$3,Curves2,0))</f>
        <v>60900</v>
      </c>
      <c r="C341" s="140"/>
      <c r="D341" s="141" t="n">
        <f aca="false">B341+C341</f>
        <v>60900</v>
      </c>
      <c r="E341" s="126" t="n">
        <f aca="false">IF(Y341=0,0,IF(AND(Y341=1,$H$3=1),D341*T341,IF($H$3=2,D341,"N/A")))</f>
        <v>0</v>
      </c>
      <c r="F341" s="126" t="n">
        <f aca="false">E341*X341</f>
        <v>0</v>
      </c>
      <c r="G341" s="142" t="n">
        <f aca="false">VLOOKUP($A341,Table,MATCH(G$4,Curves,0))</f>
        <v>3.987</v>
      </c>
      <c r="H341" s="143" t="n">
        <f aca="false">G341</f>
        <v>3.987</v>
      </c>
      <c r="I341" s="142" t="n">
        <f aca="false">VLOOKUP($A341,Table1,MATCH(I$3,Curves1,0))</f>
        <v>3.7904</v>
      </c>
      <c r="J341" s="142" t="n">
        <f aca="false">VLOOKUP($A341,Table,MATCH(J$4,Curves,0))</f>
        <v>0.011</v>
      </c>
      <c r="K341" s="143" t="n">
        <f aca="false">J341</f>
        <v>0.011</v>
      </c>
      <c r="L341" s="144" t="n">
        <v>0</v>
      </c>
      <c r="M341" s="142" t="n">
        <f aca="false">VLOOKUP($A341,Table,MATCH(M$4,Curves,0))</f>
        <v>0.015</v>
      </c>
      <c r="N341" s="143" t="n">
        <f aca="false">M341</f>
        <v>0.015</v>
      </c>
      <c r="O341" s="144" t="n">
        <v>0</v>
      </c>
      <c r="P341" s="145"/>
      <c r="Q341" s="144" t="n">
        <f aca="false">M341+J341+G341</f>
        <v>4.013</v>
      </c>
      <c r="R341" s="144" t="n">
        <f aca="false">O341+L341+I341</f>
        <v>3.7904</v>
      </c>
      <c r="S341" s="145"/>
      <c r="T341" s="71" t="n">
        <f aca="false">A342-A341</f>
        <v>30</v>
      </c>
      <c r="U341" s="146" t="n">
        <f aca="false">CHOOSE(F$3,A342+24,A341)</f>
        <v>47112</v>
      </c>
      <c r="V341" s="71" t="n">
        <f aca="false">U341-C$3</f>
        <v>10224</v>
      </c>
      <c r="W341" s="142" t="n">
        <f aca="false">VLOOKUP($A341,Table,MATCH(W$4,Curves,0))</f>
        <v>0.058966861357273</v>
      </c>
      <c r="X341" s="147" t="n">
        <f aca="false">1/(1+CHOOSE(F$3,(W342+($K$3/10000))/2,(W341+($K$3/10000))/2))^(2*V341/365.25)</f>
        <v>0.196572642662908</v>
      </c>
      <c r="Y341" s="71" t="n">
        <f aca="false">IF(AND(mthbeg&lt;=A341,mthend&gt;=A341),1,0)</f>
        <v>0</v>
      </c>
      <c r="Z341" s="71" t="n">
        <f aca="false">T341*Y341</f>
        <v>0</v>
      </c>
      <c r="AB341" s="132" t="n">
        <f aca="false">F341*G341</f>
        <v>0</v>
      </c>
      <c r="AC341" s="132" t="n">
        <f aca="false">$F341*H341</f>
        <v>0</v>
      </c>
      <c r="AD341" s="132" t="n">
        <f aca="false">$F341*I341</f>
        <v>0</v>
      </c>
      <c r="AE341" s="132" t="n">
        <f aca="false">$F341*J341</f>
        <v>0</v>
      </c>
      <c r="AF341" s="132" t="n">
        <f aca="false">$F341*K341</f>
        <v>0</v>
      </c>
      <c r="AG341" s="132" t="n">
        <f aca="false">$F341*L341</f>
        <v>0</v>
      </c>
      <c r="AH341" s="132" t="n">
        <f aca="false">$F341*M341</f>
        <v>0</v>
      </c>
      <c r="AI341" s="132" t="n">
        <f aca="false">$F341*N341</f>
        <v>0</v>
      </c>
      <c r="AJ341" s="132" t="n">
        <f aca="false">F341*O341</f>
        <v>0</v>
      </c>
      <c r="AK341" s="137"/>
      <c r="AL341" s="132" t="n">
        <f aca="false">CHOOSE($G$3,AC341-AD341,AD341-AC341)</f>
        <v>0</v>
      </c>
      <c r="AM341" s="132" t="n">
        <f aca="false">CHOOSE($G$3,AF341-AG341,AG341-AF341)</f>
        <v>0</v>
      </c>
      <c r="AN341" s="132" t="n">
        <f aca="false">CHOOSE($G$3,AI341-AJ341,AJ341-AI341)</f>
        <v>0</v>
      </c>
      <c r="AO341" s="148" t="n">
        <f aca="false">SUM(AL341:AN341)</f>
        <v>0</v>
      </c>
      <c r="AQ341" s="132" t="n">
        <f aca="false">CHOOSE($G$3,AB341-AC341,AC341-AB341)</f>
        <v>0</v>
      </c>
      <c r="AR341" s="132" t="n">
        <f aca="false">CHOOSE($G$3,AE341-AF341,AF341-AE341)</f>
        <v>0</v>
      </c>
      <c r="AS341" s="132" t="n">
        <f aca="false">CHOOSE($G$3,AH341-AI341,AI341-AH341)</f>
        <v>0</v>
      </c>
      <c r="AT341" s="148" t="n">
        <f aca="false">AQ341+AR341+AS341</f>
        <v>0</v>
      </c>
      <c r="AU341" s="148"/>
      <c r="AV341" s="133" t="n">
        <f aca="false">AT341+AO341</f>
        <v>0</v>
      </c>
      <c r="AX341" s="133" t="n">
        <f aca="false">AJ341+AG341+AD341</f>
        <v>0</v>
      </c>
      <c r="AY341" s="149"/>
      <c r="AZ341" s="76" t="n">
        <f aca="false">R341*E341</f>
        <v>0</v>
      </c>
    </row>
    <row r="342" customFormat="false" ht="12" hidden="false" customHeight="true" outlineLevel="0" collapsed="false">
      <c r="A342" s="138" t="n">
        <f aca="false">EDATE(A341,1)</f>
        <v>47088</v>
      </c>
      <c r="B342" s="139" t="n">
        <f aca="false">VLOOKUP($A342,Table2,MATCH(I$3,Curves2,0))</f>
        <v>60900</v>
      </c>
      <c r="C342" s="140"/>
      <c r="D342" s="141" t="n">
        <f aca="false">B342+C342</f>
        <v>60900</v>
      </c>
      <c r="E342" s="126" t="n">
        <f aca="false">IF(Y342=0,0,IF(AND(Y342=1,$H$3=1),D342*T342,IF($H$3=2,D342,"N/A")))</f>
        <v>0</v>
      </c>
      <c r="F342" s="126" t="n">
        <f aca="false">E342*X342</f>
        <v>0</v>
      </c>
      <c r="G342" s="142" t="n">
        <f aca="false">VLOOKUP($A342,Table,MATCH(G$4,Curves,0))</f>
        <v>3.987</v>
      </c>
      <c r="H342" s="143" t="n">
        <f aca="false">G342</f>
        <v>3.987</v>
      </c>
      <c r="I342" s="142" t="n">
        <f aca="false">VLOOKUP($A342,Table1,MATCH(I$3,Curves1,0))</f>
        <v>3.7904</v>
      </c>
      <c r="J342" s="142" t="n">
        <f aca="false">VLOOKUP($A342,Table,MATCH(J$4,Curves,0))</f>
        <v>0.011</v>
      </c>
      <c r="K342" s="143" t="n">
        <f aca="false">J342</f>
        <v>0.011</v>
      </c>
      <c r="L342" s="144" t="n">
        <v>0</v>
      </c>
      <c r="M342" s="142" t="n">
        <f aca="false">VLOOKUP($A342,Table,MATCH(M$4,Curves,0))</f>
        <v>0.015</v>
      </c>
      <c r="N342" s="143" t="n">
        <f aca="false">M342</f>
        <v>0.015</v>
      </c>
      <c r="O342" s="144" t="n">
        <v>0</v>
      </c>
      <c r="P342" s="145"/>
      <c r="Q342" s="144" t="n">
        <f aca="false">M342+J342+G342</f>
        <v>4.013</v>
      </c>
      <c r="R342" s="144" t="n">
        <f aca="false">O342+L342+I342</f>
        <v>3.7904</v>
      </c>
      <c r="S342" s="145"/>
      <c r="T342" s="71" t="n">
        <f aca="false">A343-A342</f>
        <v>31</v>
      </c>
      <c r="U342" s="146" t="n">
        <f aca="false">CHOOSE(F$3,A343+24,A342)</f>
        <v>47143</v>
      </c>
      <c r="V342" s="71" t="n">
        <f aca="false">U342-C$3</f>
        <v>10255</v>
      </c>
      <c r="W342" s="142" t="n">
        <f aca="false">VLOOKUP($A342,Table,MATCH(W$4,Curves,0))</f>
        <v>0.058966861357273</v>
      </c>
      <c r="X342" s="147" t="n">
        <f aca="false">1/(1+CHOOSE(F$3,(W343+($K$3/10000))/2,(W342+($K$3/10000))/2))^(2*V342/365.25)</f>
        <v>0.195605463367068</v>
      </c>
      <c r="Y342" s="71" t="n">
        <f aca="false">IF(AND(mthbeg&lt;=A342,mthend&gt;=A342),1,0)</f>
        <v>0</v>
      </c>
      <c r="Z342" s="71" t="n">
        <f aca="false">T342*Y342</f>
        <v>0</v>
      </c>
      <c r="AB342" s="132" t="n">
        <f aca="false">F342*G342</f>
        <v>0</v>
      </c>
      <c r="AC342" s="132" t="n">
        <f aca="false">$F342*H342</f>
        <v>0</v>
      </c>
      <c r="AD342" s="132" t="n">
        <f aca="false">$F342*I342</f>
        <v>0</v>
      </c>
      <c r="AE342" s="132" t="n">
        <f aca="false">$F342*J342</f>
        <v>0</v>
      </c>
      <c r="AF342" s="132" t="n">
        <f aca="false">$F342*K342</f>
        <v>0</v>
      </c>
      <c r="AG342" s="132" t="n">
        <f aca="false">$F342*L342</f>
        <v>0</v>
      </c>
      <c r="AH342" s="132" t="n">
        <f aca="false">$F342*M342</f>
        <v>0</v>
      </c>
      <c r="AI342" s="132" t="n">
        <f aca="false">$F342*N342</f>
        <v>0</v>
      </c>
      <c r="AJ342" s="132" t="n">
        <f aca="false">F342*O342</f>
        <v>0</v>
      </c>
      <c r="AK342" s="137"/>
      <c r="AL342" s="132" t="n">
        <f aca="false">CHOOSE($G$3,AC342-AD342,AD342-AC342)</f>
        <v>0</v>
      </c>
      <c r="AM342" s="132" t="n">
        <f aca="false">CHOOSE($G$3,AF342-AG342,AG342-AF342)</f>
        <v>0</v>
      </c>
      <c r="AN342" s="132" t="n">
        <f aca="false">CHOOSE($G$3,AI342-AJ342,AJ342-AI342)</f>
        <v>0</v>
      </c>
      <c r="AO342" s="148" t="n">
        <f aca="false">SUM(AL342:AN342)</f>
        <v>0</v>
      </c>
      <c r="AQ342" s="132" t="n">
        <f aca="false">CHOOSE($G$3,AB342-AC342,AC342-AB342)</f>
        <v>0</v>
      </c>
      <c r="AR342" s="132" t="n">
        <f aca="false">CHOOSE($G$3,AE342-AF342,AF342-AE342)</f>
        <v>0</v>
      </c>
      <c r="AS342" s="132" t="n">
        <f aca="false">CHOOSE($G$3,AH342-AI342,AI342-AH342)</f>
        <v>0</v>
      </c>
      <c r="AT342" s="148" t="n">
        <f aca="false">AQ342+AR342+AS342</f>
        <v>0</v>
      </c>
      <c r="AU342" s="148"/>
      <c r="AV342" s="133" t="n">
        <f aca="false">AT342+AO342</f>
        <v>0</v>
      </c>
      <c r="AX342" s="133" t="n">
        <f aca="false">AJ342+AG342+AD342</f>
        <v>0</v>
      </c>
      <c r="AY342" s="149"/>
      <c r="AZ342" s="76" t="n">
        <f aca="false">R342*E342</f>
        <v>0</v>
      </c>
    </row>
    <row r="343" customFormat="false" ht="12" hidden="false" customHeight="true" outlineLevel="0" collapsed="false">
      <c r="A343" s="138" t="n">
        <f aca="false">EDATE(A342,1)</f>
        <v>47119</v>
      </c>
      <c r="B343" s="139" t="n">
        <f aca="false">VLOOKUP($A343,Table2,MATCH(I$3,Curves2,0))</f>
        <v>60900</v>
      </c>
      <c r="C343" s="140"/>
      <c r="D343" s="141" t="n">
        <f aca="false">B343+C343</f>
        <v>60900</v>
      </c>
      <c r="E343" s="126" t="n">
        <f aca="false">IF(Y343=0,0,IF(AND(Y343=1,$H$3=1),D343*T343,IF($H$3=2,D343,"N/A")))</f>
        <v>0</v>
      </c>
      <c r="F343" s="126" t="n">
        <f aca="false">E343*X343</f>
        <v>0</v>
      </c>
      <c r="G343" s="142" t="n">
        <f aca="false">VLOOKUP($A343,Table,MATCH(G$4,Curves,0))</f>
        <v>3.987</v>
      </c>
      <c r="H343" s="143" t="n">
        <f aca="false">G343</f>
        <v>3.987</v>
      </c>
      <c r="I343" s="142" t="n">
        <f aca="false">VLOOKUP($A343,Table1,MATCH(I$3,Curves1,0))</f>
        <v>3.7904</v>
      </c>
      <c r="J343" s="142" t="n">
        <f aca="false">VLOOKUP($A343,Table,MATCH(J$4,Curves,0))</f>
        <v>0.011</v>
      </c>
      <c r="K343" s="143" t="n">
        <f aca="false">J343</f>
        <v>0.011</v>
      </c>
      <c r="L343" s="144" t="n">
        <v>0</v>
      </c>
      <c r="M343" s="142" t="n">
        <f aca="false">VLOOKUP($A343,Table,MATCH(M$4,Curves,0))</f>
        <v>0.015</v>
      </c>
      <c r="N343" s="143" t="n">
        <f aca="false">M343</f>
        <v>0.015</v>
      </c>
      <c r="O343" s="144" t="n">
        <v>0</v>
      </c>
      <c r="P343" s="145"/>
      <c r="Q343" s="144" t="n">
        <f aca="false">M343+J343+G343</f>
        <v>4.013</v>
      </c>
      <c r="R343" s="144" t="n">
        <f aca="false">O343+L343+I343</f>
        <v>3.7904</v>
      </c>
      <c r="S343" s="145"/>
      <c r="T343" s="71" t="n">
        <f aca="false">A344-A343</f>
        <v>31</v>
      </c>
      <c r="U343" s="146" t="n">
        <f aca="false">CHOOSE(F$3,A344+24,A343)</f>
        <v>47174</v>
      </c>
      <c r="V343" s="71" t="n">
        <f aca="false">U343-C$3</f>
        <v>10286</v>
      </c>
      <c r="W343" s="142" t="n">
        <f aca="false">VLOOKUP($A343,Table,MATCH(W$4,Curves,0))</f>
        <v>0.058966861357273</v>
      </c>
      <c r="X343" s="147" t="n">
        <f aca="false">1/(1+CHOOSE(F$3,(W344+($K$3/10000))/2,(W343+($K$3/10000))/2))^(2*V343/365.25)</f>
        <v>0.194643042799491</v>
      </c>
      <c r="Y343" s="71" t="n">
        <f aca="false">IF(AND(mthbeg&lt;=A343,mthend&gt;=A343),1,0)</f>
        <v>0</v>
      </c>
      <c r="Z343" s="71" t="n">
        <f aca="false">T343*Y343</f>
        <v>0</v>
      </c>
      <c r="AB343" s="132" t="n">
        <f aca="false">F343*G343</f>
        <v>0</v>
      </c>
      <c r="AC343" s="132" t="n">
        <f aca="false">$F343*H343</f>
        <v>0</v>
      </c>
      <c r="AD343" s="132" t="n">
        <f aca="false">$F343*I343</f>
        <v>0</v>
      </c>
      <c r="AE343" s="132" t="n">
        <f aca="false">$F343*J343</f>
        <v>0</v>
      </c>
      <c r="AF343" s="132" t="n">
        <f aca="false">$F343*K343</f>
        <v>0</v>
      </c>
      <c r="AG343" s="132" t="n">
        <f aca="false">$F343*L343</f>
        <v>0</v>
      </c>
      <c r="AH343" s="132" t="n">
        <f aca="false">$F343*M343</f>
        <v>0</v>
      </c>
      <c r="AI343" s="132" t="n">
        <f aca="false">$F343*N343</f>
        <v>0</v>
      </c>
      <c r="AJ343" s="132" t="n">
        <f aca="false">F343*O343</f>
        <v>0</v>
      </c>
      <c r="AK343" s="137"/>
      <c r="AL343" s="132" t="n">
        <f aca="false">CHOOSE($G$3,AC343-AD343,AD343-AC343)</f>
        <v>0</v>
      </c>
      <c r="AM343" s="132" t="n">
        <f aca="false">CHOOSE($G$3,AF343-AG343,AG343-AF343)</f>
        <v>0</v>
      </c>
      <c r="AN343" s="132" t="n">
        <f aca="false">CHOOSE($G$3,AI343-AJ343,AJ343-AI343)</f>
        <v>0</v>
      </c>
      <c r="AO343" s="148" t="n">
        <f aca="false">SUM(AL343:AN343)</f>
        <v>0</v>
      </c>
      <c r="AQ343" s="132" t="n">
        <f aca="false">CHOOSE($G$3,AB343-AC343,AC343-AB343)</f>
        <v>0</v>
      </c>
      <c r="AR343" s="132" t="n">
        <f aca="false">CHOOSE($G$3,AE343-AF343,AF343-AE343)</f>
        <v>0</v>
      </c>
      <c r="AS343" s="132" t="n">
        <f aca="false">CHOOSE($G$3,AH343-AI343,AI343-AH343)</f>
        <v>0</v>
      </c>
      <c r="AT343" s="148" t="n">
        <f aca="false">AQ343+AR343+AS343</f>
        <v>0</v>
      </c>
      <c r="AU343" s="148"/>
      <c r="AV343" s="133" t="n">
        <f aca="false">AT343+AO343</f>
        <v>0</v>
      </c>
      <c r="AX343" s="133" t="n">
        <f aca="false">AJ343+AG343+AD343</f>
        <v>0</v>
      </c>
      <c r="AY343" s="149"/>
      <c r="AZ343" s="76" t="n">
        <f aca="false">R343*E343</f>
        <v>0</v>
      </c>
    </row>
    <row r="344" customFormat="false" ht="12" hidden="false" customHeight="true" outlineLevel="0" collapsed="false">
      <c r="A344" s="138" t="n">
        <f aca="false">EDATE(A343,1)</f>
        <v>47150</v>
      </c>
      <c r="B344" s="139" t="n">
        <f aca="false">VLOOKUP($A344,Table2,MATCH(I$3,Curves2,0))</f>
        <v>60900</v>
      </c>
      <c r="C344" s="140"/>
      <c r="D344" s="141" t="n">
        <f aca="false">B344+C344</f>
        <v>60900</v>
      </c>
      <c r="E344" s="126" t="n">
        <f aca="false">IF(Y344=0,0,IF(AND(Y344=1,$H$3=1),D344*T344,IF($H$3=2,D344,"N/A")))</f>
        <v>0</v>
      </c>
      <c r="F344" s="126" t="n">
        <f aca="false">E344*X344</f>
        <v>0</v>
      </c>
      <c r="G344" s="142" t="n">
        <f aca="false">VLOOKUP($A344,Table,MATCH(G$4,Curves,0))</f>
        <v>3.987</v>
      </c>
      <c r="H344" s="143" t="n">
        <f aca="false">G344</f>
        <v>3.987</v>
      </c>
      <c r="I344" s="142" t="n">
        <f aca="false">VLOOKUP($A344,Table1,MATCH(I$3,Curves1,0))</f>
        <v>3.7904</v>
      </c>
      <c r="J344" s="142" t="n">
        <f aca="false">VLOOKUP($A344,Table,MATCH(J$4,Curves,0))</f>
        <v>0.011</v>
      </c>
      <c r="K344" s="143" t="n">
        <f aca="false">J344</f>
        <v>0.011</v>
      </c>
      <c r="L344" s="144" t="n">
        <v>0</v>
      </c>
      <c r="M344" s="142" t="n">
        <f aca="false">VLOOKUP($A344,Table,MATCH(M$4,Curves,0))</f>
        <v>0.015</v>
      </c>
      <c r="N344" s="143" t="n">
        <f aca="false">M344</f>
        <v>0.015</v>
      </c>
      <c r="O344" s="144" t="n">
        <v>0</v>
      </c>
      <c r="P344" s="145"/>
      <c r="Q344" s="144" t="n">
        <f aca="false">M344+J344+G344</f>
        <v>4.013</v>
      </c>
      <c r="R344" s="144" t="n">
        <f aca="false">O344+L344+I344</f>
        <v>3.7904</v>
      </c>
      <c r="S344" s="145"/>
      <c r="T344" s="71" t="n">
        <f aca="false">A345-A344</f>
        <v>28</v>
      </c>
      <c r="U344" s="146" t="n">
        <f aca="false">CHOOSE(F$3,A345+24,A344)</f>
        <v>47202</v>
      </c>
      <c r="V344" s="71" t="n">
        <f aca="false">U344-C$3</f>
        <v>10314</v>
      </c>
      <c r="W344" s="142" t="n">
        <f aca="false">VLOOKUP($A344,Table,MATCH(W$4,Curves,0))</f>
        <v>0.058966861357273</v>
      </c>
      <c r="X344" s="147" t="n">
        <f aca="false">1/(1+CHOOSE(F$3,(W345+($K$3/10000))/2,(W344+($K$3/10000))/2))^(2*V344/365.25)</f>
        <v>0.193777830456721</v>
      </c>
      <c r="Y344" s="71" t="n">
        <f aca="false">IF(AND(mthbeg&lt;=A344,mthend&gt;=A344),1,0)</f>
        <v>0</v>
      </c>
      <c r="Z344" s="71" t="n">
        <f aca="false">T344*Y344</f>
        <v>0</v>
      </c>
      <c r="AB344" s="132" t="n">
        <f aca="false">F344*G344</f>
        <v>0</v>
      </c>
      <c r="AC344" s="132" t="n">
        <f aca="false">$F344*H344</f>
        <v>0</v>
      </c>
      <c r="AD344" s="132" t="n">
        <f aca="false">$F344*I344</f>
        <v>0</v>
      </c>
      <c r="AE344" s="132" t="n">
        <f aca="false">$F344*J344</f>
        <v>0</v>
      </c>
      <c r="AF344" s="132" t="n">
        <f aca="false">$F344*K344</f>
        <v>0</v>
      </c>
      <c r="AG344" s="132" t="n">
        <f aca="false">$F344*L344</f>
        <v>0</v>
      </c>
      <c r="AH344" s="132" t="n">
        <f aca="false">$F344*M344</f>
        <v>0</v>
      </c>
      <c r="AI344" s="132" t="n">
        <f aca="false">$F344*N344</f>
        <v>0</v>
      </c>
      <c r="AJ344" s="132" t="n">
        <f aca="false">F344*O344</f>
        <v>0</v>
      </c>
      <c r="AK344" s="137"/>
      <c r="AL344" s="132" t="n">
        <f aca="false">CHOOSE($G$3,AC344-AD344,AD344-AC344)</f>
        <v>0</v>
      </c>
      <c r="AM344" s="132" t="n">
        <f aca="false">CHOOSE($G$3,AF344-AG344,AG344-AF344)</f>
        <v>0</v>
      </c>
      <c r="AN344" s="132" t="n">
        <f aca="false">CHOOSE($G$3,AI344-AJ344,AJ344-AI344)</f>
        <v>0</v>
      </c>
      <c r="AO344" s="148" t="n">
        <f aca="false">SUM(AL344:AN344)</f>
        <v>0</v>
      </c>
      <c r="AQ344" s="132" t="n">
        <f aca="false">CHOOSE($G$3,AB344-AC344,AC344-AB344)</f>
        <v>0</v>
      </c>
      <c r="AR344" s="132" t="n">
        <f aca="false">CHOOSE($G$3,AE344-AF344,AF344-AE344)</f>
        <v>0</v>
      </c>
      <c r="AS344" s="132" t="n">
        <f aca="false">CHOOSE($G$3,AH344-AI344,AI344-AH344)</f>
        <v>0</v>
      </c>
      <c r="AT344" s="148" t="n">
        <f aca="false">AQ344+AR344+AS344</f>
        <v>0</v>
      </c>
      <c r="AU344" s="148"/>
      <c r="AV344" s="133" t="n">
        <f aca="false">AT344+AO344</f>
        <v>0</v>
      </c>
      <c r="AX344" s="133" t="n">
        <f aca="false">AJ344+AG344+AD344</f>
        <v>0</v>
      </c>
      <c r="AY344" s="149"/>
      <c r="AZ344" s="76" t="n">
        <f aca="false">R344*E344</f>
        <v>0</v>
      </c>
    </row>
    <row r="345" customFormat="false" ht="12" hidden="false" customHeight="true" outlineLevel="0" collapsed="false">
      <c r="A345" s="138" t="n">
        <f aca="false">EDATE(A344,1)</f>
        <v>47178</v>
      </c>
      <c r="B345" s="139" t="n">
        <f aca="false">VLOOKUP($A345,Table2,MATCH(I$3,Curves2,0))</f>
        <v>60900</v>
      </c>
      <c r="C345" s="140"/>
      <c r="D345" s="141" t="n">
        <f aca="false">B345+C345</f>
        <v>60900</v>
      </c>
      <c r="E345" s="126" t="n">
        <f aca="false">IF(Y345=0,0,IF(AND(Y345=1,$H$3=1),D345*T345,IF($H$3=2,D345,"N/A")))</f>
        <v>0</v>
      </c>
      <c r="F345" s="126" t="n">
        <f aca="false">E345*X345</f>
        <v>0</v>
      </c>
      <c r="G345" s="142" t="n">
        <f aca="false">VLOOKUP($A345,Table,MATCH(G$4,Curves,0))</f>
        <v>3.987</v>
      </c>
      <c r="H345" s="143" t="n">
        <f aca="false">G345</f>
        <v>3.987</v>
      </c>
      <c r="I345" s="142" t="n">
        <f aca="false">VLOOKUP($A345,Table1,MATCH(I$3,Curves1,0))</f>
        <v>3.7904</v>
      </c>
      <c r="J345" s="142" t="n">
        <f aca="false">VLOOKUP($A345,Table,MATCH(J$4,Curves,0))</f>
        <v>0.011</v>
      </c>
      <c r="K345" s="143" t="n">
        <f aca="false">J345</f>
        <v>0.011</v>
      </c>
      <c r="L345" s="144" t="n">
        <v>0</v>
      </c>
      <c r="M345" s="142" t="n">
        <f aca="false">VLOOKUP($A345,Table,MATCH(M$4,Curves,0))</f>
        <v>0.015</v>
      </c>
      <c r="N345" s="143" t="n">
        <f aca="false">M345</f>
        <v>0.015</v>
      </c>
      <c r="O345" s="144" t="n">
        <v>0</v>
      </c>
      <c r="P345" s="145"/>
      <c r="Q345" s="144" t="n">
        <f aca="false">M345+J345+G345</f>
        <v>4.013</v>
      </c>
      <c r="R345" s="144" t="n">
        <f aca="false">O345+L345+I345</f>
        <v>3.7904</v>
      </c>
      <c r="S345" s="145"/>
      <c r="T345" s="71" t="n">
        <f aca="false">A346-A345</f>
        <v>31</v>
      </c>
      <c r="U345" s="146" t="n">
        <f aca="false">CHOOSE(F$3,A346+24,A345)</f>
        <v>47233</v>
      </c>
      <c r="V345" s="71" t="n">
        <f aca="false">U345-C$3</f>
        <v>10345</v>
      </c>
      <c r="W345" s="142" t="n">
        <f aca="false">VLOOKUP($A345,Table,MATCH(W$4,Curves,0))</f>
        <v>0.058966861357273</v>
      </c>
      <c r="X345" s="147" t="n">
        <f aca="false">1/(1+CHOOSE(F$3,(W346+($K$3/10000))/2,(W345+($K$3/10000))/2))^(2*V345/365.25)</f>
        <v>0.192824402232572</v>
      </c>
      <c r="Y345" s="71" t="n">
        <f aca="false">IF(AND(mthbeg&lt;=A345,mthend&gt;=A345),1,0)</f>
        <v>0</v>
      </c>
      <c r="Z345" s="71" t="n">
        <f aca="false">T345*Y345</f>
        <v>0</v>
      </c>
      <c r="AB345" s="132" t="n">
        <f aca="false">F345*G345</f>
        <v>0</v>
      </c>
      <c r="AC345" s="132" t="n">
        <f aca="false">$F345*H345</f>
        <v>0</v>
      </c>
      <c r="AD345" s="132" t="n">
        <f aca="false">$F345*I345</f>
        <v>0</v>
      </c>
      <c r="AE345" s="132" t="n">
        <f aca="false">$F345*J345</f>
        <v>0</v>
      </c>
      <c r="AF345" s="132" t="n">
        <f aca="false">$F345*K345</f>
        <v>0</v>
      </c>
      <c r="AG345" s="132" t="n">
        <f aca="false">$F345*L345</f>
        <v>0</v>
      </c>
      <c r="AH345" s="132" t="n">
        <f aca="false">$F345*M345</f>
        <v>0</v>
      </c>
      <c r="AI345" s="132" t="n">
        <f aca="false">$F345*N345</f>
        <v>0</v>
      </c>
      <c r="AJ345" s="132" t="n">
        <f aca="false">F345*O345</f>
        <v>0</v>
      </c>
      <c r="AK345" s="137"/>
      <c r="AL345" s="132" t="n">
        <f aca="false">CHOOSE($G$3,AC345-AD345,AD345-AC345)</f>
        <v>0</v>
      </c>
      <c r="AM345" s="132" t="n">
        <f aca="false">CHOOSE($G$3,AF345-AG345,AG345-AF345)</f>
        <v>0</v>
      </c>
      <c r="AN345" s="132" t="n">
        <f aca="false">CHOOSE($G$3,AI345-AJ345,AJ345-AI345)</f>
        <v>0</v>
      </c>
      <c r="AO345" s="148" t="n">
        <f aca="false">SUM(AL345:AN345)</f>
        <v>0</v>
      </c>
      <c r="AQ345" s="132" t="n">
        <f aca="false">CHOOSE($G$3,AB345-AC345,AC345-AB345)</f>
        <v>0</v>
      </c>
      <c r="AR345" s="132" t="n">
        <f aca="false">CHOOSE($G$3,AE345-AF345,AF345-AE345)</f>
        <v>0</v>
      </c>
      <c r="AS345" s="132" t="n">
        <f aca="false">CHOOSE($G$3,AH345-AI345,AI345-AH345)</f>
        <v>0</v>
      </c>
      <c r="AT345" s="148" t="n">
        <f aca="false">AQ345+AR345+AS345</f>
        <v>0</v>
      </c>
      <c r="AU345" s="148"/>
      <c r="AV345" s="133" t="n">
        <f aca="false">AT345+AO345</f>
        <v>0</v>
      </c>
      <c r="AX345" s="133" t="n">
        <f aca="false">AJ345+AG345+AD345</f>
        <v>0</v>
      </c>
      <c r="AY345" s="149"/>
      <c r="AZ345" s="76" t="n">
        <f aca="false">R345*E345</f>
        <v>0</v>
      </c>
    </row>
    <row r="346" customFormat="false" ht="12" hidden="false" customHeight="true" outlineLevel="0" collapsed="false">
      <c r="A346" s="138" t="n">
        <f aca="false">EDATE(A345,1)</f>
        <v>47209</v>
      </c>
      <c r="B346" s="139" t="n">
        <f aca="false">VLOOKUP($A346,Table2,MATCH(I$3,Curves2,0))</f>
        <v>60900</v>
      </c>
      <c r="C346" s="140"/>
      <c r="D346" s="141" t="n">
        <f aca="false">B346+C346</f>
        <v>60900</v>
      </c>
      <c r="E346" s="126" t="n">
        <f aca="false">IF(Y346=0,0,IF(AND(Y346=1,$H$3=1),D346*T346,IF($H$3=2,D346,"N/A")))</f>
        <v>0</v>
      </c>
      <c r="F346" s="126" t="n">
        <f aca="false">E346*X346</f>
        <v>0</v>
      </c>
      <c r="G346" s="142" t="n">
        <f aca="false">VLOOKUP($A346,Table,MATCH(G$4,Curves,0))</f>
        <v>3.987</v>
      </c>
      <c r="H346" s="143" t="n">
        <f aca="false">G346</f>
        <v>3.987</v>
      </c>
      <c r="I346" s="142" t="n">
        <f aca="false">VLOOKUP($A346,Table1,MATCH(I$3,Curves1,0))</f>
        <v>3.7904</v>
      </c>
      <c r="J346" s="142" t="n">
        <f aca="false">VLOOKUP($A346,Table,MATCH(J$4,Curves,0))</f>
        <v>0.011</v>
      </c>
      <c r="K346" s="143" t="n">
        <f aca="false">J346</f>
        <v>0.011</v>
      </c>
      <c r="L346" s="144" t="n">
        <v>0</v>
      </c>
      <c r="M346" s="142" t="n">
        <f aca="false">VLOOKUP($A346,Table,MATCH(M$4,Curves,0))</f>
        <v>0.015</v>
      </c>
      <c r="N346" s="143" t="n">
        <f aca="false">M346</f>
        <v>0.015</v>
      </c>
      <c r="O346" s="144" t="n">
        <v>0</v>
      </c>
      <c r="P346" s="145"/>
      <c r="Q346" s="144" t="n">
        <f aca="false">M346+J346+G346</f>
        <v>4.013</v>
      </c>
      <c r="R346" s="144" t="n">
        <f aca="false">O346+L346+I346</f>
        <v>3.7904</v>
      </c>
      <c r="S346" s="145"/>
      <c r="T346" s="71" t="n">
        <f aca="false">A347-A346</f>
        <v>30</v>
      </c>
      <c r="U346" s="146" t="n">
        <f aca="false">CHOOSE(F$3,A347+24,A346)</f>
        <v>47263</v>
      </c>
      <c r="V346" s="71" t="n">
        <f aca="false">U346-C$3</f>
        <v>10375</v>
      </c>
      <c r="W346" s="142" t="n">
        <f aca="false">VLOOKUP($A346,Table,MATCH(W$4,Curves,0))</f>
        <v>0.058966861357273</v>
      </c>
      <c r="X346" s="147" t="n">
        <f aca="false">1/(1+CHOOSE(F$3,(W347+($K$3/10000))/2,(W346+($K$3/10000))/2))^(2*V346/365.25)</f>
        <v>0.191906196517715</v>
      </c>
      <c r="Y346" s="71" t="n">
        <f aca="false">IF(AND(mthbeg&lt;=A346,mthend&gt;=A346),1,0)</f>
        <v>0</v>
      </c>
      <c r="Z346" s="71" t="n">
        <f aca="false">T346*Y346</f>
        <v>0</v>
      </c>
      <c r="AB346" s="132" t="n">
        <f aca="false">F346*G346</f>
        <v>0</v>
      </c>
      <c r="AC346" s="132" t="n">
        <f aca="false">$F346*H346</f>
        <v>0</v>
      </c>
      <c r="AD346" s="132" t="n">
        <f aca="false">$F346*I346</f>
        <v>0</v>
      </c>
      <c r="AE346" s="132" t="n">
        <f aca="false">$F346*J346</f>
        <v>0</v>
      </c>
      <c r="AF346" s="132" t="n">
        <f aca="false">$F346*K346</f>
        <v>0</v>
      </c>
      <c r="AG346" s="132" t="n">
        <f aca="false">$F346*L346</f>
        <v>0</v>
      </c>
      <c r="AH346" s="132" t="n">
        <f aca="false">$F346*M346</f>
        <v>0</v>
      </c>
      <c r="AI346" s="132" t="n">
        <f aca="false">$F346*N346</f>
        <v>0</v>
      </c>
      <c r="AJ346" s="132" t="n">
        <f aca="false">F346*O346</f>
        <v>0</v>
      </c>
      <c r="AK346" s="137"/>
      <c r="AL346" s="132" t="n">
        <f aca="false">CHOOSE($G$3,AC346-AD346,AD346-AC346)</f>
        <v>0</v>
      </c>
      <c r="AM346" s="132" t="n">
        <f aca="false">CHOOSE($G$3,AF346-AG346,AG346-AF346)</f>
        <v>0</v>
      </c>
      <c r="AN346" s="132" t="n">
        <f aca="false">CHOOSE($G$3,AI346-AJ346,AJ346-AI346)</f>
        <v>0</v>
      </c>
      <c r="AO346" s="148" t="n">
        <f aca="false">SUM(AL346:AN346)</f>
        <v>0</v>
      </c>
      <c r="AQ346" s="132" t="n">
        <f aca="false">CHOOSE($G$3,AB346-AC346,AC346-AB346)</f>
        <v>0</v>
      </c>
      <c r="AR346" s="132" t="n">
        <f aca="false">CHOOSE($G$3,AE346-AF346,AF346-AE346)</f>
        <v>0</v>
      </c>
      <c r="AS346" s="132" t="n">
        <f aca="false">CHOOSE($G$3,AH346-AI346,AI346-AH346)</f>
        <v>0</v>
      </c>
      <c r="AT346" s="148" t="n">
        <f aca="false">AQ346+AR346+AS346</f>
        <v>0</v>
      </c>
      <c r="AU346" s="148"/>
      <c r="AV346" s="133" t="n">
        <f aca="false">AT346+AO346</f>
        <v>0</v>
      </c>
      <c r="AX346" s="133" t="n">
        <f aca="false">AJ346+AG346+AD346</f>
        <v>0</v>
      </c>
      <c r="AY346" s="149"/>
      <c r="AZ346" s="76" t="n">
        <f aca="false">R346*E346</f>
        <v>0</v>
      </c>
    </row>
    <row r="347" customFormat="false" ht="12" hidden="false" customHeight="true" outlineLevel="0" collapsed="false">
      <c r="A347" s="138" t="n">
        <f aca="false">EDATE(A346,1)</f>
        <v>47239</v>
      </c>
      <c r="B347" s="139" t="n">
        <f aca="false">VLOOKUP($A347,Table2,MATCH(I$3,Curves2,0))</f>
        <v>60900</v>
      </c>
      <c r="C347" s="140"/>
      <c r="D347" s="141" t="n">
        <f aca="false">B347+C347</f>
        <v>60900</v>
      </c>
      <c r="E347" s="126" t="n">
        <f aca="false">IF(Y347=0,0,IF(AND(Y347=1,$H$3=1),D347*T347,IF($H$3=2,D347,"N/A")))</f>
        <v>0</v>
      </c>
      <c r="F347" s="126" t="n">
        <f aca="false">E347*X347</f>
        <v>0</v>
      </c>
      <c r="G347" s="142" t="n">
        <f aca="false">VLOOKUP($A347,Table,MATCH(G$4,Curves,0))</f>
        <v>3.987</v>
      </c>
      <c r="H347" s="143" t="n">
        <f aca="false">G347</f>
        <v>3.987</v>
      </c>
      <c r="I347" s="142" t="n">
        <f aca="false">VLOOKUP($A347,Table1,MATCH(I$3,Curves1,0))</f>
        <v>3.7904</v>
      </c>
      <c r="J347" s="142" t="n">
        <f aca="false">VLOOKUP($A347,Table,MATCH(J$4,Curves,0))</f>
        <v>0.011</v>
      </c>
      <c r="K347" s="143" t="n">
        <f aca="false">J347</f>
        <v>0.011</v>
      </c>
      <c r="L347" s="144" t="n">
        <v>0</v>
      </c>
      <c r="M347" s="142" t="n">
        <f aca="false">VLOOKUP($A347,Table,MATCH(M$4,Curves,0))</f>
        <v>0.015</v>
      </c>
      <c r="N347" s="143" t="n">
        <f aca="false">M347</f>
        <v>0.015</v>
      </c>
      <c r="O347" s="144" t="n">
        <v>0</v>
      </c>
      <c r="P347" s="145"/>
      <c r="Q347" s="144" t="n">
        <f aca="false">M347+J347+G347</f>
        <v>4.013</v>
      </c>
      <c r="R347" s="144" t="n">
        <f aca="false">O347+L347+I347</f>
        <v>3.7904</v>
      </c>
      <c r="S347" s="145"/>
      <c r="T347" s="71" t="n">
        <f aca="false">A348-A347</f>
        <v>31</v>
      </c>
      <c r="U347" s="146" t="n">
        <f aca="false">CHOOSE(F$3,A348+24,A347)</f>
        <v>47294</v>
      </c>
      <c r="V347" s="71" t="n">
        <f aca="false">U347-C$3</f>
        <v>10406</v>
      </c>
      <c r="W347" s="142" t="n">
        <f aca="false">VLOOKUP($A347,Table,MATCH(W$4,Curves,0))</f>
        <v>0.058966861357273</v>
      </c>
      <c r="X347" s="147" t="n">
        <f aca="false">1/(1+CHOOSE(F$3,(W348+($K$3/10000))/2,(W347+($K$3/10000))/2))^(2*V347/365.25)</f>
        <v>0.190961977131432</v>
      </c>
      <c r="Y347" s="71" t="n">
        <f aca="false">IF(AND(mthbeg&lt;=A347,mthend&gt;=A347),1,0)</f>
        <v>0</v>
      </c>
      <c r="Z347" s="71" t="n">
        <f aca="false">T347*Y347</f>
        <v>0</v>
      </c>
      <c r="AB347" s="132" t="n">
        <f aca="false">F347*G347</f>
        <v>0</v>
      </c>
      <c r="AC347" s="132" t="n">
        <f aca="false">$F347*H347</f>
        <v>0</v>
      </c>
      <c r="AD347" s="132" t="n">
        <f aca="false">$F347*I347</f>
        <v>0</v>
      </c>
      <c r="AE347" s="132" t="n">
        <f aca="false">$F347*J347</f>
        <v>0</v>
      </c>
      <c r="AF347" s="132" t="n">
        <f aca="false">$F347*K347</f>
        <v>0</v>
      </c>
      <c r="AG347" s="132" t="n">
        <f aca="false">$F347*L347</f>
        <v>0</v>
      </c>
      <c r="AH347" s="132" t="n">
        <f aca="false">$F347*M347</f>
        <v>0</v>
      </c>
      <c r="AI347" s="132" t="n">
        <f aca="false">$F347*N347</f>
        <v>0</v>
      </c>
      <c r="AJ347" s="132" t="n">
        <f aca="false">F347*O347</f>
        <v>0</v>
      </c>
      <c r="AK347" s="137"/>
      <c r="AL347" s="132" t="n">
        <f aca="false">CHOOSE($G$3,AC347-AD347,AD347-AC347)</f>
        <v>0</v>
      </c>
      <c r="AM347" s="132" t="n">
        <f aca="false">CHOOSE($G$3,AF347-AG347,AG347-AF347)</f>
        <v>0</v>
      </c>
      <c r="AN347" s="132" t="n">
        <f aca="false">CHOOSE($G$3,AI347-AJ347,AJ347-AI347)</f>
        <v>0</v>
      </c>
      <c r="AO347" s="148" t="n">
        <f aca="false">SUM(AL347:AN347)</f>
        <v>0</v>
      </c>
      <c r="AQ347" s="132" t="n">
        <f aca="false">CHOOSE($G$3,AB347-AC347,AC347-AB347)</f>
        <v>0</v>
      </c>
      <c r="AR347" s="132" t="n">
        <f aca="false">CHOOSE($G$3,AE347-AF347,AF347-AE347)</f>
        <v>0</v>
      </c>
      <c r="AS347" s="132" t="n">
        <f aca="false">CHOOSE($G$3,AH347-AI347,AI347-AH347)</f>
        <v>0</v>
      </c>
      <c r="AT347" s="148" t="n">
        <f aca="false">AQ347+AR347+AS347</f>
        <v>0</v>
      </c>
      <c r="AU347" s="148"/>
      <c r="AV347" s="133" t="n">
        <f aca="false">AT347+AO347</f>
        <v>0</v>
      </c>
      <c r="AX347" s="133" t="n">
        <f aca="false">AJ347+AG347+AD347</f>
        <v>0</v>
      </c>
      <c r="AY347" s="149"/>
      <c r="AZ347" s="76" t="n">
        <f aca="false">R347*E347</f>
        <v>0</v>
      </c>
    </row>
    <row r="348" customFormat="false" ht="12" hidden="false" customHeight="true" outlineLevel="0" collapsed="false">
      <c r="A348" s="138" t="n">
        <f aca="false">EDATE(A347,1)</f>
        <v>47270</v>
      </c>
      <c r="B348" s="139" t="n">
        <f aca="false">VLOOKUP($A348,Table2,MATCH(I$3,Curves2,0))</f>
        <v>60900</v>
      </c>
      <c r="C348" s="140"/>
      <c r="D348" s="141" t="n">
        <f aca="false">B348+C348</f>
        <v>60900</v>
      </c>
      <c r="E348" s="126" t="n">
        <f aca="false">IF(Y348=0,0,IF(AND(Y348=1,$H$3=1),D348*T348,IF($H$3=2,D348,"N/A")))</f>
        <v>0</v>
      </c>
      <c r="F348" s="126" t="n">
        <f aca="false">E348*X348</f>
        <v>0</v>
      </c>
      <c r="G348" s="142" t="n">
        <f aca="false">VLOOKUP($A348,Table,MATCH(G$4,Curves,0))</f>
        <v>3.987</v>
      </c>
      <c r="H348" s="143" t="n">
        <f aca="false">G348</f>
        <v>3.987</v>
      </c>
      <c r="I348" s="142" t="n">
        <f aca="false">VLOOKUP($A348,Table1,MATCH(I$3,Curves1,0))</f>
        <v>3.7904</v>
      </c>
      <c r="J348" s="142" t="n">
        <f aca="false">VLOOKUP($A348,Table,MATCH(J$4,Curves,0))</f>
        <v>0.011</v>
      </c>
      <c r="K348" s="143" t="n">
        <f aca="false">J348</f>
        <v>0.011</v>
      </c>
      <c r="L348" s="144" t="n">
        <v>0</v>
      </c>
      <c r="M348" s="142" t="n">
        <f aca="false">VLOOKUP($A348,Table,MATCH(M$4,Curves,0))</f>
        <v>0.015</v>
      </c>
      <c r="N348" s="143" t="n">
        <f aca="false">M348</f>
        <v>0.015</v>
      </c>
      <c r="O348" s="144" t="n">
        <v>0</v>
      </c>
      <c r="P348" s="145"/>
      <c r="Q348" s="144" t="n">
        <f aca="false">M348+J348+G348</f>
        <v>4.013</v>
      </c>
      <c r="R348" s="144" t="n">
        <f aca="false">O348+L348+I348</f>
        <v>3.7904</v>
      </c>
      <c r="S348" s="145"/>
      <c r="T348" s="71" t="n">
        <f aca="false">A349-A348</f>
        <v>30</v>
      </c>
      <c r="U348" s="146" t="n">
        <f aca="false">CHOOSE(F$3,A349+24,A348)</f>
        <v>47324</v>
      </c>
      <c r="V348" s="71" t="n">
        <f aca="false">U348-C$3</f>
        <v>10436</v>
      </c>
      <c r="W348" s="142" t="n">
        <f aca="false">VLOOKUP($A348,Table,MATCH(W$4,Curves,0))</f>
        <v>0.058966861357273</v>
      </c>
      <c r="X348" s="147" t="n">
        <f aca="false">1/(1+CHOOSE(F$3,(W349+($K$3/10000))/2,(W348+($K$3/10000))/2))^(2*V348/365.25)</f>
        <v>0.190052640052243</v>
      </c>
      <c r="Y348" s="71" t="n">
        <f aca="false">IF(AND(mthbeg&lt;=A348,mthend&gt;=A348),1,0)</f>
        <v>0</v>
      </c>
      <c r="Z348" s="71" t="n">
        <f aca="false">T348*Y348</f>
        <v>0</v>
      </c>
      <c r="AB348" s="132" t="n">
        <f aca="false">F348*G348</f>
        <v>0</v>
      </c>
      <c r="AC348" s="132" t="n">
        <f aca="false">$F348*H348</f>
        <v>0</v>
      </c>
      <c r="AD348" s="132" t="n">
        <f aca="false">$F348*I348</f>
        <v>0</v>
      </c>
      <c r="AE348" s="132" t="n">
        <f aca="false">$F348*J348</f>
        <v>0</v>
      </c>
      <c r="AF348" s="132" t="n">
        <f aca="false">$F348*K348</f>
        <v>0</v>
      </c>
      <c r="AG348" s="132" t="n">
        <f aca="false">$F348*L348</f>
        <v>0</v>
      </c>
      <c r="AH348" s="132" t="n">
        <f aca="false">$F348*M348</f>
        <v>0</v>
      </c>
      <c r="AI348" s="132" t="n">
        <f aca="false">$F348*N348</f>
        <v>0</v>
      </c>
      <c r="AJ348" s="132" t="n">
        <f aca="false">F348*O348</f>
        <v>0</v>
      </c>
      <c r="AK348" s="137"/>
      <c r="AL348" s="132" t="n">
        <f aca="false">CHOOSE($G$3,AC348-AD348,AD348-AC348)</f>
        <v>0</v>
      </c>
      <c r="AM348" s="132" t="n">
        <f aca="false">CHOOSE($G$3,AF348-AG348,AG348-AF348)</f>
        <v>0</v>
      </c>
      <c r="AN348" s="132" t="n">
        <f aca="false">CHOOSE($G$3,AI348-AJ348,AJ348-AI348)</f>
        <v>0</v>
      </c>
      <c r="AO348" s="148" t="n">
        <f aca="false">SUM(AL348:AN348)</f>
        <v>0</v>
      </c>
      <c r="AQ348" s="132" t="n">
        <f aca="false">CHOOSE($G$3,AB348-AC348,AC348-AB348)</f>
        <v>0</v>
      </c>
      <c r="AR348" s="132" t="n">
        <f aca="false">CHOOSE($G$3,AE348-AF348,AF348-AE348)</f>
        <v>0</v>
      </c>
      <c r="AS348" s="132" t="n">
        <f aca="false">CHOOSE($G$3,AH348-AI348,AI348-AH348)</f>
        <v>0</v>
      </c>
      <c r="AT348" s="148" t="n">
        <f aca="false">AQ348+AR348+AS348</f>
        <v>0</v>
      </c>
      <c r="AU348" s="148"/>
      <c r="AV348" s="133" t="n">
        <f aca="false">AT348+AO348</f>
        <v>0</v>
      </c>
      <c r="AX348" s="133" t="n">
        <f aca="false">AJ348+AG348+AD348</f>
        <v>0</v>
      </c>
      <c r="AY348" s="149"/>
      <c r="AZ348" s="76" t="n">
        <f aca="false">R348*E348</f>
        <v>0</v>
      </c>
    </row>
    <row r="349" customFormat="false" ht="12" hidden="false" customHeight="true" outlineLevel="0" collapsed="false">
      <c r="A349" s="138" t="n">
        <f aca="false">EDATE(A348,1)</f>
        <v>47300</v>
      </c>
      <c r="B349" s="139" t="n">
        <f aca="false">VLOOKUP($A349,Table2,MATCH(I$3,Curves2,0))</f>
        <v>60900</v>
      </c>
      <c r="C349" s="140"/>
      <c r="D349" s="141" t="n">
        <f aca="false">B349+C349</f>
        <v>60900</v>
      </c>
      <c r="E349" s="126" t="n">
        <f aca="false">IF(Y349=0,0,IF(AND(Y349=1,$H$3=1),D349*T349,IF($H$3=2,D349,"N/A")))</f>
        <v>0</v>
      </c>
      <c r="F349" s="126" t="n">
        <f aca="false">E349*X349</f>
        <v>0</v>
      </c>
      <c r="G349" s="142" t="n">
        <f aca="false">VLOOKUP($A349,Table,MATCH(G$4,Curves,0))</f>
        <v>3.987</v>
      </c>
      <c r="H349" s="143" t="n">
        <f aca="false">G349</f>
        <v>3.987</v>
      </c>
      <c r="I349" s="142" t="n">
        <f aca="false">VLOOKUP($A349,Table1,MATCH(I$3,Curves1,0))</f>
        <v>3.7904</v>
      </c>
      <c r="J349" s="142" t="n">
        <f aca="false">VLOOKUP($A349,Table,MATCH(J$4,Curves,0))</f>
        <v>0.011</v>
      </c>
      <c r="K349" s="143" t="n">
        <f aca="false">J349</f>
        <v>0.011</v>
      </c>
      <c r="L349" s="144" t="n">
        <v>0</v>
      </c>
      <c r="M349" s="142" t="n">
        <f aca="false">VLOOKUP($A349,Table,MATCH(M$4,Curves,0))</f>
        <v>0.015</v>
      </c>
      <c r="N349" s="143" t="n">
        <f aca="false">M349</f>
        <v>0.015</v>
      </c>
      <c r="O349" s="144" t="n">
        <v>0</v>
      </c>
      <c r="P349" s="145"/>
      <c r="Q349" s="144" t="n">
        <f aca="false">M349+J349+G349</f>
        <v>4.013</v>
      </c>
      <c r="R349" s="144" t="n">
        <f aca="false">O349+L349+I349</f>
        <v>3.7904</v>
      </c>
      <c r="S349" s="145"/>
      <c r="T349" s="71" t="n">
        <f aca="false">A350-A349</f>
        <v>31</v>
      </c>
      <c r="U349" s="146" t="n">
        <f aca="false">CHOOSE(F$3,A350+24,A349)</f>
        <v>47355</v>
      </c>
      <c r="V349" s="71" t="n">
        <f aca="false">U349-C$3</f>
        <v>10467</v>
      </c>
      <c r="W349" s="142" t="n">
        <f aca="false">VLOOKUP($A349,Table,MATCH(W$4,Curves,0))</f>
        <v>0.058966861357273</v>
      </c>
      <c r="X349" s="147" t="n">
        <f aca="false">1/(1+CHOOSE(F$3,(W350+($K$3/10000))/2,(W349+($K$3/10000))/2))^(2*V349/365.25)</f>
        <v>0.189117540558803</v>
      </c>
      <c r="Y349" s="71" t="n">
        <f aca="false">IF(AND(mthbeg&lt;=A349,mthend&gt;=A349),1,0)</f>
        <v>0</v>
      </c>
      <c r="Z349" s="71" t="n">
        <f aca="false">T349*Y349</f>
        <v>0</v>
      </c>
      <c r="AB349" s="132" t="n">
        <f aca="false">F349*G349</f>
        <v>0</v>
      </c>
      <c r="AC349" s="132" t="n">
        <f aca="false">$F349*H349</f>
        <v>0</v>
      </c>
      <c r="AD349" s="132" t="n">
        <f aca="false">$F349*I349</f>
        <v>0</v>
      </c>
      <c r="AE349" s="132" t="n">
        <f aca="false">$F349*J349</f>
        <v>0</v>
      </c>
      <c r="AF349" s="132" t="n">
        <f aca="false">$F349*K349</f>
        <v>0</v>
      </c>
      <c r="AG349" s="132" t="n">
        <f aca="false">$F349*L349</f>
        <v>0</v>
      </c>
      <c r="AH349" s="132" t="n">
        <f aca="false">$F349*M349</f>
        <v>0</v>
      </c>
      <c r="AI349" s="132" t="n">
        <f aca="false">$F349*N349</f>
        <v>0</v>
      </c>
      <c r="AJ349" s="132" t="n">
        <f aca="false">F349*O349</f>
        <v>0</v>
      </c>
      <c r="AK349" s="137"/>
      <c r="AL349" s="132" t="n">
        <f aca="false">CHOOSE($G$3,AC349-AD349,AD349-AC349)</f>
        <v>0</v>
      </c>
      <c r="AM349" s="132" t="n">
        <f aca="false">CHOOSE($G$3,AF349-AG349,AG349-AF349)</f>
        <v>0</v>
      </c>
      <c r="AN349" s="132" t="n">
        <f aca="false">CHOOSE($G$3,AI349-AJ349,AJ349-AI349)</f>
        <v>0</v>
      </c>
      <c r="AO349" s="148" t="n">
        <f aca="false">SUM(AL349:AN349)</f>
        <v>0</v>
      </c>
      <c r="AQ349" s="132" t="n">
        <f aca="false">CHOOSE($G$3,AB349-AC349,AC349-AB349)</f>
        <v>0</v>
      </c>
      <c r="AR349" s="132" t="n">
        <f aca="false">CHOOSE($G$3,AE349-AF349,AF349-AE349)</f>
        <v>0</v>
      </c>
      <c r="AS349" s="132" t="n">
        <f aca="false">CHOOSE($G$3,AH349-AI349,AI349-AH349)</f>
        <v>0</v>
      </c>
      <c r="AT349" s="148" t="n">
        <f aca="false">AQ349+AR349+AS349</f>
        <v>0</v>
      </c>
      <c r="AU349" s="148"/>
      <c r="AV349" s="133" t="n">
        <f aca="false">AT349+AO349</f>
        <v>0</v>
      </c>
      <c r="AX349" s="133" t="n">
        <f aca="false">AJ349+AG349+AD349</f>
        <v>0</v>
      </c>
      <c r="AY349" s="149"/>
      <c r="AZ349" s="76" t="n">
        <f aca="false">R349*E349</f>
        <v>0</v>
      </c>
    </row>
    <row r="350" customFormat="false" ht="12" hidden="false" customHeight="true" outlineLevel="0" collapsed="false">
      <c r="A350" s="138" t="n">
        <f aca="false">EDATE(A349,1)</f>
        <v>47331</v>
      </c>
      <c r="B350" s="139" t="n">
        <f aca="false">VLOOKUP($A350,Table2,MATCH(I$3,Curves2,0))</f>
        <v>60900</v>
      </c>
      <c r="C350" s="140"/>
      <c r="D350" s="141" t="n">
        <f aca="false">B350+C350</f>
        <v>60900</v>
      </c>
      <c r="E350" s="126" t="n">
        <f aca="false">IF(Y350=0,0,IF(AND(Y350=1,$H$3=1),D350*T350,IF($H$3=2,D350,"N/A")))</f>
        <v>0</v>
      </c>
      <c r="F350" s="126" t="n">
        <f aca="false">E350*X350</f>
        <v>0</v>
      </c>
      <c r="G350" s="142" t="n">
        <f aca="false">VLOOKUP($A350,Table,MATCH(G$4,Curves,0))</f>
        <v>3.987</v>
      </c>
      <c r="H350" s="143" t="n">
        <f aca="false">G350</f>
        <v>3.987</v>
      </c>
      <c r="I350" s="142" t="n">
        <f aca="false">VLOOKUP($A350,Table1,MATCH(I$3,Curves1,0))</f>
        <v>3.7904</v>
      </c>
      <c r="J350" s="142" t="n">
        <f aca="false">VLOOKUP($A350,Table,MATCH(J$4,Curves,0))</f>
        <v>0.011</v>
      </c>
      <c r="K350" s="143" t="n">
        <f aca="false">J350</f>
        <v>0.011</v>
      </c>
      <c r="L350" s="144" t="n">
        <v>0</v>
      </c>
      <c r="M350" s="142" t="n">
        <f aca="false">VLOOKUP($A350,Table,MATCH(M$4,Curves,0))</f>
        <v>0.015</v>
      </c>
      <c r="N350" s="143" t="n">
        <f aca="false">M350</f>
        <v>0.015</v>
      </c>
      <c r="O350" s="144" t="n">
        <v>0</v>
      </c>
      <c r="P350" s="145"/>
      <c r="Q350" s="144" t="n">
        <f aca="false">M350+J350+G350</f>
        <v>4.013</v>
      </c>
      <c r="R350" s="144" t="n">
        <f aca="false">O350+L350+I350</f>
        <v>3.7904</v>
      </c>
      <c r="S350" s="145"/>
      <c r="T350" s="71" t="n">
        <f aca="false">A351-A350</f>
        <v>31</v>
      </c>
      <c r="U350" s="146" t="n">
        <f aca="false">CHOOSE(F$3,A351+24,A350)</f>
        <v>47386</v>
      </c>
      <c r="V350" s="71" t="n">
        <f aca="false">U350-C$3</f>
        <v>10498</v>
      </c>
      <c r="W350" s="142" t="n">
        <f aca="false">VLOOKUP($A350,Table,MATCH(W$4,Curves,0))</f>
        <v>0.058966861357273</v>
      </c>
      <c r="X350" s="147" t="n">
        <f aca="false">1/(1+CHOOSE(F$3,(W351+($K$3/10000))/2,(W350+($K$3/10000))/2))^(2*V350/365.25)</f>
        <v>0.188187041954162</v>
      </c>
      <c r="Y350" s="71" t="n">
        <f aca="false">IF(AND(mthbeg&lt;=A350,mthend&gt;=A350),1,0)</f>
        <v>0</v>
      </c>
      <c r="Z350" s="71" t="n">
        <f aca="false">T350*Y350</f>
        <v>0</v>
      </c>
      <c r="AB350" s="132" t="n">
        <f aca="false">F350*G350</f>
        <v>0</v>
      </c>
      <c r="AC350" s="132" t="n">
        <f aca="false">$F350*H350</f>
        <v>0</v>
      </c>
      <c r="AD350" s="132" t="n">
        <f aca="false">$F350*I350</f>
        <v>0</v>
      </c>
      <c r="AE350" s="132" t="n">
        <f aca="false">$F350*J350</f>
        <v>0</v>
      </c>
      <c r="AF350" s="132" t="n">
        <f aca="false">$F350*K350</f>
        <v>0</v>
      </c>
      <c r="AG350" s="132" t="n">
        <f aca="false">$F350*L350</f>
        <v>0</v>
      </c>
      <c r="AH350" s="132" t="n">
        <f aca="false">$F350*M350</f>
        <v>0</v>
      </c>
      <c r="AI350" s="132" t="n">
        <f aca="false">$F350*N350</f>
        <v>0</v>
      </c>
      <c r="AJ350" s="132" t="n">
        <f aca="false">F350*O350</f>
        <v>0</v>
      </c>
      <c r="AK350" s="137"/>
      <c r="AL350" s="132" t="n">
        <f aca="false">CHOOSE($G$3,AC350-AD350,AD350-AC350)</f>
        <v>0</v>
      </c>
      <c r="AM350" s="132" t="n">
        <f aca="false">CHOOSE($G$3,AF350-AG350,AG350-AF350)</f>
        <v>0</v>
      </c>
      <c r="AN350" s="132" t="n">
        <f aca="false">CHOOSE($G$3,AI350-AJ350,AJ350-AI350)</f>
        <v>0</v>
      </c>
      <c r="AO350" s="148" t="n">
        <f aca="false">SUM(AL350:AN350)</f>
        <v>0</v>
      </c>
      <c r="AQ350" s="132" t="n">
        <f aca="false">CHOOSE($G$3,AB350-AC350,AC350-AB350)</f>
        <v>0</v>
      </c>
      <c r="AR350" s="132" t="n">
        <f aca="false">CHOOSE($G$3,AE350-AF350,AF350-AE350)</f>
        <v>0</v>
      </c>
      <c r="AS350" s="132" t="n">
        <f aca="false">CHOOSE($G$3,AH350-AI350,AI350-AH350)</f>
        <v>0</v>
      </c>
      <c r="AT350" s="148" t="n">
        <f aca="false">AQ350+AR350+AS350</f>
        <v>0</v>
      </c>
      <c r="AU350" s="148"/>
      <c r="AV350" s="133" t="n">
        <f aca="false">AT350+AO350</f>
        <v>0</v>
      </c>
      <c r="AX350" s="133" t="n">
        <f aca="false">AJ350+AG350+AD350</f>
        <v>0</v>
      </c>
      <c r="AY350" s="149"/>
      <c r="AZ350" s="76" t="n">
        <f aca="false">R350*E350</f>
        <v>0</v>
      </c>
    </row>
    <row r="351" customFormat="false" ht="12" hidden="false" customHeight="true" outlineLevel="0" collapsed="false">
      <c r="A351" s="138" t="n">
        <f aca="false">EDATE(A350,1)</f>
        <v>47362</v>
      </c>
      <c r="B351" s="139" t="n">
        <f aca="false">VLOOKUP($A351,Table2,MATCH(I$3,Curves2,0))</f>
        <v>60900</v>
      </c>
      <c r="C351" s="140"/>
      <c r="D351" s="141" t="n">
        <f aca="false">B351+C351</f>
        <v>60900</v>
      </c>
      <c r="E351" s="126" t="n">
        <f aca="false">IF(Y351=0,0,IF(AND(Y351=1,$H$3=1),D351*T351,IF($H$3=2,D351,"N/A")))</f>
        <v>0</v>
      </c>
      <c r="F351" s="126" t="n">
        <f aca="false">E351*X351</f>
        <v>0</v>
      </c>
      <c r="G351" s="142" t="n">
        <f aca="false">VLOOKUP($A351,Table,MATCH(G$4,Curves,0))</f>
        <v>3.987</v>
      </c>
      <c r="H351" s="143" t="n">
        <f aca="false">G351</f>
        <v>3.987</v>
      </c>
      <c r="I351" s="142" t="n">
        <f aca="false">VLOOKUP($A351,Table1,MATCH(I$3,Curves1,0))</f>
        <v>3.7904</v>
      </c>
      <c r="J351" s="142" t="n">
        <f aca="false">VLOOKUP($A351,Table,MATCH(J$4,Curves,0))</f>
        <v>0.011</v>
      </c>
      <c r="K351" s="143" t="n">
        <f aca="false">J351</f>
        <v>0.011</v>
      </c>
      <c r="L351" s="144" t="n">
        <v>0</v>
      </c>
      <c r="M351" s="142" t="n">
        <f aca="false">VLOOKUP($A351,Table,MATCH(M$4,Curves,0))</f>
        <v>0.015</v>
      </c>
      <c r="N351" s="143" t="n">
        <f aca="false">M351</f>
        <v>0.015</v>
      </c>
      <c r="O351" s="144" t="n">
        <v>0</v>
      </c>
      <c r="P351" s="145"/>
      <c r="Q351" s="144" t="n">
        <f aca="false">M351+J351+G351</f>
        <v>4.013</v>
      </c>
      <c r="R351" s="144" t="n">
        <f aca="false">O351+L351+I351</f>
        <v>3.7904</v>
      </c>
      <c r="S351" s="145"/>
      <c r="T351" s="71" t="n">
        <f aca="false">A352-A351</f>
        <v>30</v>
      </c>
      <c r="U351" s="146" t="n">
        <f aca="false">CHOOSE(F$3,A352+24,A351)</f>
        <v>47416</v>
      </c>
      <c r="V351" s="71" t="n">
        <f aca="false">U351-C$3</f>
        <v>10528</v>
      </c>
      <c r="W351" s="142" t="n">
        <f aca="false">VLOOKUP($A351,Table,MATCH(W$4,Curves,0))</f>
        <v>0.058966861357273</v>
      </c>
      <c r="X351" s="147" t="n">
        <f aca="false">1/(1+CHOOSE(F$3,(W352+($K$3/10000))/2,(W351+($K$3/10000))/2))^(2*V351/365.25)</f>
        <v>0.187290918769628</v>
      </c>
      <c r="Y351" s="71" t="n">
        <f aca="false">IF(AND(mthbeg&lt;=A351,mthend&gt;=A351),1,0)</f>
        <v>0</v>
      </c>
      <c r="Z351" s="71" t="n">
        <f aca="false">T351*Y351</f>
        <v>0</v>
      </c>
      <c r="AB351" s="132" t="n">
        <f aca="false">F351*G351</f>
        <v>0</v>
      </c>
      <c r="AC351" s="132" t="n">
        <f aca="false">$F351*H351</f>
        <v>0</v>
      </c>
      <c r="AD351" s="132" t="n">
        <f aca="false">$F351*I351</f>
        <v>0</v>
      </c>
      <c r="AE351" s="132" t="n">
        <f aca="false">$F351*J351</f>
        <v>0</v>
      </c>
      <c r="AF351" s="132" t="n">
        <f aca="false">$F351*K351</f>
        <v>0</v>
      </c>
      <c r="AG351" s="132" t="n">
        <f aca="false">$F351*L351</f>
        <v>0</v>
      </c>
      <c r="AH351" s="132" t="n">
        <f aca="false">$F351*M351</f>
        <v>0</v>
      </c>
      <c r="AI351" s="132" t="n">
        <f aca="false">$F351*N351</f>
        <v>0</v>
      </c>
      <c r="AJ351" s="132" t="n">
        <f aca="false">F351*O351</f>
        <v>0</v>
      </c>
      <c r="AK351" s="137"/>
      <c r="AL351" s="132" t="n">
        <f aca="false">CHOOSE($G$3,AC351-AD351,AD351-AC351)</f>
        <v>0</v>
      </c>
      <c r="AM351" s="132" t="n">
        <f aca="false">CHOOSE($G$3,AF351-AG351,AG351-AF351)</f>
        <v>0</v>
      </c>
      <c r="AN351" s="132" t="n">
        <f aca="false">CHOOSE($G$3,AI351-AJ351,AJ351-AI351)</f>
        <v>0</v>
      </c>
      <c r="AO351" s="148" t="n">
        <f aca="false">SUM(AL351:AN351)</f>
        <v>0</v>
      </c>
      <c r="AQ351" s="132" t="n">
        <f aca="false">CHOOSE($G$3,AB351-AC351,AC351-AB351)</f>
        <v>0</v>
      </c>
      <c r="AR351" s="132" t="n">
        <f aca="false">CHOOSE($G$3,AE351-AF351,AF351-AE351)</f>
        <v>0</v>
      </c>
      <c r="AS351" s="132" t="n">
        <f aca="false">CHOOSE($G$3,AH351-AI351,AI351-AH351)</f>
        <v>0</v>
      </c>
      <c r="AT351" s="148" t="n">
        <f aca="false">AQ351+AR351+AS351</f>
        <v>0</v>
      </c>
      <c r="AU351" s="148"/>
      <c r="AV351" s="133" t="n">
        <f aca="false">AT351+AO351</f>
        <v>0</v>
      </c>
      <c r="AX351" s="133" t="n">
        <f aca="false">AJ351+AG351+AD351</f>
        <v>0</v>
      </c>
      <c r="AY351" s="149"/>
      <c r="AZ351" s="76" t="n">
        <f aca="false">R351*E351</f>
        <v>0</v>
      </c>
    </row>
    <row r="352" customFormat="false" ht="12" hidden="false" customHeight="true" outlineLevel="0" collapsed="false">
      <c r="A352" s="138" t="n">
        <f aca="false">EDATE(A351,1)</f>
        <v>47392</v>
      </c>
      <c r="B352" s="139" t="n">
        <f aca="false">VLOOKUP($A352,Table2,MATCH(I$3,Curves2,0))</f>
        <v>60900</v>
      </c>
      <c r="C352" s="140"/>
      <c r="D352" s="141" t="n">
        <f aca="false">B352+C352</f>
        <v>60900</v>
      </c>
      <c r="E352" s="126" t="n">
        <f aca="false">IF(Y352=0,0,IF(AND(Y352=1,$H$3=1),D352*T352,IF($H$3=2,D352,"N/A")))</f>
        <v>0</v>
      </c>
      <c r="F352" s="126" t="n">
        <f aca="false">E352*X352</f>
        <v>0</v>
      </c>
      <c r="G352" s="142" t="n">
        <f aca="false">VLOOKUP($A352,Table,MATCH(G$4,Curves,0))</f>
        <v>3.987</v>
      </c>
      <c r="H352" s="143" t="n">
        <f aca="false">G352</f>
        <v>3.987</v>
      </c>
      <c r="I352" s="142" t="n">
        <f aca="false">VLOOKUP($A352,Table1,MATCH(I$3,Curves1,0))</f>
        <v>3.7904</v>
      </c>
      <c r="J352" s="142" t="n">
        <f aca="false">VLOOKUP($A352,Table,MATCH(J$4,Curves,0))</f>
        <v>0.011</v>
      </c>
      <c r="K352" s="143" t="n">
        <f aca="false">J352</f>
        <v>0.011</v>
      </c>
      <c r="L352" s="144" t="n">
        <v>0</v>
      </c>
      <c r="M352" s="142" t="n">
        <f aca="false">VLOOKUP($A352,Table,MATCH(M$4,Curves,0))</f>
        <v>0.015</v>
      </c>
      <c r="N352" s="143" t="n">
        <f aca="false">M352</f>
        <v>0.015</v>
      </c>
      <c r="O352" s="144" t="n">
        <v>0</v>
      </c>
      <c r="P352" s="145"/>
      <c r="Q352" s="144" t="n">
        <f aca="false">M352+J352+G352</f>
        <v>4.013</v>
      </c>
      <c r="R352" s="144" t="n">
        <f aca="false">O352+L352+I352</f>
        <v>3.7904</v>
      </c>
      <c r="S352" s="145"/>
      <c r="T352" s="71" t="n">
        <f aca="false">A353-A352</f>
        <v>31</v>
      </c>
      <c r="U352" s="146" t="n">
        <f aca="false">CHOOSE(F$3,A353+24,A352)</f>
        <v>47447</v>
      </c>
      <c r="V352" s="71" t="n">
        <f aca="false">U352-C$3</f>
        <v>10559</v>
      </c>
      <c r="W352" s="142" t="n">
        <f aca="false">VLOOKUP($A352,Table,MATCH(W$4,Curves,0))</f>
        <v>0.058966861357273</v>
      </c>
      <c r="X352" s="147" t="n">
        <f aca="false">1/(1+CHOOSE(F$3,(W353+($K$3/10000))/2,(W352+($K$3/10000))/2))^(2*V352/365.25)</f>
        <v>0.186369407533482</v>
      </c>
      <c r="Y352" s="71" t="n">
        <f aca="false">IF(AND(mthbeg&lt;=A352,mthend&gt;=A352),1,0)</f>
        <v>0</v>
      </c>
      <c r="Z352" s="71" t="n">
        <f aca="false">T352*Y352</f>
        <v>0</v>
      </c>
      <c r="AB352" s="132" t="n">
        <f aca="false">F352*G352</f>
        <v>0</v>
      </c>
      <c r="AC352" s="132" t="n">
        <f aca="false">$F352*H352</f>
        <v>0</v>
      </c>
      <c r="AD352" s="132" t="n">
        <f aca="false">$F352*I352</f>
        <v>0</v>
      </c>
      <c r="AE352" s="132" t="n">
        <f aca="false">$F352*J352</f>
        <v>0</v>
      </c>
      <c r="AF352" s="132" t="n">
        <f aca="false">$F352*K352</f>
        <v>0</v>
      </c>
      <c r="AG352" s="132" t="n">
        <f aca="false">$F352*L352</f>
        <v>0</v>
      </c>
      <c r="AH352" s="132" t="n">
        <f aca="false">$F352*M352</f>
        <v>0</v>
      </c>
      <c r="AI352" s="132" t="n">
        <f aca="false">$F352*N352</f>
        <v>0</v>
      </c>
      <c r="AJ352" s="132" t="n">
        <f aca="false">F352*O352</f>
        <v>0</v>
      </c>
      <c r="AK352" s="137"/>
      <c r="AL352" s="132" t="n">
        <f aca="false">CHOOSE($G$3,AC352-AD352,AD352-AC352)</f>
        <v>0</v>
      </c>
      <c r="AM352" s="132" t="n">
        <f aca="false">CHOOSE($G$3,AF352-AG352,AG352-AF352)</f>
        <v>0</v>
      </c>
      <c r="AN352" s="132" t="n">
        <f aca="false">CHOOSE($G$3,AI352-AJ352,AJ352-AI352)</f>
        <v>0</v>
      </c>
      <c r="AO352" s="148" t="n">
        <f aca="false">SUM(AL352:AN352)</f>
        <v>0</v>
      </c>
      <c r="AQ352" s="132" t="n">
        <f aca="false">CHOOSE($G$3,AB352-AC352,AC352-AB352)</f>
        <v>0</v>
      </c>
      <c r="AR352" s="132" t="n">
        <f aca="false">CHOOSE($G$3,AE352-AF352,AF352-AE352)</f>
        <v>0</v>
      </c>
      <c r="AS352" s="132" t="n">
        <f aca="false">CHOOSE($G$3,AH352-AI352,AI352-AH352)</f>
        <v>0</v>
      </c>
      <c r="AT352" s="148" t="n">
        <f aca="false">AQ352+AR352+AS352</f>
        <v>0</v>
      </c>
      <c r="AU352" s="148"/>
      <c r="AV352" s="133" t="n">
        <f aca="false">AT352+AO352</f>
        <v>0</v>
      </c>
      <c r="AX352" s="133" t="n">
        <f aca="false">AJ352+AG352+AD352</f>
        <v>0</v>
      </c>
      <c r="AY352" s="149"/>
      <c r="AZ352" s="76" t="n">
        <f aca="false">R352*E352</f>
        <v>0</v>
      </c>
    </row>
    <row r="353" customFormat="false" ht="12" hidden="false" customHeight="true" outlineLevel="0" collapsed="false">
      <c r="A353" s="138" t="n">
        <f aca="false">EDATE(A352,1)</f>
        <v>47423</v>
      </c>
      <c r="B353" s="139" t="n">
        <f aca="false">VLOOKUP($A353,Table2,MATCH(I$3,Curves2,0))</f>
        <v>60900</v>
      </c>
      <c r="C353" s="140"/>
      <c r="D353" s="141" t="n">
        <f aca="false">B353+C353</f>
        <v>60900</v>
      </c>
      <c r="E353" s="126" t="n">
        <f aca="false">IF(Y353=0,0,IF(AND(Y353=1,$H$3=1),D353*T353,IF($H$3=2,D353,"N/A")))</f>
        <v>0</v>
      </c>
      <c r="F353" s="126" t="n">
        <f aca="false">E353*X353</f>
        <v>0</v>
      </c>
      <c r="G353" s="142" t="n">
        <f aca="false">VLOOKUP($A353,Table,MATCH(G$4,Curves,0))</f>
        <v>3.987</v>
      </c>
      <c r="H353" s="143" t="n">
        <f aca="false">G353</f>
        <v>3.987</v>
      </c>
      <c r="I353" s="142" t="n">
        <f aca="false">VLOOKUP($A353,Table1,MATCH(I$3,Curves1,0))</f>
        <v>3.7904</v>
      </c>
      <c r="J353" s="142" t="n">
        <f aca="false">VLOOKUP($A353,Table,MATCH(J$4,Curves,0))</f>
        <v>0.011</v>
      </c>
      <c r="K353" s="143" t="n">
        <f aca="false">J353</f>
        <v>0.011</v>
      </c>
      <c r="L353" s="144" t="n">
        <v>0</v>
      </c>
      <c r="M353" s="142" t="n">
        <f aca="false">VLOOKUP($A353,Table,MATCH(M$4,Curves,0))</f>
        <v>0.015</v>
      </c>
      <c r="N353" s="143" t="n">
        <f aca="false">M353</f>
        <v>0.015</v>
      </c>
      <c r="O353" s="144" t="n">
        <v>0</v>
      </c>
      <c r="P353" s="145"/>
      <c r="Q353" s="144" t="n">
        <f aca="false">M353+J353+G353</f>
        <v>4.013</v>
      </c>
      <c r="R353" s="144" t="n">
        <f aca="false">O353+L353+I353</f>
        <v>3.7904</v>
      </c>
      <c r="S353" s="145"/>
      <c r="T353" s="71" t="n">
        <f aca="false">A354-A353</f>
        <v>30</v>
      </c>
      <c r="U353" s="146" t="n">
        <f aca="false">CHOOSE(F$3,A354+24,A353)</f>
        <v>47477</v>
      </c>
      <c r="V353" s="71" t="n">
        <f aca="false">U353-C$3</f>
        <v>10589</v>
      </c>
      <c r="W353" s="142" t="n">
        <f aca="false">VLOOKUP($A353,Table,MATCH(W$4,Curves,0))</f>
        <v>0.058966861357273</v>
      </c>
      <c r="X353" s="147" t="n">
        <f aca="false">1/(1+CHOOSE(F$3,(W354+($K$3/10000))/2,(W353+($K$3/10000))/2))^(2*V353/365.25)</f>
        <v>0.185481939696993</v>
      </c>
      <c r="Y353" s="71" t="n">
        <f aca="false">IF(AND(mthbeg&lt;=A353,mthend&gt;=A353),1,0)</f>
        <v>0</v>
      </c>
      <c r="Z353" s="71" t="n">
        <f aca="false">T353*Y353</f>
        <v>0</v>
      </c>
      <c r="AB353" s="132" t="n">
        <f aca="false">F353*G353</f>
        <v>0</v>
      </c>
      <c r="AC353" s="132" t="n">
        <f aca="false">$F353*H353</f>
        <v>0</v>
      </c>
      <c r="AD353" s="132" t="n">
        <f aca="false">$F353*I353</f>
        <v>0</v>
      </c>
      <c r="AE353" s="132" t="n">
        <f aca="false">$F353*J353</f>
        <v>0</v>
      </c>
      <c r="AF353" s="132" t="n">
        <f aca="false">$F353*K353</f>
        <v>0</v>
      </c>
      <c r="AG353" s="132" t="n">
        <f aca="false">$F353*L353</f>
        <v>0</v>
      </c>
      <c r="AH353" s="132" t="n">
        <f aca="false">$F353*M353</f>
        <v>0</v>
      </c>
      <c r="AI353" s="132" t="n">
        <f aca="false">$F353*N353</f>
        <v>0</v>
      </c>
      <c r="AJ353" s="132" t="n">
        <f aca="false">F353*O353</f>
        <v>0</v>
      </c>
      <c r="AK353" s="137"/>
      <c r="AL353" s="132" t="n">
        <f aca="false">CHOOSE($G$3,AC353-AD353,AD353-AC353)</f>
        <v>0</v>
      </c>
      <c r="AM353" s="132" t="n">
        <f aca="false">CHOOSE($G$3,AF353-AG353,AG353-AF353)</f>
        <v>0</v>
      </c>
      <c r="AN353" s="132" t="n">
        <f aca="false">CHOOSE($G$3,AI353-AJ353,AJ353-AI353)</f>
        <v>0</v>
      </c>
      <c r="AO353" s="148" t="n">
        <f aca="false">SUM(AL353:AN353)</f>
        <v>0</v>
      </c>
      <c r="AQ353" s="132" t="n">
        <f aca="false">CHOOSE($G$3,AB353-AC353,AC353-AB353)</f>
        <v>0</v>
      </c>
      <c r="AR353" s="132" t="n">
        <f aca="false">CHOOSE($G$3,AE353-AF353,AF353-AE353)</f>
        <v>0</v>
      </c>
      <c r="AS353" s="132" t="n">
        <f aca="false">CHOOSE($G$3,AH353-AI353,AI353-AH353)</f>
        <v>0</v>
      </c>
      <c r="AT353" s="148" t="n">
        <f aca="false">AQ353+AR353+AS353</f>
        <v>0</v>
      </c>
      <c r="AU353" s="148"/>
      <c r="AV353" s="133" t="n">
        <f aca="false">AT353+AO353</f>
        <v>0</v>
      </c>
      <c r="AX353" s="133" t="n">
        <f aca="false">AJ353+AG353+AD353</f>
        <v>0</v>
      </c>
      <c r="AY353" s="149"/>
      <c r="AZ353" s="76" t="n">
        <f aca="false">R353*E353</f>
        <v>0</v>
      </c>
    </row>
    <row r="354" customFormat="false" ht="12" hidden="false" customHeight="true" outlineLevel="0" collapsed="false">
      <c r="A354" s="138" t="n">
        <f aca="false">EDATE(A353,1)</f>
        <v>47453</v>
      </c>
      <c r="B354" s="139" t="n">
        <f aca="false">VLOOKUP($A354,Table2,MATCH(I$3,Curves2,0))</f>
        <v>60900</v>
      </c>
      <c r="C354" s="140"/>
      <c r="D354" s="141" t="n">
        <f aca="false">B354+C354</f>
        <v>60900</v>
      </c>
      <c r="E354" s="126" t="n">
        <f aca="false">IF(Y354=0,0,IF(AND(Y354=1,$H$3=1),D354*T354,IF($H$3=2,D354,"N/A")))</f>
        <v>0</v>
      </c>
      <c r="F354" s="126" t="n">
        <f aca="false">E354*X354</f>
        <v>0</v>
      </c>
      <c r="G354" s="142" t="n">
        <f aca="false">VLOOKUP($A354,Table,MATCH(G$4,Curves,0))</f>
        <v>3.987</v>
      </c>
      <c r="H354" s="143" t="n">
        <f aca="false">G354</f>
        <v>3.987</v>
      </c>
      <c r="I354" s="142" t="n">
        <f aca="false">VLOOKUP($A354,Table1,MATCH(I$3,Curves1,0))</f>
        <v>3.7904</v>
      </c>
      <c r="J354" s="142" t="n">
        <f aca="false">VLOOKUP($A354,Table,MATCH(J$4,Curves,0))</f>
        <v>0.011</v>
      </c>
      <c r="K354" s="143" t="n">
        <f aca="false">J354</f>
        <v>0.011</v>
      </c>
      <c r="L354" s="144" t="n">
        <v>0</v>
      </c>
      <c r="M354" s="142" t="n">
        <f aca="false">VLOOKUP($A354,Table,MATCH(M$4,Curves,0))</f>
        <v>0.015</v>
      </c>
      <c r="N354" s="143" t="n">
        <f aca="false">M354</f>
        <v>0.015</v>
      </c>
      <c r="O354" s="144" t="n">
        <v>0</v>
      </c>
      <c r="P354" s="145"/>
      <c r="Q354" s="144" t="n">
        <f aca="false">M354+J354+G354</f>
        <v>4.013</v>
      </c>
      <c r="R354" s="144" t="n">
        <f aca="false">O354+L354+I354</f>
        <v>3.7904</v>
      </c>
      <c r="S354" s="145"/>
      <c r="T354" s="71" t="n">
        <f aca="false">A355-A354</f>
        <v>31</v>
      </c>
      <c r="U354" s="146" t="n">
        <f aca="false">CHOOSE(F$3,A355+24,A354)</f>
        <v>47508</v>
      </c>
      <c r="V354" s="71" t="n">
        <f aca="false">U354-C$3</f>
        <v>10620</v>
      </c>
      <c r="W354" s="142" t="n">
        <f aca="false">VLOOKUP($A354,Table,MATCH(W$4,Curves,0))</f>
        <v>0.058966861357273</v>
      </c>
      <c r="X354" s="147" t="n">
        <f aca="false">1/(1+CHOOSE(F$3,(W355+($K$3/10000))/2,(W354+($K$3/10000))/2))^(2*V354/365.25)</f>
        <v>0.184569329023417</v>
      </c>
      <c r="Y354" s="71" t="n">
        <f aca="false">IF(AND(mthbeg&lt;=A354,mthend&gt;=A354),1,0)</f>
        <v>0</v>
      </c>
      <c r="Z354" s="71" t="n">
        <f aca="false">T354*Y354</f>
        <v>0</v>
      </c>
      <c r="AB354" s="132" t="n">
        <f aca="false">F354*G354</f>
        <v>0</v>
      </c>
      <c r="AC354" s="132" t="n">
        <f aca="false">$F354*H354</f>
        <v>0</v>
      </c>
      <c r="AD354" s="132" t="n">
        <f aca="false">$F354*I354</f>
        <v>0</v>
      </c>
      <c r="AE354" s="132" t="n">
        <f aca="false">$F354*J354</f>
        <v>0</v>
      </c>
      <c r="AF354" s="132" t="n">
        <f aca="false">$F354*K354</f>
        <v>0</v>
      </c>
      <c r="AG354" s="132" t="n">
        <f aca="false">$F354*L354</f>
        <v>0</v>
      </c>
      <c r="AH354" s="132" t="n">
        <f aca="false">$F354*M354</f>
        <v>0</v>
      </c>
      <c r="AI354" s="132" t="n">
        <f aca="false">$F354*N354</f>
        <v>0</v>
      </c>
      <c r="AJ354" s="132" t="n">
        <f aca="false">F354*O354</f>
        <v>0</v>
      </c>
      <c r="AK354" s="137"/>
      <c r="AL354" s="132" t="n">
        <f aca="false">CHOOSE($G$3,AC354-AD354,AD354-AC354)</f>
        <v>0</v>
      </c>
      <c r="AM354" s="132" t="n">
        <f aca="false">CHOOSE($G$3,AF354-AG354,AG354-AF354)</f>
        <v>0</v>
      </c>
      <c r="AN354" s="132" t="n">
        <f aca="false">CHOOSE($G$3,AI354-AJ354,AJ354-AI354)</f>
        <v>0</v>
      </c>
      <c r="AO354" s="148" t="n">
        <f aca="false">SUM(AL354:AN354)</f>
        <v>0</v>
      </c>
      <c r="AQ354" s="132" t="n">
        <f aca="false">CHOOSE($G$3,AB354-AC354,AC354-AB354)</f>
        <v>0</v>
      </c>
      <c r="AR354" s="132" t="n">
        <f aca="false">CHOOSE($G$3,AE354-AF354,AF354-AE354)</f>
        <v>0</v>
      </c>
      <c r="AS354" s="132" t="n">
        <f aca="false">CHOOSE($G$3,AH354-AI354,AI354-AH354)</f>
        <v>0</v>
      </c>
      <c r="AT354" s="148" t="n">
        <f aca="false">AQ354+AR354+AS354</f>
        <v>0</v>
      </c>
      <c r="AU354" s="148"/>
      <c r="AV354" s="133" t="n">
        <f aca="false">AT354+AO354</f>
        <v>0</v>
      </c>
      <c r="AX354" s="133" t="n">
        <f aca="false">AJ354+AG354+AD354</f>
        <v>0</v>
      </c>
      <c r="AY354" s="149"/>
      <c r="AZ354" s="76" t="n">
        <f aca="false">R354*E354</f>
        <v>0</v>
      </c>
    </row>
    <row r="355" customFormat="false" ht="12" hidden="false" customHeight="true" outlineLevel="0" collapsed="false">
      <c r="A355" s="138" t="n">
        <f aca="false">EDATE(A354,1)</f>
        <v>47484</v>
      </c>
      <c r="B355" s="139" t="n">
        <f aca="false">VLOOKUP($A355,Table2,MATCH(I$3,Curves2,0))</f>
        <v>60900</v>
      </c>
      <c r="C355" s="140"/>
      <c r="D355" s="141" t="n">
        <f aca="false">B355+C355</f>
        <v>60900</v>
      </c>
      <c r="E355" s="126" t="n">
        <f aca="false">IF(Y355=0,0,IF(AND(Y355=1,$H$3=1),D355*T355,IF($H$3=2,D355,"N/A")))</f>
        <v>0</v>
      </c>
      <c r="F355" s="126" t="n">
        <f aca="false">E355*X355</f>
        <v>0</v>
      </c>
      <c r="G355" s="142" t="n">
        <f aca="false">VLOOKUP($A355,Table,MATCH(G$4,Curves,0))</f>
        <v>3.987</v>
      </c>
      <c r="H355" s="143" t="n">
        <f aca="false">G355</f>
        <v>3.987</v>
      </c>
      <c r="I355" s="142" t="n">
        <f aca="false">VLOOKUP($A355,Table1,MATCH(I$3,Curves1,0))</f>
        <v>3.7904</v>
      </c>
      <c r="J355" s="142" t="n">
        <f aca="false">VLOOKUP($A355,Table,MATCH(J$4,Curves,0))</f>
        <v>0.011</v>
      </c>
      <c r="K355" s="143" t="n">
        <f aca="false">J355</f>
        <v>0.011</v>
      </c>
      <c r="L355" s="144" t="n">
        <v>0</v>
      </c>
      <c r="M355" s="142" t="n">
        <f aca="false">VLOOKUP($A355,Table,MATCH(M$4,Curves,0))</f>
        <v>0.015</v>
      </c>
      <c r="N355" s="143" t="n">
        <f aca="false">M355</f>
        <v>0.015</v>
      </c>
      <c r="O355" s="144" t="n">
        <v>0</v>
      </c>
      <c r="P355" s="145"/>
      <c r="Q355" s="144" t="n">
        <f aca="false">M355+J355+G355</f>
        <v>4.013</v>
      </c>
      <c r="R355" s="144" t="n">
        <f aca="false">O355+L355+I355</f>
        <v>3.7904</v>
      </c>
      <c r="S355" s="145"/>
      <c r="T355" s="71" t="n">
        <f aca="false">A356-A355</f>
        <v>31</v>
      </c>
      <c r="U355" s="146" t="n">
        <f aca="false">CHOOSE(F$3,A356+24,A355)</f>
        <v>47539</v>
      </c>
      <c r="V355" s="71" t="n">
        <f aca="false">U355-C$3</f>
        <v>10651</v>
      </c>
      <c r="W355" s="142" t="n">
        <f aca="false">VLOOKUP($A355,Table,MATCH(W$4,Curves,0))</f>
        <v>0.058966861357273</v>
      </c>
      <c r="X355" s="147" t="n">
        <f aca="false">1/(1+CHOOSE(F$3,(W356+($K$3/10000))/2,(W355+($K$3/10000))/2))^(2*V355/365.25)</f>
        <v>0.183661208588853</v>
      </c>
      <c r="Y355" s="71" t="n">
        <f aca="false">IF(AND(mthbeg&lt;=A355,mthend&gt;=A355),1,0)</f>
        <v>0</v>
      </c>
      <c r="Z355" s="71" t="n">
        <f aca="false">T355*Y355</f>
        <v>0</v>
      </c>
      <c r="AB355" s="132" t="n">
        <f aca="false">F355*G355</f>
        <v>0</v>
      </c>
      <c r="AC355" s="132" t="n">
        <f aca="false">$F355*H355</f>
        <v>0</v>
      </c>
      <c r="AD355" s="132" t="n">
        <f aca="false">$F355*I355</f>
        <v>0</v>
      </c>
      <c r="AE355" s="132" t="n">
        <f aca="false">$F355*J355</f>
        <v>0</v>
      </c>
      <c r="AF355" s="132" t="n">
        <f aca="false">$F355*K355</f>
        <v>0</v>
      </c>
      <c r="AG355" s="132" t="n">
        <f aca="false">$F355*L355</f>
        <v>0</v>
      </c>
      <c r="AH355" s="132" t="n">
        <f aca="false">$F355*M355</f>
        <v>0</v>
      </c>
      <c r="AI355" s="132" t="n">
        <f aca="false">$F355*N355</f>
        <v>0</v>
      </c>
      <c r="AJ355" s="132" t="n">
        <f aca="false">F355*O355</f>
        <v>0</v>
      </c>
      <c r="AK355" s="137"/>
      <c r="AL355" s="132" t="n">
        <f aca="false">CHOOSE($G$3,AC355-AD355,AD355-AC355)</f>
        <v>0</v>
      </c>
      <c r="AM355" s="132" t="n">
        <f aca="false">CHOOSE($G$3,AF355-AG355,AG355-AF355)</f>
        <v>0</v>
      </c>
      <c r="AN355" s="132" t="n">
        <f aca="false">CHOOSE($G$3,AI355-AJ355,AJ355-AI355)</f>
        <v>0</v>
      </c>
      <c r="AO355" s="148" t="n">
        <f aca="false">SUM(AL355:AN355)</f>
        <v>0</v>
      </c>
      <c r="AQ355" s="132" t="n">
        <f aca="false">CHOOSE($G$3,AB355-AC355,AC355-AB355)</f>
        <v>0</v>
      </c>
      <c r="AR355" s="132" t="n">
        <f aca="false">CHOOSE($G$3,AE355-AF355,AF355-AE355)</f>
        <v>0</v>
      </c>
      <c r="AS355" s="132" t="n">
        <f aca="false">CHOOSE($G$3,AH355-AI355,AI355-AH355)</f>
        <v>0</v>
      </c>
      <c r="AT355" s="148" t="n">
        <f aca="false">AQ355+AR355+AS355</f>
        <v>0</v>
      </c>
      <c r="AU355" s="148"/>
      <c r="AV355" s="133" t="n">
        <f aca="false">AT355+AO355</f>
        <v>0</v>
      </c>
      <c r="AX355" s="133" t="n">
        <f aca="false">AJ355+AG355+AD355</f>
        <v>0</v>
      </c>
      <c r="AY355" s="149"/>
      <c r="AZ355" s="76" t="n">
        <f aca="false">R355*E355</f>
        <v>0</v>
      </c>
    </row>
    <row r="356" customFormat="false" ht="12" hidden="false" customHeight="true" outlineLevel="0" collapsed="false">
      <c r="A356" s="138" t="n">
        <f aca="false">EDATE(A355,1)</f>
        <v>47515</v>
      </c>
      <c r="B356" s="139" t="n">
        <f aca="false">VLOOKUP($A356,Table2,MATCH(I$3,Curves2,0))</f>
        <v>60900</v>
      </c>
      <c r="C356" s="140"/>
      <c r="D356" s="141" t="n">
        <f aca="false">B356+C356</f>
        <v>60900</v>
      </c>
      <c r="E356" s="126" t="n">
        <f aca="false">IF(Y356=0,0,IF(AND(Y356=1,$H$3=1),D356*T356,IF($H$3=2,D356,"N/A")))</f>
        <v>0</v>
      </c>
      <c r="F356" s="126" t="n">
        <f aca="false">E356*X356</f>
        <v>0</v>
      </c>
      <c r="G356" s="142" t="n">
        <f aca="false">VLOOKUP($A356,Table,MATCH(G$4,Curves,0))</f>
        <v>3.987</v>
      </c>
      <c r="H356" s="143" t="n">
        <f aca="false">G356</f>
        <v>3.987</v>
      </c>
      <c r="I356" s="142" t="n">
        <f aca="false">VLOOKUP($A356,Table1,MATCH(I$3,Curves1,0))</f>
        <v>3.7904</v>
      </c>
      <c r="J356" s="142" t="n">
        <f aca="false">VLOOKUP($A356,Table,MATCH(J$4,Curves,0))</f>
        <v>0.011</v>
      </c>
      <c r="K356" s="143" t="n">
        <f aca="false">J356</f>
        <v>0.011</v>
      </c>
      <c r="L356" s="144" t="n">
        <v>0</v>
      </c>
      <c r="M356" s="142" t="n">
        <f aca="false">VLOOKUP($A356,Table,MATCH(M$4,Curves,0))</f>
        <v>0.015</v>
      </c>
      <c r="N356" s="143" t="n">
        <f aca="false">M356</f>
        <v>0.015</v>
      </c>
      <c r="O356" s="144" t="n">
        <v>0</v>
      </c>
      <c r="P356" s="145"/>
      <c r="Q356" s="144" t="n">
        <f aca="false">M356+J356+G356</f>
        <v>4.013</v>
      </c>
      <c r="R356" s="144" t="n">
        <f aca="false">O356+L356+I356</f>
        <v>3.7904</v>
      </c>
      <c r="S356" s="145"/>
      <c r="T356" s="71" t="n">
        <f aca="false">A357-A356</f>
        <v>28</v>
      </c>
      <c r="U356" s="146" t="n">
        <f aca="false">CHOOSE(F$3,A357+24,A356)</f>
        <v>47567</v>
      </c>
      <c r="V356" s="71" t="n">
        <f aca="false">U356-C$3</f>
        <v>10679</v>
      </c>
      <c r="W356" s="142" t="n">
        <f aca="false">VLOOKUP($A356,Table,MATCH(W$4,Curves,0))</f>
        <v>0.058966861357273</v>
      </c>
      <c r="X356" s="147" t="n">
        <f aca="false">1/(1+CHOOSE(F$3,(W357+($K$3/10000))/2,(W356+($K$3/10000))/2))^(2*V356/365.25)</f>
        <v>0.182844811854227</v>
      </c>
      <c r="Y356" s="71" t="n">
        <f aca="false">IF(AND(mthbeg&lt;=A356,mthend&gt;=A356),1,0)</f>
        <v>0</v>
      </c>
      <c r="Z356" s="71" t="n">
        <f aca="false">T356*Y356</f>
        <v>0</v>
      </c>
      <c r="AB356" s="132" t="n">
        <f aca="false">F356*G356</f>
        <v>0</v>
      </c>
      <c r="AC356" s="132" t="n">
        <f aca="false">$F356*H356</f>
        <v>0</v>
      </c>
      <c r="AD356" s="132" t="n">
        <f aca="false">$F356*I356</f>
        <v>0</v>
      </c>
      <c r="AE356" s="132" t="n">
        <f aca="false">$F356*J356</f>
        <v>0</v>
      </c>
      <c r="AF356" s="132" t="n">
        <f aca="false">$F356*K356</f>
        <v>0</v>
      </c>
      <c r="AG356" s="132" t="n">
        <f aca="false">$F356*L356</f>
        <v>0</v>
      </c>
      <c r="AH356" s="132" t="n">
        <f aca="false">$F356*M356</f>
        <v>0</v>
      </c>
      <c r="AI356" s="132" t="n">
        <f aca="false">$F356*N356</f>
        <v>0</v>
      </c>
      <c r="AJ356" s="132" t="n">
        <f aca="false">F356*O356</f>
        <v>0</v>
      </c>
      <c r="AK356" s="137"/>
      <c r="AL356" s="132" t="n">
        <f aca="false">CHOOSE($G$3,AC356-AD356,AD356-AC356)</f>
        <v>0</v>
      </c>
      <c r="AM356" s="132" t="n">
        <f aca="false">CHOOSE($G$3,AF356-AG356,AG356-AF356)</f>
        <v>0</v>
      </c>
      <c r="AN356" s="132" t="n">
        <f aca="false">CHOOSE($G$3,AI356-AJ356,AJ356-AI356)</f>
        <v>0</v>
      </c>
      <c r="AO356" s="148" t="n">
        <f aca="false">SUM(AL356:AN356)</f>
        <v>0</v>
      </c>
      <c r="AQ356" s="132" t="n">
        <f aca="false">CHOOSE($G$3,AB356-AC356,AC356-AB356)</f>
        <v>0</v>
      </c>
      <c r="AR356" s="132" t="n">
        <f aca="false">CHOOSE($G$3,AE356-AF356,AF356-AE356)</f>
        <v>0</v>
      </c>
      <c r="AS356" s="132" t="n">
        <f aca="false">CHOOSE($G$3,AH356-AI356,AI356-AH356)</f>
        <v>0</v>
      </c>
      <c r="AT356" s="148" t="n">
        <f aca="false">AQ356+AR356+AS356</f>
        <v>0</v>
      </c>
      <c r="AU356" s="148"/>
      <c r="AV356" s="133" t="n">
        <f aca="false">AT356+AO356</f>
        <v>0</v>
      </c>
      <c r="AX356" s="133" t="n">
        <f aca="false">AJ356+AG356+AD356</f>
        <v>0</v>
      </c>
      <c r="AY356" s="149"/>
      <c r="AZ356" s="76" t="n">
        <f aca="false">R356*E356</f>
        <v>0</v>
      </c>
    </row>
    <row r="357" customFormat="false" ht="12" hidden="false" customHeight="true" outlineLevel="0" collapsed="false">
      <c r="A357" s="138" t="n">
        <f aca="false">EDATE(A356,1)</f>
        <v>47543</v>
      </c>
      <c r="B357" s="139" t="n">
        <f aca="false">VLOOKUP($A357,Table2,MATCH(I$3,Curves2,0))</f>
        <v>60900</v>
      </c>
      <c r="C357" s="140"/>
      <c r="D357" s="141" t="n">
        <f aca="false">B357+C357</f>
        <v>60900</v>
      </c>
      <c r="E357" s="126" t="n">
        <f aca="false">IF(Y357=0,0,IF(AND(Y357=1,$H$3=1),D357*T357,IF($H$3=2,D357,"N/A")))</f>
        <v>0</v>
      </c>
      <c r="F357" s="126" t="n">
        <f aca="false">E357*X357</f>
        <v>0</v>
      </c>
      <c r="G357" s="142" t="n">
        <f aca="false">VLOOKUP($A357,Table,MATCH(G$4,Curves,0))</f>
        <v>3.987</v>
      </c>
      <c r="H357" s="143" t="n">
        <f aca="false">G357</f>
        <v>3.987</v>
      </c>
      <c r="I357" s="142" t="n">
        <f aca="false">VLOOKUP($A357,Table1,MATCH(I$3,Curves1,0))</f>
        <v>3.7904</v>
      </c>
      <c r="J357" s="142" t="n">
        <f aca="false">VLOOKUP($A357,Table,MATCH(J$4,Curves,0))</f>
        <v>0.011</v>
      </c>
      <c r="K357" s="143" t="n">
        <f aca="false">J357</f>
        <v>0.011</v>
      </c>
      <c r="L357" s="144" t="n">
        <v>0</v>
      </c>
      <c r="M357" s="142" t="n">
        <f aca="false">VLOOKUP($A357,Table,MATCH(M$4,Curves,0))</f>
        <v>0.015</v>
      </c>
      <c r="N357" s="143" t="n">
        <f aca="false">M357</f>
        <v>0.015</v>
      </c>
      <c r="O357" s="144" t="n">
        <v>0</v>
      </c>
      <c r="P357" s="145"/>
      <c r="Q357" s="144" t="n">
        <f aca="false">M357+J357+G357</f>
        <v>4.013</v>
      </c>
      <c r="R357" s="144" t="n">
        <f aca="false">O357+L357+I357</f>
        <v>3.7904</v>
      </c>
      <c r="S357" s="145"/>
      <c r="T357" s="71" t="n">
        <f aca="false">A358-A357</f>
        <v>31</v>
      </c>
      <c r="U357" s="146" t="n">
        <f aca="false">CHOOSE(F$3,A358+24,A357)</f>
        <v>47598</v>
      </c>
      <c r="V357" s="71" t="n">
        <f aca="false">U357-C$3</f>
        <v>10710</v>
      </c>
      <c r="W357" s="142" t="n">
        <f aca="false">VLOOKUP($A357,Table,MATCH(W$4,Curves,0))</f>
        <v>0.058966861357273</v>
      </c>
      <c r="X357" s="147" t="n">
        <f aca="false">1/(1+CHOOSE(F$3,(W358+($K$3/10000))/2,(W357+($K$3/10000))/2))^(2*V357/365.25)</f>
        <v>0.181945176411668</v>
      </c>
      <c r="Y357" s="71" t="n">
        <f aca="false">IF(AND(mthbeg&lt;=A357,mthend&gt;=A357),1,0)</f>
        <v>0</v>
      </c>
      <c r="Z357" s="71" t="n">
        <f aca="false">T357*Y357</f>
        <v>0</v>
      </c>
      <c r="AB357" s="132" t="n">
        <f aca="false">F357*G357</f>
        <v>0</v>
      </c>
      <c r="AC357" s="132" t="n">
        <f aca="false">$F357*H357</f>
        <v>0</v>
      </c>
      <c r="AD357" s="132" t="n">
        <f aca="false">$F357*I357</f>
        <v>0</v>
      </c>
      <c r="AE357" s="132" t="n">
        <f aca="false">$F357*J357</f>
        <v>0</v>
      </c>
      <c r="AF357" s="132" t="n">
        <f aca="false">$F357*K357</f>
        <v>0</v>
      </c>
      <c r="AG357" s="132" t="n">
        <f aca="false">$F357*L357</f>
        <v>0</v>
      </c>
      <c r="AH357" s="132" t="n">
        <f aca="false">$F357*M357</f>
        <v>0</v>
      </c>
      <c r="AI357" s="132" t="n">
        <f aca="false">$F357*N357</f>
        <v>0</v>
      </c>
      <c r="AJ357" s="132" t="n">
        <f aca="false">F357*O357</f>
        <v>0</v>
      </c>
      <c r="AK357" s="137"/>
      <c r="AL357" s="132" t="n">
        <f aca="false">CHOOSE($G$3,AC357-AD357,AD357-AC357)</f>
        <v>0</v>
      </c>
      <c r="AM357" s="132" t="n">
        <f aca="false">CHOOSE($G$3,AF357-AG357,AG357-AF357)</f>
        <v>0</v>
      </c>
      <c r="AN357" s="132" t="n">
        <f aca="false">CHOOSE($G$3,AI357-AJ357,AJ357-AI357)</f>
        <v>0</v>
      </c>
      <c r="AO357" s="148" t="n">
        <f aca="false">SUM(AL357:AN357)</f>
        <v>0</v>
      </c>
      <c r="AQ357" s="132" t="n">
        <f aca="false">CHOOSE($G$3,AB357-AC357,AC357-AB357)</f>
        <v>0</v>
      </c>
      <c r="AR357" s="132" t="n">
        <f aca="false">CHOOSE($G$3,AE357-AF357,AF357-AE357)</f>
        <v>0</v>
      </c>
      <c r="AS357" s="132" t="n">
        <f aca="false">CHOOSE($G$3,AH357-AI357,AI357-AH357)</f>
        <v>0</v>
      </c>
      <c r="AT357" s="148" t="n">
        <f aca="false">AQ357+AR357+AS357</f>
        <v>0</v>
      </c>
      <c r="AU357" s="148"/>
      <c r="AV357" s="133" t="n">
        <f aca="false">AT357+AO357</f>
        <v>0</v>
      </c>
      <c r="AX357" s="133" t="n">
        <f aca="false">AJ357+AG357+AD357</f>
        <v>0</v>
      </c>
      <c r="AY357" s="149"/>
      <c r="AZ357" s="76" t="n">
        <f aca="false">R357*E357</f>
        <v>0</v>
      </c>
    </row>
    <row r="358" customFormat="false" ht="12" hidden="false" customHeight="true" outlineLevel="0" collapsed="false">
      <c r="A358" s="138" t="n">
        <f aca="false">EDATE(A357,1)</f>
        <v>47574</v>
      </c>
      <c r="B358" s="139" t="n">
        <f aca="false">VLOOKUP($A358,Table2,MATCH(I$3,Curves2,0))</f>
        <v>60900</v>
      </c>
      <c r="C358" s="140"/>
      <c r="D358" s="141" t="n">
        <f aca="false">B358+C358</f>
        <v>60900</v>
      </c>
      <c r="E358" s="126" t="n">
        <f aca="false">IF(Y358=0,0,IF(AND(Y358=1,$H$3=1),D358*T358,IF($H$3=2,D358,"N/A")))</f>
        <v>0</v>
      </c>
      <c r="F358" s="126" t="n">
        <f aca="false">E358*X358</f>
        <v>0</v>
      </c>
      <c r="G358" s="142" t="n">
        <f aca="false">VLOOKUP($A358,Table,MATCH(G$4,Curves,0))</f>
        <v>3.987</v>
      </c>
      <c r="H358" s="143" t="n">
        <f aca="false">G358</f>
        <v>3.987</v>
      </c>
      <c r="I358" s="142" t="n">
        <f aca="false">VLOOKUP($A358,Table1,MATCH(I$3,Curves1,0))</f>
        <v>3.7904</v>
      </c>
      <c r="J358" s="142" t="n">
        <f aca="false">VLOOKUP($A358,Table,MATCH(J$4,Curves,0))</f>
        <v>0.011</v>
      </c>
      <c r="K358" s="143" t="n">
        <f aca="false">J358</f>
        <v>0.011</v>
      </c>
      <c r="L358" s="144" t="n">
        <v>0</v>
      </c>
      <c r="M358" s="142" t="n">
        <f aca="false">VLOOKUP($A358,Table,MATCH(M$4,Curves,0))</f>
        <v>0.015</v>
      </c>
      <c r="N358" s="143" t="n">
        <f aca="false">M358</f>
        <v>0.015</v>
      </c>
      <c r="O358" s="144" t="n">
        <v>0</v>
      </c>
      <c r="P358" s="145"/>
      <c r="Q358" s="144" t="n">
        <f aca="false">M358+J358+G358</f>
        <v>4.013</v>
      </c>
      <c r="R358" s="144" t="n">
        <f aca="false">O358+L358+I358</f>
        <v>3.7904</v>
      </c>
      <c r="S358" s="145"/>
      <c r="T358" s="71" t="n">
        <f aca="false">A359-A358</f>
        <v>30</v>
      </c>
      <c r="U358" s="146" t="n">
        <f aca="false">CHOOSE(F$3,A359+24,A358)</f>
        <v>47628</v>
      </c>
      <c r="V358" s="71" t="n">
        <f aca="false">U358-C$3</f>
        <v>10740</v>
      </c>
      <c r="W358" s="142" t="n">
        <f aca="false">VLOOKUP($A358,Table,MATCH(W$4,Curves,0))</f>
        <v>0.058966861357273</v>
      </c>
      <c r="X358" s="147" t="n">
        <f aca="false">1/(1+CHOOSE(F$3,(W359+($K$3/10000))/2,(W358+($K$3/10000))/2))^(2*V358/365.25)</f>
        <v>0.181078776211084</v>
      </c>
      <c r="Y358" s="71" t="n">
        <f aca="false">IF(AND(mthbeg&lt;=A358,mthend&gt;=A358),1,0)</f>
        <v>0</v>
      </c>
      <c r="Z358" s="71" t="n">
        <f aca="false">T358*Y358</f>
        <v>0</v>
      </c>
      <c r="AB358" s="132" t="n">
        <f aca="false">F358*G358</f>
        <v>0</v>
      </c>
      <c r="AC358" s="132" t="n">
        <f aca="false">$F358*H358</f>
        <v>0</v>
      </c>
      <c r="AD358" s="132" t="n">
        <f aca="false">$F358*I358</f>
        <v>0</v>
      </c>
      <c r="AE358" s="132" t="n">
        <f aca="false">$F358*J358</f>
        <v>0</v>
      </c>
      <c r="AF358" s="132" t="n">
        <f aca="false">$F358*K358</f>
        <v>0</v>
      </c>
      <c r="AG358" s="132" t="n">
        <f aca="false">$F358*L358</f>
        <v>0</v>
      </c>
      <c r="AH358" s="132" t="n">
        <f aca="false">$F358*M358</f>
        <v>0</v>
      </c>
      <c r="AI358" s="132" t="n">
        <f aca="false">$F358*N358</f>
        <v>0</v>
      </c>
      <c r="AJ358" s="132" t="n">
        <f aca="false">F358*O358</f>
        <v>0</v>
      </c>
      <c r="AK358" s="137"/>
      <c r="AL358" s="132" t="n">
        <f aca="false">CHOOSE($G$3,AC358-AD358,AD358-AC358)</f>
        <v>0</v>
      </c>
      <c r="AM358" s="132" t="n">
        <f aca="false">CHOOSE($G$3,AF358-AG358,AG358-AF358)</f>
        <v>0</v>
      </c>
      <c r="AN358" s="132" t="n">
        <f aca="false">CHOOSE($G$3,AI358-AJ358,AJ358-AI358)</f>
        <v>0</v>
      </c>
      <c r="AO358" s="148" t="n">
        <f aca="false">SUM(AL358:AN358)</f>
        <v>0</v>
      </c>
      <c r="AQ358" s="132" t="n">
        <f aca="false">CHOOSE($G$3,AB358-AC358,AC358-AB358)</f>
        <v>0</v>
      </c>
      <c r="AR358" s="132" t="n">
        <f aca="false">CHOOSE($G$3,AE358-AF358,AF358-AE358)</f>
        <v>0</v>
      </c>
      <c r="AS358" s="132" t="n">
        <f aca="false">CHOOSE($G$3,AH358-AI358,AI358-AH358)</f>
        <v>0</v>
      </c>
      <c r="AT358" s="148" t="n">
        <f aca="false">AQ358+AR358+AS358</f>
        <v>0</v>
      </c>
      <c r="AU358" s="148"/>
      <c r="AV358" s="133" t="n">
        <f aca="false">AT358+AO358</f>
        <v>0</v>
      </c>
      <c r="AX358" s="133" t="n">
        <f aca="false">AJ358+AG358+AD358</f>
        <v>0</v>
      </c>
      <c r="AY358" s="149"/>
      <c r="AZ358" s="76" t="n">
        <f aca="false">R358*E358</f>
        <v>0</v>
      </c>
    </row>
    <row r="359" customFormat="false" ht="12" hidden="false" customHeight="true" outlineLevel="0" collapsed="false">
      <c r="A359" s="138" t="n">
        <f aca="false">EDATE(A358,1)</f>
        <v>47604</v>
      </c>
      <c r="B359" s="139" t="n">
        <f aca="false">VLOOKUP($A359,Table2,MATCH(I$3,Curves2,0))</f>
        <v>60900</v>
      </c>
      <c r="C359" s="140"/>
      <c r="D359" s="141" t="n">
        <f aca="false">B359+C359</f>
        <v>60900</v>
      </c>
      <c r="E359" s="126" t="n">
        <f aca="false">IF(Y359=0,0,IF(AND(Y359=1,$H$3=1),D359*T359,IF($H$3=2,D359,"N/A")))</f>
        <v>0</v>
      </c>
      <c r="F359" s="126" t="n">
        <f aca="false">E359*X359</f>
        <v>0</v>
      </c>
      <c r="G359" s="142" t="n">
        <f aca="false">VLOOKUP($A359,Table,MATCH(G$4,Curves,0))</f>
        <v>3.987</v>
      </c>
      <c r="H359" s="143" t="n">
        <f aca="false">G359</f>
        <v>3.987</v>
      </c>
      <c r="I359" s="142" t="n">
        <f aca="false">VLOOKUP($A359,Table1,MATCH(I$3,Curves1,0))</f>
        <v>3.7904</v>
      </c>
      <c r="J359" s="142" t="n">
        <f aca="false">VLOOKUP($A359,Table,MATCH(J$4,Curves,0))</f>
        <v>0.011</v>
      </c>
      <c r="K359" s="143" t="n">
        <f aca="false">J359</f>
        <v>0.011</v>
      </c>
      <c r="L359" s="144" t="n">
        <v>0</v>
      </c>
      <c r="M359" s="142" t="n">
        <f aca="false">VLOOKUP($A359,Table,MATCH(M$4,Curves,0))</f>
        <v>0.015</v>
      </c>
      <c r="N359" s="143" t="n">
        <f aca="false">M359</f>
        <v>0.015</v>
      </c>
      <c r="O359" s="144" t="n">
        <v>0</v>
      </c>
      <c r="P359" s="145"/>
      <c r="Q359" s="144" t="n">
        <f aca="false">M359+J359+G359</f>
        <v>4.013</v>
      </c>
      <c r="R359" s="144" t="n">
        <f aca="false">O359+L359+I359</f>
        <v>3.7904</v>
      </c>
      <c r="S359" s="145"/>
      <c r="T359" s="71" t="n">
        <f aca="false">A360-A359</f>
        <v>31</v>
      </c>
      <c r="U359" s="146" t="n">
        <f aca="false">CHOOSE(F$3,A360+24,A359)</f>
        <v>47659</v>
      </c>
      <c r="V359" s="71" t="n">
        <f aca="false">U359-C$3</f>
        <v>10771</v>
      </c>
      <c r="W359" s="142" t="n">
        <f aca="false">VLOOKUP($A359,Table,MATCH(W$4,Curves,0))</f>
        <v>0.058966861357273</v>
      </c>
      <c r="X359" s="147" t="n">
        <f aca="false">1/(1+CHOOSE(F$3,(W360+($K$3/10000))/2,(W359+($K$3/10000))/2))^(2*V359/365.25)</f>
        <v>0.18018783004027</v>
      </c>
      <c r="Y359" s="71" t="n">
        <f aca="false">IF(AND(mthbeg&lt;=A359,mthend&gt;=A359),1,0)</f>
        <v>0</v>
      </c>
      <c r="Z359" s="71" t="n">
        <f aca="false">T359*Y359</f>
        <v>0</v>
      </c>
      <c r="AB359" s="132" t="n">
        <f aca="false">F359*G359</f>
        <v>0</v>
      </c>
      <c r="AC359" s="132" t="n">
        <f aca="false">$F359*H359</f>
        <v>0</v>
      </c>
      <c r="AD359" s="132" t="n">
        <f aca="false">$F359*I359</f>
        <v>0</v>
      </c>
      <c r="AE359" s="132" t="n">
        <f aca="false">$F359*J359</f>
        <v>0</v>
      </c>
      <c r="AF359" s="132" t="n">
        <f aca="false">$F359*K359</f>
        <v>0</v>
      </c>
      <c r="AG359" s="132" t="n">
        <f aca="false">$F359*L359</f>
        <v>0</v>
      </c>
      <c r="AH359" s="132" t="n">
        <f aca="false">$F359*M359</f>
        <v>0</v>
      </c>
      <c r="AI359" s="132" t="n">
        <f aca="false">$F359*N359</f>
        <v>0</v>
      </c>
      <c r="AJ359" s="132" t="n">
        <f aca="false">F359*O359</f>
        <v>0</v>
      </c>
      <c r="AK359" s="137"/>
      <c r="AL359" s="132" t="n">
        <f aca="false">CHOOSE($G$3,AC359-AD359,AD359-AC359)</f>
        <v>0</v>
      </c>
      <c r="AM359" s="132" t="n">
        <f aca="false">CHOOSE($G$3,AF359-AG359,AG359-AF359)</f>
        <v>0</v>
      </c>
      <c r="AN359" s="132" t="n">
        <f aca="false">CHOOSE($G$3,AI359-AJ359,AJ359-AI359)</f>
        <v>0</v>
      </c>
      <c r="AO359" s="148" t="n">
        <f aca="false">SUM(AL359:AN359)</f>
        <v>0</v>
      </c>
      <c r="AQ359" s="132" t="n">
        <f aca="false">CHOOSE($G$3,AB359-AC359,AC359-AB359)</f>
        <v>0</v>
      </c>
      <c r="AR359" s="132" t="n">
        <f aca="false">CHOOSE($G$3,AE359-AF359,AF359-AE359)</f>
        <v>0</v>
      </c>
      <c r="AS359" s="132" t="n">
        <f aca="false">CHOOSE($G$3,AH359-AI359,AI359-AH359)</f>
        <v>0</v>
      </c>
      <c r="AT359" s="148" t="n">
        <f aca="false">AQ359+AR359+AS359</f>
        <v>0</v>
      </c>
      <c r="AU359" s="148"/>
      <c r="AV359" s="133" t="n">
        <f aca="false">AT359+AO359</f>
        <v>0</v>
      </c>
      <c r="AX359" s="133" t="n">
        <f aca="false">AJ359+AG359+AD359</f>
        <v>0</v>
      </c>
      <c r="AY359" s="149"/>
      <c r="AZ359" s="76" t="n">
        <f aca="false">R359*E359</f>
        <v>0</v>
      </c>
    </row>
    <row r="360" customFormat="false" ht="12" hidden="false" customHeight="true" outlineLevel="0" collapsed="false">
      <c r="A360" s="138" t="n">
        <f aca="false">EDATE(A359,1)</f>
        <v>47635</v>
      </c>
      <c r="B360" s="139" t="n">
        <f aca="false">VLOOKUP($A360,Table2,MATCH(I$3,Curves2,0))</f>
        <v>60900</v>
      </c>
      <c r="C360" s="140"/>
      <c r="D360" s="141" t="n">
        <f aca="false">B360+C360</f>
        <v>60900</v>
      </c>
      <c r="E360" s="126" t="n">
        <f aca="false">IF(Y360=0,0,IF(AND(Y360=1,$H$3=1),D360*T360,IF($H$3=2,D360,"N/A")))</f>
        <v>0</v>
      </c>
      <c r="F360" s="126" t="n">
        <f aca="false">E360*X360</f>
        <v>0</v>
      </c>
      <c r="G360" s="142" t="n">
        <f aca="false">VLOOKUP($A360,Table,MATCH(G$4,Curves,0))</f>
        <v>3.987</v>
      </c>
      <c r="H360" s="143" t="n">
        <f aca="false">G360</f>
        <v>3.987</v>
      </c>
      <c r="I360" s="142" t="n">
        <f aca="false">VLOOKUP($A360,Table1,MATCH(I$3,Curves1,0))</f>
        <v>3.7904</v>
      </c>
      <c r="J360" s="142" t="n">
        <f aca="false">VLOOKUP($A360,Table,MATCH(J$4,Curves,0))</f>
        <v>0.011</v>
      </c>
      <c r="K360" s="143" t="n">
        <f aca="false">J360</f>
        <v>0.011</v>
      </c>
      <c r="L360" s="144" t="n">
        <v>0</v>
      </c>
      <c r="M360" s="142" t="n">
        <f aca="false">VLOOKUP($A360,Table,MATCH(M$4,Curves,0))</f>
        <v>0.015</v>
      </c>
      <c r="N360" s="143" t="n">
        <f aca="false">M360</f>
        <v>0.015</v>
      </c>
      <c r="O360" s="144" t="n">
        <v>0</v>
      </c>
      <c r="P360" s="145"/>
      <c r="Q360" s="144" t="n">
        <f aca="false">M360+J360+G360</f>
        <v>4.013</v>
      </c>
      <c r="R360" s="144" t="n">
        <f aca="false">O360+L360+I360</f>
        <v>3.7904</v>
      </c>
      <c r="S360" s="145"/>
      <c r="T360" s="71" t="n">
        <f aca="false">A361-A360</f>
        <v>30</v>
      </c>
      <c r="U360" s="146" t="n">
        <f aca="false">CHOOSE(F$3,A361+24,A360)</f>
        <v>47689</v>
      </c>
      <c r="V360" s="71" t="n">
        <f aca="false">U360-C$3</f>
        <v>10801</v>
      </c>
      <c r="W360" s="142" t="n">
        <f aca="false">VLOOKUP($A360,Table,MATCH(W$4,Curves,0))</f>
        <v>0.058966861357273</v>
      </c>
      <c r="X360" s="147" t="n">
        <f aca="false">1/(1+CHOOSE(F$3,(W361+($K$3/10000))/2,(W360+($K$3/10000))/2))^(2*V360/365.25)</f>
        <v>0.179329798103569</v>
      </c>
      <c r="Y360" s="71" t="n">
        <f aca="false">IF(AND(mthbeg&lt;=A360,mthend&gt;=A360),1,0)</f>
        <v>0</v>
      </c>
      <c r="Z360" s="71" t="n">
        <f aca="false">T360*Y360</f>
        <v>0</v>
      </c>
      <c r="AB360" s="132" t="n">
        <f aca="false">F360*G360</f>
        <v>0</v>
      </c>
      <c r="AC360" s="132" t="n">
        <f aca="false">$F360*H360</f>
        <v>0</v>
      </c>
      <c r="AD360" s="132" t="n">
        <f aca="false">$F360*I360</f>
        <v>0</v>
      </c>
      <c r="AE360" s="132" t="n">
        <f aca="false">$F360*J360</f>
        <v>0</v>
      </c>
      <c r="AF360" s="132" t="n">
        <f aca="false">$F360*K360</f>
        <v>0</v>
      </c>
      <c r="AG360" s="132" t="n">
        <f aca="false">$F360*L360</f>
        <v>0</v>
      </c>
      <c r="AH360" s="132" t="n">
        <f aca="false">$F360*M360</f>
        <v>0</v>
      </c>
      <c r="AI360" s="132" t="n">
        <f aca="false">$F360*N360</f>
        <v>0</v>
      </c>
      <c r="AJ360" s="132" t="n">
        <f aca="false">F360*O360</f>
        <v>0</v>
      </c>
      <c r="AK360" s="137"/>
      <c r="AL360" s="132" t="n">
        <f aca="false">CHOOSE($G$3,AC360-AD360,AD360-AC360)</f>
        <v>0</v>
      </c>
      <c r="AM360" s="132" t="n">
        <f aca="false">CHOOSE($G$3,AF360-AG360,AG360-AF360)</f>
        <v>0</v>
      </c>
      <c r="AN360" s="132" t="n">
        <f aca="false">CHOOSE($G$3,AI360-AJ360,AJ360-AI360)</f>
        <v>0</v>
      </c>
      <c r="AO360" s="148" t="n">
        <f aca="false">SUM(AL360:AN360)</f>
        <v>0</v>
      </c>
      <c r="AQ360" s="132" t="n">
        <f aca="false">CHOOSE($G$3,AB360-AC360,AC360-AB360)</f>
        <v>0</v>
      </c>
      <c r="AR360" s="132" t="n">
        <f aca="false">CHOOSE($G$3,AE360-AF360,AF360-AE360)</f>
        <v>0</v>
      </c>
      <c r="AS360" s="132" t="n">
        <f aca="false">CHOOSE($G$3,AH360-AI360,AI360-AH360)</f>
        <v>0</v>
      </c>
      <c r="AT360" s="148" t="n">
        <f aca="false">AQ360+AR360+AS360</f>
        <v>0</v>
      </c>
      <c r="AU360" s="148"/>
      <c r="AV360" s="133" t="n">
        <f aca="false">AT360+AO360</f>
        <v>0</v>
      </c>
      <c r="AX360" s="133" t="n">
        <f aca="false">AJ360+AG360+AD360</f>
        <v>0</v>
      </c>
      <c r="AY360" s="149"/>
      <c r="AZ360" s="76" t="n">
        <f aca="false">R360*E360</f>
        <v>0</v>
      </c>
    </row>
    <row r="361" customFormat="false" ht="12" hidden="false" customHeight="true" outlineLevel="0" collapsed="false">
      <c r="A361" s="138" t="n">
        <f aca="false">EDATE(A360,1)</f>
        <v>47665</v>
      </c>
      <c r="B361" s="139" t="n">
        <f aca="false">VLOOKUP($A361,Table2,MATCH(I$3,Curves2,0))</f>
        <v>60900</v>
      </c>
      <c r="C361" s="140"/>
      <c r="D361" s="141" t="n">
        <f aca="false">B361+C361</f>
        <v>60900</v>
      </c>
      <c r="E361" s="126" t="n">
        <f aca="false">IF(Y361=0,0,IF(AND(Y361=1,$H$3=1),D361*T361,IF($H$3=2,D361,"N/A")))</f>
        <v>0</v>
      </c>
      <c r="F361" s="126" t="n">
        <f aca="false">E361*X361</f>
        <v>0</v>
      </c>
      <c r="G361" s="142" t="n">
        <f aca="false">VLOOKUP($A361,Table,MATCH(G$4,Curves,0))</f>
        <v>3.987</v>
      </c>
      <c r="H361" s="143" t="n">
        <f aca="false">G361</f>
        <v>3.987</v>
      </c>
      <c r="I361" s="142" t="n">
        <f aca="false">VLOOKUP($A361,Table1,MATCH(I$3,Curves1,0))</f>
        <v>3.7904</v>
      </c>
      <c r="J361" s="142" t="n">
        <f aca="false">VLOOKUP($A361,Table,MATCH(J$4,Curves,0))</f>
        <v>0.011</v>
      </c>
      <c r="K361" s="143" t="n">
        <f aca="false">J361</f>
        <v>0.011</v>
      </c>
      <c r="L361" s="144" t="n">
        <v>0</v>
      </c>
      <c r="M361" s="142" t="n">
        <f aca="false">VLOOKUP($A361,Table,MATCH(M$4,Curves,0))</f>
        <v>0.015</v>
      </c>
      <c r="N361" s="143" t="n">
        <f aca="false">M361</f>
        <v>0.015</v>
      </c>
      <c r="O361" s="144" t="n">
        <v>0</v>
      </c>
      <c r="P361" s="145"/>
      <c r="Q361" s="144" t="n">
        <f aca="false">M361+J361+G361</f>
        <v>4.013</v>
      </c>
      <c r="R361" s="144" t="n">
        <f aca="false">O361+L361+I361</f>
        <v>3.7904</v>
      </c>
      <c r="S361" s="145"/>
      <c r="T361" s="71" t="n">
        <f aca="false">A362-A361</f>
        <v>31</v>
      </c>
      <c r="U361" s="146" t="n">
        <f aca="false">CHOOSE(F$3,A362+24,A361)</f>
        <v>47720</v>
      </c>
      <c r="V361" s="71" t="n">
        <f aca="false">U361-C$3</f>
        <v>10832</v>
      </c>
      <c r="W361" s="142" t="n">
        <f aca="false">VLOOKUP($A361,Table,MATCH(W$4,Curves,0))</f>
        <v>0.058966861357273</v>
      </c>
      <c r="X361" s="147" t="n">
        <f aca="false">1/(1+CHOOSE(F$3,(W362+($K$3/10000))/2,(W361+($K$3/10000))/2))^(2*V361/365.25)</f>
        <v>0.17844745727779</v>
      </c>
      <c r="Y361" s="71" t="n">
        <f aca="false">IF(AND(mthbeg&lt;=A361,mthend&gt;=A361),1,0)</f>
        <v>0</v>
      </c>
      <c r="Z361" s="71" t="n">
        <f aca="false">T361*Y361</f>
        <v>0</v>
      </c>
      <c r="AB361" s="132" t="n">
        <f aca="false">F361*G361</f>
        <v>0</v>
      </c>
      <c r="AC361" s="132" t="n">
        <f aca="false">$F361*H361</f>
        <v>0</v>
      </c>
      <c r="AD361" s="132" t="n">
        <f aca="false">$F361*I361</f>
        <v>0</v>
      </c>
      <c r="AE361" s="132" t="n">
        <f aca="false">$F361*J361</f>
        <v>0</v>
      </c>
      <c r="AF361" s="132" t="n">
        <f aca="false">$F361*K361</f>
        <v>0</v>
      </c>
      <c r="AG361" s="132" t="n">
        <f aca="false">$F361*L361</f>
        <v>0</v>
      </c>
      <c r="AH361" s="132" t="n">
        <f aca="false">$F361*M361</f>
        <v>0</v>
      </c>
      <c r="AI361" s="132" t="n">
        <f aca="false">$F361*N361</f>
        <v>0</v>
      </c>
      <c r="AJ361" s="132" t="n">
        <f aca="false">F361*O361</f>
        <v>0</v>
      </c>
      <c r="AK361" s="137"/>
      <c r="AL361" s="132" t="n">
        <f aca="false">CHOOSE($G$3,AC361-AD361,AD361-AC361)</f>
        <v>0</v>
      </c>
      <c r="AM361" s="132" t="n">
        <f aca="false">CHOOSE($G$3,AF361-AG361,AG361-AF361)</f>
        <v>0</v>
      </c>
      <c r="AN361" s="132" t="n">
        <f aca="false">CHOOSE($G$3,AI361-AJ361,AJ361-AI361)</f>
        <v>0</v>
      </c>
      <c r="AO361" s="148" t="n">
        <f aca="false">SUM(AL361:AN361)</f>
        <v>0</v>
      </c>
      <c r="AQ361" s="132" t="n">
        <f aca="false">CHOOSE($G$3,AB361-AC361,AC361-AB361)</f>
        <v>0</v>
      </c>
      <c r="AR361" s="132" t="n">
        <f aca="false">CHOOSE($G$3,AE361-AF361,AF361-AE361)</f>
        <v>0</v>
      </c>
      <c r="AS361" s="132" t="n">
        <f aca="false">CHOOSE($G$3,AH361-AI361,AI361-AH361)</f>
        <v>0</v>
      </c>
      <c r="AT361" s="148" t="n">
        <f aca="false">AQ361+AR361+AS361</f>
        <v>0</v>
      </c>
      <c r="AU361" s="148"/>
      <c r="AV361" s="133" t="n">
        <f aca="false">AT361+AO361</f>
        <v>0</v>
      </c>
      <c r="AX361" s="133" t="n">
        <f aca="false">AJ361+AG361+AD361</f>
        <v>0</v>
      </c>
      <c r="AY361" s="149"/>
      <c r="AZ361" s="76" t="n">
        <f aca="false">R361*E361</f>
        <v>0</v>
      </c>
    </row>
    <row r="362" customFormat="false" ht="12" hidden="false" customHeight="true" outlineLevel="0" collapsed="false">
      <c r="A362" s="138" t="n">
        <f aca="false">EDATE(A361,1)</f>
        <v>47696</v>
      </c>
      <c r="B362" s="139" t="n">
        <f aca="false">VLOOKUP($A362,Table2,MATCH(I$3,Curves2,0))</f>
        <v>60900</v>
      </c>
      <c r="C362" s="140"/>
      <c r="D362" s="141" t="n">
        <f aca="false">B362+C362</f>
        <v>60900</v>
      </c>
      <c r="E362" s="126" t="n">
        <f aca="false">IF(Y362=0,0,IF(AND(Y362=1,$H$3=1),D362*T362,IF($H$3=2,D362,"N/A")))</f>
        <v>0</v>
      </c>
      <c r="F362" s="126" t="n">
        <f aca="false">E362*X362</f>
        <v>0</v>
      </c>
      <c r="G362" s="142" t="n">
        <f aca="false">VLOOKUP($A362,Table,MATCH(G$4,Curves,0))</f>
        <v>3.987</v>
      </c>
      <c r="H362" s="143" t="n">
        <f aca="false">G362</f>
        <v>3.987</v>
      </c>
      <c r="I362" s="142" t="n">
        <f aca="false">VLOOKUP($A362,Table1,MATCH(I$3,Curves1,0))</f>
        <v>3.7904</v>
      </c>
      <c r="J362" s="142" t="n">
        <f aca="false">VLOOKUP($A362,Table,MATCH(J$4,Curves,0))</f>
        <v>0.011</v>
      </c>
      <c r="K362" s="143" t="n">
        <f aca="false">J362</f>
        <v>0.011</v>
      </c>
      <c r="L362" s="144" t="n">
        <v>0</v>
      </c>
      <c r="M362" s="142" t="n">
        <f aca="false">VLOOKUP($A362,Table,MATCH(M$4,Curves,0))</f>
        <v>0.015</v>
      </c>
      <c r="N362" s="143" t="n">
        <f aca="false">M362</f>
        <v>0.015</v>
      </c>
      <c r="O362" s="144" t="n">
        <v>0</v>
      </c>
      <c r="P362" s="145"/>
      <c r="Q362" s="144" t="n">
        <f aca="false">M362+J362+G362</f>
        <v>4.013</v>
      </c>
      <c r="R362" s="144" t="n">
        <f aca="false">O362+L362+I362</f>
        <v>3.7904</v>
      </c>
      <c r="S362" s="145"/>
      <c r="T362" s="71" t="n">
        <f aca="false">A363-A362</f>
        <v>31</v>
      </c>
      <c r="U362" s="146" t="n">
        <f aca="false">CHOOSE(F$3,A363+24,A362)</f>
        <v>47751</v>
      </c>
      <c r="V362" s="71" t="n">
        <f aca="false">U362-C$3</f>
        <v>10863</v>
      </c>
      <c r="W362" s="142" t="n">
        <f aca="false">VLOOKUP($A362,Table,MATCH(W$4,Curves,0))</f>
        <v>0.058966861357273</v>
      </c>
      <c r="X362" s="147" t="n">
        <f aca="false">1/(1+CHOOSE(F$3,(W363+($K$3/10000))/2,(W362+($K$3/10000))/2))^(2*V362/365.25)</f>
        <v>0.17756945775692</v>
      </c>
      <c r="Y362" s="71" t="n">
        <f aca="false">IF(AND(mthbeg&lt;=A362,mthend&gt;=A362),1,0)</f>
        <v>0</v>
      </c>
      <c r="Z362" s="71" t="n">
        <f aca="false">T362*Y362</f>
        <v>0</v>
      </c>
      <c r="AB362" s="132" t="n">
        <f aca="false">F362*G362</f>
        <v>0</v>
      </c>
      <c r="AC362" s="132" t="n">
        <f aca="false">$F362*H362</f>
        <v>0</v>
      </c>
      <c r="AD362" s="132" t="n">
        <f aca="false">$F362*I362</f>
        <v>0</v>
      </c>
      <c r="AE362" s="132" t="n">
        <f aca="false">$F362*J362</f>
        <v>0</v>
      </c>
      <c r="AF362" s="132" t="n">
        <f aca="false">$F362*K362</f>
        <v>0</v>
      </c>
      <c r="AG362" s="132" t="n">
        <f aca="false">$F362*L362</f>
        <v>0</v>
      </c>
      <c r="AH362" s="132" t="n">
        <f aca="false">$F362*M362</f>
        <v>0</v>
      </c>
      <c r="AI362" s="132" t="n">
        <f aca="false">$F362*N362</f>
        <v>0</v>
      </c>
      <c r="AJ362" s="132" t="n">
        <f aca="false">F362*O362</f>
        <v>0</v>
      </c>
      <c r="AK362" s="137"/>
      <c r="AL362" s="132" t="n">
        <f aca="false">CHOOSE($G$3,AC362-AD362,AD362-AC362)</f>
        <v>0</v>
      </c>
      <c r="AM362" s="132" t="n">
        <f aca="false">CHOOSE($G$3,AF362-AG362,AG362-AF362)</f>
        <v>0</v>
      </c>
      <c r="AN362" s="132" t="n">
        <f aca="false">CHOOSE($G$3,AI362-AJ362,AJ362-AI362)</f>
        <v>0</v>
      </c>
      <c r="AO362" s="148" t="n">
        <f aca="false">SUM(AL362:AN362)</f>
        <v>0</v>
      </c>
      <c r="AQ362" s="132" t="n">
        <f aca="false">CHOOSE($G$3,AB362-AC362,AC362-AB362)</f>
        <v>0</v>
      </c>
      <c r="AR362" s="132" t="n">
        <f aca="false">CHOOSE($G$3,AE362-AF362,AF362-AE362)</f>
        <v>0</v>
      </c>
      <c r="AS362" s="132" t="n">
        <f aca="false">CHOOSE($G$3,AH362-AI362,AI362-AH362)</f>
        <v>0</v>
      </c>
      <c r="AT362" s="148" t="n">
        <f aca="false">AQ362+AR362+AS362</f>
        <v>0</v>
      </c>
      <c r="AU362" s="148"/>
      <c r="AV362" s="133" t="n">
        <f aca="false">AT362+AO362</f>
        <v>0</v>
      </c>
      <c r="AX362" s="133" t="n">
        <f aca="false">AJ362+AG362+AD362</f>
        <v>0</v>
      </c>
      <c r="AY362" s="149"/>
      <c r="AZ362" s="76" t="n">
        <f aca="false">R362*E362</f>
        <v>0</v>
      </c>
    </row>
    <row r="363" customFormat="false" ht="12" hidden="false" customHeight="true" outlineLevel="0" collapsed="false">
      <c r="A363" s="138" t="n">
        <f aca="false">EDATE(A362,1)</f>
        <v>47727</v>
      </c>
      <c r="B363" s="139" t="n">
        <f aca="false">VLOOKUP($A363,Table2,MATCH(I$3,Curves2,0))</f>
        <v>60900</v>
      </c>
      <c r="C363" s="140"/>
      <c r="D363" s="141" t="n">
        <f aca="false">B363+C363</f>
        <v>60900</v>
      </c>
      <c r="E363" s="126" t="n">
        <f aca="false">IF(Y363=0,0,IF(AND(Y363=1,$H$3=1),D363*T363,IF($H$3=2,D363,"N/A")))</f>
        <v>0</v>
      </c>
      <c r="F363" s="126" t="n">
        <f aca="false">E363*X363</f>
        <v>0</v>
      </c>
      <c r="G363" s="142" t="n">
        <f aca="false">VLOOKUP($A363,Table,MATCH(G$4,Curves,0))</f>
        <v>3.987</v>
      </c>
      <c r="H363" s="143" t="n">
        <f aca="false">G363</f>
        <v>3.987</v>
      </c>
      <c r="I363" s="142" t="n">
        <f aca="false">VLOOKUP($A363,Table1,MATCH(I$3,Curves1,0))</f>
        <v>3.7904</v>
      </c>
      <c r="J363" s="142" t="n">
        <f aca="false">VLOOKUP($A363,Table,MATCH(J$4,Curves,0))</f>
        <v>0.011</v>
      </c>
      <c r="K363" s="143" t="n">
        <f aca="false">J363</f>
        <v>0.011</v>
      </c>
      <c r="L363" s="144" t="n">
        <v>0</v>
      </c>
      <c r="M363" s="142" t="n">
        <f aca="false">VLOOKUP($A363,Table,MATCH(M$4,Curves,0))</f>
        <v>0.015</v>
      </c>
      <c r="N363" s="143" t="n">
        <f aca="false">M363</f>
        <v>0.015</v>
      </c>
      <c r="O363" s="144" t="n">
        <v>0</v>
      </c>
      <c r="P363" s="145"/>
      <c r="Q363" s="144" t="n">
        <f aca="false">M363+J363+G363</f>
        <v>4.013</v>
      </c>
      <c r="R363" s="144" t="n">
        <f aca="false">O363+L363+I363</f>
        <v>3.7904</v>
      </c>
      <c r="S363" s="145"/>
      <c r="T363" s="71" t="n">
        <f aca="false">A364-A363</f>
        <v>30</v>
      </c>
      <c r="U363" s="146" t="n">
        <f aca="false">CHOOSE(F$3,A364+24,A363)</f>
        <v>47781</v>
      </c>
      <c r="V363" s="71" t="n">
        <f aca="false">U363-C$3</f>
        <v>10893</v>
      </c>
      <c r="W363" s="142" t="n">
        <f aca="false">VLOOKUP($A363,Table,MATCH(W$4,Curves,0))</f>
        <v>0.058966861357273</v>
      </c>
      <c r="X363" s="147" t="n">
        <f aca="false">1/(1+CHOOSE(F$3,(W364+($K$3/10000))/2,(W363+($K$3/10000))/2))^(2*V363/365.25)</f>
        <v>0.176723894181933</v>
      </c>
      <c r="Y363" s="71" t="n">
        <f aca="false">IF(AND(mthbeg&lt;=A363,mthend&gt;=A363),1,0)</f>
        <v>0</v>
      </c>
      <c r="Z363" s="71" t="n">
        <f aca="false">T363*Y363</f>
        <v>0</v>
      </c>
      <c r="AB363" s="132" t="n">
        <f aca="false">F363*G363</f>
        <v>0</v>
      </c>
      <c r="AC363" s="132" t="n">
        <f aca="false">$F363*H363</f>
        <v>0</v>
      </c>
      <c r="AD363" s="132" t="n">
        <f aca="false">$F363*I363</f>
        <v>0</v>
      </c>
      <c r="AE363" s="132" t="n">
        <f aca="false">$F363*J363</f>
        <v>0</v>
      </c>
      <c r="AF363" s="132" t="n">
        <f aca="false">$F363*K363</f>
        <v>0</v>
      </c>
      <c r="AG363" s="132" t="n">
        <f aca="false">$F363*L363</f>
        <v>0</v>
      </c>
      <c r="AH363" s="132" t="n">
        <f aca="false">$F363*M363</f>
        <v>0</v>
      </c>
      <c r="AI363" s="132" t="n">
        <f aca="false">$F363*N363</f>
        <v>0</v>
      </c>
      <c r="AJ363" s="132" t="n">
        <f aca="false">F363*O363</f>
        <v>0</v>
      </c>
      <c r="AK363" s="137"/>
      <c r="AL363" s="132" t="n">
        <f aca="false">CHOOSE($G$3,AC363-AD363,AD363-AC363)</f>
        <v>0</v>
      </c>
      <c r="AM363" s="132" t="n">
        <f aca="false">CHOOSE($G$3,AF363-AG363,AG363-AF363)</f>
        <v>0</v>
      </c>
      <c r="AN363" s="132" t="n">
        <f aca="false">CHOOSE($G$3,AI363-AJ363,AJ363-AI363)</f>
        <v>0</v>
      </c>
      <c r="AO363" s="148" t="n">
        <f aca="false">SUM(AL363:AN363)</f>
        <v>0</v>
      </c>
      <c r="AQ363" s="132" t="n">
        <f aca="false">CHOOSE($G$3,AB363-AC363,AC363-AB363)</f>
        <v>0</v>
      </c>
      <c r="AR363" s="132" t="n">
        <f aca="false">CHOOSE($G$3,AE363-AF363,AF363-AE363)</f>
        <v>0</v>
      </c>
      <c r="AS363" s="132" t="n">
        <f aca="false">CHOOSE($G$3,AH363-AI363,AI363-AH363)</f>
        <v>0</v>
      </c>
      <c r="AT363" s="148" t="n">
        <f aca="false">AQ363+AR363+AS363</f>
        <v>0</v>
      </c>
      <c r="AU363" s="148"/>
      <c r="AV363" s="133" t="n">
        <f aca="false">AT363+AO363</f>
        <v>0</v>
      </c>
      <c r="AX363" s="133" t="n">
        <f aca="false">AJ363+AG363+AD363</f>
        <v>0</v>
      </c>
      <c r="AY363" s="149"/>
      <c r="AZ363" s="76" t="n">
        <f aca="false">R363*E363</f>
        <v>0</v>
      </c>
    </row>
    <row r="364" customFormat="false" ht="12" hidden="false" customHeight="true" outlineLevel="0" collapsed="false">
      <c r="A364" s="138" t="n">
        <f aca="false">EDATE(A363,1)</f>
        <v>47757</v>
      </c>
      <c r="B364" s="139" t="n">
        <f aca="false">VLOOKUP($A364,Table2,MATCH(I$3,Curves2,0))</f>
        <v>60900</v>
      </c>
      <c r="C364" s="140"/>
      <c r="D364" s="141" t="n">
        <f aca="false">B364+C364</f>
        <v>60900</v>
      </c>
      <c r="E364" s="126" t="n">
        <f aca="false">IF(Y364=0,0,IF(AND(Y364=1,$H$3=1),D364*T364,IF($H$3=2,D364,"N/A")))</f>
        <v>0</v>
      </c>
      <c r="F364" s="126" t="n">
        <f aca="false">E364*X364</f>
        <v>0</v>
      </c>
      <c r="G364" s="142" t="n">
        <f aca="false">VLOOKUP($A364,Table,MATCH(G$4,Curves,0))</f>
        <v>3.987</v>
      </c>
      <c r="H364" s="143" t="n">
        <f aca="false">G364</f>
        <v>3.987</v>
      </c>
      <c r="I364" s="142" t="n">
        <f aca="false">VLOOKUP($A364,Table1,MATCH(I$3,Curves1,0))</f>
        <v>3.7904</v>
      </c>
      <c r="J364" s="142" t="n">
        <f aca="false">VLOOKUP($A364,Table,MATCH(J$4,Curves,0))</f>
        <v>0.011</v>
      </c>
      <c r="K364" s="143" t="n">
        <f aca="false">J364</f>
        <v>0.011</v>
      </c>
      <c r="L364" s="144" t="n">
        <v>0</v>
      </c>
      <c r="M364" s="142" t="n">
        <f aca="false">VLOOKUP($A364,Table,MATCH(M$4,Curves,0))</f>
        <v>0.015</v>
      </c>
      <c r="N364" s="143" t="n">
        <f aca="false">M364</f>
        <v>0.015</v>
      </c>
      <c r="O364" s="144" t="n">
        <v>0</v>
      </c>
      <c r="P364" s="145"/>
      <c r="Q364" s="144" t="n">
        <f aca="false">M364+J364+G364</f>
        <v>4.013</v>
      </c>
      <c r="R364" s="144" t="n">
        <f aca="false">O364+L364+I364</f>
        <v>3.7904</v>
      </c>
      <c r="S364" s="145"/>
      <c r="T364" s="71" t="n">
        <f aca="false">A365-A364</f>
        <v>31</v>
      </c>
      <c r="U364" s="146" t="n">
        <f aca="false">CHOOSE(F$3,A365+24,A364)</f>
        <v>47812</v>
      </c>
      <c r="V364" s="71" t="n">
        <f aca="false">U364-C$3</f>
        <v>10924</v>
      </c>
      <c r="W364" s="142" t="n">
        <f aca="false">VLOOKUP($A364,Table,MATCH(W$4,Curves,0))</f>
        <v>0.058966861357273</v>
      </c>
      <c r="X364" s="147" t="n">
        <f aca="false">1/(1+CHOOSE(F$3,(W365+($K$3/10000))/2,(W364+($K$3/10000))/2))^(2*V364/365.25)</f>
        <v>0.175854374958823</v>
      </c>
      <c r="Y364" s="71" t="n">
        <f aca="false">IF(AND(mthbeg&lt;=A364,mthend&gt;=A364),1,0)</f>
        <v>0</v>
      </c>
      <c r="Z364" s="71" t="n">
        <f aca="false">T364*Y364</f>
        <v>0</v>
      </c>
      <c r="AB364" s="132" t="n">
        <f aca="false">F364*G364</f>
        <v>0</v>
      </c>
      <c r="AC364" s="132" t="n">
        <f aca="false">$F364*H364</f>
        <v>0</v>
      </c>
      <c r="AD364" s="132" t="n">
        <f aca="false">$F364*I364</f>
        <v>0</v>
      </c>
      <c r="AE364" s="132" t="n">
        <f aca="false">$F364*J364</f>
        <v>0</v>
      </c>
      <c r="AF364" s="132" t="n">
        <f aca="false">$F364*K364</f>
        <v>0</v>
      </c>
      <c r="AG364" s="132" t="n">
        <f aca="false">$F364*L364</f>
        <v>0</v>
      </c>
      <c r="AH364" s="132" t="n">
        <f aca="false">$F364*M364</f>
        <v>0</v>
      </c>
      <c r="AI364" s="132" t="n">
        <f aca="false">$F364*N364</f>
        <v>0</v>
      </c>
      <c r="AJ364" s="132" t="n">
        <f aca="false">F364*O364</f>
        <v>0</v>
      </c>
      <c r="AK364" s="137"/>
      <c r="AL364" s="132" t="n">
        <f aca="false">CHOOSE($G$3,AC364-AD364,AD364-AC364)</f>
        <v>0</v>
      </c>
      <c r="AM364" s="132" t="n">
        <f aca="false">CHOOSE($G$3,AF364-AG364,AG364-AF364)</f>
        <v>0</v>
      </c>
      <c r="AN364" s="132" t="n">
        <f aca="false">CHOOSE($G$3,AI364-AJ364,AJ364-AI364)</f>
        <v>0</v>
      </c>
      <c r="AO364" s="148" t="n">
        <f aca="false">SUM(AL364:AN364)</f>
        <v>0</v>
      </c>
      <c r="AQ364" s="132" t="n">
        <f aca="false">CHOOSE($G$3,AB364-AC364,AC364-AB364)</f>
        <v>0</v>
      </c>
      <c r="AR364" s="132" t="n">
        <f aca="false">CHOOSE($G$3,AE364-AF364,AF364-AE364)</f>
        <v>0</v>
      </c>
      <c r="AS364" s="132" t="n">
        <f aca="false">CHOOSE($G$3,AH364-AI364,AI364-AH364)</f>
        <v>0</v>
      </c>
      <c r="AT364" s="148" t="n">
        <f aca="false">AQ364+AR364+AS364</f>
        <v>0</v>
      </c>
      <c r="AU364" s="148"/>
      <c r="AV364" s="133" t="n">
        <f aca="false">AT364+AO364</f>
        <v>0</v>
      </c>
      <c r="AX364" s="133" t="n">
        <f aca="false">AJ364+AG364+AD364</f>
        <v>0</v>
      </c>
      <c r="AY364" s="149"/>
      <c r="AZ364" s="76" t="n">
        <f aca="false">R364*E364</f>
        <v>0</v>
      </c>
    </row>
    <row r="365" customFormat="false" ht="12" hidden="false" customHeight="true" outlineLevel="0" collapsed="false">
      <c r="A365" s="138" t="n">
        <f aca="false">EDATE(A364,1)</f>
        <v>47788</v>
      </c>
      <c r="B365" s="139" t="n">
        <f aca="false">VLOOKUP($A365,Table2,MATCH(I$3,Curves2,0))</f>
        <v>60900</v>
      </c>
      <c r="C365" s="140"/>
      <c r="D365" s="141" t="n">
        <f aca="false">B365+C365</f>
        <v>60900</v>
      </c>
      <c r="E365" s="126" t="n">
        <f aca="false">IF(Y365=0,0,IF(AND(Y365=1,$H$3=1),D365*T365,IF($H$3=2,D365,"N/A")))</f>
        <v>0</v>
      </c>
      <c r="F365" s="126" t="n">
        <f aca="false">E365*X365</f>
        <v>0</v>
      </c>
      <c r="G365" s="142" t="n">
        <f aca="false">VLOOKUP($A365,Table,MATCH(G$4,Curves,0))</f>
        <v>3.987</v>
      </c>
      <c r="H365" s="143" t="n">
        <f aca="false">G365</f>
        <v>3.987</v>
      </c>
      <c r="I365" s="142" t="n">
        <f aca="false">VLOOKUP($A365,Table1,MATCH(I$3,Curves1,0))</f>
        <v>3.7904</v>
      </c>
      <c r="J365" s="142" t="n">
        <f aca="false">VLOOKUP($A365,Table,MATCH(J$4,Curves,0))</f>
        <v>0.011</v>
      </c>
      <c r="K365" s="143" t="n">
        <f aca="false">J365</f>
        <v>0.011</v>
      </c>
      <c r="L365" s="144" t="n">
        <v>0</v>
      </c>
      <c r="M365" s="142" t="n">
        <f aca="false">VLOOKUP($A365,Table,MATCH(M$4,Curves,0))</f>
        <v>0.015</v>
      </c>
      <c r="N365" s="143" t="n">
        <f aca="false">M365</f>
        <v>0.015</v>
      </c>
      <c r="O365" s="144" t="n">
        <v>0</v>
      </c>
      <c r="P365" s="145"/>
      <c r="Q365" s="144" t="n">
        <f aca="false">M365+J365+G365</f>
        <v>4.013</v>
      </c>
      <c r="R365" s="144" t="n">
        <f aca="false">O365+L365+I365</f>
        <v>3.7904</v>
      </c>
      <c r="S365" s="145"/>
      <c r="T365" s="71" t="n">
        <f aca="false">A366-A365</f>
        <v>30</v>
      </c>
      <c r="U365" s="146" t="n">
        <f aca="false">CHOOSE(F$3,A366+24,A365)</f>
        <v>47842</v>
      </c>
      <c r="V365" s="71" t="n">
        <f aca="false">U365-C$3</f>
        <v>10954</v>
      </c>
      <c r="W365" s="142" t="n">
        <f aca="false">VLOOKUP($A365,Table,MATCH(W$4,Curves,0))</f>
        <v>0.058966861357273</v>
      </c>
      <c r="X365" s="147" t="n">
        <f aca="false">1/(1+CHOOSE(F$3,(W366+($K$3/10000))/2,(W365+($K$3/10000))/2))^(2*V365/365.25)</f>
        <v>0.175016978393864</v>
      </c>
      <c r="Y365" s="71" t="n">
        <f aca="false">IF(AND(mthbeg&lt;=A365,mthend&gt;=A365),1,0)</f>
        <v>0</v>
      </c>
      <c r="Z365" s="71" t="n">
        <f aca="false">T365*Y365</f>
        <v>0</v>
      </c>
      <c r="AB365" s="132" t="n">
        <f aca="false">F365*G365</f>
        <v>0</v>
      </c>
      <c r="AC365" s="132" t="n">
        <f aca="false">$F365*H365</f>
        <v>0</v>
      </c>
      <c r="AD365" s="132" t="n">
        <f aca="false">$F365*I365</f>
        <v>0</v>
      </c>
      <c r="AE365" s="132" t="n">
        <f aca="false">$F365*J365</f>
        <v>0</v>
      </c>
      <c r="AF365" s="132" t="n">
        <f aca="false">$F365*K365</f>
        <v>0</v>
      </c>
      <c r="AG365" s="132" t="n">
        <f aca="false">$F365*L365</f>
        <v>0</v>
      </c>
      <c r="AH365" s="132" t="n">
        <f aca="false">$F365*M365</f>
        <v>0</v>
      </c>
      <c r="AI365" s="132" t="n">
        <f aca="false">$F365*N365</f>
        <v>0</v>
      </c>
      <c r="AJ365" s="132" t="n">
        <f aca="false">F365*O365</f>
        <v>0</v>
      </c>
      <c r="AK365" s="137"/>
      <c r="AL365" s="132" t="n">
        <f aca="false">CHOOSE($G$3,AC365-AD365,AD365-AC365)</f>
        <v>0</v>
      </c>
      <c r="AM365" s="132" t="n">
        <f aca="false">CHOOSE($G$3,AF365-AG365,AG365-AF365)</f>
        <v>0</v>
      </c>
      <c r="AN365" s="132" t="n">
        <f aca="false">CHOOSE($G$3,AI365-AJ365,AJ365-AI365)</f>
        <v>0</v>
      </c>
      <c r="AO365" s="148" t="n">
        <f aca="false">SUM(AL365:AN365)</f>
        <v>0</v>
      </c>
      <c r="AQ365" s="132" t="n">
        <f aca="false">CHOOSE($G$3,AB365-AC365,AC365-AB365)</f>
        <v>0</v>
      </c>
      <c r="AR365" s="132" t="n">
        <f aca="false">CHOOSE($G$3,AE365-AF365,AF365-AE365)</f>
        <v>0</v>
      </c>
      <c r="AS365" s="132" t="n">
        <f aca="false">CHOOSE($G$3,AH365-AI365,AI365-AH365)</f>
        <v>0</v>
      </c>
      <c r="AT365" s="148" t="n">
        <f aca="false">AQ365+AR365+AS365</f>
        <v>0</v>
      </c>
      <c r="AU365" s="148"/>
      <c r="AV365" s="133" t="n">
        <f aca="false">AT365+AO365</f>
        <v>0</v>
      </c>
      <c r="AX365" s="133" t="n">
        <f aca="false">AJ365+AG365+AD365</f>
        <v>0</v>
      </c>
      <c r="AY365" s="149"/>
      <c r="AZ365" s="76" t="n">
        <f aca="false">R365*E365</f>
        <v>0</v>
      </c>
    </row>
    <row r="366" customFormat="false" ht="12" hidden="false" customHeight="true" outlineLevel="0" collapsed="false">
      <c r="A366" s="138" t="n">
        <f aca="false">EDATE(A365,1)</f>
        <v>47818</v>
      </c>
      <c r="B366" s="139" t="n">
        <f aca="false">VLOOKUP($A366,Table2,MATCH(I$3,Curves2,0))</f>
        <v>60900</v>
      </c>
      <c r="C366" s="140"/>
      <c r="D366" s="141" t="n">
        <f aca="false">B366+C366</f>
        <v>60900</v>
      </c>
      <c r="E366" s="126" t="n">
        <f aca="false">IF(Y366=0,0,IF(AND(Y366=1,$H$3=1),D366*T366,IF($H$3=2,D366,"N/A")))</f>
        <v>0</v>
      </c>
      <c r="F366" s="126" t="n">
        <f aca="false">E366*X366</f>
        <v>0</v>
      </c>
      <c r="G366" s="142" t="n">
        <f aca="false">VLOOKUP($A366,Table,MATCH(G$4,Curves,0))</f>
        <v>3.987</v>
      </c>
      <c r="H366" s="143" t="n">
        <f aca="false">G366</f>
        <v>3.987</v>
      </c>
      <c r="I366" s="142" t="n">
        <f aca="false">VLOOKUP($A366,Table1,MATCH(I$3,Curves1,0))</f>
        <v>3.7904</v>
      </c>
      <c r="J366" s="142" t="n">
        <f aca="false">VLOOKUP($A366,Table,MATCH(J$4,Curves,0))</f>
        <v>0.011</v>
      </c>
      <c r="K366" s="143" t="n">
        <f aca="false">J366</f>
        <v>0.011</v>
      </c>
      <c r="L366" s="144" t="n">
        <v>0</v>
      </c>
      <c r="M366" s="142" t="n">
        <f aca="false">VLOOKUP($A366,Table,MATCH(M$4,Curves,0))</f>
        <v>0.015</v>
      </c>
      <c r="N366" s="143" t="n">
        <f aca="false">M366</f>
        <v>0.015</v>
      </c>
      <c r="O366" s="144" t="n">
        <v>0</v>
      </c>
      <c r="P366" s="145"/>
      <c r="Q366" s="144" t="n">
        <f aca="false">M366+J366+G366</f>
        <v>4.013</v>
      </c>
      <c r="R366" s="144" t="n">
        <f aca="false">O366+L366+I366</f>
        <v>3.7904</v>
      </c>
      <c r="S366" s="145"/>
      <c r="T366" s="71" t="n">
        <f aca="false">A367-A366</f>
        <v>31</v>
      </c>
      <c r="U366" s="146" t="n">
        <f aca="false">CHOOSE(F$3,A367+24,A366)</f>
        <v>47873</v>
      </c>
      <c r="V366" s="71" t="n">
        <f aca="false">U366-C$3</f>
        <v>10985</v>
      </c>
      <c r="W366" s="142" t="n">
        <f aca="false">VLOOKUP($A366,Table,MATCH(W$4,Curves,0))</f>
        <v>0.058966861357273</v>
      </c>
      <c r="X366" s="147" t="n">
        <f aca="false">1/(1+CHOOSE(F$3,(W367+($K$3/10000))/2,(W366+($K$3/10000))/2))^(2*V366/365.25)</f>
        <v>0.174155857560212</v>
      </c>
      <c r="Y366" s="71" t="n">
        <f aca="false">IF(AND(mthbeg&lt;=A366,mthend&gt;=A366),1,0)</f>
        <v>0</v>
      </c>
      <c r="Z366" s="71" t="n">
        <f aca="false">T366*Y366</f>
        <v>0</v>
      </c>
      <c r="AB366" s="132" t="n">
        <f aca="false">F366*G366</f>
        <v>0</v>
      </c>
      <c r="AC366" s="132" t="n">
        <f aca="false">$F366*H366</f>
        <v>0</v>
      </c>
      <c r="AD366" s="132" t="n">
        <f aca="false">$F366*I366</f>
        <v>0</v>
      </c>
      <c r="AE366" s="132" t="n">
        <f aca="false">$F366*J366</f>
        <v>0</v>
      </c>
      <c r="AF366" s="132" t="n">
        <f aca="false">$F366*K366</f>
        <v>0</v>
      </c>
      <c r="AG366" s="132" t="n">
        <f aca="false">$F366*L366</f>
        <v>0</v>
      </c>
      <c r="AH366" s="132" t="n">
        <f aca="false">$F366*M366</f>
        <v>0</v>
      </c>
      <c r="AI366" s="132" t="n">
        <f aca="false">$F366*N366</f>
        <v>0</v>
      </c>
      <c r="AJ366" s="132" t="n">
        <f aca="false">F366*O366</f>
        <v>0</v>
      </c>
      <c r="AK366" s="137"/>
      <c r="AL366" s="132" t="n">
        <f aca="false">CHOOSE($G$3,AC366-AD366,AD366-AC366)</f>
        <v>0</v>
      </c>
      <c r="AM366" s="132" t="n">
        <f aca="false">CHOOSE($G$3,AF366-AG366,AG366-AF366)</f>
        <v>0</v>
      </c>
      <c r="AN366" s="132" t="n">
        <f aca="false">CHOOSE($G$3,AI366-AJ366,AJ366-AI366)</f>
        <v>0</v>
      </c>
      <c r="AO366" s="148" t="n">
        <f aca="false">SUM(AL366:AN366)</f>
        <v>0</v>
      </c>
      <c r="AQ366" s="132" t="n">
        <f aca="false">CHOOSE($G$3,AB366-AC366,AC366-AB366)</f>
        <v>0</v>
      </c>
      <c r="AR366" s="132" t="n">
        <f aca="false">CHOOSE($G$3,AE366-AF366,AF366-AE366)</f>
        <v>0</v>
      </c>
      <c r="AS366" s="132" t="n">
        <f aca="false">CHOOSE($G$3,AH366-AI366,AI366-AH366)</f>
        <v>0</v>
      </c>
      <c r="AT366" s="148" t="n">
        <f aca="false">AQ366+AR366+AS366</f>
        <v>0</v>
      </c>
      <c r="AU366" s="148"/>
      <c r="AV366" s="133" t="n">
        <f aca="false">AT366+AO366</f>
        <v>0</v>
      </c>
      <c r="AX366" s="133" t="n">
        <f aca="false">AJ366+AG366+AD366</f>
        <v>0</v>
      </c>
      <c r="AY366" s="149"/>
      <c r="AZ366" s="76" t="n">
        <f aca="false">R366*E366</f>
        <v>0</v>
      </c>
    </row>
    <row r="367" customFormat="false" ht="12" hidden="false" customHeight="true" outlineLevel="0" collapsed="false">
      <c r="A367" s="138" t="n">
        <f aca="false">EDATE(A366,1)</f>
        <v>47849</v>
      </c>
      <c r="B367" s="139" t="n">
        <f aca="false">VLOOKUP($A367,Table2,MATCH(I$3,Curves2,0))</f>
        <v>60900</v>
      </c>
      <c r="C367" s="140"/>
      <c r="D367" s="141" t="n">
        <f aca="false">B367+C367</f>
        <v>60900</v>
      </c>
      <c r="E367" s="126" t="n">
        <f aca="false">IF(Y367=0,0,IF(AND(Y367=1,$H$3=1),D367*T367,IF($H$3=2,D367,"N/A")))</f>
        <v>0</v>
      </c>
      <c r="F367" s="126" t="n">
        <f aca="false">E367*X367</f>
        <v>0</v>
      </c>
      <c r="G367" s="142" t="n">
        <f aca="false">VLOOKUP($A367,Table,MATCH(G$4,Curves,0))</f>
        <v>3.987</v>
      </c>
      <c r="H367" s="143" t="n">
        <f aca="false">G367</f>
        <v>3.987</v>
      </c>
      <c r="I367" s="142" t="n">
        <f aca="false">VLOOKUP($A367,Table1,MATCH(I$3,Curves1,0))</f>
        <v>3.7904</v>
      </c>
      <c r="J367" s="142" t="n">
        <f aca="false">VLOOKUP($A367,Table,MATCH(J$4,Curves,0))</f>
        <v>0.011</v>
      </c>
      <c r="K367" s="143" t="n">
        <f aca="false">J367</f>
        <v>0.011</v>
      </c>
      <c r="L367" s="144" t="n">
        <v>0</v>
      </c>
      <c r="M367" s="142" t="n">
        <f aca="false">VLOOKUP($A367,Table,MATCH(M$4,Curves,0))</f>
        <v>0.015</v>
      </c>
      <c r="N367" s="143" t="n">
        <f aca="false">M367</f>
        <v>0.015</v>
      </c>
      <c r="O367" s="144" t="n">
        <v>0</v>
      </c>
      <c r="P367" s="145"/>
      <c r="Q367" s="144" t="n">
        <f aca="false">M367+J367+G367</f>
        <v>4.013</v>
      </c>
      <c r="R367" s="144" t="n">
        <f aca="false">O367+L367+I367</f>
        <v>3.7904</v>
      </c>
      <c r="S367" s="145"/>
      <c r="T367" s="71" t="n">
        <f aca="false">A368-A367</f>
        <v>31</v>
      </c>
      <c r="U367" s="146" t="n">
        <f aca="false">CHOOSE(F$3,A368+24,A367)</f>
        <v>47904</v>
      </c>
      <c r="V367" s="71" t="n">
        <f aca="false">U367-C$3</f>
        <v>11016</v>
      </c>
      <c r="W367" s="142" t="n">
        <f aca="false">VLOOKUP($A367,Table,MATCH(W$4,Curves,0))</f>
        <v>0.058966861357273</v>
      </c>
      <c r="X367" s="147" t="n">
        <f aca="false">1/(1+CHOOSE(F$3,(W368+($K$3/10000))/2,(W367+($K$3/10000))/2))^(2*V367/365.25)</f>
        <v>0.173298973624586</v>
      </c>
      <c r="Y367" s="71" t="n">
        <f aca="false">IF(AND(mthbeg&lt;=A367,mthend&gt;=A367),1,0)</f>
        <v>0</v>
      </c>
      <c r="Z367" s="71" t="n">
        <f aca="false">T367*Y367</f>
        <v>0</v>
      </c>
      <c r="AB367" s="132" t="n">
        <f aca="false">F367*G367</f>
        <v>0</v>
      </c>
      <c r="AC367" s="132" t="n">
        <f aca="false">$F367*H367</f>
        <v>0</v>
      </c>
      <c r="AD367" s="132" t="n">
        <f aca="false">$F367*I367</f>
        <v>0</v>
      </c>
      <c r="AE367" s="132" t="n">
        <f aca="false">$F367*J367</f>
        <v>0</v>
      </c>
      <c r="AF367" s="132" t="n">
        <f aca="false">$F367*K367</f>
        <v>0</v>
      </c>
      <c r="AG367" s="132" t="n">
        <f aca="false">$F367*L367</f>
        <v>0</v>
      </c>
      <c r="AH367" s="132" t="n">
        <f aca="false">$F367*M367</f>
        <v>0</v>
      </c>
      <c r="AI367" s="132" t="n">
        <f aca="false">$F367*N367</f>
        <v>0</v>
      </c>
      <c r="AJ367" s="132" t="n">
        <f aca="false">F367*O367</f>
        <v>0</v>
      </c>
      <c r="AK367" s="137"/>
      <c r="AL367" s="132" t="n">
        <f aca="false">CHOOSE($G$3,AC367-AD367,AD367-AC367)</f>
        <v>0</v>
      </c>
      <c r="AM367" s="132" t="n">
        <f aca="false">CHOOSE($G$3,AF367-AG367,AG367-AF367)</f>
        <v>0</v>
      </c>
      <c r="AN367" s="132" t="n">
        <f aca="false">CHOOSE($G$3,AI367-AJ367,AJ367-AI367)</f>
        <v>0</v>
      </c>
      <c r="AO367" s="148" t="n">
        <f aca="false">SUM(AL367:AN367)</f>
        <v>0</v>
      </c>
      <c r="AQ367" s="132" t="n">
        <f aca="false">CHOOSE($G$3,AB367-AC367,AC367-AB367)</f>
        <v>0</v>
      </c>
      <c r="AR367" s="132" t="n">
        <f aca="false">CHOOSE($G$3,AE367-AF367,AF367-AE367)</f>
        <v>0</v>
      </c>
      <c r="AS367" s="132" t="n">
        <f aca="false">CHOOSE($G$3,AH367-AI367,AI367-AH367)</f>
        <v>0</v>
      </c>
      <c r="AT367" s="148" t="n">
        <f aca="false">AQ367+AR367+AS367</f>
        <v>0</v>
      </c>
      <c r="AU367" s="148"/>
      <c r="AV367" s="133" t="n">
        <f aca="false">AT367+AO367</f>
        <v>0</v>
      </c>
      <c r="AX367" s="133" t="n">
        <f aca="false">AJ367+AG367+AD367</f>
        <v>0</v>
      </c>
      <c r="AY367" s="149"/>
      <c r="AZ367" s="76" t="n">
        <f aca="false">R367*E367</f>
        <v>0</v>
      </c>
    </row>
    <row r="368" customFormat="false" ht="12" hidden="false" customHeight="true" outlineLevel="0" collapsed="false">
      <c r="A368" s="138" t="n">
        <f aca="false">EDATE(A367,1)</f>
        <v>47880</v>
      </c>
      <c r="B368" s="139" t="n">
        <f aca="false">VLOOKUP($A368,Table2,MATCH(I$3,Curves2,0))</f>
        <v>60900</v>
      </c>
      <c r="C368" s="140"/>
      <c r="D368" s="141" t="n">
        <f aca="false">B368+C368</f>
        <v>60900</v>
      </c>
      <c r="E368" s="126" t="n">
        <f aca="false">IF(Y368=0,0,IF(AND(Y368=1,$H$3=1),D368*T368,IF($H$3=2,D368,"N/A")))</f>
        <v>0</v>
      </c>
      <c r="F368" s="126" t="n">
        <f aca="false">E368*X368</f>
        <v>0</v>
      </c>
      <c r="G368" s="142" t="n">
        <f aca="false">VLOOKUP($A368,Table,MATCH(G$4,Curves,0))</f>
        <v>3.987</v>
      </c>
      <c r="H368" s="143" t="n">
        <f aca="false">G368</f>
        <v>3.987</v>
      </c>
      <c r="I368" s="142" t="n">
        <f aca="false">VLOOKUP($A368,Table1,MATCH(I$3,Curves1,0))</f>
        <v>3.7904</v>
      </c>
      <c r="J368" s="142" t="n">
        <f aca="false">VLOOKUP($A368,Table,MATCH(J$4,Curves,0))</f>
        <v>0.011</v>
      </c>
      <c r="K368" s="143" t="n">
        <f aca="false">J368</f>
        <v>0.011</v>
      </c>
      <c r="L368" s="144" t="n">
        <v>0</v>
      </c>
      <c r="M368" s="142" t="n">
        <f aca="false">VLOOKUP($A368,Table,MATCH(M$4,Curves,0))</f>
        <v>0.015</v>
      </c>
      <c r="N368" s="143" t="n">
        <f aca="false">M368</f>
        <v>0.015</v>
      </c>
      <c r="O368" s="144" t="n">
        <v>0</v>
      </c>
      <c r="P368" s="145"/>
      <c r="Q368" s="144" t="n">
        <f aca="false">M368+J368+G368</f>
        <v>4.013</v>
      </c>
      <c r="R368" s="144" t="n">
        <f aca="false">O368+L368+I368</f>
        <v>3.7904</v>
      </c>
      <c r="S368" s="145"/>
      <c r="T368" s="71" t="n">
        <f aca="false">A369-A368</f>
        <v>28</v>
      </c>
      <c r="U368" s="146" t="n">
        <f aca="false">CHOOSE(F$3,A369+24,A368)</f>
        <v>47932</v>
      </c>
      <c r="V368" s="71" t="n">
        <f aca="false">U368-C$3</f>
        <v>11044</v>
      </c>
      <c r="W368" s="142" t="n">
        <f aca="false">VLOOKUP($A368,Table,MATCH(W$4,Curves,0))</f>
        <v>0.058966861357273</v>
      </c>
      <c r="X368" s="147" t="n">
        <f aca="false">1/(1+CHOOSE(F$3,(W369+($K$3/10000))/2,(W368+($K$3/10000))/2))^(2*V368/365.25)</f>
        <v>0.172528638303001</v>
      </c>
      <c r="Y368" s="71" t="n">
        <f aca="false">IF(AND(mthbeg&lt;=A368,mthend&gt;=A368),1,0)</f>
        <v>0</v>
      </c>
      <c r="Z368" s="71" t="n">
        <f aca="false">T368*Y368</f>
        <v>0</v>
      </c>
      <c r="AB368" s="132" t="n">
        <f aca="false">F368*G368</f>
        <v>0</v>
      </c>
      <c r="AC368" s="132" t="n">
        <f aca="false">$F368*H368</f>
        <v>0</v>
      </c>
      <c r="AD368" s="132" t="n">
        <f aca="false">$F368*I368</f>
        <v>0</v>
      </c>
      <c r="AE368" s="132" t="n">
        <f aca="false">$F368*J368</f>
        <v>0</v>
      </c>
      <c r="AF368" s="132" t="n">
        <f aca="false">$F368*K368</f>
        <v>0</v>
      </c>
      <c r="AG368" s="132" t="n">
        <f aca="false">$F368*L368</f>
        <v>0</v>
      </c>
      <c r="AH368" s="132" t="n">
        <f aca="false">$F368*M368</f>
        <v>0</v>
      </c>
      <c r="AI368" s="132" t="n">
        <f aca="false">$F368*N368</f>
        <v>0</v>
      </c>
      <c r="AJ368" s="132" t="n">
        <f aca="false">F368*O368</f>
        <v>0</v>
      </c>
      <c r="AK368" s="137"/>
      <c r="AL368" s="132" t="n">
        <f aca="false">CHOOSE($G$3,AC368-AD368,AD368-AC368)</f>
        <v>0</v>
      </c>
      <c r="AM368" s="132" t="n">
        <f aca="false">CHOOSE($G$3,AF368-AG368,AG368-AF368)</f>
        <v>0</v>
      </c>
      <c r="AN368" s="132" t="n">
        <f aca="false">CHOOSE($G$3,AI368-AJ368,AJ368-AI368)</f>
        <v>0</v>
      </c>
      <c r="AO368" s="148" t="n">
        <f aca="false">SUM(AL368:AN368)</f>
        <v>0</v>
      </c>
      <c r="AQ368" s="132" t="n">
        <f aca="false">CHOOSE($G$3,AB368-AC368,AC368-AB368)</f>
        <v>0</v>
      </c>
      <c r="AR368" s="132" t="n">
        <f aca="false">CHOOSE($G$3,AE368-AF368,AF368-AE368)</f>
        <v>0</v>
      </c>
      <c r="AS368" s="132" t="n">
        <f aca="false">CHOOSE($G$3,AH368-AI368,AI368-AH368)</f>
        <v>0</v>
      </c>
      <c r="AT368" s="148" t="n">
        <f aca="false">AQ368+AR368+AS368</f>
        <v>0</v>
      </c>
      <c r="AU368" s="148"/>
      <c r="AV368" s="133" t="n">
        <f aca="false">AT368+AO368</f>
        <v>0</v>
      </c>
      <c r="AX368" s="133" t="n">
        <f aca="false">AJ368+AG368+AD368</f>
        <v>0</v>
      </c>
      <c r="AY368" s="149"/>
      <c r="AZ368" s="76" t="n">
        <f aca="false">R368*E368</f>
        <v>0</v>
      </c>
    </row>
    <row r="369" customFormat="false" ht="12" hidden="false" customHeight="true" outlineLevel="0" collapsed="false">
      <c r="A369" s="138" t="n">
        <f aca="false">EDATE(A368,1)</f>
        <v>47908</v>
      </c>
      <c r="B369" s="139" t="n">
        <f aca="false">VLOOKUP($A369,Table2,MATCH(I$3,Curves2,0))</f>
        <v>60900</v>
      </c>
      <c r="C369" s="140"/>
      <c r="D369" s="141" t="n">
        <f aca="false">B369+C369</f>
        <v>60900</v>
      </c>
      <c r="E369" s="126" t="n">
        <f aca="false">IF(Y369=0,0,IF(AND(Y369=1,$H$3=1),D369*T369,IF($H$3=2,D369,"N/A")))</f>
        <v>0</v>
      </c>
      <c r="F369" s="126" t="n">
        <f aca="false">E369*X369</f>
        <v>0</v>
      </c>
      <c r="G369" s="142" t="n">
        <f aca="false">VLOOKUP($A369,Table,MATCH(G$4,Curves,0))</f>
        <v>3.987</v>
      </c>
      <c r="H369" s="143" t="n">
        <f aca="false">G369</f>
        <v>3.987</v>
      </c>
      <c r="I369" s="142" t="n">
        <f aca="false">VLOOKUP($A369,Table1,MATCH(I$3,Curves1,0))</f>
        <v>3.7904</v>
      </c>
      <c r="J369" s="142" t="n">
        <f aca="false">VLOOKUP($A369,Table,MATCH(J$4,Curves,0))</f>
        <v>0.011</v>
      </c>
      <c r="K369" s="143" t="n">
        <f aca="false">J369</f>
        <v>0.011</v>
      </c>
      <c r="L369" s="144" t="n">
        <v>0</v>
      </c>
      <c r="M369" s="142" t="n">
        <f aca="false">VLOOKUP($A369,Table,MATCH(M$4,Curves,0))</f>
        <v>0.015</v>
      </c>
      <c r="N369" s="143" t="n">
        <f aca="false">M369</f>
        <v>0.015</v>
      </c>
      <c r="O369" s="144" t="n">
        <v>0</v>
      </c>
      <c r="P369" s="145"/>
      <c r="Q369" s="144" t="n">
        <f aca="false">M369+J369+G369</f>
        <v>4.013</v>
      </c>
      <c r="R369" s="144" t="n">
        <f aca="false">O369+L369+I369</f>
        <v>3.7904</v>
      </c>
      <c r="S369" s="145"/>
      <c r="T369" s="71" t="n">
        <f aca="false">A370-A369</f>
        <v>31</v>
      </c>
      <c r="U369" s="146" t="n">
        <f aca="false">CHOOSE(F$3,A370+24,A369)</f>
        <v>47963</v>
      </c>
      <c r="V369" s="71" t="n">
        <f aca="false">U369-C$3</f>
        <v>11075</v>
      </c>
      <c r="W369" s="142" t="n">
        <f aca="false">VLOOKUP($A369,Table,MATCH(W$4,Curves,0))</f>
        <v>0.058966861357273</v>
      </c>
      <c r="X369" s="147" t="n">
        <f aca="false">1/(1+CHOOSE(F$3,(W370+($K$3/10000))/2,(W369+($K$3/10000))/2))^(2*V369/365.25)</f>
        <v>0.171679760632916</v>
      </c>
      <c r="Y369" s="71" t="n">
        <f aca="false">IF(AND(mthbeg&lt;=A369,mthend&gt;=A369),1,0)</f>
        <v>0</v>
      </c>
      <c r="Z369" s="71" t="n">
        <f aca="false">T369*Y369</f>
        <v>0</v>
      </c>
      <c r="AB369" s="132" t="n">
        <f aca="false">F369*G369</f>
        <v>0</v>
      </c>
      <c r="AC369" s="132" t="n">
        <f aca="false">$F369*H369</f>
        <v>0</v>
      </c>
      <c r="AD369" s="132" t="n">
        <f aca="false">$F369*I369</f>
        <v>0</v>
      </c>
      <c r="AE369" s="132" t="n">
        <f aca="false">$F369*J369</f>
        <v>0</v>
      </c>
      <c r="AF369" s="132" t="n">
        <f aca="false">$F369*K369</f>
        <v>0</v>
      </c>
      <c r="AG369" s="132" t="n">
        <f aca="false">$F369*L369</f>
        <v>0</v>
      </c>
      <c r="AH369" s="132" t="n">
        <f aca="false">$F369*M369</f>
        <v>0</v>
      </c>
      <c r="AI369" s="132" t="n">
        <f aca="false">$F369*N369</f>
        <v>0</v>
      </c>
      <c r="AJ369" s="132" t="n">
        <f aca="false">F369*O369</f>
        <v>0</v>
      </c>
      <c r="AK369" s="137"/>
      <c r="AL369" s="132" t="n">
        <f aca="false">CHOOSE($G$3,AC369-AD369,AD369-AC369)</f>
        <v>0</v>
      </c>
      <c r="AM369" s="132" t="n">
        <f aca="false">CHOOSE($G$3,AF369-AG369,AG369-AF369)</f>
        <v>0</v>
      </c>
      <c r="AN369" s="132" t="n">
        <f aca="false">CHOOSE($G$3,AI369-AJ369,AJ369-AI369)</f>
        <v>0</v>
      </c>
      <c r="AO369" s="148" t="n">
        <f aca="false">SUM(AL369:AN369)</f>
        <v>0</v>
      </c>
      <c r="AQ369" s="132" t="n">
        <f aca="false">CHOOSE($G$3,AB369-AC369,AC369-AB369)</f>
        <v>0</v>
      </c>
      <c r="AR369" s="132" t="n">
        <f aca="false">CHOOSE($G$3,AE369-AF369,AF369-AE369)</f>
        <v>0</v>
      </c>
      <c r="AS369" s="132" t="n">
        <f aca="false">CHOOSE($G$3,AH369-AI369,AI369-AH369)</f>
        <v>0</v>
      </c>
      <c r="AT369" s="148" t="n">
        <f aca="false">AQ369+AR369+AS369</f>
        <v>0</v>
      </c>
      <c r="AU369" s="148"/>
      <c r="AV369" s="151" t="n">
        <f aca="false">AT369+AO369</f>
        <v>0</v>
      </c>
      <c r="AX369" s="151" t="n">
        <f aca="false">AJ369+AG369+AD369</f>
        <v>0</v>
      </c>
      <c r="AY369" s="149"/>
      <c r="AZ369" s="76" t="n">
        <f aca="false">R369*E369</f>
        <v>0</v>
      </c>
    </row>
    <row r="370" customFormat="false" ht="12.75" hidden="false" customHeight="false" outlineLevel="0" collapsed="false">
      <c r="A370" s="138" t="n">
        <f aca="false">EDATE(A369,1)</f>
        <v>47939</v>
      </c>
      <c r="W370" s="142" t="n">
        <f aca="false">VLOOKUP($A370,Table,MATCH(W$4,Curves,0))</f>
        <v>0.058966861357273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79"/>
  <sheetViews>
    <sheetView showFormulas="false" showGridLines="true" showRowColHeaders="true" showZeros="true" rightToLeft="false" tabSelected="false" showOutlineSymbols="true" defaultGridColor="true" view="normal" topLeftCell="Q1" colorId="64" zoomScale="80" zoomScaleNormal="80" zoomScalePageLayoutView="100" workbookViewId="0">
      <selection pane="topLeft" activeCell="AD15" activeCellId="0" sqref="AD14:AD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41"/>
    <col collapsed="false" customWidth="true" hidden="false" outlineLevel="0" max="4" min="4" style="0" width="11.42"/>
    <col collapsed="false" customWidth="true" hidden="false" outlineLevel="0" max="6" min="6" style="0" width="11.99"/>
    <col collapsed="false" customWidth="true" hidden="false" outlineLevel="0" max="9" min="9" style="0" width="10.56"/>
    <col collapsed="false" customWidth="true" hidden="false" outlineLevel="0" max="10" min="10" style="0" width="10.41"/>
    <col collapsed="false" customWidth="true" hidden="false" outlineLevel="0" max="11" min="11" style="0" width="11.13"/>
    <col collapsed="false" customWidth="true" hidden="false" outlineLevel="0" max="12" min="12" style="0" width="11.99"/>
    <col collapsed="false" customWidth="true" hidden="false" outlineLevel="0" max="14" min="14" style="0" width="14.28"/>
    <col collapsed="false" customWidth="true" hidden="false" outlineLevel="0" max="15" min="15" style="0" width="11.13"/>
    <col collapsed="false" customWidth="true" hidden="false" outlineLevel="0" max="16" min="16" style="0" width="11.56"/>
    <col collapsed="false" customWidth="true" hidden="false" outlineLevel="0" max="17" min="17" style="0" width="11.99"/>
    <col collapsed="false" customWidth="true" hidden="false" outlineLevel="0" max="19" min="19" style="0" width="10.41"/>
    <col collapsed="false" customWidth="true" hidden="false" outlineLevel="0" max="20" min="20" style="0" width="9.85"/>
    <col collapsed="false" customWidth="true" hidden="false" outlineLevel="0" max="21" min="21" style="0" width="10.13"/>
    <col collapsed="false" customWidth="true" hidden="false" outlineLevel="0" max="24" min="24" style="0" width="1.41"/>
  </cols>
  <sheetData>
    <row r="1" customFormat="false" ht="12.75" hidden="false" customHeight="false" outlineLevel="0" collapsed="false">
      <c r="A1" s="1" t="s">
        <v>172</v>
      </c>
    </row>
    <row r="3" customFormat="false" ht="12.75" hidden="false" customHeight="false" outlineLevel="0" collapsed="false">
      <c r="A3" s="2" t="s">
        <v>102</v>
      </c>
    </row>
    <row r="4" customFormat="false" ht="12.75" hidden="false" customHeight="false" outlineLevel="0" collapsed="false">
      <c r="B4" s="0" t="s">
        <v>173</v>
      </c>
      <c r="F4" s="152" t="n">
        <f aca="false">'Financing Assumptions'!E42</f>
        <v>53872.3354407041</v>
      </c>
      <c r="I4" s="0" t="s">
        <v>174</v>
      </c>
      <c r="L4" s="59" t="n">
        <f aca="false">SUM(I19:I74)</f>
        <v>78795051.0167813</v>
      </c>
      <c r="N4" s="0" t="s">
        <v>175</v>
      </c>
      <c r="Q4" s="59" t="n">
        <f aca="false">(Drawdown!E6/SUM(Drawdown!E6:H6))*'Financing Assumptions'!E9</f>
        <v>330000000</v>
      </c>
    </row>
    <row r="5" customFormat="false" ht="12.75" hidden="false" customHeight="false" outlineLevel="0" collapsed="false">
      <c r="B5" s="0" t="s">
        <v>176</v>
      </c>
      <c r="F5" s="59" t="n">
        <f aca="false">L5</f>
        <v>337622834.406625</v>
      </c>
      <c r="I5" s="0" t="s">
        <v>177</v>
      </c>
      <c r="L5" s="59" t="n">
        <f aca="false">SUM(J19:J74)</f>
        <v>337622834.406625</v>
      </c>
      <c r="N5" s="0" t="s">
        <v>178</v>
      </c>
      <c r="Q5" s="153" t="n">
        <f aca="false">Q4/'Financing Assumptions'!E9</f>
        <v>1</v>
      </c>
    </row>
    <row r="6" customFormat="false" ht="12.75" hidden="false" customHeight="false" outlineLevel="0" collapsed="false">
      <c r="B6" s="0" t="s">
        <v>179</v>
      </c>
      <c r="F6" s="59" t="n">
        <f aca="false">Q74</f>
        <v>330000000</v>
      </c>
      <c r="I6" s="0" t="s">
        <v>180</v>
      </c>
      <c r="L6" s="68" t="n">
        <f aca="false">L5/L4</f>
        <v>4.28482284166197</v>
      </c>
      <c r="N6" s="0" t="s">
        <v>181</v>
      </c>
      <c r="Q6" s="59" t="n">
        <f aca="false">Q74-Q4</f>
        <v>0</v>
      </c>
    </row>
    <row r="9" customFormat="false" ht="12.75" hidden="false" customHeight="false" outlineLevel="0" collapsed="false">
      <c r="H9" s="154" t="s">
        <v>182</v>
      </c>
      <c r="I9" s="154"/>
      <c r="J9" s="154"/>
      <c r="K9" s="154"/>
      <c r="L9" s="154"/>
      <c r="N9" s="154" t="s">
        <v>183</v>
      </c>
      <c r="O9" s="154"/>
      <c r="P9" s="154"/>
      <c r="Q9" s="154"/>
    </row>
    <row r="10" customFormat="false" ht="12.75" hidden="false" customHeight="false" outlineLevel="0" collapsed="false">
      <c r="H10" s="41" t="s">
        <v>90</v>
      </c>
      <c r="I10" s="41"/>
      <c r="J10" s="41"/>
      <c r="K10" s="41" t="s">
        <v>184</v>
      </c>
      <c r="L10" s="41" t="s">
        <v>3</v>
      </c>
      <c r="N10" s="41" t="s">
        <v>90</v>
      </c>
      <c r="V10" s="41"/>
      <c r="W10" s="41"/>
    </row>
    <row r="11" customFormat="false" ht="12.75" hidden="false" customHeight="false" outlineLevel="0" collapsed="false">
      <c r="B11" s="41" t="s">
        <v>69</v>
      </c>
      <c r="C11" s="41" t="s">
        <v>69</v>
      </c>
      <c r="D11" s="41" t="s">
        <v>89</v>
      </c>
      <c r="E11" s="41" t="s">
        <v>185</v>
      </c>
      <c r="F11" s="41" t="s">
        <v>90</v>
      </c>
      <c r="H11" s="41" t="s">
        <v>122</v>
      </c>
      <c r="I11" s="41" t="s">
        <v>117</v>
      </c>
      <c r="J11" s="41" t="s">
        <v>117</v>
      </c>
      <c r="K11" s="41" t="s">
        <v>186</v>
      </c>
      <c r="L11" s="41" t="s">
        <v>134</v>
      </c>
      <c r="N11" s="41" t="s">
        <v>122</v>
      </c>
      <c r="O11" s="41" t="s">
        <v>117</v>
      </c>
      <c r="P11" s="41" t="s">
        <v>117</v>
      </c>
      <c r="Q11" s="41" t="s">
        <v>187</v>
      </c>
      <c r="S11" s="41" t="s">
        <v>188</v>
      </c>
      <c r="T11" s="41" t="s">
        <v>189</v>
      </c>
      <c r="U11" s="41" t="s">
        <v>129</v>
      </c>
      <c r="V11" s="41" t="s">
        <v>91</v>
      </c>
      <c r="W11" s="41" t="s">
        <v>190</v>
      </c>
      <c r="Y11" s="41" t="s">
        <v>191</v>
      </c>
      <c r="Z11" s="41" t="s">
        <v>186</v>
      </c>
    </row>
    <row r="12" customFormat="false" ht="12.75" hidden="false" customHeight="false" outlineLevel="0" collapsed="false">
      <c r="B12" s="60" t="s">
        <v>75</v>
      </c>
      <c r="C12" s="60" t="s">
        <v>76</v>
      </c>
      <c r="D12" s="60" t="s">
        <v>75</v>
      </c>
      <c r="E12" s="60" t="s">
        <v>192</v>
      </c>
      <c r="F12" s="60" t="s">
        <v>76</v>
      </c>
      <c r="H12" s="60" t="s">
        <v>193</v>
      </c>
      <c r="I12" s="60" t="s">
        <v>131</v>
      </c>
      <c r="J12" s="60" t="s">
        <v>132</v>
      </c>
      <c r="K12" s="60" t="s">
        <v>194</v>
      </c>
      <c r="L12" s="60" t="s">
        <v>195</v>
      </c>
      <c r="N12" s="60" t="s">
        <v>196</v>
      </c>
      <c r="O12" s="60" t="s">
        <v>131</v>
      </c>
      <c r="P12" s="60" t="s">
        <v>132</v>
      </c>
      <c r="Q12" s="60" t="s">
        <v>197</v>
      </c>
      <c r="S12" s="60" t="s">
        <v>93</v>
      </c>
      <c r="T12" s="60" t="s">
        <v>127</v>
      </c>
      <c r="U12" s="60" t="s">
        <v>194</v>
      </c>
      <c r="V12" s="60" t="s">
        <v>93</v>
      </c>
      <c r="W12" s="60" t="s">
        <v>93</v>
      </c>
      <c r="Y12" s="60" t="s">
        <v>93</v>
      </c>
      <c r="Z12" s="60" t="s">
        <v>37</v>
      </c>
    </row>
    <row r="14" customFormat="false" ht="12.75" hidden="false" customHeight="false" outlineLevel="0" collapsed="false">
      <c r="D14" s="66" t="n">
        <f aca="false">Summary!B5</f>
        <v>36888</v>
      </c>
    </row>
    <row r="15" customFormat="false" ht="12.75" hidden="false" customHeight="false" outlineLevel="0" collapsed="false">
      <c r="B15" s="155" t="n">
        <v>36861</v>
      </c>
      <c r="C15" s="0" t="n">
        <f aca="false">EOMONTH(B15,0)-EOMONTH(B15,-1)</f>
        <v>31</v>
      </c>
      <c r="D15" s="66" t="n">
        <f aca="false">WORKDAY(EOMONTH(B15,0)+24,1,'Financing Assumptions'!E33:E39)</f>
        <v>36916</v>
      </c>
      <c r="E15" s="156" t="str">
        <f aca="false">TEXT(D15,"DDD")</f>
        <v>Thu</v>
      </c>
      <c r="F15" s="41" t="n">
        <f aca="false">D15-$D$14</f>
        <v>28</v>
      </c>
    </row>
    <row r="16" customFormat="false" ht="12.75" hidden="false" customHeight="false" outlineLevel="0" collapsed="false">
      <c r="B16" s="155" t="n">
        <v>36892</v>
      </c>
      <c r="C16" s="0" t="n">
        <f aca="false">EOMONTH(B16,0)-EOMONTH(B16,-1)</f>
        <v>31</v>
      </c>
      <c r="D16" s="66" t="n">
        <f aca="false">WORKDAY(EOMONTH(B16,0)+24,1,'Financing Assumptions'!E34:E40)</f>
        <v>36948</v>
      </c>
      <c r="E16" s="156" t="str">
        <f aca="false">TEXT(D16,"DDD")</f>
        <v>Mon</v>
      </c>
      <c r="F16" s="41" t="n">
        <f aca="false">D16-$D$14</f>
        <v>60</v>
      </c>
      <c r="J16" s="0" t="s">
        <v>198</v>
      </c>
      <c r="L16" s="59" t="n">
        <f aca="false">SUM(L19:L74)</f>
        <v>6079.6951812366</v>
      </c>
    </row>
    <row r="17" customFormat="false" ht="12.75" hidden="false" customHeight="false" outlineLevel="0" collapsed="false">
      <c r="B17" s="155" t="n">
        <v>36923</v>
      </c>
      <c r="C17" s="0" t="n">
        <f aca="false">EOMONTH(B17,0)-EOMONTH(B17,-1)</f>
        <v>28</v>
      </c>
      <c r="D17" s="66" t="n">
        <f aca="false">WORKDAY(EOMONTH(B17,0)+24,1,'Financing Assumptions'!E35:E41)</f>
        <v>36976</v>
      </c>
      <c r="E17" s="156" t="str">
        <f aca="false">TEXT(D17,"DDD")</f>
        <v>Mon</v>
      </c>
      <c r="F17" s="41" t="n">
        <f aca="false">D17-$D$14</f>
        <v>88</v>
      </c>
    </row>
    <row r="18" customFormat="false" ht="12.75" hidden="false" customHeight="false" outlineLevel="0" collapsed="false">
      <c r="B18" s="155" t="n">
        <v>36951</v>
      </c>
      <c r="C18" s="0" t="n">
        <f aca="false">EOMONTH(B18,0)-EOMONTH(B18,-1)</f>
        <v>31</v>
      </c>
      <c r="D18" s="66" t="n">
        <f aca="false">WORKDAY(EOMONTH(B18,0)+24,1,'Financing Assumptions'!E36:E42)</f>
        <v>37006</v>
      </c>
      <c r="E18" s="156" t="str">
        <f aca="false">TEXT(D18,"DDD")</f>
        <v>Wed</v>
      </c>
      <c r="F18" s="41" t="n">
        <f aca="false">D18-$D$14</f>
        <v>118</v>
      </c>
      <c r="L18" s="59"/>
    </row>
    <row r="19" customFormat="false" ht="12.75" hidden="false" customHeight="false" outlineLevel="0" collapsed="false">
      <c r="B19" s="155" t="n">
        <v>36982</v>
      </c>
      <c r="C19" s="0" t="n">
        <f aca="false">EOMONTH(B19,0)-EOMONTH(B19,-1)</f>
        <v>30</v>
      </c>
      <c r="D19" s="66" t="n">
        <f aca="false">WORKDAY(EOMONTH(B19,0)+24,1,'Financing Assumptions'!E37:E43)</f>
        <v>37036</v>
      </c>
      <c r="E19" s="156" t="str">
        <f aca="false">TEXT(D19,"DDD")</f>
        <v>Fri</v>
      </c>
      <c r="F19" s="41" t="n">
        <f aca="false">D19-$D$14</f>
        <v>148</v>
      </c>
      <c r="H19" s="0" t="n">
        <f aca="false">(1+Curves!U5/12)^(-12*F19/360)</f>
        <v>0.974015782510108</v>
      </c>
      <c r="I19" s="59" t="n">
        <f aca="false">$F$4*H19*C19</f>
        <v>1574175.14879773</v>
      </c>
      <c r="J19" s="59" t="n">
        <f aca="false">I19*(Curves!B5+Curves!D5+Curves!E5)</f>
        <v>9515888.77448228</v>
      </c>
      <c r="K19" s="68" t="n">
        <f aca="false">ROUNDUP($L$6,4)</f>
        <v>4.2849</v>
      </c>
      <c r="L19" s="59" t="n">
        <f aca="false">K19*I19-J19</f>
        <v>-2770705.67939888</v>
      </c>
      <c r="N19" s="74" t="n">
        <f aca="false">(1+Curves!V5/12)^(-12*F19/360)</f>
        <v>0.970538166269421</v>
      </c>
      <c r="O19" s="59" t="n">
        <f aca="false">$F$4*N19*C19</f>
        <v>1568554.72953816</v>
      </c>
      <c r="P19" s="59" t="n">
        <f aca="false">O19*K19</f>
        <v>6721100.16059807</v>
      </c>
      <c r="Q19" s="59" t="n">
        <f aca="false">P19</f>
        <v>6721100.16059807</v>
      </c>
      <c r="S19" s="59" t="n">
        <f aca="false">O19</f>
        <v>1568554.72953816</v>
      </c>
      <c r="T19" s="59" t="n">
        <f aca="false">S19*(Curves!B5+Curves!D5+Curves!E5)</f>
        <v>9481913.34005818</v>
      </c>
      <c r="U19" s="68" t="n">
        <f aca="false">ROUND(SUM(T19:T30)/SUM(S19:S30),4)</f>
        <v>5.34</v>
      </c>
      <c r="V19" s="59" t="n">
        <f aca="false">(O19/N19)/C19</f>
        <v>53872.3354407041</v>
      </c>
      <c r="W19" s="59" t="n">
        <f aca="false">V19*(K19/U19)</f>
        <v>43228.0093876166</v>
      </c>
      <c r="Y19" s="59" t="n">
        <f aca="false">ROUND(W19,-2)</f>
        <v>43200</v>
      </c>
      <c r="Z19" s="0" t="n">
        <f aca="false">K19*(V19/Y19)</f>
        <v>5.34346227152483</v>
      </c>
    </row>
    <row r="20" customFormat="false" ht="12.75" hidden="false" customHeight="false" outlineLevel="0" collapsed="false">
      <c r="B20" s="155" t="n">
        <v>37012</v>
      </c>
      <c r="C20" s="0" t="n">
        <f aca="false">EOMONTH(B20,0)-EOMONTH(B20,-1)</f>
        <v>31</v>
      </c>
      <c r="D20" s="66" t="n">
        <f aca="false">WORKDAY(EOMONTH(B20,0)+24,1,'Financing Assumptions'!E38:E44)</f>
        <v>37067</v>
      </c>
      <c r="E20" s="156" t="str">
        <f aca="false">TEXT(D20,"DDD")</f>
        <v>Mon</v>
      </c>
      <c r="F20" s="41" t="n">
        <f aca="false">D20-$D$14</f>
        <v>179</v>
      </c>
      <c r="H20" s="0" t="n">
        <f aca="false">(1+Curves!U6/12)^(-12*F20/360)</f>
        <v>0.969132676480879</v>
      </c>
      <c r="I20" s="59" t="n">
        <f aca="false">$F$4*H20*C20</f>
        <v>1618492.65965168</v>
      </c>
      <c r="J20" s="59" t="n">
        <f aca="false">I20*(Curves!B6+Curves!D6+Curves!E6)</f>
        <v>8731767.89882083</v>
      </c>
      <c r="K20" s="68" t="n">
        <f aca="false">ROUNDUP($L$6,4)</f>
        <v>4.2849</v>
      </c>
      <c r="L20" s="59" t="n">
        <f aca="false">K20*I20-J20</f>
        <v>-1796688.70147933</v>
      </c>
      <c r="N20" s="74" t="n">
        <f aca="false">(1+Curves!V6/12)^(-12*F20/360)</f>
        <v>0.964948951660208</v>
      </c>
      <c r="O20" s="59" t="n">
        <f aca="false">$F$4*N20*C20</f>
        <v>1611505.66181683</v>
      </c>
      <c r="P20" s="59" t="n">
        <f aca="false">O20*K20</f>
        <v>6905140.61031893</v>
      </c>
      <c r="Q20" s="59" t="n">
        <f aca="false">P20+Q19</f>
        <v>13626240.770917</v>
      </c>
      <c r="S20" s="59" t="n">
        <f aca="false">O20</f>
        <v>1611505.66181683</v>
      </c>
      <c r="T20" s="59" t="n">
        <f aca="false">S20*(Curves!B6+Curves!D6+Curves!E6)</f>
        <v>8694073.04550179</v>
      </c>
      <c r="U20" s="68" t="n">
        <f aca="false">$U$19</f>
        <v>5.34</v>
      </c>
      <c r="V20" s="59" t="n">
        <f aca="false">(O20/N20)/C20</f>
        <v>53872.3354407041</v>
      </c>
      <c r="W20" s="59" t="n">
        <f aca="false">V20*(K20/U20)</f>
        <v>43228.0093876167</v>
      </c>
      <c r="Y20" s="59" t="n">
        <f aca="false">ROUND(W20,-2)</f>
        <v>43200</v>
      </c>
      <c r="Z20" s="0" t="n">
        <f aca="false">$Z$19</f>
        <v>5.34346227152483</v>
      </c>
    </row>
    <row r="21" customFormat="false" ht="12.75" hidden="false" customHeight="false" outlineLevel="0" collapsed="false">
      <c r="B21" s="155" t="n">
        <v>37043</v>
      </c>
      <c r="C21" s="0" t="n">
        <f aca="false">EOMONTH(B21,0)-EOMONTH(B21,-1)</f>
        <v>30</v>
      </c>
      <c r="D21" s="66" t="n">
        <f aca="false">WORKDAY(EOMONTH(B21,0)+24,1,'Financing Assumptions'!E39:E45)</f>
        <v>37097</v>
      </c>
      <c r="E21" s="156" t="str">
        <f aca="false">TEXT(D21,"DDD")</f>
        <v>Wed</v>
      </c>
      <c r="F21" s="41" t="n">
        <f aca="false">D21-$D$14</f>
        <v>209</v>
      </c>
      <c r="H21" s="0" t="n">
        <f aca="false">(1+Curves!U7/12)^(-12*F21/360)</f>
        <v>0.964622209264917</v>
      </c>
      <c r="I21" s="59" t="n">
        <f aca="false">$F$4*H21*C21</f>
        <v>1558993.53693218</v>
      </c>
      <c r="J21" s="59" t="n">
        <f aca="false">I21*(Curves!B7+Curves!D7+Curves!E7)</f>
        <v>8332820.45490249</v>
      </c>
      <c r="K21" s="68" t="n">
        <f aca="false">ROUNDUP($L$6,4)</f>
        <v>4.2849</v>
      </c>
      <c r="L21" s="59" t="n">
        <f aca="false">K21*I21-J21</f>
        <v>-1652689.0485018</v>
      </c>
      <c r="N21" s="74" t="n">
        <f aca="false">(1+Curves!V7/12)^(-12*F21/360)</f>
        <v>0.959761387205513</v>
      </c>
      <c r="O21" s="59" t="n">
        <f aca="false">$F$4*N21*C21</f>
        <v>1551137.62183713</v>
      </c>
      <c r="P21" s="59" t="n">
        <f aca="false">O21*K21</f>
        <v>6646469.5958099</v>
      </c>
      <c r="Q21" s="59" t="n">
        <f aca="false">P21+Q20</f>
        <v>20272710.3667269</v>
      </c>
      <c r="S21" s="59" t="n">
        <f aca="false">O21</f>
        <v>1551137.62183713</v>
      </c>
      <c r="T21" s="59" t="n">
        <f aca="false">S21*(Curves!B7+Curves!D7+Curves!E7)</f>
        <v>8290830.58871943</v>
      </c>
      <c r="U21" s="68" t="n">
        <f aca="false">$U$19</f>
        <v>5.34</v>
      </c>
      <c r="V21" s="59" t="n">
        <f aca="false">(O21/N21)/C21</f>
        <v>53872.3354407041</v>
      </c>
      <c r="W21" s="59" t="n">
        <f aca="false">V21*(K21/U21)</f>
        <v>43228.0093876166</v>
      </c>
      <c r="Y21" s="59" t="n">
        <f aca="false">ROUND(W21,-2)</f>
        <v>43200</v>
      </c>
      <c r="Z21" s="0" t="n">
        <f aca="false">$Z$19</f>
        <v>5.34346227152483</v>
      </c>
    </row>
    <row r="22" customFormat="false" ht="12.75" hidden="false" customHeight="false" outlineLevel="0" collapsed="false">
      <c r="B22" s="155" t="n">
        <v>37073</v>
      </c>
      <c r="C22" s="0" t="n">
        <f aca="false">EOMONTH(B22,0)-EOMONTH(B22,-1)</f>
        <v>31</v>
      </c>
      <c r="D22" s="66" t="n">
        <f aca="false">WORKDAY(EOMONTH(B22,0)+24,1,'Financing Assumptions'!E40:E46)</f>
        <v>37130</v>
      </c>
      <c r="E22" s="156" t="str">
        <f aca="false">TEXT(D22,"DDD")</f>
        <v>Mon</v>
      </c>
      <c r="F22" s="41" t="n">
        <f aca="false">D22-$D$14</f>
        <v>242</v>
      </c>
      <c r="H22" s="0" t="n">
        <f aca="false">(1+Curves!U8/12)^(-12*F22/360)</f>
        <v>0.959712969314342</v>
      </c>
      <c r="I22" s="59" t="n">
        <f aca="false">$F$4*H22*C22</f>
        <v>1602761.34930059</v>
      </c>
      <c r="J22" s="59" t="n">
        <f aca="false">I22*(Curves!B8+Curves!D8+Curves!E8)</f>
        <v>8542717.99177213</v>
      </c>
      <c r="K22" s="68" t="n">
        <f aca="false">ROUNDUP($L$6,4)</f>
        <v>4.2849</v>
      </c>
      <c r="L22" s="59" t="n">
        <f aca="false">K22*I22-J22</f>
        <v>-1675045.88615404</v>
      </c>
      <c r="N22" s="74" t="n">
        <f aca="false">(1+Curves!V8/12)^(-12*F22/360)</f>
        <v>0.954115119480747</v>
      </c>
      <c r="O22" s="59" t="n">
        <f aca="false">$F$4*N22*C22</f>
        <v>1593412.70273714</v>
      </c>
      <c r="P22" s="59" t="n">
        <f aca="false">O22*K22</f>
        <v>6827614.08995838</v>
      </c>
      <c r="Q22" s="59" t="n">
        <f aca="false">P22+Q21</f>
        <v>27100324.4566853</v>
      </c>
      <c r="S22" s="59" t="n">
        <f aca="false">O22</f>
        <v>1593412.70273714</v>
      </c>
      <c r="T22" s="59" t="n">
        <f aca="false">S22*(Curves!B8+Curves!D8+Curves!E8)</f>
        <v>8492889.70558896</v>
      </c>
      <c r="U22" s="68" t="n">
        <f aca="false">$U$19</f>
        <v>5.34</v>
      </c>
      <c r="V22" s="59" t="n">
        <f aca="false">(O22/N22)/C22</f>
        <v>53872.3354407041</v>
      </c>
      <c r="W22" s="59" t="n">
        <f aca="false">V22*(K22/U22)</f>
        <v>43228.0093876166</v>
      </c>
      <c r="Y22" s="59" t="n">
        <f aca="false">ROUND(W22,-2)</f>
        <v>43200</v>
      </c>
      <c r="Z22" s="0" t="n">
        <f aca="false">$Z$19</f>
        <v>5.34346227152483</v>
      </c>
    </row>
    <row r="23" customFormat="false" ht="12.75" hidden="false" customHeight="false" outlineLevel="0" collapsed="false">
      <c r="B23" s="155" t="n">
        <v>37104</v>
      </c>
      <c r="C23" s="0" t="n">
        <f aca="false">EOMONTH(B23,0)-EOMONTH(B23,-1)</f>
        <v>31</v>
      </c>
      <c r="D23" s="66" t="n">
        <f aca="false">WORKDAY(EOMONTH(B23,0)+24,1,'Financing Assumptions'!E41:E47)</f>
        <v>37159</v>
      </c>
      <c r="E23" s="156" t="str">
        <f aca="false">TEXT(D23,"DDD")</f>
        <v>Tue</v>
      </c>
      <c r="F23" s="41" t="n">
        <f aca="false">D23-$D$14</f>
        <v>271</v>
      </c>
      <c r="H23" s="0" t="n">
        <f aca="false">(1+Curves!U9/12)^(-12*F23/360)</f>
        <v>0.955489957381465</v>
      </c>
      <c r="I23" s="59" t="n">
        <f aca="false">$F$4*H23*C23</f>
        <v>1595708.74032263</v>
      </c>
      <c r="J23" s="59" t="n">
        <f aca="false">I23*(Curves!B9+Curves!D9+Curves!E9)</f>
        <v>8473213.41111315</v>
      </c>
      <c r="K23" s="68" t="n">
        <f aca="false">ROUNDUP($L$6,4)</f>
        <v>4.2849</v>
      </c>
      <c r="L23" s="59" t="n">
        <f aca="false">K23*I23-J23</f>
        <v>-1635761.02970472</v>
      </c>
      <c r="N23" s="74" t="n">
        <f aca="false">(1+Curves!V9/12)^(-12*F23/360)</f>
        <v>0.949250703405034</v>
      </c>
      <c r="O23" s="59" t="n">
        <f aca="false">$F$4*N23*C23</f>
        <v>1585288.92164597</v>
      </c>
      <c r="P23" s="59" t="n">
        <f aca="false">O23*K23</f>
        <v>6792804.50036081</v>
      </c>
      <c r="Q23" s="59" t="n">
        <f aca="false">P23+Q22</f>
        <v>33893128.9570461</v>
      </c>
      <c r="S23" s="59" t="n">
        <f aca="false">O23</f>
        <v>1585288.92164597</v>
      </c>
      <c r="T23" s="59" t="n">
        <f aca="false">S23*(Curves!B9+Curves!D9+Curves!E9)</f>
        <v>8417884.1739401</v>
      </c>
      <c r="U23" s="68" t="n">
        <f aca="false">$U$19</f>
        <v>5.34</v>
      </c>
      <c r="V23" s="59" t="n">
        <f aca="false">(O23/N23)/C23</f>
        <v>53872.3354407041</v>
      </c>
      <c r="W23" s="59" t="n">
        <f aca="false">V23*(K23/U23)</f>
        <v>43228.0093876166</v>
      </c>
      <c r="Y23" s="59" t="n">
        <f aca="false">ROUND(W23,-2)</f>
        <v>43200</v>
      </c>
      <c r="Z23" s="0" t="n">
        <f aca="false">$Z$19</f>
        <v>5.34346227152483</v>
      </c>
    </row>
    <row r="24" customFormat="false" ht="12.75" hidden="false" customHeight="false" outlineLevel="0" collapsed="false">
      <c r="B24" s="155" t="n">
        <v>37135</v>
      </c>
      <c r="C24" s="0" t="n">
        <f aca="false">EOMONTH(B24,0)-EOMONTH(B24,-1)</f>
        <v>30</v>
      </c>
      <c r="D24" s="66" t="n">
        <f aca="false">WORKDAY(EOMONTH(B24,0)+24,1,'Financing Assumptions'!E42:E48)</f>
        <v>37189</v>
      </c>
      <c r="E24" s="156" t="str">
        <f aca="false">TEXT(D24,"DDD")</f>
        <v>Thu</v>
      </c>
      <c r="F24" s="41" t="n">
        <f aca="false">D24-$D$14</f>
        <v>301</v>
      </c>
      <c r="H24" s="0" t="n">
        <f aca="false">(1+Curves!U10/12)^(-12*F24/360)</f>
        <v>0.951233121215417</v>
      </c>
      <c r="I24" s="59" t="n">
        <f aca="false">$F$4*H24*C24</f>
        <v>1537354.49365275</v>
      </c>
      <c r="J24" s="59" t="n">
        <f aca="false">I24*(Curves!B10+Curves!D10+Curves!E10)</f>
        <v>8117231.7264865</v>
      </c>
      <c r="K24" s="68" t="n">
        <f aca="false">ROUNDUP($L$6,4)</f>
        <v>4.2849</v>
      </c>
      <c r="L24" s="59" t="n">
        <f aca="false">K24*I24-J24</f>
        <v>-1529821.45663385</v>
      </c>
      <c r="N24" s="74" t="n">
        <f aca="false">(1+Curves!V10/12)^(-12*F24/360)</f>
        <v>0.944336153320315</v>
      </c>
      <c r="O24" s="59" t="n">
        <f aca="false">$F$4*N24*C24</f>
        <v>1526207.82061368</v>
      </c>
      <c r="P24" s="59" t="n">
        <f aca="false">O24*K24</f>
        <v>6539647.89054757</v>
      </c>
      <c r="Q24" s="59" t="n">
        <f aca="false">P24+Q23</f>
        <v>40432776.8475937</v>
      </c>
      <c r="S24" s="59" t="n">
        <f aca="false">O24</f>
        <v>1526207.82061368</v>
      </c>
      <c r="T24" s="59" t="n">
        <f aca="false">S24*(Curves!B10+Curves!D10+Curves!E10)</f>
        <v>8058377.29284025</v>
      </c>
      <c r="U24" s="68" t="n">
        <f aca="false">$U$19</f>
        <v>5.34</v>
      </c>
      <c r="V24" s="59" t="n">
        <f aca="false">(O24/N24)/C24</f>
        <v>53872.3354407041</v>
      </c>
      <c r="W24" s="59" t="n">
        <f aca="false">V24*(K24/U24)</f>
        <v>43228.0093876166</v>
      </c>
      <c r="Y24" s="59" t="n">
        <f aca="false">ROUND(W24,-2)</f>
        <v>43200</v>
      </c>
      <c r="Z24" s="0" t="n">
        <f aca="false">$Z$19</f>
        <v>5.34346227152483</v>
      </c>
    </row>
    <row r="25" customFormat="false" ht="12.75" hidden="false" customHeight="false" outlineLevel="0" collapsed="false">
      <c r="B25" s="155" t="n">
        <v>37165</v>
      </c>
      <c r="C25" s="0" t="n">
        <f aca="false">EOMONTH(B25,0)-EOMONTH(B25,-1)</f>
        <v>31</v>
      </c>
      <c r="D25" s="66" t="n">
        <f aca="false">WORKDAY(EOMONTH(B25,0)+24,1,'Financing Assumptions'!E43:E49)</f>
        <v>37221</v>
      </c>
      <c r="E25" s="156" t="str">
        <f aca="false">TEXT(D25,"DDD")</f>
        <v>Mon</v>
      </c>
      <c r="F25" s="41" t="n">
        <f aca="false">D25-$D$14</f>
        <v>333</v>
      </c>
      <c r="H25" s="0" t="n">
        <f aca="false">(1+Curves!U11/12)^(-12*F25/360)</f>
        <v>0.946706523365583</v>
      </c>
      <c r="I25" s="59" t="n">
        <f aca="false">$F$4*H25*C25</f>
        <v>1581040.03311026</v>
      </c>
      <c r="J25" s="59" t="n">
        <f aca="false">I25*(Curves!B11+Curves!D11+Curves!E11)</f>
        <v>8316270.57415995</v>
      </c>
      <c r="K25" s="68" t="n">
        <f aca="false">ROUNDUP($L$6,4)</f>
        <v>4.2849</v>
      </c>
      <c r="L25" s="59" t="n">
        <f aca="false">K25*I25-J25</f>
        <v>-1541672.13628581</v>
      </c>
      <c r="N25" s="74" t="n">
        <f aca="false">(1+Curves!V11/12)^(-12*F25/360)</f>
        <v>0.939115194463977</v>
      </c>
      <c r="O25" s="59" t="n">
        <f aca="false">$F$4*N25*C25</f>
        <v>1568362.19198239</v>
      </c>
      <c r="P25" s="59" t="n">
        <f aca="false">O25*K25</f>
        <v>6720275.15642533</v>
      </c>
      <c r="Q25" s="59" t="n">
        <f aca="false">P25+Q24</f>
        <v>47153052.004019</v>
      </c>
      <c r="S25" s="59" t="n">
        <f aca="false">O25</f>
        <v>1568362.19198239</v>
      </c>
      <c r="T25" s="59" t="n">
        <f aca="false">S25*(Curves!B11+Curves!D11+Curves!E11)</f>
        <v>8249585.12982736</v>
      </c>
      <c r="U25" s="68" t="n">
        <f aca="false">$U$19</f>
        <v>5.34</v>
      </c>
      <c r="V25" s="59" t="n">
        <f aca="false">(O25/N25)/C25</f>
        <v>53872.3354407041</v>
      </c>
      <c r="W25" s="59" t="n">
        <f aca="false">V25*(K25/U25)</f>
        <v>43228.0093876166</v>
      </c>
      <c r="Y25" s="59" t="n">
        <f aca="false">ROUND(W25,-2)</f>
        <v>43200</v>
      </c>
      <c r="Z25" s="0" t="n">
        <f aca="false">$Z$19</f>
        <v>5.34346227152483</v>
      </c>
    </row>
    <row r="26" customFormat="false" ht="12.75" hidden="false" customHeight="false" outlineLevel="0" collapsed="false">
      <c r="B26" s="155" t="n">
        <v>37196</v>
      </c>
      <c r="C26" s="0" t="n">
        <f aca="false">EOMONTH(B26,0)-EOMONTH(B26,-1)</f>
        <v>30</v>
      </c>
      <c r="D26" s="66" t="n">
        <f aca="false">WORKDAY(EOMONTH(B26,0)+24,1,'Financing Assumptions'!E44:E50)</f>
        <v>37250</v>
      </c>
      <c r="E26" s="156" t="str">
        <f aca="false">TEXT(D26,"DDD")</f>
        <v>Tue</v>
      </c>
      <c r="F26" s="41" t="n">
        <f aca="false">D26-$D$14</f>
        <v>362</v>
      </c>
      <c r="H26" s="0" t="n">
        <f aca="false">(1+Curves!U12/12)^(-12*F26/360)</f>
        <v>0.942661362271595</v>
      </c>
      <c r="I26" s="59" t="n">
        <f aca="false">$F$4*H26*C26</f>
        <v>1523501.07345859</v>
      </c>
      <c r="J26" s="59" t="n">
        <f aca="false">I26*(Curves!B12+Curves!D12+Curves!E12)</f>
        <v>8120260.7215343</v>
      </c>
      <c r="K26" s="68" t="n">
        <f aca="false">ROUNDUP($L$6,4)</f>
        <v>4.2849</v>
      </c>
      <c r="L26" s="59" t="n">
        <f aca="false">K26*I26-J26</f>
        <v>-1592210.97187157</v>
      </c>
      <c r="N26" s="74" t="n">
        <f aca="false">(1+Curves!V12/12)^(-12*F26/360)</f>
        <v>0.934446734219082</v>
      </c>
      <c r="O26" s="59" t="n">
        <f aca="false">$F$4*N26*C26</f>
        <v>1510224.83751963</v>
      </c>
      <c r="P26" s="59" t="n">
        <f aca="false">O26*K26</f>
        <v>6471162.40628784</v>
      </c>
      <c r="Q26" s="59" t="n">
        <f aca="false">P26+Q25</f>
        <v>53624214.4103068</v>
      </c>
      <c r="S26" s="59" t="n">
        <f aca="false">O26</f>
        <v>1510224.83751963</v>
      </c>
      <c r="T26" s="59" t="n">
        <f aca="false">S26*(Curves!B12+Curves!D12+Curves!E12)</f>
        <v>8049498.3839796</v>
      </c>
      <c r="U26" s="68" t="n">
        <f aca="false">$U$19</f>
        <v>5.34</v>
      </c>
      <c r="V26" s="59" t="n">
        <f aca="false">(O26/N26)/C26</f>
        <v>53872.3354407041</v>
      </c>
      <c r="W26" s="59" t="n">
        <f aca="false">V26*(K26/U26)</f>
        <v>43228.0093876166</v>
      </c>
      <c r="Y26" s="59" t="n">
        <f aca="false">ROUND(W26,-2)</f>
        <v>43200</v>
      </c>
      <c r="Z26" s="0" t="n">
        <f aca="false">$Z$19</f>
        <v>5.34346227152483</v>
      </c>
    </row>
    <row r="27" customFormat="false" ht="12.75" hidden="false" customHeight="false" outlineLevel="0" collapsed="false">
      <c r="B27" s="155" t="n">
        <v>37226</v>
      </c>
      <c r="C27" s="0" t="n">
        <f aca="false">EOMONTH(B27,0)-EOMONTH(B27,-1)</f>
        <v>31</v>
      </c>
      <c r="D27" s="66" t="n">
        <f aca="false">WORKDAY(EOMONTH(B27,0)+24,1,'Financing Assumptions'!E45:E51)</f>
        <v>37281</v>
      </c>
      <c r="E27" s="156" t="str">
        <f aca="false">TEXT(D27,"DDD")</f>
        <v>Fri</v>
      </c>
      <c r="F27" s="41" t="n">
        <f aca="false">D27-$D$14</f>
        <v>393</v>
      </c>
      <c r="H27" s="0" t="n">
        <f aca="false">(1+Curves!U13/12)^(-12*F27/360)</f>
        <v>0.938387226828226</v>
      </c>
      <c r="I27" s="59" t="n">
        <f aca="false">$F$4*H27*C27</f>
        <v>1567146.45516583</v>
      </c>
      <c r="J27" s="59" t="n">
        <f aca="false">I27*(Curves!B13+Curves!D13+Curves!E13)</f>
        <v>8470426.59017131</v>
      </c>
      <c r="K27" s="68" t="n">
        <f aca="false">ROUNDUP($L$6,4)</f>
        <v>4.2849</v>
      </c>
      <c r="L27" s="59" t="n">
        <f aca="false">K27*I27-J27</f>
        <v>-1755360.74443124</v>
      </c>
      <c r="N27" s="74" t="n">
        <f aca="false">(1+Curves!V13/12)^(-12*F27/360)</f>
        <v>0.929512547917122</v>
      </c>
      <c r="O27" s="59" t="n">
        <f aca="false">$F$4*N27*C27</f>
        <v>1552325.36510978</v>
      </c>
      <c r="P27" s="59" t="n">
        <f aca="false">O27*K27</f>
        <v>6651558.95695888</v>
      </c>
      <c r="Q27" s="59" t="n">
        <f aca="false">P27+Q26</f>
        <v>60275773.3672657</v>
      </c>
      <c r="S27" s="59" t="n">
        <f aca="false">O27</f>
        <v>1552325.36510978</v>
      </c>
      <c r="T27" s="59" t="n">
        <f aca="false">S27*(Curves!B13+Curves!D13+Curves!E13)</f>
        <v>8390318.59841833</v>
      </c>
      <c r="U27" s="68" t="n">
        <f aca="false">$U$19</f>
        <v>5.34</v>
      </c>
      <c r="V27" s="59" t="n">
        <f aca="false">(O27/N27)/C27</f>
        <v>53872.3354407041</v>
      </c>
      <c r="W27" s="59" t="n">
        <f aca="false">V27*(K27/U27)</f>
        <v>43228.0093876167</v>
      </c>
      <c r="Y27" s="59" t="n">
        <f aca="false">ROUND(W27,-2)</f>
        <v>43200</v>
      </c>
      <c r="Z27" s="0" t="n">
        <f aca="false">$Z$19</f>
        <v>5.34346227152483</v>
      </c>
    </row>
    <row r="28" customFormat="false" ht="12.75" hidden="false" customHeight="false" outlineLevel="0" collapsed="false">
      <c r="B28" s="155" t="n">
        <v>37257</v>
      </c>
      <c r="C28" s="0" t="n">
        <f aca="false">EOMONTH(B28,0)-EOMONTH(B28,-1)</f>
        <v>31</v>
      </c>
      <c r="D28" s="66" t="n">
        <f aca="false">WORKDAY(EOMONTH(B28,0)+24,1,'Financing Assumptions'!E46:E52)</f>
        <v>37312</v>
      </c>
      <c r="E28" s="156" t="str">
        <f aca="false">TEXT(D28,"DDD")</f>
        <v>Mon</v>
      </c>
      <c r="F28" s="41" t="n">
        <f aca="false">D28-$D$14</f>
        <v>424</v>
      </c>
      <c r="H28" s="0" t="n">
        <f aca="false">(1+Curves!U14/12)^(-12*F28/360)</f>
        <v>0.934107231415215</v>
      </c>
      <c r="I28" s="59" t="n">
        <f aca="false">$F$4*H28*C28</f>
        <v>1559998.68136002</v>
      </c>
      <c r="J28" s="59" t="n">
        <f aca="false">I28*(Curves!B14+Curves!D14+Curves!E14)</f>
        <v>8416192.88593733</v>
      </c>
      <c r="K28" s="68" t="n">
        <f aca="false">ROUNDUP($L$6,4)</f>
        <v>4.2849</v>
      </c>
      <c r="L28" s="59" t="n">
        <f aca="false">K28*I28-J28</f>
        <v>-1731754.53617776</v>
      </c>
      <c r="N28" s="74" t="n">
        <f aca="false">(1+Curves!V14/12)^(-12*F28/360)</f>
        <v>0.924579451892352</v>
      </c>
      <c r="O28" s="59" t="n">
        <f aca="false">$F$4*N28*C28</f>
        <v>1544086.88559174</v>
      </c>
      <c r="P28" s="59" t="n">
        <f aca="false">O28*K28</f>
        <v>6616257.89607205</v>
      </c>
      <c r="Q28" s="59" t="n">
        <f aca="false">P28+Q27</f>
        <v>66892031.2633378</v>
      </c>
      <c r="S28" s="59" t="n">
        <f aca="false">O28</f>
        <v>1544086.88559174</v>
      </c>
      <c r="T28" s="59" t="n">
        <f aca="false">S28*(Curves!B14+Curves!D14+Curves!E14)</f>
        <v>8330348.74776744</v>
      </c>
      <c r="U28" s="68" t="n">
        <f aca="false">$U$19</f>
        <v>5.34</v>
      </c>
      <c r="V28" s="59" t="n">
        <f aca="false">(O28/N28)/C28</f>
        <v>53872.3354407041</v>
      </c>
      <c r="W28" s="59" t="n">
        <f aca="false">V28*(K28/U28)</f>
        <v>43228.0093876166</v>
      </c>
      <c r="Y28" s="59" t="n">
        <f aca="false">ROUND(W28,-2)</f>
        <v>43200</v>
      </c>
      <c r="Z28" s="0" t="n">
        <f aca="false">$Z$19</f>
        <v>5.34346227152483</v>
      </c>
    </row>
    <row r="29" customFormat="false" ht="12.75" hidden="false" customHeight="false" outlineLevel="0" collapsed="false">
      <c r="B29" s="155" t="n">
        <v>37288</v>
      </c>
      <c r="C29" s="0" t="n">
        <f aca="false">EOMONTH(B29,0)-EOMONTH(B29,-1)</f>
        <v>28</v>
      </c>
      <c r="D29" s="66" t="n">
        <f aca="false">WORKDAY(EOMONTH(B29,0)+24,1,'Financing Assumptions'!E47:E53)</f>
        <v>37340</v>
      </c>
      <c r="E29" s="156" t="str">
        <f aca="false">TEXT(D29,"DDD")</f>
        <v>Mon</v>
      </c>
      <c r="F29" s="41" t="n">
        <f aca="false">D29-$D$14</f>
        <v>452</v>
      </c>
      <c r="H29" s="0" t="n">
        <f aca="false">(1+Curves!U15/12)^(-12*F29/360)</f>
        <v>0.930179426803669</v>
      </c>
      <c r="I29" s="59" t="n">
        <f aca="false">$F$4*H29*C29</f>
        <v>1403106.26682265</v>
      </c>
      <c r="J29" s="59" t="n">
        <f aca="false">I29*(Curves!B15+Curves!D15+Curves!E15)</f>
        <v>7211966.21146844</v>
      </c>
      <c r="K29" s="68" t="n">
        <f aca="false">ROUNDUP($L$6,4)</f>
        <v>4.2849</v>
      </c>
      <c r="L29" s="59" t="n">
        <f aca="false">K29*I29-J29</f>
        <v>-1199796.16876005</v>
      </c>
      <c r="N29" s="74" t="n">
        <f aca="false">(1+Curves!V15/12)^(-12*F29/360)</f>
        <v>0.920068388416561</v>
      </c>
      <c r="O29" s="59" t="n">
        <f aca="false">$F$4*N29*C29</f>
        <v>1387854.51977662</v>
      </c>
      <c r="P29" s="59" t="n">
        <f aca="false">O29*K29</f>
        <v>5946817.83179084</v>
      </c>
      <c r="Q29" s="59" t="n">
        <f aca="false">P29+Q28</f>
        <v>72838849.0951286</v>
      </c>
      <c r="S29" s="59" t="n">
        <f aca="false">O29</f>
        <v>1387854.51977662</v>
      </c>
      <c r="T29" s="59" t="n">
        <f aca="false">S29*(Curves!B15+Curves!D15+Curves!E15)</f>
        <v>7133572.23165183</v>
      </c>
      <c r="U29" s="68" t="n">
        <f aca="false">$U$19</f>
        <v>5.34</v>
      </c>
      <c r="V29" s="59" t="n">
        <f aca="false">(O29/N29)/C29</f>
        <v>53872.3354407041</v>
      </c>
      <c r="W29" s="59" t="n">
        <f aca="false">V29*(K29/U29)</f>
        <v>43228.0093876167</v>
      </c>
      <c r="Y29" s="59" t="n">
        <f aca="false">ROUND(W29,-2)</f>
        <v>43200</v>
      </c>
      <c r="Z29" s="0" t="n">
        <f aca="false">$Z$19</f>
        <v>5.34346227152483</v>
      </c>
    </row>
    <row r="30" customFormat="false" ht="12.75" hidden="false" customHeight="false" outlineLevel="0" collapsed="false">
      <c r="B30" s="155" t="n">
        <v>37316</v>
      </c>
      <c r="C30" s="0" t="n">
        <f aca="false">EOMONTH(B30,0)-EOMONTH(B30,-1)</f>
        <v>31</v>
      </c>
      <c r="D30" s="66" t="n">
        <f aca="false">WORKDAY(EOMONTH(B30,0)+24,1,'Financing Assumptions'!E48:E54)</f>
        <v>37371</v>
      </c>
      <c r="E30" s="156" t="str">
        <f aca="false">TEXT(D30,"DDD")</f>
        <v>Thu</v>
      </c>
      <c r="F30" s="41" t="n">
        <f aca="false">D30-$D$14</f>
        <v>483</v>
      </c>
      <c r="H30" s="0" t="n">
        <f aca="false">(1+Curves!U16/12)^(-12*F30/360)</f>
        <v>0.925830532354364</v>
      </c>
      <c r="I30" s="59" t="n">
        <f aca="false">$F$4*H30*C30</f>
        <v>1546176.24300744</v>
      </c>
      <c r="J30" s="59" t="n">
        <f aca="false">I30*(Curves!B16+Curves!D16+Curves!E16)</f>
        <v>7432469.20013675</v>
      </c>
      <c r="K30" s="68" t="n">
        <f aca="false">ROUNDUP($L$6,4)</f>
        <v>4.2849</v>
      </c>
      <c r="L30" s="59" t="n">
        <f aca="false">K30*I30-J30</f>
        <v>-807258.616474181</v>
      </c>
      <c r="N30" s="74" t="n">
        <f aca="false">(1+Curves!V16/12)^(-12*F30/360)</f>
        <v>0.915080390290755</v>
      </c>
      <c r="O30" s="59" t="n">
        <f aca="false">$F$4*N30*C30</f>
        <v>1528223.04996957</v>
      </c>
      <c r="P30" s="59" t="n">
        <f aca="false">O30*K30</f>
        <v>6548282.94681462</v>
      </c>
      <c r="Q30" s="59" t="n">
        <f aca="false">P30+Q29</f>
        <v>79387132.0419432</v>
      </c>
      <c r="S30" s="59" t="n">
        <f aca="false">O30</f>
        <v>1528223.04996957</v>
      </c>
      <c r="T30" s="59" t="n">
        <f aca="false">S30*(Curves!B16+Curves!D16+Curves!E16)</f>
        <v>7346168.20120374</v>
      </c>
      <c r="U30" s="68" t="n">
        <f aca="false">$U$19</f>
        <v>5.34</v>
      </c>
      <c r="V30" s="59" t="n">
        <f aca="false">(O30/N30)/C30</f>
        <v>53872.3354407041</v>
      </c>
      <c r="W30" s="59" t="n">
        <f aca="false">V30*(K30/U30)</f>
        <v>43228.0093876166</v>
      </c>
      <c r="Y30" s="59" t="n">
        <f aca="false">ROUND(W30,-2)</f>
        <v>43200</v>
      </c>
      <c r="Z30" s="0" t="n">
        <f aca="false">$Z$19</f>
        <v>5.34346227152483</v>
      </c>
    </row>
    <row r="31" customFormat="false" ht="12.75" hidden="false" customHeight="false" outlineLevel="0" collapsed="false">
      <c r="B31" s="155" t="n">
        <v>37347</v>
      </c>
      <c r="C31" s="0" t="n">
        <f aca="false">EOMONTH(B31,0)-EOMONTH(B31,-1)</f>
        <v>30</v>
      </c>
      <c r="D31" s="66" t="n">
        <f aca="false">WORKDAY(EOMONTH(B31,0)+24,1,'Financing Assumptions'!E49:E55)</f>
        <v>37403</v>
      </c>
      <c r="E31" s="156" t="str">
        <f aca="false">TEXT(D31,"DDD")</f>
        <v>Mon</v>
      </c>
      <c r="F31" s="41" t="n">
        <f aca="false">D31-$D$14</f>
        <v>515</v>
      </c>
      <c r="H31" s="0" t="n">
        <f aca="false">(1+Curves!U17/12)^(-12*F31/360)</f>
        <v>0.921381722659421</v>
      </c>
      <c r="I31" s="59" t="n">
        <f aca="false">$F$4*H31*C31</f>
        <v>1489109.55696126</v>
      </c>
      <c r="J31" s="59" t="n">
        <f aca="false">I31*(Curves!B17+Curves!D17+Curves!E17)</f>
        <v>6482093.90145238</v>
      </c>
      <c r="K31" s="68" t="n">
        <f aca="false">ROUNDUP($L$6,4)</f>
        <v>4.2849</v>
      </c>
      <c r="L31" s="59" t="n">
        <f aca="false">K31*I31-J31</f>
        <v>-101408.360829061</v>
      </c>
      <c r="N31" s="74" t="n">
        <f aca="false">(1+Curves!V17/12)^(-12*F31/360)</f>
        <v>0.909978647951969</v>
      </c>
      <c r="O31" s="59" t="n">
        <f aca="false">$F$4*N31*C31</f>
        <v>1470680.24899041</v>
      </c>
      <c r="P31" s="59" t="n">
        <f aca="false">O31*K31</f>
        <v>6301717.79889899</v>
      </c>
      <c r="Q31" s="59" t="n">
        <f aca="false">P31+Q30</f>
        <v>85688849.8408422</v>
      </c>
      <c r="S31" s="59" t="n">
        <f aca="false">O31</f>
        <v>1470680.24899041</v>
      </c>
      <c r="T31" s="59" t="n">
        <f aca="false">S31*(Curves!B17+Curves!D17+Curves!E17)</f>
        <v>6401871.12385523</v>
      </c>
      <c r="U31" s="0" t="n">
        <f aca="false">ROUND(SUM(T31:T42)/SUM(S31:S42),4)</f>
        <v>4.2604</v>
      </c>
      <c r="V31" s="59" t="n">
        <f aca="false">(O31/N31)/C31</f>
        <v>53872.3354407041</v>
      </c>
      <c r="W31" s="59" t="n">
        <f aca="false">V31*(K31/U31)</f>
        <v>54182.1355107203</v>
      </c>
      <c r="Y31" s="59" t="n">
        <f aca="false">ROUND(W31,-2)</f>
        <v>54200</v>
      </c>
      <c r="Z31" s="68" t="n">
        <f aca="false">K31*(V31/Y31)</f>
        <v>4.25899575885374</v>
      </c>
    </row>
    <row r="32" customFormat="false" ht="12.75" hidden="false" customHeight="false" outlineLevel="0" collapsed="false">
      <c r="B32" s="155" t="n">
        <v>37377</v>
      </c>
      <c r="C32" s="0" t="n">
        <f aca="false">EOMONTH(B32,0)-EOMONTH(B32,-1)</f>
        <v>31</v>
      </c>
      <c r="D32" s="66" t="n">
        <f aca="false">WORKDAY(EOMONTH(B32,0)+24,1,'Financing Assumptions'!E50:E56)</f>
        <v>37432</v>
      </c>
      <c r="E32" s="156" t="str">
        <f aca="false">TEXT(D32,"DDD")</f>
        <v>Tue</v>
      </c>
      <c r="F32" s="41" t="n">
        <f aca="false">D32-$D$14</f>
        <v>544</v>
      </c>
      <c r="H32" s="0" t="n">
        <f aca="false">(1+Curves!U18/12)^(-12*F32/360)</f>
        <v>0.917362796476308</v>
      </c>
      <c r="I32" s="59" t="n">
        <f aca="false">$F$4*H32*C32</f>
        <v>1532034.76507041</v>
      </c>
      <c r="J32" s="59" t="n">
        <f aca="false">I32*(Curves!B18+Curves!D18+Curves!E18)</f>
        <v>6508083.68201912</v>
      </c>
      <c r="K32" s="68" t="n">
        <f aca="false">ROUNDUP($L$6,4)</f>
        <v>4.2849</v>
      </c>
      <c r="L32" s="59" t="n">
        <f aca="false">K32*I32-J32</f>
        <v>56532.0828311006</v>
      </c>
      <c r="N32" s="74" t="n">
        <f aca="false">(1+Curves!V18/12)^(-12*F32/360)</f>
        <v>0.905374184223678</v>
      </c>
      <c r="O32" s="59" t="n">
        <f aca="false">$F$4*N32*C32</f>
        <v>1512013.2743074</v>
      </c>
      <c r="P32" s="59" t="n">
        <f aca="false">O32*K32</f>
        <v>6478825.6790798</v>
      </c>
      <c r="Q32" s="59" t="n">
        <f aca="false">P32+Q31</f>
        <v>92167675.519922</v>
      </c>
      <c r="S32" s="59" t="n">
        <f aca="false">O32</f>
        <v>1512013.2743074</v>
      </c>
      <c r="T32" s="59" t="n">
        <f aca="false">S32*(Curves!B18+Curves!D18+Curves!E18)</f>
        <v>6423032.38925785</v>
      </c>
      <c r="U32" s="0" t="n">
        <f aca="false">$U$31</f>
        <v>4.2604</v>
      </c>
      <c r="V32" s="59" t="n">
        <f aca="false">(O32/N32)/C32</f>
        <v>53872.3354407041</v>
      </c>
      <c r="W32" s="59" t="n">
        <f aca="false">V32*(K32/U32)</f>
        <v>54182.1355107203</v>
      </c>
      <c r="Y32" s="59" t="n">
        <f aca="false">ROUND(W32,-2)</f>
        <v>54200</v>
      </c>
      <c r="Z32" s="68" t="n">
        <f aca="false">$Z$31</f>
        <v>4.25899575885374</v>
      </c>
    </row>
    <row r="33" customFormat="false" ht="12.75" hidden="false" customHeight="false" outlineLevel="0" collapsed="false">
      <c r="B33" s="155" t="n">
        <v>37408</v>
      </c>
      <c r="C33" s="0" t="n">
        <f aca="false">EOMONTH(B33,0)-EOMONTH(B33,-1)</f>
        <v>30</v>
      </c>
      <c r="D33" s="66" t="n">
        <f aca="false">WORKDAY(EOMONTH(B33,0)+24,1,'Financing Assumptions'!E51:E57)</f>
        <v>37462</v>
      </c>
      <c r="E33" s="156" t="str">
        <f aca="false">TEXT(D33,"DDD")</f>
        <v>Thu</v>
      </c>
      <c r="F33" s="41" t="n">
        <f aca="false">D33-$D$14</f>
        <v>574</v>
      </c>
      <c r="H33" s="0" t="n">
        <f aca="false">(1+Curves!U19/12)^(-12*F33/360)</f>
        <v>0.913248014448641</v>
      </c>
      <c r="I33" s="59" t="n">
        <f aca="false">$F$4*H33*C33</f>
        <v>1475964.10124802</v>
      </c>
      <c r="J33" s="59" t="n">
        <f aca="false">I33*(Curves!B19+Curves!D19+Curves!E19)</f>
        <v>6240376.22007664</v>
      </c>
      <c r="K33" s="68" t="n">
        <f aca="false">ROUNDUP($L$6,4)</f>
        <v>4.2849</v>
      </c>
      <c r="L33" s="59" t="n">
        <f aca="false">K33*I33-J33</f>
        <v>83982.357361014</v>
      </c>
      <c r="N33" s="74" t="n">
        <f aca="false">(1+Curves!V19/12)^(-12*F33/360)</f>
        <v>0.900659391424517</v>
      </c>
      <c r="O33" s="59" t="n">
        <f aca="false">$F$4*N33*C33</f>
        <v>1455618.74557926</v>
      </c>
      <c r="P33" s="59" t="n">
        <f aca="false">O33*K33</f>
        <v>6237180.76293257</v>
      </c>
      <c r="Q33" s="59" t="n">
        <f aca="false">P33+Q32</f>
        <v>98404856.2828546</v>
      </c>
      <c r="S33" s="59" t="n">
        <f aca="false">O33</f>
        <v>1455618.74557926</v>
      </c>
      <c r="T33" s="59" t="n">
        <f aca="false">S33*(Curves!B19+Curves!D19+Curves!E19)</f>
        <v>6154356.05630911</v>
      </c>
      <c r="U33" s="0" t="n">
        <f aca="false">$U$31</f>
        <v>4.2604</v>
      </c>
      <c r="V33" s="59" t="n">
        <f aca="false">(O33/N33)/C33</f>
        <v>53872.3354407041</v>
      </c>
      <c r="W33" s="59" t="n">
        <f aca="false">V33*(K33/U33)</f>
        <v>54182.1355107203</v>
      </c>
      <c r="Y33" s="59" t="n">
        <f aca="false">ROUND(W33,-2)</f>
        <v>54200</v>
      </c>
      <c r="Z33" s="68" t="n">
        <f aca="false">$Z$31</f>
        <v>4.25899575885374</v>
      </c>
    </row>
    <row r="34" customFormat="false" ht="12.75" hidden="false" customHeight="false" outlineLevel="0" collapsed="false">
      <c r="B34" s="155" t="n">
        <v>37438</v>
      </c>
      <c r="C34" s="0" t="n">
        <f aca="false">EOMONTH(B34,0)-EOMONTH(B34,-1)</f>
        <v>31</v>
      </c>
      <c r="D34" s="66" t="n">
        <f aca="false">WORKDAY(EOMONTH(B34,0)+24,1,'Financing Assumptions'!E52:E58)</f>
        <v>37494</v>
      </c>
      <c r="E34" s="156" t="str">
        <f aca="false">TEXT(D34,"DDD")</f>
        <v>Mon</v>
      </c>
      <c r="F34" s="41" t="n">
        <f aca="false">D34-$D$14</f>
        <v>606</v>
      </c>
      <c r="H34" s="0" t="n">
        <f aca="false">(1+Curves!U20/12)^(-12*F34/360)</f>
        <v>0.908830005873734</v>
      </c>
      <c r="I34" s="59" t="n">
        <f aca="false">$F$4*H34*C34</f>
        <v>1517784.64298521</v>
      </c>
      <c r="J34" s="59" t="n">
        <f aca="false">I34*(Curves!B20+Curves!D20+Curves!E20)</f>
        <v>6417193.47054147</v>
      </c>
      <c r="K34" s="68" t="n">
        <f aca="false">ROUNDUP($L$6,4)</f>
        <v>4.2849</v>
      </c>
      <c r="L34" s="59" t="n">
        <f aca="false">K34*I34-J34</f>
        <v>86361.9461858599</v>
      </c>
      <c r="N34" s="74" t="n">
        <f aca="false">(1+Curves!V20/12)^(-12*F34/360)</f>
        <v>0.895608840980752</v>
      </c>
      <c r="O34" s="59" t="n">
        <f aca="false">$F$4*N34*C34</f>
        <v>1495704.73705423</v>
      </c>
      <c r="P34" s="59" t="n">
        <f aca="false">O34*K34</f>
        <v>6408945.22780368</v>
      </c>
      <c r="Q34" s="59" t="n">
        <f aca="false">P34+Q33</f>
        <v>104813801.510658</v>
      </c>
      <c r="S34" s="59" t="n">
        <f aca="false">O34</f>
        <v>1495704.73705423</v>
      </c>
      <c r="T34" s="59" t="n">
        <f aca="false">S34*(Curves!B20+Curves!D20+Curves!E20)</f>
        <v>6323839.62826529</v>
      </c>
      <c r="U34" s="0" t="n">
        <f aca="false">$U$31</f>
        <v>4.2604</v>
      </c>
      <c r="V34" s="59" t="n">
        <f aca="false">(O34/N34)/C34</f>
        <v>53872.3354407041</v>
      </c>
      <c r="W34" s="59" t="n">
        <f aca="false">V34*(K34/U34)</f>
        <v>54182.1355107203</v>
      </c>
      <c r="Y34" s="59" t="n">
        <f aca="false">ROUND(W34,-2)</f>
        <v>54200</v>
      </c>
      <c r="Z34" s="68" t="n">
        <f aca="false">$Z$31</f>
        <v>4.25899575885374</v>
      </c>
    </row>
    <row r="35" customFormat="false" ht="12.75" hidden="false" customHeight="false" outlineLevel="0" collapsed="false">
      <c r="B35" s="155" t="n">
        <v>37469</v>
      </c>
      <c r="C35" s="0" t="n">
        <f aca="false">EOMONTH(B35,0)-EOMONTH(B35,-1)</f>
        <v>31</v>
      </c>
      <c r="D35" s="66" t="n">
        <f aca="false">WORKDAY(EOMONTH(B35,0)+24,1,'Financing Assumptions'!E53:E59)</f>
        <v>37524</v>
      </c>
      <c r="E35" s="156" t="str">
        <f aca="false">TEXT(D35,"DDD")</f>
        <v>Wed</v>
      </c>
      <c r="F35" s="41" t="n">
        <f aca="false">D35-$D$14</f>
        <v>636</v>
      </c>
      <c r="H35" s="0" t="n">
        <f aca="false">(1+Curves!U21/12)^(-12*F35/360)</f>
        <v>0.904655898527032</v>
      </c>
      <c r="I35" s="59" t="n">
        <f aca="false">$F$4*H35*C35</f>
        <v>1510813.70673965</v>
      </c>
      <c r="J35" s="59" t="n">
        <f aca="false">I35*(Curves!B21+Curves!D21+Curves!E21)</f>
        <v>6387720.35209526</v>
      </c>
      <c r="K35" s="68" t="n">
        <f aca="false">ROUNDUP($L$6,4)</f>
        <v>4.2849</v>
      </c>
      <c r="L35" s="59" t="n">
        <f aca="false">K35*I35-J35</f>
        <v>85965.2999134865</v>
      </c>
      <c r="N35" s="74" t="n">
        <f aca="false">(1+Curves!V21/12)^(-12*F35/360)</f>
        <v>0.890848862390473</v>
      </c>
      <c r="O35" s="59" t="n">
        <f aca="false">$F$4*N35*C35</f>
        <v>1487755.37099174</v>
      </c>
      <c r="P35" s="59" t="n">
        <f aca="false">O35*K35</f>
        <v>6374882.98916253</v>
      </c>
      <c r="Q35" s="59" t="n">
        <f aca="false">P35+Q34</f>
        <v>111188684.499821</v>
      </c>
      <c r="S35" s="59" t="n">
        <f aca="false">O35</f>
        <v>1487755.37099174</v>
      </c>
      <c r="T35" s="59" t="n">
        <f aca="false">S35*(Curves!B21+Curves!D21+Curves!E21)</f>
        <v>6290229.70855309</v>
      </c>
      <c r="U35" s="0" t="n">
        <f aca="false">$U$31</f>
        <v>4.2604</v>
      </c>
      <c r="V35" s="59" t="n">
        <f aca="false">(O35/N35)/C35</f>
        <v>53872.3354407041</v>
      </c>
      <c r="W35" s="59" t="n">
        <f aca="false">V35*(K35/U35)</f>
        <v>54182.1355107203</v>
      </c>
      <c r="Y35" s="59" t="n">
        <f aca="false">ROUND(W35,-2)</f>
        <v>54200</v>
      </c>
      <c r="Z35" s="68" t="n">
        <f aca="false">$Z$31</f>
        <v>4.25899575885374</v>
      </c>
    </row>
    <row r="36" customFormat="false" ht="12.75" hidden="false" customHeight="false" outlineLevel="0" collapsed="false">
      <c r="B36" s="155" t="n">
        <v>37500</v>
      </c>
      <c r="C36" s="0" t="n">
        <f aca="false">EOMONTH(B36,0)-EOMONTH(B36,-1)</f>
        <v>30</v>
      </c>
      <c r="D36" s="66" t="n">
        <f aca="false">WORKDAY(EOMONTH(B36,0)+24,1,'Financing Assumptions'!E54:E60)</f>
        <v>37554</v>
      </c>
      <c r="E36" s="156" t="str">
        <f aca="false">TEXT(D36,"DDD")</f>
        <v>Fri</v>
      </c>
      <c r="F36" s="41" t="n">
        <f aca="false">D36-$D$14</f>
        <v>666</v>
      </c>
      <c r="H36" s="0" t="n">
        <f aca="false">(1+Curves!U22/12)^(-12*F36/360)</f>
        <v>0.900511935900842</v>
      </c>
      <c r="I36" s="59" t="n">
        <f aca="false">$F$4*H36*C36</f>
        <v>1455380.43237624</v>
      </c>
      <c r="J36" s="59" t="n">
        <f aca="false">I36*(Curves!B22+Curves!D22+Curves!E22)</f>
        <v>6146071.56592486</v>
      </c>
      <c r="K36" s="68" t="n">
        <f aca="false">ROUNDUP($L$6,4)</f>
        <v>4.2849</v>
      </c>
      <c r="L36" s="59" t="n">
        <f aca="false">K36*I36-J36</f>
        <v>90088.0487640901</v>
      </c>
      <c r="N36" s="74" t="n">
        <f aca="false">(1+Curves!V22/12)^(-12*F36/360)</f>
        <v>0.88612497269372</v>
      </c>
      <c r="O36" s="59" t="n">
        <f aca="false">$F$4*N36*C36</f>
        <v>1432128.65314023</v>
      </c>
      <c r="P36" s="59" t="n">
        <f aca="false">O36*K36</f>
        <v>6136528.06584055</v>
      </c>
      <c r="Q36" s="59" t="n">
        <f aca="false">P36+Q35</f>
        <v>117325212.565661</v>
      </c>
      <c r="S36" s="59" t="n">
        <f aca="false">O36</f>
        <v>1432128.65314023</v>
      </c>
      <c r="T36" s="59" t="n">
        <f aca="false">S36*(Curves!B22+Curves!D22+Curves!E22)</f>
        <v>6047879.30221117</v>
      </c>
      <c r="U36" s="0" t="n">
        <f aca="false">$U$31</f>
        <v>4.2604</v>
      </c>
      <c r="V36" s="59" t="n">
        <f aca="false">(O36/N36)/C36</f>
        <v>53872.3354407041</v>
      </c>
      <c r="W36" s="59" t="n">
        <f aca="false">V36*(K36/U36)</f>
        <v>54182.1355107203</v>
      </c>
      <c r="Y36" s="59" t="n">
        <f aca="false">ROUND(W36,-2)</f>
        <v>54200</v>
      </c>
      <c r="Z36" s="68" t="n">
        <f aca="false">$Z$31</f>
        <v>4.25899575885374</v>
      </c>
    </row>
    <row r="37" customFormat="false" ht="12.75" hidden="false" customHeight="false" outlineLevel="0" collapsed="false">
      <c r="B37" s="155" t="n">
        <v>37530</v>
      </c>
      <c r="C37" s="0" t="n">
        <f aca="false">EOMONTH(B37,0)-EOMONTH(B37,-1)</f>
        <v>31</v>
      </c>
      <c r="D37" s="66" t="n">
        <f aca="false">WORKDAY(EOMONTH(B37,0)+24,1,'Financing Assumptions'!E55:E61)</f>
        <v>37585</v>
      </c>
      <c r="E37" s="156" t="str">
        <f aca="false">TEXT(D37,"DDD")</f>
        <v>Mon</v>
      </c>
      <c r="F37" s="41" t="n">
        <f aca="false">D37-$D$14</f>
        <v>697</v>
      </c>
      <c r="H37" s="0" t="n">
        <f aca="false">(1+Curves!U23/12)^(-12*F37/360)</f>
        <v>0.896223045123328</v>
      </c>
      <c r="I37" s="59" t="n">
        <f aca="false">$F$4*H37*C37</f>
        <v>1496730.48401377</v>
      </c>
      <c r="J37" s="59" t="n">
        <f aca="false">I37*(Curves!B23+Curves!D23+Curves!E23)</f>
        <v>6305725.52915001</v>
      </c>
      <c r="K37" s="68" t="n">
        <f aca="false">ROUNDUP($L$6,4)</f>
        <v>4.2849</v>
      </c>
      <c r="L37" s="59" t="n">
        <f aca="false">K37*I37-J37</f>
        <v>107614.921800591</v>
      </c>
      <c r="N37" s="74" t="n">
        <f aca="false">(1+Curves!V23/12)^(-12*F37/360)</f>
        <v>0.881243663091805</v>
      </c>
      <c r="O37" s="59" t="n">
        <f aca="false">$F$4*N37*C37</f>
        <v>1471714.28091537</v>
      </c>
      <c r="P37" s="59" t="n">
        <f aca="false">O37*K37</f>
        <v>6306148.52229428</v>
      </c>
      <c r="Q37" s="59" t="n">
        <f aca="false">P37+Q36</f>
        <v>123631361.087956</v>
      </c>
      <c r="S37" s="59" t="n">
        <f aca="false">O37</f>
        <v>1471714.28091537</v>
      </c>
      <c r="T37" s="59" t="n">
        <f aca="false">S37*(Curves!B23+Curves!D23+Curves!E23)</f>
        <v>6200332.26549646</v>
      </c>
      <c r="U37" s="0" t="n">
        <f aca="false">$U$31</f>
        <v>4.2604</v>
      </c>
      <c r="V37" s="59" t="n">
        <f aca="false">(O37/N37)/C37</f>
        <v>53872.3354407041</v>
      </c>
      <c r="W37" s="59" t="n">
        <f aca="false">V37*(K37/U37)</f>
        <v>54182.1355107203</v>
      </c>
      <c r="Y37" s="59" t="n">
        <f aca="false">ROUND(W37,-2)</f>
        <v>54200</v>
      </c>
      <c r="Z37" s="68" t="n">
        <f aca="false">$Z$31</f>
        <v>4.25899575885374</v>
      </c>
    </row>
    <row r="38" customFormat="false" ht="12.75" hidden="false" customHeight="false" outlineLevel="0" collapsed="false">
      <c r="B38" s="155" t="n">
        <v>37561</v>
      </c>
      <c r="C38" s="0" t="n">
        <f aca="false">EOMONTH(B38,0)-EOMONTH(B38,-1)</f>
        <v>30</v>
      </c>
      <c r="D38" s="66" t="n">
        <f aca="false">WORKDAY(EOMONTH(B38,0)+24,1,'Financing Assumptions'!E56:E62)</f>
        <v>37615</v>
      </c>
      <c r="E38" s="156" t="str">
        <f aca="false">TEXT(D38,"DDD")</f>
        <v>Wed</v>
      </c>
      <c r="F38" s="41" t="n">
        <f aca="false">D38-$D$14</f>
        <v>727</v>
      </c>
      <c r="H38" s="0" t="n">
        <f aca="false">(1+Curves!U24/12)^(-12*F38/360)</f>
        <v>0.892061646636689</v>
      </c>
      <c r="I38" s="59" t="n">
        <f aca="false">$F$4*H38*C38</f>
        <v>1441723.32784196</v>
      </c>
      <c r="J38" s="59" t="n">
        <f aca="false">I38*(Curves!B24+Curves!D24+Curves!E24)</f>
        <v>6187876.52309768</v>
      </c>
      <c r="K38" s="68" t="n">
        <f aca="false">ROUNDUP($L$6,4)</f>
        <v>4.2849</v>
      </c>
      <c r="L38" s="59" t="n">
        <f aca="false">K38*I38-J38</f>
        <v>-10236.2356276764</v>
      </c>
      <c r="N38" s="74" t="n">
        <f aca="false">(1+Curves!V24/12)^(-12*F38/360)</f>
        <v>0.876515659430863</v>
      </c>
      <c r="O38" s="59" t="n">
        <f aca="false">$F$4*N38*C38</f>
        <v>1416598.36871668</v>
      </c>
      <c r="P38" s="59" t="n">
        <f aca="false">O38*K38</f>
        <v>6069982.35011411</v>
      </c>
      <c r="Q38" s="59" t="n">
        <f aca="false">P38+Q37</f>
        <v>129701343.43807</v>
      </c>
      <c r="S38" s="59" t="n">
        <f aca="false">O38</f>
        <v>1416598.36871668</v>
      </c>
      <c r="T38" s="59" t="n">
        <f aca="false">S38*(Curves!B24+Curves!D24+Curves!E24)</f>
        <v>6080040.198532</v>
      </c>
      <c r="U38" s="0" t="n">
        <f aca="false">$U$31</f>
        <v>4.2604</v>
      </c>
      <c r="V38" s="59" t="n">
        <f aca="false">(O38/N38)/C38</f>
        <v>53872.3354407041</v>
      </c>
      <c r="W38" s="59" t="n">
        <f aca="false">V38*(K38/U38)</f>
        <v>54182.1355107203</v>
      </c>
      <c r="Y38" s="59" t="n">
        <f aca="false">ROUND(W38,-2)</f>
        <v>54200</v>
      </c>
      <c r="Z38" s="68" t="n">
        <f aca="false">$Z$31</f>
        <v>4.25899575885374</v>
      </c>
    </row>
    <row r="39" customFormat="false" ht="12.75" hidden="false" customHeight="false" outlineLevel="0" collapsed="false">
      <c r="B39" s="155" t="n">
        <v>37591</v>
      </c>
      <c r="C39" s="0" t="n">
        <f aca="false">EOMONTH(B39,0)-EOMONTH(B39,-1)</f>
        <v>31</v>
      </c>
      <c r="D39" s="66" t="n">
        <f aca="false">WORKDAY(EOMONTH(B39,0)+24,1,'Financing Assumptions'!E57:E63)</f>
        <v>37648</v>
      </c>
      <c r="E39" s="156" t="str">
        <f aca="false">TEXT(D39,"DDD")</f>
        <v>Mon</v>
      </c>
      <c r="F39" s="41" t="n">
        <f aca="false">D39-$D$14</f>
        <v>760</v>
      </c>
      <c r="H39" s="0" t="n">
        <f aca="false">(1+Curves!U25/12)^(-12*F39/360)</f>
        <v>0.887504067329826</v>
      </c>
      <c r="I39" s="59" t="n">
        <f aca="false">$F$4*H39*C39</f>
        <v>1482169.42142563</v>
      </c>
      <c r="J39" s="59" t="n">
        <f aca="false">I39*(Curves!B25+Curves!D25+Curves!E25)</f>
        <v>6499312.91295138</v>
      </c>
      <c r="K39" s="68" t="n">
        <f aca="false">ROUNDUP($L$6,4)</f>
        <v>4.2849</v>
      </c>
      <c r="L39" s="59" t="n">
        <f aca="false">K39*I39-J39</f>
        <v>-148365.159084705</v>
      </c>
      <c r="N39" s="74" t="n">
        <f aca="false">(1+Curves!V25/12)^(-12*F39/360)</f>
        <v>0.871341838004491</v>
      </c>
      <c r="O39" s="59" t="n">
        <f aca="false">$F$4*N39*C39</f>
        <v>1455177.81319542</v>
      </c>
      <c r="P39" s="59" t="n">
        <f aca="false">O39*K39</f>
        <v>6235291.41176107</v>
      </c>
      <c r="Q39" s="59" t="n">
        <f aca="false">P39+Q38</f>
        <v>135936634.849831</v>
      </c>
      <c r="S39" s="59" t="n">
        <f aca="false">O39</f>
        <v>1455177.81319542</v>
      </c>
      <c r="T39" s="59" t="n">
        <f aca="false">S39*(Curves!B25+Curves!D25+Curves!E25)</f>
        <v>6380954.71086193</v>
      </c>
      <c r="U39" s="0" t="n">
        <f aca="false">$U$31</f>
        <v>4.2604</v>
      </c>
      <c r="V39" s="59" t="n">
        <f aca="false">(O39/N39)/C39</f>
        <v>53872.3354407041</v>
      </c>
      <c r="W39" s="59" t="n">
        <f aca="false">V39*(K39/U39)</f>
        <v>54182.1355107203</v>
      </c>
      <c r="Y39" s="59" t="n">
        <f aca="false">ROUND(W39,-2)</f>
        <v>54200</v>
      </c>
      <c r="Z39" s="68" t="n">
        <f aca="false">$Z$31</f>
        <v>4.25899575885374</v>
      </c>
    </row>
    <row r="40" customFormat="false" ht="12.75" hidden="false" customHeight="false" outlineLevel="0" collapsed="false">
      <c r="B40" s="155" t="n">
        <v>37622</v>
      </c>
      <c r="C40" s="0" t="n">
        <f aca="false">EOMONTH(B40,0)-EOMONTH(B40,-1)</f>
        <v>31</v>
      </c>
      <c r="D40" s="66" t="n">
        <f aca="false">WORKDAY(EOMONTH(B40,0)+24,1,'Financing Assumptions'!E58:E64)</f>
        <v>37677</v>
      </c>
      <c r="E40" s="156" t="str">
        <f aca="false">TEXT(D40,"DDD")</f>
        <v>Tue</v>
      </c>
      <c r="F40" s="41" t="n">
        <f aca="false">D40-$D$14</f>
        <v>789</v>
      </c>
      <c r="H40" s="0" t="n">
        <f aca="false">(1+Curves!U26/12)^(-12*F40/360)</f>
        <v>0.88348674778144</v>
      </c>
      <c r="I40" s="59" t="n">
        <f aca="false">$F$4*H40*C40</f>
        <v>1475460.32745085</v>
      </c>
      <c r="J40" s="59" t="n">
        <f aca="false">I40*(Curves!B26+Curves!D26+Curves!E26)</f>
        <v>6509730.96471316</v>
      </c>
      <c r="K40" s="68" t="n">
        <f aca="false">ROUNDUP($L$6,4)</f>
        <v>4.2849</v>
      </c>
      <c r="L40" s="59" t="n">
        <f aca="false">K40*I40-J40</f>
        <v>-187531.007619001</v>
      </c>
      <c r="N40" s="74" t="n">
        <f aca="false">(1+Curves!V26/12)^(-12*F40/360)</f>
        <v>0.866789579166575</v>
      </c>
      <c r="O40" s="59" t="n">
        <f aca="false">$F$4*N40*C40</f>
        <v>1447575.34792642</v>
      </c>
      <c r="P40" s="59" t="n">
        <f aca="false">O40*K40</f>
        <v>6202715.60832993</v>
      </c>
      <c r="Q40" s="59" t="n">
        <f aca="false">P40+Q39</f>
        <v>142139350.458161</v>
      </c>
      <c r="S40" s="59" t="n">
        <f aca="false">O40</f>
        <v>1447575.34792642</v>
      </c>
      <c r="T40" s="59" t="n">
        <f aca="false">S40*(Curves!B26+Curves!D26+Curves!E26)</f>
        <v>6386702.43505137</v>
      </c>
      <c r="U40" s="0" t="n">
        <f aca="false">$U$31</f>
        <v>4.2604</v>
      </c>
      <c r="V40" s="59" t="n">
        <f aca="false">(O40/N40)/C40</f>
        <v>53872.3354407041</v>
      </c>
      <c r="W40" s="59" t="n">
        <f aca="false">V40*(K40/U40)</f>
        <v>54182.1355107203</v>
      </c>
      <c r="Y40" s="59" t="n">
        <f aca="false">ROUND(W40,-2)</f>
        <v>54200</v>
      </c>
      <c r="Z40" s="68" t="n">
        <f aca="false">$Z$31</f>
        <v>4.25899575885374</v>
      </c>
    </row>
    <row r="41" customFormat="false" ht="12.75" hidden="false" customHeight="false" outlineLevel="0" collapsed="false">
      <c r="B41" s="155" t="n">
        <v>37653</v>
      </c>
      <c r="C41" s="0" t="n">
        <f aca="false">EOMONTH(B41,0)-EOMONTH(B41,-1)</f>
        <v>28</v>
      </c>
      <c r="D41" s="66" t="n">
        <f aca="false">WORKDAY(EOMONTH(B41,0)+24,1,'Financing Assumptions'!E59:E65)</f>
        <v>37705</v>
      </c>
      <c r="E41" s="156" t="str">
        <f aca="false">TEXT(D41,"DDD")</f>
        <v>Tue</v>
      </c>
      <c r="F41" s="41" t="n">
        <f aca="false">D41-$D$14</f>
        <v>817</v>
      </c>
      <c r="H41" s="0" t="n">
        <f aca="false">(1+Curves!U27/12)^(-12*F41/360)</f>
        <v>0.879571427183127</v>
      </c>
      <c r="I41" s="59" t="n">
        <f aca="false">$F$4*H41*C41</f>
        <v>1326767.87513951</v>
      </c>
      <c r="J41" s="59" t="n">
        <f aca="false">I41*(Curves!B27+Curves!D27+Curves!E27)</f>
        <v>5648050.8444689</v>
      </c>
      <c r="K41" s="68" t="n">
        <f aca="false">ROUNDUP($L$6,4)</f>
        <v>4.2849</v>
      </c>
      <c r="L41" s="59" t="n">
        <f aca="false">K41*I41-J41</f>
        <v>37016.8237163937</v>
      </c>
      <c r="N41" s="74" t="n">
        <f aca="false">(1+Curves!V27/12)^(-12*F41/360)</f>
        <v>0.862364168512671</v>
      </c>
      <c r="O41" s="59" t="n">
        <f aca="false">$F$4*N41*C41</f>
        <v>1300812.00922844</v>
      </c>
      <c r="P41" s="59" t="n">
        <f aca="false">O41*K41</f>
        <v>5573849.37834293</v>
      </c>
      <c r="Q41" s="59" t="n">
        <f aca="false">P41+Q40</f>
        <v>147713199.836504</v>
      </c>
      <c r="S41" s="59" t="n">
        <f aca="false">O41</f>
        <v>1300812.00922844</v>
      </c>
      <c r="T41" s="59" t="n">
        <f aca="false">S41*(Curves!B27+Curves!D27+Curves!E27)</f>
        <v>5537556.72328546</v>
      </c>
      <c r="U41" s="0" t="n">
        <f aca="false">$U$31</f>
        <v>4.2604</v>
      </c>
      <c r="V41" s="59" t="n">
        <f aca="false">(O41/N41)/C41</f>
        <v>53872.3354407041</v>
      </c>
      <c r="W41" s="59" t="n">
        <f aca="false">V41*(K41/U41)</f>
        <v>54182.1355107203</v>
      </c>
      <c r="Y41" s="59" t="n">
        <f aca="false">ROUND(W41,-2)</f>
        <v>54200</v>
      </c>
      <c r="Z41" s="68" t="n">
        <f aca="false">$Z$31</f>
        <v>4.25899575885374</v>
      </c>
    </row>
    <row r="42" customFormat="false" ht="12.75" hidden="false" customHeight="false" outlineLevel="0" collapsed="false">
      <c r="B42" s="155" t="n">
        <v>37681</v>
      </c>
      <c r="C42" s="0" t="n">
        <f aca="false">EOMONTH(B42,0)-EOMONTH(B42,-1)</f>
        <v>31</v>
      </c>
      <c r="D42" s="66" t="n">
        <f aca="false">WORKDAY(EOMONTH(B42,0)+24,1,'Financing Assumptions'!E60:E66)</f>
        <v>37736</v>
      </c>
      <c r="E42" s="156" t="str">
        <f aca="false">TEXT(D42,"DDD")</f>
        <v>Fri</v>
      </c>
      <c r="F42" s="41" t="n">
        <f aca="false">D42-$D$14</f>
        <v>848</v>
      </c>
      <c r="H42" s="0" t="n">
        <f aca="false">(1+Curves!U28/12)^(-12*F42/360)</f>
        <v>0.875262067194094</v>
      </c>
      <c r="I42" s="59" t="n">
        <f aca="false">$F$4*H42*C42</f>
        <v>1461724.76215453</v>
      </c>
      <c r="J42" s="59" t="n">
        <f aca="false">I42*(Curves!B28+Curves!D28+Curves!E28)</f>
        <v>5930217.36006094</v>
      </c>
      <c r="K42" s="68" t="n">
        <f aca="false">ROUNDUP($L$6,4)</f>
        <v>4.2849</v>
      </c>
      <c r="L42" s="59" t="n">
        <f aca="false">K42*I42-J42</f>
        <v>333127.07329502</v>
      </c>
      <c r="N42" s="74" t="n">
        <f aca="false">(1+Curves!V28/12)^(-12*F42/360)</f>
        <v>0.857496069902898</v>
      </c>
      <c r="O42" s="59" t="n">
        <f aca="false">$F$4*N42*C42</f>
        <v>1432054.79342373</v>
      </c>
      <c r="P42" s="59" t="n">
        <f aca="false">O42*K42</f>
        <v>6136211.58434132</v>
      </c>
      <c r="Q42" s="59" t="n">
        <f aca="false">P42+Q41</f>
        <v>153849411.420845</v>
      </c>
      <c r="S42" s="59" t="n">
        <f aca="false">O42</f>
        <v>1432054.79342373</v>
      </c>
      <c r="T42" s="59" t="n">
        <f aca="false">S42*(Curves!B28+Curves!D28+Curves!E28)</f>
        <v>5809846.29692005</v>
      </c>
      <c r="U42" s="0" t="n">
        <f aca="false">$U$31</f>
        <v>4.2604</v>
      </c>
      <c r="V42" s="59" t="n">
        <f aca="false">(O42/N42)/C42</f>
        <v>53872.3354407041</v>
      </c>
      <c r="W42" s="59" t="n">
        <f aca="false">V42*(K42/U42)</f>
        <v>54182.1355107203</v>
      </c>
      <c r="Y42" s="59" t="n">
        <f aca="false">ROUND(W42,-2)</f>
        <v>54200</v>
      </c>
      <c r="Z42" s="68" t="n">
        <f aca="false">$Z$31</f>
        <v>4.25899575885374</v>
      </c>
    </row>
    <row r="43" customFormat="false" ht="12.75" hidden="false" customHeight="false" outlineLevel="0" collapsed="false">
      <c r="B43" s="155" t="n">
        <v>37712</v>
      </c>
      <c r="C43" s="0" t="n">
        <f aca="false">EOMONTH(B43,0)-EOMONTH(B43,-1)</f>
        <v>30</v>
      </c>
      <c r="D43" s="66" t="n">
        <f aca="false">WORKDAY(EOMONTH(B43,0)+24,1,'Financing Assumptions'!E61:E67)</f>
        <v>37767</v>
      </c>
      <c r="E43" s="156" t="str">
        <f aca="false">TEXT(D43,"DDD")</f>
        <v>Mon</v>
      </c>
      <c r="F43" s="41" t="n">
        <f aca="false">D43-$D$14</f>
        <v>879</v>
      </c>
      <c r="H43" s="0" t="n">
        <f aca="false">(1+Curves!U29/12)^(-12*F43/360)</f>
        <v>0.870980464302634</v>
      </c>
      <c r="I43" s="59" t="n">
        <f aca="false">$F$4*H43*C43</f>
        <v>1407652.55205635</v>
      </c>
      <c r="J43" s="59" t="n">
        <f aca="false">I43*(Curves!B29+Curves!D29+Curves!E29)</f>
        <v>5388493.96927171</v>
      </c>
      <c r="K43" s="68" t="n">
        <f aca="false">ROUNDUP($L$6,4)</f>
        <v>4.2849</v>
      </c>
      <c r="L43" s="59" t="n">
        <f aca="false">K43*I43-J43</f>
        <v>643156.451034548</v>
      </c>
      <c r="N43" s="74" t="n">
        <f aca="false">(1+Curves!V29/12)^(-12*F43/360)</f>
        <v>0.852661951436238</v>
      </c>
      <c r="O43" s="59" t="n">
        <f aca="false">$F$4*N43*C43</f>
        <v>1378046.71995895</v>
      </c>
      <c r="P43" s="59" t="n">
        <f aca="false">O43*K43</f>
        <v>5904792.39035211</v>
      </c>
      <c r="Q43" s="59" t="n">
        <f aca="false">P43+Q42</f>
        <v>159754203.811197</v>
      </c>
      <c r="S43" s="59" t="n">
        <f aca="false">O43</f>
        <v>1378046.71995895</v>
      </c>
      <c r="T43" s="59" t="n">
        <f aca="false">S43*(Curves!B29+Curves!D29+Curves!E29)</f>
        <v>5275162.84400286</v>
      </c>
      <c r="U43" s="0" t="n">
        <f aca="false">ROUND(SUM(T43:T54)/SUM(S43:S54),4)</f>
        <v>3.8961</v>
      </c>
      <c r="V43" s="59" t="n">
        <f aca="false">(O43/N43)/C43</f>
        <v>53872.3354407041</v>
      </c>
      <c r="W43" s="59" t="n">
        <f aca="false">V43*(K43/U43)</f>
        <v>59248.3689150363</v>
      </c>
      <c r="Y43" s="59" t="n">
        <f aca="false">ROUND(W43,-2)</f>
        <v>59200</v>
      </c>
      <c r="Z43" s="68" t="n">
        <f aca="false">K43*(V43/Y43)</f>
        <v>3.89928327922083</v>
      </c>
    </row>
    <row r="44" customFormat="false" ht="12.75" hidden="false" customHeight="false" outlineLevel="0" collapsed="false">
      <c r="B44" s="155" t="n">
        <v>37742</v>
      </c>
      <c r="C44" s="0" t="n">
        <f aca="false">EOMONTH(B44,0)-EOMONTH(B44,-1)</f>
        <v>31</v>
      </c>
      <c r="D44" s="66" t="n">
        <f aca="false">WORKDAY(EOMONTH(B44,0)+24,1,'Financing Assumptions'!E62:E68)</f>
        <v>37797</v>
      </c>
      <c r="E44" s="156" t="str">
        <f aca="false">TEXT(D44,"DDD")</f>
        <v>Wed</v>
      </c>
      <c r="F44" s="41" t="n">
        <f aca="false">D44-$D$14</f>
        <v>909</v>
      </c>
      <c r="H44" s="0" t="n">
        <f aca="false">(1+Curves!U30/12)^(-12*F44/360)</f>
        <v>0.86687365785672</v>
      </c>
      <c r="I44" s="59" t="n">
        <f aca="false">$F$4*H44*C44</f>
        <v>1447715.76290379</v>
      </c>
      <c r="J44" s="59" t="n">
        <f aca="false">I44*(Curves!B30+Curves!D30+Curves!E30)</f>
        <v>5469470.15225051</v>
      </c>
      <c r="K44" s="68" t="n">
        <f aca="false">ROUNDUP($L$6,4)</f>
        <v>4.2849</v>
      </c>
      <c r="L44" s="59" t="n">
        <f aca="false">K44*I44-J44</f>
        <v>733847.120215931</v>
      </c>
      <c r="N44" s="74" t="n">
        <f aca="false">(1+Curves!V30/12)^(-12*F44/360)</f>
        <v>0.848026082861576</v>
      </c>
      <c r="O44" s="59" t="n">
        <f aca="false">$F$4*N44*C44</f>
        <v>1416239.51354994</v>
      </c>
      <c r="P44" s="59" t="n">
        <f aca="false">O44*K44</f>
        <v>6068444.69161013</v>
      </c>
      <c r="Q44" s="59" t="n">
        <f aca="false">P44+Q43</f>
        <v>165822648.502807</v>
      </c>
      <c r="S44" s="59" t="n">
        <f aca="false">O44</f>
        <v>1416239.51354994</v>
      </c>
      <c r="T44" s="59" t="n">
        <f aca="false">S44*(Curves!B30+Curves!D30+Curves!E30)</f>
        <v>5350552.88219167</v>
      </c>
      <c r="U44" s="0" t="n">
        <f aca="false">$U$43</f>
        <v>3.8961</v>
      </c>
      <c r="V44" s="59" t="n">
        <f aca="false">(O44/N44)/C44</f>
        <v>53872.3354407041</v>
      </c>
      <c r="W44" s="59" t="n">
        <f aca="false">V44*(K44/U44)</f>
        <v>59248.3689150363</v>
      </c>
      <c r="Y44" s="59" t="n">
        <f aca="false">ROUND(W44,-2)</f>
        <v>59200</v>
      </c>
      <c r="Z44" s="68" t="n">
        <f aca="false">$Z$43</f>
        <v>3.89928327922083</v>
      </c>
    </row>
    <row r="45" customFormat="false" ht="12.75" hidden="false" customHeight="false" outlineLevel="0" collapsed="false">
      <c r="B45" s="155" t="n">
        <v>37773</v>
      </c>
      <c r="C45" s="0" t="n">
        <f aca="false">EOMONTH(B45,0)-EOMONTH(B45,-1)</f>
        <v>30</v>
      </c>
      <c r="D45" s="66" t="n">
        <f aca="false">WORKDAY(EOMONTH(B45,0)+24,1,'Financing Assumptions'!E63:E69)</f>
        <v>37827</v>
      </c>
      <c r="E45" s="156" t="str">
        <f aca="false">TEXT(D45,"DDD")</f>
        <v>Fri</v>
      </c>
      <c r="F45" s="41" t="n">
        <f aca="false">D45-$D$14</f>
        <v>939</v>
      </c>
      <c r="H45" s="0" t="n">
        <f aca="false">(1+Curves!U31/12)^(-12*F45/360)</f>
        <v>0.862785195287996</v>
      </c>
      <c r="I45" s="59" t="n">
        <f aca="false">$F$4*H45*C45</f>
        <v>1394407.60361485</v>
      </c>
      <c r="J45" s="59" t="n">
        <f aca="false">I45*(Curves!B31+Curves!D31+Curves!E31)</f>
        <v>5282016.00249305</v>
      </c>
      <c r="K45" s="68" t="n">
        <f aca="false">ROUNDUP($L$6,4)</f>
        <v>4.2849</v>
      </c>
      <c r="L45" s="59" t="n">
        <f aca="false">K45*I45-J45</f>
        <v>692881.138236219</v>
      </c>
      <c r="N45" s="74" t="n">
        <f aca="false">(1+Curves!V31/12)^(-12*F45/360)</f>
        <v>0.843414422494906</v>
      </c>
      <c r="O45" s="59" t="n">
        <f aca="false">$F$4*N45*C45</f>
        <v>1363101.1405252</v>
      </c>
      <c r="P45" s="59" t="n">
        <f aca="false">O45*K45</f>
        <v>5840752.07703642</v>
      </c>
      <c r="Q45" s="59" t="n">
        <f aca="false">P45+Q44</f>
        <v>171663400.579844</v>
      </c>
      <c r="S45" s="59" t="n">
        <f aca="false">O45</f>
        <v>1363101.1405252</v>
      </c>
      <c r="T45" s="59" t="n">
        <f aca="false">S45*(Curves!B31+Curves!D31+Curves!E31)</f>
        <v>5163427.12030945</v>
      </c>
      <c r="U45" s="0" t="n">
        <f aca="false">$U$43</f>
        <v>3.8961</v>
      </c>
      <c r="V45" s="59" t="n">
        <f aca="false">(O45/N45)/C45</f>
        <v>53872.3354407041</v>
      </c>
      <c r="W45" s="59" t="n">
        <f aca="false">V45*(K45/U45)</f>
        <v>59248.3689150363</v>
      </c>
      <c r="Y45" s="59" t="n">
        <f aca="false">ROUND(W45,-2)</f>
        <v>59200</v>
      </c>
      <c r="Z45" s="68" t="n">
        <f aca="false">$Z$43</f>
        <v>3.89928327922083</v>
      </c>
    </row>
    <row r="46" customFormat="false" ht="12.75" hidden="false" customHeight="false" outlineLevel="0" collapsed="false">
      <c r="B46" s="155" t="n">
        <v>37803</v>
      </c>
      <c r="C46" s="0" t="n">
        <f aca="false">EOMONTH(B46,0)-EOMONTH(B46,-1)</f>
        <v>31</v>
      </c>
      <c r="D46" s="66" t="n">
        <f aca="false">WORKDAY(EOMONTH(B46,0)+24,1,'Financing Assumptions'!E64:E70)</f>
        <v>37858</v>
      </c>
      <c r="E46" s="156" t="str">
        <f aca="false">TEXT(D46,"DDD")</f>
        <v>Mon</v>
      </c>
      <c r="F46" s="41" t="n">
        <f aca="false">D46-$D$14</f>
        <v>970</v>
      </c>
      <c r="H46" s="0" t="n">
        <f aca="false">(1+Curves!U32/12)^(-12*F46/360)</f>
        <v>0.85857232440857</v>
      </c>
      <c r="I46" s="59" t="n">
        <f aca="false">$F$4*H46*C46</f>
        <v>1433852.18407995</v>
      </c>
      <c r="J46" s="59" t="n">
        <f aca="false">I46*(Curves!B32+Curves!D32+Curves!E32)</f>
        <v>5452939.85605604</v>
      </c>
      <c r="K46" s="68" t="n">
        <f aca="false">ROUNDUP($L$6,4)</f>
        <v>4.2849</v>
      </c>
      <c r="L46" s="59" t="n">
        <f aca="false">K46*I46-J46</f>
        <v>690973.367508127</v>
      </c>
      <c r="N46" s="74" t="n">
        <f aca="false">(1+Curves!V32/12)^(-12*F46/360)</f>
        <v>0.83866720285067</v>
      </c>
      <c r="O46" s="59" t="n">
        <f aca="false">$F$4*N46*C46</f>
        <v>1400609.78712774</v>
      </c>
      <c r="P46" s="59" t="n">
        <f aca="false">O46*K46</f>
        <v>6001472.87686364</v>
      </c>
      <c r="Q46" s="59" t="n">
        <f aca="false">P46+Q45</f>
        <v>177664873.456707</v>
      </c>
      <c r="S46" s="59" t="n">
        <f aca="false">O46</f>
        <v>1400609.78712774</v>
      </c>
      <c r="T46" s="59" t="n">
        <f aca="false">S46*(Curves!B32+Curves!D32+Curves!E32)</f>
        <v>5326519.02044678</v>
      </c>
      <c r="U46" s="0" t="n">
        <f aca="false">$U$43</f>
        <v>3.8961</v>
      </c>
      <c r="V46" s="59" t="n">
        <f aca="false">(O46/N46)/C46</f>
        <v>53872.3354407041</v>
      </c>
      <c r="W46" s="59" t="n">
        <f aca="false">V46*(K46/U46)</f>
        <v>59248.3689150363</v>
      </c>
      <c r="Y46" s="59" t="n">
        <f aca="false">ROUND(W46,-2)</f>
        <v>59200</v>
      </c>
      <c r="Z46" s="68" t="n">
        <f aca="false">$Z$43</f>
        <v>3.89928327922083</v>
      </c>
    </row>
    <row r="47" customFormat="false" ht="12.75" hidden="false" customHeight="false" outlineLevel="0" collapsed="false">
      <c r="B47" s="155" t="n">
        <v>37834</v>
      </c>
      <c r="C47" s="0" t="n">
        <f aca="false">EOMONTH(B47,0)-EOMONTH(B47,-1)</f>
        <v>31</v>
      </c>
      <c r="D47" s="66" t="n">
        <f aca="false">WORKDAY(EOMONTH(B47,0)+24,1,'Financing Assumptions'!E65:E71)</f>
        <v>37889</v>
      </c>
      <c r="E47" s="156" t="str">
        <f aca="false">TEXT(D47,"DDD")</f>
        <v>Thu</v>
      </c>
      <c r="F47" s="41" t="n">
        <f aca="false">D47-$D$14</f>
        <v>1001</v>
      </c>
      <c r="H47" s="0" t="n">
        <f aca="false">(1+Curves!U33/12)^(-12*F47/360)</f>
        <v>0.854365774105387</v>
      </c>
      <c r="I47" s="59" t="n">
        <f aca="false">$F$4*H47*C47</f>
        <v>1426827.06672153</v>
      </c>
      <c r="J47" s="59" t="n">
        <f aca="false">I47*(Curves!B33+Curves!D33+Curves!E33)</f>
        <v>5419089.19940837</v>
      </c>
      <c r="K47" s="68" t="n">
        <f aca="false">ROUNDUP($L$6,4)</f>
        <v>4.2849</v>
      </c>
      <c r="L47" s="59" t="n">
        <f aca="false">K47*I47-J47</f>
        <v>694722.098786713</v>
      </c>
      <c r="N47" s="74" t="n">
        <f aca="false">(1+Curves!V33/12)^(-12*F47/360)</f>
        <v>0.833932803837631</v>
      </c>
      <c r="O47" s="59" t="n">
        <f aca="false">$F$4*N47*C47</f>
        <v>1392703.14004378</v>
      </c>
      <c r="P47" s="59" t="n">
        <f aca="false">O47*K47</f>
        <v>5967593.68477359</v>
      </c>
      <c r="Q47" s="59" t="n">
        <f aca="false">P47+Q46</f>
        <v>183632467.141481</v>
      </c>
      <c r="S47" s="59" t="n">
        <f aca="false">O47</f>
        <v>1392703.14004378</v>
      </c>
      <c r="T47" s="59" t="n">
        <f aca="false">S47*(Curves!B33+Curves!D33+Curves!E33)</f>
        <v>5289486.52588628</v>
      </c>
      <c r="U47" s="0" t="n">
        <f aca="false">$U$43</f>
        <v>3.8961</v>
      </c>
      <c r="V47" s="59" t="n">
        <f aca="false">(O47/N47)/C47</f>
        <v>53872.3354407041</v>
      </c>
      <c r="W47" s="59" t="n">
        <f aca="false">V47*(K47/U47)</f>
        <v>59248.3689150363</v>
      </c>
      <c r="Y47" s="59" t="n">
        <f aca="false">ROUND(W47,-2)</f>
        <v>59200</v>
      </c>
      <c r="Z47" s="68" t="n">
        <f aca="false">$Z$43</f>
        <v>3.89928327922083</v>
      </c>
    </row>
    <row r="48" customFormat="false" ht="12.75" hidden="false" customHeight="false" outlineLevel="0" collapsed="false">
      <c r="B48" s="155" t="n">
        <v>37865</v>
      </c>
      <c r="C48" s="0" t="n">
        <f aca="false">EOMONTH(B48,0)-EOMONTH(B48,-1)</f>
        <v>30</v>
      </c>
      <c r="D48" s="66" t="n">
        <f aca="false">WORKDAY(EOMONTH(B48,0)+24,1,'Financing Assumptions'!E66:E72)</f>
        <v>37921</v>
      </c>
      <c r="E48" s="156" t="str">
        <f aca="false">TEXT(D48,"DDD")</f>
        <v>Mon</v>
      </c>
      <c r="F48" s="41" t="n">
        <f aca="false">D48-$D$14</f>
        <v>1033</v>
      </c>
      <c r="H48" s="0" t="n">
        <f aca="false">(1+Curves!U34/12)^(-12*F48/360)</f>
        <v>0.850044114204394</v>
      </c>
      <c r="I48" s="59" t="n">
        <f aca="false">$F$4*H48*C48</f>
        <v>1373815.84979446</v>
      </c>
      <c r="J48" s="59" t="n">
        <f aca="false">I48*(Curves!B34+Curves!D34+Curves!E34)</f>
        <v>5234238.38771689</v>
      </c>
      <c r="K48" s="68" t="n">
        <f aca="false">ROUNDUP($L$6,4)</f>
        <v>4.2849</v>
      </c>
      <c r="L48" s="59" t="n">
        <f aca="false">K48*I48-J48</f>
        <v>652425.147067388</v>
      </c>
      <c r="N48" s="74" t="n">
        <f aca="false">(1+Curves!V34/12)^(-12*F48/360)</f>
        <v>0.829072709098974</v>
      </c>
      <c r="O48" s="59" t="n">
        <f aca="false">$F$4*N48*C48</f>
        <v>1339922.4926794</v>
      </c>
      <c r="P48" s="59" t="n">
        <f aca="false">O48*K48</f>
        <v>5741433.88888194</v>
      </c>
      <c r="Q48" s="59" t="n">
        <f aca="false">P48+Q47</f>
        <v>189373901.030363</v>
      </c>
      <c r="S48" s="59" t="n">
        <f aca="false">O48</f>
        <v>1339922.4926794</v>
      </c>
      <c r="T48" s="59" t="n">
        <f aca="false">S48*(Curves!B34+Curves!D34+Curves!E34)</f>
        <v>5105104.6971085</v>
      </c>
      <c r="U48" s="0" t="n">
        <f aca="false">$U$43</f>
        <v>3.8961</v>
      </c>
      <c r="V48" s="59" t="n">
        <f aca="false">(O48/N48)/C48</f>
        <v>53872.3354407041</v>
      </c>
      <c r="W48" s="59" t="n">
        <f aca="false">V48*(K48/U48)</f>
        <v>59248.3689150363</v>
      </c>
      <c r="Y48" s="59" t="n">
        <f aca="false">ROUND(W48,-2)</f>
        <v>59200</v>
      </c>
      <c r="Z48" s="68" t="n">
        <f aca="false">$Z$43</f>
        <v>3.89928327922083</v>
      </c>
    </row>
    <row r="49" customFormat="false" ht="12.75" hidden="false" customHeight="false" outlineLevel="0" collapsed="false">
      <c r="B49" s="155" t="n">
        <v>37895</v>
      </c>
      <c r="C49" s="0" t="n">
        <f aca="false">EOMONTH(B49,0)-EOMONTH(B49,-1)</f>
        <v>31</v>
      </c>
      <c r="D49" s="66" t="n">
        <f aca="false">WORKDAY(EOMONTH(B49,0)+24,1,'Financing Assumptions'!E67:E73)</f>
        <v>37950</v>
      </c>
      <c r="E49" s="156" t="str">
        <f aca="false">TEXT(D49,"DDD")</f>
        <v>Tue</v>
      </c>
      <c r="F49" s="41" t="n">
        <f aca="false">D49-$D$14</f>
        <v>1062</v>
      </c>
      <c r="H49" s="0" t="n">
        <f aca="false">(1+Curves!U35/12)^(-12*F49/360)</f>
        <v>0.846136980844054</v>
      </c>
      <c r="I49" s="59" t="n">
        <f aca="false">$F$4*H49*C49</f>
        <v>1413084.63308528</v>
      </c>
      <c r="J49" s="59" t="n">
        <f aca="false">I49*(Curves!B35+Curves!D35+Curves!E35)</f>
        <v>5409287.97545045</v>
      </c>
      <c r="K49" s="68" t="n">
        <f aca="false">ROUNDUP($L$6,4)</f>
        <v>4.2849</v>
      </c>
      <c r="L49" s="59" t="n">
        <f aca="false">K49*I49-J49</f>
        <v>645638.368856665</v>
      </c>
      <c r="N49" s="74" t="n">
        <f aca="false">(1+Curves!V35/12)^(-12*F49/360)</f>
        <v>0.824683451909835</v>
      </c>
      <c r="O49" s="59" t="n">
        <f aca="false">$F$4*N49*C49</f>
        <v>1377256.33016422</v>
      </c>
      <c r="P49" s="59" t="n">
        <f aca="false">O49*K49</f>
        <v>5901405.64912065</v>
      </c>
      <c r="Q49" s="59" t="n">
        <f aca="false">P49+Q48</f>
        <v>195275306.679483</v>
      </c>
      <c r="S49" s="59" t="n">
        <f aca="false">O49</f>
        <v>1377256.33016422</v>
      </c>
      <c r="T49" s="59" t="n">
        <f aca="false">S49*(Curves!B35+Curves!D35+Curves!E35)</f>
        <v>5272137.23186862</v>
      </c>
      <c r="U49" s="0" t="n">
        <f aca="false">$U$43</f>
        <v>3.8961</v>
      </c>
      <c r="V49" s="59" t="n">
        <f aca="false">(O49/N49)/C49</f>
        <v>53872.3354407041</v>
      </c>
      <c r="W49" s="59" t="n">
        <f aca="false">V49*(K49/U49)</f>
        <v>59248.3689150363</v>
      </c>
      <c r="Y49" s="59" t="n">
        <f aca="false">ROUND(W49,-2)</f>
        <v>59200</v>
      </c>
      <c r="Z49" s="68" t="n">
        <f aca="false">$Z$43</f>
        <v>3.89928327922083</v>
      </c>
    </row>
    <row r="50" customFormat="false" ht="12.75" hidden="false" customHeight="false" outlineLevel="0" collapsed="false">
      <c r="B50" s="155" t="n">
        <v>37926</v>
      </c>
      <c r="C50" s="0" t="n">
        <f aca="false">EOMONTH(B50,0)-EOMONTH(B50,-1)</f>
        <v>30</v>
      </c>
      <c r="D50" s="66" t="n">
        <f aca="false">WORKDAY(EOMONTH(B50,0)+24,1,'Financing Assumptions'!E68:E74)</f>
        <v>37980</v>
      </c>
      <c r="E50" s="156" t="str">
        <f aca="false">TEXT(D50,"DDD")</f>
        <v>Thu</v>
      </c>
      <c r="F50" s="41" t="n">
        <f aca="false">D50-$D$14</f>
        <v>1092</v>
      </c>
      <c r="H50" s="0" t="n">
        <f aca="false">(1+Curves!U36/12)^(-12*F50/360)</f>
        <v>0.842104630740119</v>
      </c>
      <c r="I50" s="59" t="n">
        <f aca="false">$F$4*H50*C50</f>
        <v>1360984.29430206</v>
      </c>
      <c r="J50" s="59" t="n">
        <f aca="false">I50*(Curves!B36+Curves!D36+Curves!E36)</f>
        <v>5378609.93108173</v>
      </c>
      <c r="K50" s="68" t="n">
        <f aca="false">ROUNDUP($L$6,4)</f>
        <v>4.2849</v>
      </c>
      <c r="L50" s="59" t="n">
        <f aca="false">K50*I50-J50</f>
        <v>453071.671573156</v>
      </c>
      <c r="N50" s="74" t="n">
        <f aca="false">(1+Curves!V36/12)^(-12*F50/360)</f>
        <v>0.820158158727249</v>
      </c>
      <c r="O50" s="59" t="n">
        <f aca="false">$F$4*N50*C50</f>
        <v>1325515.06324154</v>
      </c>
      <c r="P50" s="59" t="n">
        <f aca="false">O50*K50</f>
        <v>5679699.49448366</v>
      </c>
      <c r="Q50" s="59" t="n">
        <f aca="false">P50+Q49</f>
        <v>200955006.173967</v>
      </c>
      <c r="S50" s="59" t="n">
        <f aca="false">O50</f>
        <v>1325515.06324154</v>
      </c>
      <c r="T50" s="59" t="n">
        <f aca="false">S50*(Curves!B36+Curves!D36+Curves!E36)</f>
        <v>5238435.52993055</v>
      </c>
      <c r="U50" s="0" t="n">
        <f aca="false">$U$43</f>
        <v>3.8961</v>
      </c>
      <c r="V50" s="59" t="n">
        <f aca="false">(O50/N50)/C50</f>
        <v>53872.3354407041</v>
      </c>
      <c r="W50" s="59" t="n">
        <f aca="false">V50*(K50/U50)</f>
        <v>59248.3689150363</v>
      </c>
      <c r="Y50" s="59" t="n">
        <f aca="false">ROUND(W50,-2)</f>
        <v>59200</v>
      </c>
      <c r="Z50" s="68" t="n">
        <f aca="false">$Z$43</f>
        <v>3.89928327922083</v>
      </c>
    </row>
    <row r="51" customFormat="false" ht="12.75" hidden="false" customHeight="false" outlineLevel="0" collapsed="false">
      <c r="B51" s="155" t="n">
        <v>37956</v>
      </c>
      <c r="C51" s="0" t="n">
        <f aca="false">EOMONTH(B51,0)-EOMONTH(B51,-1)</f>
        <v>31</v>
      </c>
      <c r="D51" s="66" t="n">
        <f aca="false">WORKDAY(EOMONTH(B51,0)+24,1,'Financing Assumptions'!E69:E75)</f>
        <v>38012</v>
      </c>
      <c r="E51" s="156" t="str">
        <f aca="false">TEXT(D51,"DDD")</f>
        <v>Mon</v>
      </c>
      <c r="F51" s="41" t="n">
        <f aca="false">D51-$D$14</f>
        <v>1124</v>
      </c>
      <c r="H51" s="0" t="n">
        <f aca="false">(1+Curves!U37/12)^(-12*F51/360)</f>
        <v>0.837826620299008</v>
      </c>
      <c r="I51" s="59" t="n">
        <f aca="false">$F$4*H51*C51</f>
        <v>1399205.97862689</v>
      </c>
      <c r="J51" s="59" t="n">
        <f aca="false">I51*(Curves!B37+Curves!D37+Curves!E37)</f>
        <v>5704562.77486181</v>
      </c>
      <c r="K51" s="68" t="n">
        <f aca="false">ROUNDUP($L$6,4)</f>
        <v>4.2849</v>
      </c>
      <c r="L51" s="59" t="n">
        <f aca="false">K51*I51-J51</f>
        <v>290894.922956532</v>
      </c>
      <c r="N51" s="74" t="n">
        <f aca="false">(1+Curves!V37/12)^(-12*F51/360)</f>
        <v>0.815360475736595</v>
      </c>
      <c r="O51" s="59" t="n">
        <f aca="false">$F$4*N51*C51</f>
        <v>1361686.56467319</v>
      </c>
      <c r="P51" s="59" t="n">
        <f aca="false">O51*K51</f>
        <v>5834690.76096815</v>
      </c>
      <c r="Q51" s="59" t="n">
        <f aca="false">P51+Q50</f>
        <v>206789696.934935</v>
      </c>
      <c r="S51" s="59" t="n">
        <f aca="false">O51</f>
        <v>1361686.56467319</v>
      </c>
      <c r="T51" s="59" t="n">
        <f aca="false">S51*(Curves!B37+Curves!D37+Curves!E37)</f>
        <v>5551596.1241726</v>
      </c>
      <c r="U51" s="0" t="n">
        <f aca="false">$U$43</f>
        <v>3.8961</v>
      </c>
      <c r="V51" s="59" t="n">
        <f aca="false">(O51/N51)/C51</f>
        <v>53872.3354407041</v>
      </c>
      <c r="W51" s="59" t="n">
        <f aca="false">V51*(K51/U51)</f>
        <v>59248.3689150363</v>
      </c>
      <c r="Y51" s="59" t="n">
        <f aca="false">ROUND(W51,-2)</f>
        <v>59200</v>
      </c>
      <c r="Z51" s="68" t="n">
        <f aca="false">$Z$43</f>
        <v>3.89928327922083</v>
      </c>
    </row>
    <row r="52" customFormat="false" ht="12.75" hidden="false" customHeight="false" outlineLevel="0" collapsed="false">
      <c r="B52" s="155" t="n">
        <v>37987</v>
      </c>
      <c r="C52" s="0" t="n">
        <f aca="false">EOMONTH(B52,0)-EOMONTH(B52,-1)</f>
        <v>31</v>
      </c>
      <c r="D52" s="66" t="n">
        <f aca="false">WORKDAY(EOMONTH(B52,0)+24,1,'Financing Assumptions'!E70:E76)</f>
        <v>38042</v>
      </c>
      <c r="E52" s="156" t="str">
        <f aca="false">TEXT(D52,"DDD")</f>
        <v>Wed</v>
      </c>
      <c r="F52" s="41" t="n">
        <f aca="false">D52-$D$14</f>
        <v>1154</v>
      </c>
      <c r="H52" s="0" t="n">
        <f aca="false">(1+Curves!U38/12)^(-12*F52/360)</f>
        <v>0.833803608275523</v>
      </c>
      <c r="I52" s="59" t="n">
        <f aca="false">$F$4*H52*C52</f>
        <v>1392487.37797734</v>
      </c>
      <c r="J52" s="59" t="n">
        <f aca="false">I52*(Curves!B38+Curves!D38+Curves!E38)</f>
        <v>5795532.46714169</v>
      </c>
      <c r="K52" s="68" t="n">
        <f aca="false">ROUNDUP($L$6,4)</f>
        <v>4.2849</v>
      </c>
      <c r="L52" s="59" t="n">
        <f aca="false">K52*I52-J52</f>
        <v>171136.698753417</v>
      </c>
      <c r="N52" s="74" t="n">
        <f aca="false">(1+Curves!V38/12)^(-12*F52/360)</f>
        <v>0.810856929110818</v>
      </c>
      <c r="O52" s="59" t="n">
        <f aca="false">$F$4*N52*C52</f>
        <v>1354165.45086379</v>
      </c>
      <c r="P52" s="59" t="n">
        <f aca="false">O52*K52</f>
        <v>5802463.54040627</v>
      </c>
      <c r="Q52" s="59" t="n">
        <f aca="false">P52+Q51</f>
        <v>212592160.475342</v>
      </c>
      <c r="S52" s="59" t="n">
        <f aca="false">O52</f>
        <v>1354165.45086379</v>
      </c>
      <c r="T52" s="59" t="n">
        <f aca="false">S52*(Curves!B38+Curves!D38+Curves!E38)</f>
        <v>5636036.60649511</v>
      </c>
      <c r="U52" s="0" t="n">
        <f aca="false">$U$43</f>
        <v>3.8961</v>
      </c>
      <c r="V52" s="59" t="n">
        <f aca="false">(O52/N52)/C52</f>
        <v>53872.3354407041</v>
      </c>
      <c r="W52" s="59" t="n">
        <f aca="false">V52*(K52/U52)</f>
        <v>59248.3689150363</v>
      </c>
      <c r="Y52" s="59" t="n">
        <f aca="false">ROUND(W52,-2)</f>
        <v>59200</v>
      </c>
      <c r="Z52" s="68" t="n">
        <f aca="false">$Z$43</f>
        <v>3.89928327922083</v>
      </c>
    </row>
    <row r="53" customFormat="false" ht="12.75" hidden="false" customHeight="false" outlineLevel="0" collapsed="false">
      <c r="B53" s="155" t="n">
        <v>38018</v>
      </c>
      <c r="C53" s="0" t="n">
        <f aca="false">EOMONTH(B53,0)-EOMONTH(B53,-1)</f>
        <v>29</v>
      </c>
      <c r="D53" s="66" t="n">
        <f aca="false">WORKDAY(EOMONTH(B53,0)+24,1,'Financing Assumptions'!E71:E77)</f>
        <v>38071</v>
      </c>
      <c r="E53" s="156" t="str">
        <f aca="false">TEXT(D53,"DDD")</f>
        <v>Thu</v>
      </c>
      <c r="F53" s="41" t="n">
        <f aca="false">D53-$D$14</f>
        <v>1183</v>
      </c>
      <c r="H53" s="0" t="n">
        <f aca="false">(1+Curves!U39/12)^(-12*F53/360)</f>
        <v>0.829899608462734</v>
      </c>
      <c r="I53" s="59" t="n">
        <f aca="false">$F$4*H53*C53</f>
        <v>1296550.27258719</v>
      </c>
      <c r="J53" s="59" t="n">
        <f aca="false">I53*(Curves!B39+Curves!D39+Curves!E39)</f>
        <v>5247138.95316035</v>
      </c>
      <c r="K53" s="68" t="n">
        <f aca="false">ROUNDUP($L$6,4)</f>
        <v>4.2849</v>
      </c>
      <c r="L53" s="59" t="n">
        <f aca="false">K53*I53-J53</f>
        <v>308449.309848493</v>
      </c>
      <c r="N53" s="74" t="n">
        <f aca="false">(1+Curves!V39/12)^(-12*F53/360)</f>
        <v>0.806494662593674</v>
      </c>
      <c r="O53" s="59" t="n">
        <f aca="false">$F$4*N53*C53</f>
        <v>1259984.77883713</v>
      </c>
      <c r="P53" s="59" t="n">
        <f aca="false">O53*K53</f>
        <v>5398908.77883923</v>
      </c>
      <c r="Q53" s="59" t="n">
        <f aca="false">P53+Q52</f>
        <v>217991069.254181</v>
      </c>
      <c r="S53" s="59" t="n">
        <f aca="false">O53</f>
        <v>1259984.77883713</v>
      </c>
      <c r="T53" s="59" t="n">
        <f aca="false">S53*(Curves!B39+Curves!D39+Curves!E39)</f>
        <v>5099158.39995387</v>
      </c>
      <c r="U53" s="0" t="n">
        <f aca="false">$U$43</f>
        <v>3.8961</v>
      </c>
      <c r="V53" s="59" t="n">
        <f aca="false">(O53/N53)/C53</f>
        <v>53872.3354407041</v>
      </c>
      <c r="W53" s="59" t="n">
        <f aca="false">V53*(K53/U53)</f>
        <v>59248.3689150363</v>
      </c>
      <c r="Y53" s="59" t="n">
        <f aca="false">ROUND(W53,-2)</f>
        <v>59200</v>
      </c>
      <c r="Z53" s="68" t="n">
        <f aca="false">$Z$43</f>
        <v>3.89928327922083</v>
      </c>
    </row>
    <row r="54" customFormat="false" ht="12.75" hidden="false" customHeight="false" outlineLevel="0" collapsed="false">
      <c r="B54" s="155" t="n">
        <v>38047</v>
      </c>
      <c r="C54" s="0" t="n">
        <f aca="false">EOMONTH(B54,0)-EOMONTH(B54,-1)</f>
        <v>31</v>
      </c>
      <c r="D54" s="66" t="n">
        <f aca="false">WORKDAY(EOMONTH(B54,0)+24,1,'Financing Assumptions'!E72:E78)</f>
        <v>38103</v>
      </c>
      <c r="E54" s="156" t="str">
        <f aca="false">TEXT(D54,"DDD")</f>
        <v>Mon</v>
      </c>
      <c r="F54" s="41" t="n">
        <f aca="false">D54-$D$14</f>
        <v>1215</v>
      </c>
      <c r="H54" s="0" t="n">
        <f aca="false">(1+Curves!U40/12)^(-12*F54/360)</f>
        <v>0.825624946254818</v>
      </c>
      <c r="I54" s="59" t="n">
        <f aca="false">$F$4*H54*C54</f>
        <v>1378828.66563844</v>
      </c>
      <c r="J54" s="59" t="n">
        <f aca="false">I54*(Curves!B40+Curves!D40+Curves!E40)</f>
        <v>5387083.59664937</v>
      </c>
      <c r="K54" s="68" t="n">
        <f aca="false">ROUNDUP($L$6,4)</f>
        <v>4.2849</v>
      </c>
      <c r="L54" s="59" t="n">
        <f aca="false">K54*I54-J54</f>
        <v>521059.352744767</v>
      </c>
      <c r="N54" s="74" t="n">
        <f aca="false">(1+Curves!V40/12)^(-12*F54/360)</f>
        <v>0.801719991606022</v>
      </c>
      <c r="O54" s="59" t="n">
        <f aca="false">$F$4*N54*C54</f>
        <v>1338906.37783686</v>
      </c>
      <c r="P54" s="59" t="n">
        <f aca="false">O54*K54</f>
        <v>5737079.93839316</v>
      </c>
      <c r="Q54" s="59" t="n">
        <f aca="false">P54+Q53</f>
        <v>223728149.192574</v>
      </c>
      <c r="S54" s="59" t="n">
        <f aca="false">O54</f>
        <v>1338906.37783686</v>
      </c>
      <c r="T54" s="59" t="n">
        <f aca="false">S54*(Curves!B40+Curves!D40+Curves!E40)</f>
        <v>5231107.21820861</v>
      </c>
      <c r="U54" s="0" t="n">
        <f aca="false">$U$43</f>
        <v>3.8961</v>
      </c>
      <c r="V54" s="59" t="n">
        <f aca="false">(O54/N54)/C54</f>
        <v>53872.3354407041</v>
      </c>
      <c r="W54" s="59" t="n">
        <f aca="false">V54*(K54/U54)</f>
        <v>59248.3689150363</v>
      </c>
      <c r="Y54" s="59" t="n">
        <f aca="false">ROUND(W54,-2)</f>
        <v>59200</v>
      </c>
      <c r="Z54" s="68" t="n">
        <f aca="false">$Z$43</f>
        <v>3.89928327922083</v>
      </c>
    </row>
    <row r="55" customFormat="false" ht="12.75" hidden="false" customHeight="false" outlineLevel="0" collapsed="false">
      <c r="B55" s="155" t="n">
        <v>38078</v>
      </c>
      <c r="C55" s="0" t="n">
        <f aca="false">EOMONTH(B55,0)-EOMONTH(B55,-1)</f>
        <v>30</v>
      </c>
      <c r="D55" s="66" t="n">
        <f aca="false">WORKDAY(EOMONTH(B55,0)+24,1,'Financing Assumptions'!E73:E79)</f>
        <v>38132</v>
      </c>
      <c r="E55" s="156" t="str">
        <f aca="false">TEXT(D55,"DDD")</f>
        <v>Tue</v>
      </c>
      <c r="F55" s="41" t="n">
        <f aca="false">D55-$D$14</f>
        <v>1244</v>
      </c>
      <c r="H55" s="0" t="n">
        <f aca="false">(1+Curves!U41/12)^(-12*F55/360)</f>
        <v>0.821771580772632</v>
      </c>
      <c r="I55" s="59" t="n">
        <f aca="false">$F$4*H55*C55</f>
        <v>1328122.62765063</v>
      </c>
      <c r="J55" s="59" t="n">
        <f aca="false">I55*(Curves!B41+Curves!D41+Curves!E41)</f>
        <v>4937959.92960503</v>
      </c>
      <c r="K55" s="68" t="n">
        <f aca="false">ROUNDUP($L$6,4)</f>
        <v>4.2849</v>
      </c>
      <c r="L55" s="59" t="n">
        <f aca="false">K55*I55-J55</f>
        <v>752912.71761514</v>
      </c>
      <c r="N55" s="74" t="n">
        <f aca="false">(1+Curves!V41/12)^(-12*F55/360)</f>
        <v>0.797418846350071</v>
      </c>
      <c r="O55" s="59" t="n">
        <f aca="false">$F$4*N55*C55</f>
        <v>1288764.46731931</v>
      </c>
      <c r="P55" s="59" t="n">
        <f aca="false">O55*K55</f>
        <v>5522226.86601651</v>
      </c>
      <c r="Q55" s="59" t="n">
        <f aca="false">P55+Q54</f>
        <v>229250376.05859</v>
      </c>
      <c r="S55" s="59" t="n">
        <f aca="false">O55</f>
        <v>1288764.46731931</v>
      </c>
      <c r="T55" s="59" t="n">
        <f aca="false">S55*(Curves!B41+Curves!D41+Curves!E41)</f>
        <v>4791626.28949319</v>
      </c>
      <c r="U55" s="0" t="n">
        <f aca="false">ROUND(SUM(T55:T74)/SUM(S55:S74),4)</f>
        <v>3.7889</v>
      </c>
      <c r="V55" s="59" t="n">
        <f aca="false">(O55/N55)/C55</f>
        <v>53872.3354407041</v>
      </c>
      <c r="W55" s="59" t="n">
        <f aca="false">V55*(K55/U55)</f>
        <v>60924.6932169952</v>
      </c>
      <c r="Y55" s="59" t="n">
        <f aca="false">ROUND(W55,-2)</f>
        <v>60900</v>
      </c>
      <c r="Z55" s="68" t="n">
        <f aca="false">K55*(V55/Y55)</f>
        <v>3.79043629113092</v>
      </c>
    </row>
    <row r="56" customFormat="false" ht="12.75" hidden="false" customHeight="false" outlineLevel="0" collapsed="false">
      <c r="B56" s="155" t="n">
        <v>38108</v>
      </c>
      <c r="C56" s="0" t="n">
        <f aca="false">EOMONTH(B56,0)-EOMONTH(B56,-1)</f>
        <v>31</v>
      </c>
      <c r="D56" s="66" t="n">
        <f aca="false">WORKDAY(EOMONTH(B56,0)+24,1,'Financing Assumptions'!E74:E80)</f>
        <v>38163</v>
      </c>
      <c r="E56" s="156" t="str">
        <f aca="false">TEXT(D56,"DDD")</f>
        <v>Fri</v>
      </c>
      <c r="F56" s="41" t="n">
        <f aca="false">D56-$D$14</f>
        <v>1275</v>
      </c>
      <c r="H56" s="0" t="n">
        <f aca="false">(1+Curves!U42/12)^(-12*F56/360)</f>
        <v>0.817700561304303</v>
      </c>
      <c r="I56" s="59" t="n">
        <f aca="false">$F$4*H56*C56</f>
        <v>1365594.60678776</v>
      </c>
      <c r="J56" s="59" t="n">
        <f aca="false">I56*(Curves!B42+Curves!D42+Curves!E42)</f>
        <v>5015828.99073144</v>
      </c>
      <c r="K56" s="68" t="n">
        <f aca="false">ROUNDUP($L$6,4)</f>
        <v>4.2849</v>
      </c>
      <c r="L56" s="59" t="n">
        <f aca="false">K56*I56-J56</f>
        <v>835607.33989343</v>
      </c>
      <c r="N56" s="74" t="n">
        <f aca="false">(1+Curves!V42/12)^(-12*F56/360)</f>
        <v>0.792873917868023</v>
      </c>
      <c r="O56" s="59" t="n">
        <f aca="false">$F$4*N56*C56</f>
        <v>1324133.05963271</v>
      </c>
      <c r="P56" s="59" t="n">
        <f aca="false">O56*K56</f>
        <v>5673777.74722021</v>
      </c>
      <c r="Q56" s="59" t="n">
        <f aca="false">P56+Q55</f>
        <v>234924153.805811</v>
      </c>
      <c r="S56" s="59" t="n">
        <f aca="false">O56</f>
        <v>1324133.05963271</v>
      </c>
      <c r="T56" s="59" t="n">
        <f aca="false">S56*(Curves!B42+Curves!D42+Curves!E42)</f>
        <v>4863540.72803095</v>
      </c>
      <c r="U56" s="0" t="n">
        <f aca="false">$U$55</f>
        <v>3.7889</v>
      </c>
      <c r="V56" s="59" t="n">
        <f aca="false">(O56/N56)/C56</f>
        <v>53872.3354407041</v>
      </c>
      <c r="W56" s="59" t="n">
        <f aca="false">V56*(K56/U56)</f>
        <v>60924.6932169952</v>
      </c>
      <c r="Y56" s="59" t="n">
        <f aca="false">ROUND(W56,-2)</f>
        <v>60900</v>
      </c>
      <c r="Z56" s="68" t="n">
        <f aca="false">$Z$55</f>
        <v>3.79043629113092</v>
      </c>
    </row>
    <row r="57" customFormat="false" ht="12.75" hidden="false" customHeight="false" outlineLevel="0" collapsed="false">
      <c r="B57" s="155" t="n">
        <v>38139</v>
      </c>
      <c r="C57" s="0" t="n">
        <f aca="false">EOMONTH(B57,0)-EOMONTH(B57,-1)</f>
        <v>30</v>
      </c>
      <c r="D57" s="66" t="n">
        <f aca="false">WORKDAY(EOMONTH(B57,0)+24,1,'Financing Assumptions'!E75:E81)</f>
        <v>38194</v>
      </c>
      <c r="E57" s="156" t="str">
        <f aca="false">TEXT(D57,"DDD")</f>
        <v>Mon</v>
      </c>
      <c r="F57" s="41" t="n">
        <f aca="false">D57-$D$14</f>
        <v>1306</v>
      </c>
      <c r="H57" s="0" t="n">
        <f aca="false">(1+Curves!U43/12)^(-12*F57/360)</f>
        <v>0.813644677677439</v>
      </c>
      <c r="I57" s="59" t="n">
        <f aca="false">$F$4*H57*C57</f>
        <v>1314988.17016148</v>
      </c>
      <c r="J57" s="59" t="n">
        <f aca="false">I57*(Curves!B43+Curves!D43+Curves!E43)</f>
        <v>4856251.31240633</v>
      </c>
      <c r="K57" s="68" t="n">
        <f aca="false">ROUNDUP($L$6,4)</f>
        <v>4.2849</v>
      </c>
      <c r="L57" s="59" t="n">
        <f aca="false">K57*I57-J57</f>
        <v>778341.497918578</v>
      </c>
      <c r="N57" s="74" t="n">
        <f aca="false">(1+Curves!V43/12)^(-12*F57/360)</f>
        <v>0.788350021591299</v>
      </c>
      <c r="O57" s="59" t="n">
        <f aca="false">$F$4*N57*C57</f>
        <v>1274107.70423558</v>
      </c>
      <c r="P57" s="59" t="n">
        <f aca="false">O57*K57</f>
        <v>5459424.10187905</v>
      </c>
      <c r="Q57" s="59" t="n">
        <f aca="false">P57+Q56</f>
        <v>240383577.90769</v>
      </c>
      <c r="S57" s="59" t="n">
        <f aca="false">O57</f>
        <v>1274107.70423558</v>
      </c>
      <c r="T57" s="59" t="n">
        <f aca="false">S57*(Curves!B43+Curves!D43+Curves!E43)</f>
        <v>4705279.75174201</v>
      </c>
      <c r="U57" s="0" t="n">
        <f aca="false">$U$55</f>
        <v>3.7889</v>
      </c>
      <c r="V57" s="59" t="n">
        <f aca="false">(O57/N57)/C57</f>
        <v>53872.3354407041</v>
      </c>
      <c r="W57" s="59" t="n">
        <f aca="false">V57*(K57/U57)</f>
        <v>60924.6932169952</v>
      </c>
      <c r="Y57" s="59" t="n">
        <f aca="false">ROUND(W57,-2)</f>
        <v>60900</v>
      </c>
      <c r="Z57" s="68" t="n">
        <f aca="false">$Z$55</f>
        <v>3.79043629113092</v>
      </c>
    </row>
    <row r="58" customFormat="false" ht="12.75" hidden="false" customHeight="false" outlineLevel="0" collapsed="false">
      <c r="B58" s="155" t="n">
        <v>38169</v>
      </c>
      <c r="C58" s="0" t="n">
        <f aca="false">EOMONTH(B58,0)-EOMONTH(B58,-1)</f>
        <v>31</v>
      </c>
      <c r="D58" s="66" t="n">
        <f aca="false">WORKDAY(EOMONTH(B58,0)+24,1,'Financing Assumptions'!E76:E82)</f>
        <v>38224</v>
      </c>
      <c r="E58" s="156" t="str">
        <f aca="false">TEXT(D58,"DDD")</f>
        <v>Wed</v>
      </c>
      <c r="F58" s="41" t="n">
        <f aca="false">D58-$D$14</f>
        <v>1336</v>
      </c>
      <c r="H58" s="0" t="n">
        <f aca="false">(1+Curves!U44/12)^(-12*F58/360)</f>
        <v>0.809730802538379</v>
      </c>
      <c r="I58" s="59" t="n">
        <f aca="false">$F$4*H58*C58</f>
        <v>1352284.77174156</v>
      </c>
      <c r="J58" s="59" t="n">
        <f aca="false">I58*(Curves!B44+Curves!D44+Curves!E44)</f>
        <v>5014271.93361771</v>
      </c>
      <c r="K58" s="68" t="n">
        <f aca="false">ROUNDUP($L$6,4)</f>
        <v>4.2849</v>
      </c>
      <c r="L58" s="59" t="n">
        <f aca="false">K58*I58-J58</f>
        <v>780133.084817707</v>
      </c>
      <c r="N58" s="74" t="n">
        <f aca="false">(1+Curves!V44/12)^(-12*F58/360)</f>
        <v>0.783988912610207</v>
      </c>
      <c r="O58" s="59" t="n">
        <f aca="false">$F$4*N58*C58</f>
        <v>1309294.72413983</v>
      </c>
      <c r="P58" s="59" t="n">
        <f aca="false">O58*K58</f>
        <v>5610196.96346675</v>
      </c>
      <c r="Q58" s="59" t="n">
        <f aca="false">P58+Q57</f>
        <v>245993774.871156</v>
      </c>
      <c r="S58" s="59" t="n">
        <f aca="false">O58</f>
        <v>1309294.72413983</v>
      </c>
      <c r="T58" s="59" t="n">
        <f aca="false">S58*(Curves!B44+Curves!D44+Curves!E44)</f>
        <v>4854864.83711048</v>
      </c>
      <c r="U58" s="0" t="n">
        <f aca="false">$U$55</f>
        <v>3.7889</v>
      </c>
      <c r="V58" s="59" t="n">
        <f aca="false">(O58/N58)/C58</f>
        <v>53872.3354407041</v>
      </c>
      <c r="W58" s="59" t="n">
        <f aca="false">V58*(K58/U58)</f>
        <v>60924.6932169952</v>
      </c>
      <c r="Y58" s="59" t="n">
        <f aca="false">ROUND(W58,-2)</f>
        <v>60900</v>
      </c>
      <c r="Z58" s="68" t="n">
        <f aca="false">$Z$55</f>
        <v>3.79043629113092</v>
      </c>
    </row>
    <row r="59" customFormat="false" ht="12.75" hidden="false" customHeight="false" outlineLevel="0" collapsed="false">
      <c r="B59" s="155" t="n">
        <v>38200</v>
      </c>
      <c r="C59" s="0" t="n">
        <f aca="false">EOMONTH(B59,0)-EOMONTH(B59,-1)</f>
        <v>31</v>
      </c>
      <c r="D59" s="66" t="n">
        <f aca="false">WORKDAY(EOMONTH(B59,0)+24,1,'Financing Assumptions'!E77:E83)</f>
        <v>38257</v>
      </c>
      <c r="E59" s="156" t="str">
        <f aca="false">TEXT(D59,"DDD")</f>
        <v>Mon</v>
      </c>
      <c r="F59" s="41" t="n">
        <f aca="false">D59-$D$14</f>
        <v>1369</v>
      </c>
      <c r="H59" s="0" t="n">
        <f aca="false">(1+Curves!U45/12)^(-12*F59/360)</f>
        <v>0.805442702899947</v>
      </c>
      <c r="I59" s="59" t="n">
        <f aca="false">$F$4*H59*C59</f>
        <v>1345123.46353569</v>
      </c>
      <c r="J59" s="59" t="n">
        <f aca="false">I59*(Curves!B45+Curves!D45+Curves!E45)</f>
        <v>5001169.0374257</v>
      </c>
      <c r="K59" s="68" t="n">
        <f aca="false">ROUNDUP($L$6,4)</f>
        <v>4.2849</v>
      </c>
      <c r="L59" s="59" t="n">
        <f aca="false">K59*I59-J59</f>
        <v>762550.491478385</v>
      </c>
      <c r="N59" s="74" t="n">
        <f aca="false">(1+Curves!V45/12)^(-12*F59/360)</f>
        <v>0.779215126164012</v>
      </c>
      <c r="O59" s="59" t="n">
        <f aca="false">$F$4*N59*C59</f>
        <v>1301322.29837252</v>
      </c>
      <c r="P59" s="59" t="n">
        <f aca="false">O59*K59</f>
        <v>5576035.91629643</v>
      </c>
      <c r="Q59" s="59" t="n">
        <f aca="false">P59+Q58</f>
        <v>251569810.787453</v>
      </c>
      <c r="S59" s="59" t="n">
        <f aca="false">O59</f>
        <v>1301322.29837252</v>
      </c>
      <c r="T59" s="59" t="n">
        <f aca="false">S59*(Curves!B45+Curves!D45+Curves!E45)</f>
        <v>4838316.30534904</v>
      </c>
      <c r="U59" s="0" t="n">
        <f aca="false">$U$55</f>
        <v>3.7889</v>
      </c>
      <c r="V59" s="59" t="n">
        <f aca="false">(O59/N59)/C59</f>
        <v>53872.3354407041</v>
      </c>
      <c r="W59" s="59" t="n">
        <f aca="false">V59*(K59/U59)</f>
        <v>60924.6932169951</v>
      </c>
      <c r="Y59" s="59" t="n">
        <f aca="false">ROUND(W59,-2)</f>
        <v>60900</v>
      </c>
      <c r="Z59" s="68" t="n">
        <f aca="false">$Z$55</f>
        <v>3.79043629113092</v>
      </c>
    </row>
    <row r="60" customFormat="false" ht="12.75" hidden="false" customHeight="false" outlineLevel="0" collapsed="false">
      <c r="B60" s="155" t="n">
        <v>38231</v>
      </c>
      <c r="C60" s="0" t="n">
        <f aca="false">EOMONTH(B60,0)-EOMONTH(B60,-1)</f>
        <v>30</v>
      </c>
      <c r="D60" s="66" t="n">
        <f aca="false">WORKDAY(EOMONTH(B60,0)+24,1,'Financing Assumptions'!E78:E84)</f>
        <v>38285</v>
      </c>
      <c r="E60" s="156" t="str">
        <f aca="false">TEXT(D60,"DDD")</f>
        <v>Mon</v>
      </c>
      <c r="F60" s="41" t="n">
        <f aca="false">D60-$D$14</f>
        <v>1397</v>
      </c>
      <c r="H60" s="0" t="n">
        <f aca="false">(1+Curves!U46/12)^(-12*F60/360)</f>
        <v>0.801807219706937</v>
      </c>
      <c r="I60" s="59" t="n">
        <f aca="false">$F$4*H60*C60</f>
        <v>1295856.82496491</v>
      </c>
      <c r="J60" s="59" t="n">
        <f aca="false">I60*(Curves!B46+Curves!D46+Curves!E46)</f>
        <v>4840025.24124394</v>
      </c>
      <c r="K60" s="68" t="n">
        <f aca="false">ROUNDUP($L$6,4)</f>
        <v>4.2849</v>
      </c>
      <c r="L60" s="59" t="n">
        <f aca="false">K60*I60-J60</f>
        <v>712591.668048205</v>
      </c>
      <c r="N60" s="74" t="n">
        <f aca="false">(1+Curves!V46/12)^(-12*F60/360)</f>
        <v>0.775173040183522</v>
      </c>
      <c r="O60" s="59" t="n">
        <f aca="false">$F$4*N60*C60</f>
        <v>1252811.46136071</v>
      </c>
      <c r="P60" s="59" t="n">
        <f aca="false">O60*K60</f>
        <v>5368171.83078452</v>
      </c>
      <c r="Q60" s="59" t="n">
        <f aca="false">P60+Q59</f>
        <v>256937982.618237</v>
      </c>
      <c r="S60" s="59" t="n">
        <f aca="false">O60</f>
        <v>1252811.46136071</v>
      </c>
      <c r="T60" s="59" t="n">
        <f aca="false">S60*(Curves!B46+Curves!D46+Curves!E46)</f>
        <v>4679250.80818226</v>
      </c>
      <c r="U60" s="0" t="n">
        <f aca="false">$U$55</f>
        <v>3.7889</v>
      </c>
      <c r="V60" s="59" t="n">
        <f aca="false">(O60/N60)/C60</f>
        <v>53872.3354407041</v>
      </c>
      <c r="W60" s="59" t="n">
        <f aca="false">V60*(K60/U60)</f>
        <v>60924.6932169951</v>
      </c>
      <c r="Y60" s="59" t="n">
        <f aca="false">ROUND(W60,-2)</f>
        <v>60900</v>
      </c>
      <c r="Z60" s="68" t="n">
        <f aca="false">$Z$55</f>
        <v>3.79043629113092</v>
      </c>
    </row>
    <row r="61" customFormat="false" ht="12.75" hidden="false" customHeight="false" outlineLevel="0" collapsed="false">
      <c r="B61" s="155" t="n">
        <v>38261</v>
      </c>
      <c r="C61" s="0" t="n">
        <f aca="false">EOMONTH(B61,0)-EOMONTH(B61,-1)</f>
        <v>31</v>
      </c>
      <c r="D61" s="66" t="n">
        <f aca="false">WORKDAY(EOMONTH(B61,0)+24,1,'Financing Assumptions'!E79:E85)</f>
        <v>38316</v>
      </c>
      <c r="E61" s="156" t="str">
        <f aca="false">TEXT(D61,"DDD")</f>
        <v>Thu</v>
      </c>
      <c r="F61" s="41" t="n">
        <f aca="false">D61-$D$14</f>
        <v>1428</v>
      </c>
      <c r="H61" s="0" t="n">
        <f aca="false">(1+Curves!U47/12)^(-12*F61/360)</f>
        <v>0.797805407784611</v>
      </c>
      <c r="I61" s="59" t="n">
        <f aca="false">$F$4*H61*C61</f>
        <v>1332368.85688199</v>
      </c>
      <c r="J61" s="59" t="n">
        <f aca="false">I61*(Curves!B47+Curves!D47+Curves!E47)</f>
        <v>5000380.3198781</v>
      </c>
      <c r="K61" s="68" t="n">
        <f aca="false">ROUNDUP($L$6,4)</f>
        <v>4.2849</v>
      </c>
      <c r="L61" s="59" t="n">
        <f aca="false">K61*I61-J61</f>
        <v>708686.99497553</v>
      </c>
      <c r="N61" s="74" t="n">
        <f aca="false">(1+Curves!V47/12)^(-12*F61/360)</f>
        <v>0.770726236495442</v>
      </c>
      <c r="O61" s="59" t="n">
        <f aca="false">$F$4*N61*C61</f>
        <v>1287145.49270845</v>
      </c>
      <c r="P61" s="59" t="n">
        <f aca="false">O61*K61</f>
        <v>5515289.72170644</v>
      </c>
      <c r="Q61" s="59" t="n">
        <f aca="false">P61+Q60</f>
        <v>262453272.339944</v>
      </c>
      <c r="S61" s="59" t="n">
        <f aca="false">O61</f>
        <v>1287145.49270845</v>
      </c>
      <c r="T61" s="59" t="n">
        <f aca="false">S61*(Curves!B47+Curves!D47+Curves!E47)</f>
        <v>4830657.03413481</v>
      </c>
      <c r="U61" s="0" t="n">
        <f aca="false">$U$55</f>
        <v>3.7889</v>
      </c>
      <c r="V61" s="59" t="n">
        <f aca="false">(O61/N61)/C61</f>
        <v>53872.3354407041</v>
      </c>
      <c r="W61" s="59" t="n">
        <f aca="false">V61*(K61/U61)</f>
        <v>60924.6932169952</v>
      </c>
      <c r="Y61" s="59" t="n">
        <f aca="false">ROUND(W61,-2)</f>
        <v>60900</v>
      </c>
      <c r="Z61" s="68" t="n">
        <f aca="false">$Z$55</f>
        <v>3.79043629113092</v>
      </c>
    </row>
    <row r="62" customFormat="false" ht="12.75" hidden="false" customHeight="false" outlineLevel="0" collapsed="false">
      <c r="B62" s="155" t="n">
        <v>38292</v>
      </c>
      <c r="C62" s="0" t="n">
        <f aca="false">EOMONTH(B62,0)-EOMONTH(B62,-1)</f>
        <v>30</v>
      </c>
      <c r="D62" s="66" t="n">
        <f aca="false">WORKDAY(EOMONTH(B62,0)+24,1,'Financing Assumptions'!E80:E86)</f>
        <v>38348</v>
      </c>
      <c r="E62" s="156" t="str">
        <f aca="false">TEXT(D62,"DDD")</f>
        <v>Mon</v>
      </c>
      <c r="F62" s="41" t="n">
        <f aca="false">D62-$D$14</f>
        <v>1460</v>
      </c>
      <c r="H62" s="0" t="n">
        <f aca="false">(1+Curves!U48/12)^(-12*F62/360)</f>
        <v>0.793688272938632</v>
      </c>
      <c r="I62" s="59" t="n">
        <f aca="false">$F$4*H62*C62</f>
        <v>1282735.22625309</v>
      </c>
      <c r="J62" s="59" t="n">
        <f aca="false">I62*(Curves!B48+Curves!D48+Curves!E48)</f>
        <v>4985991.82444577</v>
      </c>
      <c r="K62" s="68" t="n">
        <f aca="false">ROUNDUP($L$6,4)</f>
        <v>4.2849</v>
      </c>
      <c r="L62" s="59" t="n">
        <f aca="false">K62*I62-J62</f>
        <v>510400.346526106</v>
      </c>
      <c r="N62" s="74" t="n">
        <f aca="false">(1+Curves!V48/12)^(-12*F62/360)</f>
        <v>0.76615581589385</v>
      </c>
      <c r="O62" s="59" t="n">
        <f aca="false">$F$4*N62*C62</f>
        <v>1238238.09341039</v>
      </c>
      <c r="P62" s="59" t="n">
        <f aca="false">O62*K62</f>
        <v>5305726.4064542</v>
      </c>
      <c r="Q62" s="59" t="n">
        <f aca="false">P62+Q61</f>
        <v>267758998.746398</v>
      </c>
      <c r="S62" s="59" t="n">
        <f aca="false">O62</f>
        <v>1238238.09341039</v>
      </c>
      <c r="T62" s="59" t="n">
        <f aca="false">S62*(Curves!B48+Curves!D48+Curves!E48)</f>
        <v>4813031.4690862</v>
      </c>
      <c r="U62" s="0" t="n">
        <f aca="false">$U$55</f>
        <v>3.7889</v>
      </c>
      <c r="V62" s="59" t="n">
        <f aca="false">(O62/N62)/C62</f>
        <v>53872.3354407041</v>
      </c>
      <c r="W62" s="59" t="n">
        <f aca="false">V62*(K62/U62)</f>
        <v>60924.6932169951</v>
      </c>
      <c r="Y62" s="59" t="n">
        <f aca="false">ROUND(W62,-2)</f>
        <v>60900</v>
      </c>
      <c r="Z62" s="68" t="n">
        <f aca="false">$Z$55</f>
        <v>3.79043629113092</v>
      </c>
    </row>
    <row r="63" customFormat="false" ht="12.75" hidden="false" customHeight="false" outlineLevel="0" collapsed="false">
      <c r="B63" s="155" t="n">
        <v>38322</v>
      </c>
      <c r="C63" s="0" t="n">
        <f aca="false">EOMONTH(B63,0)-EOMONTH(B63,-1)</f>
        <v>31</v>
      </c>
      <c r="D63" s="66" t="n">
        <f aca="false">WORKDAY(EOMONTH(B63,0)+24,1,'Financing Assumptions'!E81:E87)</f>
        <v>38377</v>
      </c>
      <c r="E63" s="156" t="str">
        <f aca="false">TEXT(D63,"DDD")</f>
        <v>Tue</v>
      </c>
      <c r="F63" s="41" t="n">
        <f aca="false">D63-$D$14</f>
        <v>1489</v>
      </c>
      <c r="H63" s="0" t="n">
        <f aca="false">(1+Curves!U49/12)^(-12*F63/360)</f>
        <v>0.789966580131595</v>
      </c>
      <c r="I63" s="59" t="n">
        <f aca="false">$F$4*H63*C63</f>
        <v>1319277.68234565</v>
      </c>
      <c r="J63" s="59" t="n">
        <f aca="false">I63*(Curves!B49+Curves!D49+Curves!E49)</f>
        <v>5306134.8383942</v>
      </c>
      <c r="K63" s="68" t="n">
        <f aca="false">ROUNDUP($L$6,4)</f>
        <v>4.2849</v>
      </c>
      <c r="L63" s="59" t="n">
        <f aca="false">K63*I63-J63</f>
        <v>346838.102688672</v>
      </c>
      <c r="N63" s="74" t="n">
        <f aca="false">(1+Curves!V49/12)^(-12*F63/360)</f>
        <v>0.762028713183236</v>
      </c>
      <c r="O63" s="59" t="n">
        <f aca="false">$F$4*N63*C63</f>
        <v>1272620.26001372</v>
      </c>
      <c r="P63" s="59" t="n">
        <f aca="false">O63*K63</f>
        <v>5453050.55213277</v>
      </c>
      <c r="Q63" s="59" t="n">
        <f aca="false">P63+Q62</f>
        <v>273212049.298531</v>
      </c>
      <c r="S63" s="59" t="n">
        <f aca="false">O63</f>
        <v>1272620.26001372</v>
      </c>
      <c r="T63" s="59" t="n">
        <f aca="false">S63*(Curves!B49+Curves!D49+Curves!E49)</f>
        <v>5118478.68577516</v>
      </c>
      <c r="U63" s="0" t="n">
        <f aca="false">$U$55</f>
        <v>3.7889</v>
      </c>
      <c r="V63" s="59" t="n">
        <f aca="false">(O63/N63)/C63</f>
        <v>53872.3354407041</v>
      </c>
      <c r="W63" s="59" t="n">
        <f aca="false">V63*(K63/U63)</f>
        <v>60924.6932169952</v>
      </c>
      <c r="Y63" s="59" t="n">
        <f aca="false">ROUND(W63,-2)</f>
        <v>60900</v>
      </c>
      <c r="Z63" s="68" t="n">
        <f aca="false">$Z$55</f>
        <v>3.79043629113092</v>
      </c>
    </row>
    <row r="64" customFormat="false" ht="12.75" hidden="false" customHeight="false" outlineLevel="0" collapsed="false">
      <c r="B64" s="155" t="n">
        <v>38353</v>
      </c>
      <c r="C64" s="0" t="n">
        <f aca="false">EOMONTH(B64,0)-EOMONTH(B64,-1)</f>
        <v>31</v>
      </c>
      <c r="D64" s="66" t="n">
        <f aca="false">WORKDAY(EOMONTH(B64,0)+24,1,'Financing Assumptions'!E82:E88)</f>
        <v>38408</v>
      </c>
      <c r="E64" s="156" t="str">
        <f aca="false">TEXT(D64,"DDD")</f>
        <v>Fri</v>
      </c>
      <c r="F64" s="41" t="n">
        <f aca="false">D64-$D$14</f>
        <v>1520</v>
      </c>
      <c r="H64" s="0" t="n">
        <f aca="false">(1+Curves!U50/12)^(-12*F64/360)</f>
        <v>0.785980988372765</v>
      </c>
      <c r="I64" s="59" t="n">
        <f aca="false">$F$4*H64*C64</f>
        <v>1312621.57512465</v>
      </c>
      <c r="J64" s="59" t="n">
        <f aca="false">I64*(Curves!B50+Curves!D50+Curves!E50)</f>
        <v>5450004.77991753</v>
      </c>
      <c r="K64" s="68" t="n">
        <f aca="false">ROUNDUP($L$6,4)</f>
        <v>4.2849</v>
      </c>
      <c r="L64" s="59" t="n">
        <f aca="false">K64*I64-J64</f>
        <v>174447.407334066</v>
      </c>
      <c r="N64" s="74" t="n">
        <f aca="false">(1+Curves!V50/12)^(-12*F64/360)</f>
        <v>0.757616013294662</v>
      </c>
      <c r="O64" s="59" t="n">
        <f aca="false">$F$4*N64*C64</f>
        <v>1265250.86410723</v>
      </c>
      <c r="P64" s="59" t="n">
        <f aca="false">O64*K64</f>
        <v>5421473.42761306</v>
      </c>
      <c r="Q64" s="59" t="n">
        <f aca="false">P64+Q63</f>
        <v>278633522.726144</v>
      </c>
      <c r="S64" s="59" t="n">
        <f aca="false">O64</f>
        <v>1265250.86410723</v>
      </c>
      <c r="T64" s="59" t="n">
        <f aca="false">S64*(Curves!B50+Curves!D50+Curves!E50)</f>
        <v>5253321.58777321</v>
      </c>
      <c r="U64" s="0" t="n">
        <f aca="false">$U$55</f>
        <v>3.7889</v>
      </c>
      <c r="V64" s="59" t="n">
        <f aca="false">(O64/N64)/C64</f>
        <v>53872.3354407041</v>
      </c>
      <c r="W64" s="59" t="n">
        <f aca="false">V64*(K64/U64)</f>
        <v>60924.6932169952</v>
      </c>
      <c r="Y64" s="59" t="n">
        <f aca="false">ROUND(W64,-2)</f>
        <v>60900</v>
      </c>
      <c r="Z64" s="68" t="n">
        <f aca="false">$Z$55</f>
        <v>3.79043629113092</v>
      </c>
    </row>
    <row r="65" customFormat="false" ht="12.75" hidden="false" customHeight="false" outlineLevel="0" collapsed="false">
      <c r="B65" s="155" t="n">
        <v>38384</v>
      </c>
      <c r="C65" s="0" t="n">
        <f aca="false">EOMONTH(B65,0)-EOMONTH(B65,-1)</f>
        <v>28</v>
      </c>
      <c r="D65" s="66" t="n">
        <f aca="false">WORKDAY(EOMONTH(B65,0)+24,1,'Financing Assumptions'!E83:E89)</f>
        <v>38436</v>
      </c>
      <c r="E65" s="156" t="str">
        <f aca="false">TEXT(D65,"DDD")</f>
        <v>Fri</v>
      </c>
      <c r="F65" s="41" t="n">
        <f aca="false">D65-$D$14</f>
        <v>1548</v>
      </c>
      <c r="H65" s="0" t="n">
        <f aca="false">(1+Curves!U51/12)^(-12*F65/360)</f>
        <v>0.782361091207357</v>
      </c>
      <c r="I65" s="59" t="n">
        <f aca="false">$F$4*H65*C65</f>
        <v>1180133.33595578</v>
      </c>
      <c r="J65" s="59" t="n">
        <f aca="false">I65*(Curves!B51+Curves!D51+Curves!E51)</f>
        <v>4764198.2772535</v>
      </c>
      <c r="K65" s="68" t="n">
        <f aca="false">ROUNDUP($L$6,4)</f>
        <v>4.2849</v>
      </c>
      <c r="L65" s="59" t="n">
        <f aca="false">K65*I65-J65</f>
        <v>292555.053983441</v>
      </c>
      <c r="N65" s="74" t="n">
        <f aca="false">(1+Curves!V51/12)^(-12*F65/360)</f>
        <v>0.753616418162224</v>
      </c>
      <c r="O65" s="59" t="n">
        <f aca="false">$F$4*N65*C65</f>
        <v>1136774.14124</v>
      </c>
      <c r="P65" s="59" t="n">
        <f aca="false">O65*K65</f>
        <v>4870963.51779929</v>
      </c>
      <c r="Q65" s="59" t="n">
        <f aca="false">P65+Q64</f>
        <v>283504486.243943</v>
      </c>
      <c r="S65" s="59" t="n">
        <f aca="false">O65</f>
        <v>1136774.14124</v>
      </c>
      <c r="T65" s="59" t="n">
        <f aca="false">S65*(Curves!B51+Curves!D51+Curves!E51)</f>
        <v>4589157.20818589</v>
      </c>
      <c r="U65" s="0" t="n">
        <f aca="false">$U$55</f>
        <v>3.7889</v>
      </c>
      <c r="V65" s="59" t="n">
        <f aca="false">(O65/N65)/C65</f>
        <v>53872.3354407041</v>
      </c>
      <c r="W65" s="59" t="n">
        <f aca="false">V65*(K65/U65)</f>
        <v>60924.6932169952</v>
      </c>
      <c r="Y65" s="59" t="n">
        <f aca="false">ROUND(W65,-2)</f>
        <v>60900</v>
      </c>
      <c r="Z65" s="68" t="n">
        <f aca="false">$Z$55</f>
        <v>3.79043629113092</v>
      </c>
    </row>
    <row r="66" customFormat="false" ht="12.75" hidden="false" customHeight="false" outlineLevel="0" collapsed="false">
      <c r="B66" s="155" t="n">
        <v>38412</v>
      </c>
      <c r="C66" s="0" t="n">
        <f aca="false">EOMONTH(B66,0)-EOMONTH(B66,-1)</f>
        <v>31</v>
      </c>
      <c r="D66" s="66" t="n">
        <f aca="false">WORKDAY(EOMONTH(B66,0)+24,1,'Financing Assumptions'!E84:E90)</f>
        <v>38467</v>
      </c>
      <c r="E66" s="156" t="str">
        <f aca="false">TEXT(D66,"DDD")</f>
        <v>Mon</v>
      </c>
      <c r="F66" s="41" t="n">
        <f aca="false">D66-$D$14</f>
        <v>1579</v>
      </c>
      <c r="H66" s="0" t="n">
        <f aca="false">(1+Curves!U52/12)^(-12*F66/360)</f>
        <v>0.778396025979389</v>
      </c>
      <c r="I66" s="59" t="n">
        <f aca="false">$F$4*H66*C66</f>
        <v>1299954.36633545</v>
      </c>
      <c r="J66" s="59" t="n">
        <f aca="false">I66*(Curves!B52+Curves!D52+Curves!E52)</f>
        <v>5065922.16560925</v>
      </c>
      <c r="K66" s="68" t="n">
        <f aca="false">ROUNDUP($L$6,4)</f>
        <v>4.2849</v>
      </c>
      <c r="L66" s="59" t="n">
        <f aca="false">K66*I66-J66</f>
        <v>504252.298701523</v>
      </c>
      <c r="N66" s="74" t="n">
        <f aca="false">(1+Curves!V52/12)^(-12*F66/360)</f>
        <v>0.74923526737089</v>
      </c>
      <c r="O66" s="59" t="n">
        <f aca="false">$F$4*N66*C66</f>
        <v>1251254.66308212</v>
      </c>
      <c r="P66" s="59" t="n">
        <f aca="false">O66*K66</f>
        <v>5361501.10584056</v>
      </c>
      <c r="Q66" s="59" t="n">
        <f aca="false">P66+Q65</f>
        <v>288865987.349784</v>
      </c>
      <c r="S66" s="59" t="n">
        <f aca="false">O66</f>
        <v>1251254.66308212</v>
      </c>
      <c r="T66" s="59" t="n">
        <f aca="false">S66*(Curves!B52+Curves!D52+Curves!E52)</f>
        <v>4876139.42203101</v>
      </c>
      <c r="U66" s="0" t="n">
        <f aca="false">$U$55</f>
        <v>3.7889</v>
      </c>
      <c r="V66" s="59" t="n">
        <f aca="false">(O66/N66)/C66</f>
        <v>53872.3354407041</v>
      </c>
      <c r="W66" s="59" t="n">
        <f aca="false">V66*(K66/U66)</f>
        <v>60924.6932169952</v>
      </c>
      <c r="Y66" s="59" t="n">
        <f aca="false">ROUND(W66,-2)</f>
        <v>60900</v>
      </c>
      <c r="Z66" s="68" t="n">
        <f aca="false">$Z$55</f>
        <v>3.79043629113092</v>
      </c>
    </row>
    <row r="67" customFormat="false" ht="12.75" hidden="false" customHeight="false" outlineLevel="0" collapsed="false">
      <c r="B67" s="155" t="n">
        <v>38443</v>
      </c>
      <c r="C67" s="0" t="n">
        <f aca="false">EOMONTH(B67,0)-EOMONTH(B67,-1)</f>
        <v>30</v>
      </c>
      <c r="D67" s="66" t="n">
        <f aca="false">WORKDAY(EOMONTH(B67,0)+24,1,'Financing Assumptions'!E85:E91)</f>
        <v>38497</v>
      </c>
      <c r="E67" s="156" t="str">
        <f aca="false">TEXT(D67,"DDD")</f>
        <v>Wed</v>
      </c>
      <c r="F67" s="41" t="n">
        <f aca="false">D67-$D$14</f>
        <v>1609</v>
      </c>
      <c r="H67" s="0" t="n">
        <f aca="false">(1+Curves!U53/12)^(-12*F67/360)</f>
        <v>0.774595728192005</v>
      </c>
      <c r="I67" s="59" t="n">
        <f aca="false">$F$4*H67*C67</f>
        <v>1251878.42700288</v>
      </c>
      <c r="J67" s="59" t="n">
        <f aca="false">I67*(Curves!B53+Curves!D53+Curves!E53)</f>
        <v>4641965.20732669</v>
      </c>
      <c r="K67" s="68" t="n">
        <f aca="false">ROUNDUP($L$6,4)</f>
        <v>4.2849</v>
      </c>
      <c r="L67" s="59" t="n">
        <f aca="false">K67*I67-J67</f>
        <v>722208.664537964</v>
      </c>
      <c r="N67" s="74" t="n">
        <f aca="false">(1+Curves!V53/12)^(-12*F67/360)</f>
        <v>0.745036735060537</v>
      </c>
      <c r="O67" s="59" t="n">
        <f aca="false">$F$4*N67*C67</f>
        <v>1204106.06720485</v>
      </c>
      <c r="P67" s="59" t="n">
        <f aca="false">O67*K67</f>
        <v>5159474.08736604</v>
      </c>
      <c r="Q67" s="59" t="n">
        <f aca="false">P67+Q66</f>
        <v>294025461.43715</v>
      </c>
      <c r="R67" s="0" t="s">
        <v>199</v>
      </c>
      <c r="S67" s="59" t="n">
        <f aca="false">O67</f>
        <v>1204106.06720485</v>
      </c>
      <c r="T67" s="59" t="n">
        <f aca="false">S67*(Curves!B53+Curves!D53+Curves!E53)</f>
        <v>4464825.29719557</v>
      </c>
      <c r="U67" s="0" t="n">
        <f aca="false">$U$55</f>
        <v>3.7889</v>
      </c>
      <c r="V67" s="59" t="n">
        <f aca="false">(O67/N67)/C67</f>
        <v>53872.3354407041</v>
      </c>
      <c r="W67" s="59" t="n">
        <f aca="false">V67*(K67/U67)</f>
        <v>60924.6932169952</v>
      </c>
      <c r="Y67" s="59" t="n">
        <f aca="false">ROUND(W67,-2)</f>
        <v>60900</v>
      </c>
      <c r="Z67" s="68" t="n">
        <f aca="false">K67*(V67/Y67)</f>
        <v>3.79043629113092</v>
      </c>
    </row>
    <row r="68" customFormat="false" ht="12.75" hidden="false" customHeight="false" outlineLevel="0" collapsed="false">
      <c r="B68" s="155" t="n">
        <v>38473</v>
      </c>
      <c r="C68" s="0" t="n">
        <f aca="false">EOMONTH(B68,0)-EOMONTH(B68,-1)</f>
        <v>31</v>
      </c>
      <c r="D68" s="66" t="n">
        <f aca="false">WORKDAY(EOMONTH(B68,0)+24,1,'Financing Assumptions'!E86:E92)</f>
        <v>38530</v>
      </c>
      <c r="E68" s="156" t="str">
        <f aca="false">TEXT(D68,"DDD")</f>
        <v>Mon</v>
      </c>
      <c r="F68" s="41" t="n">
        <f aca="false">D68-$D$14</f>
        <v>1642</v>
      </c>
      <c r="H68" s="0" t="n">
        <f aca="false">(1+Curves!U54/12)^(-12*F68/360)</f>
        <v>0.770479334013903</v>
      </c>
      <c r="I68" s="59" t="n">
        <f aca="false">$F$4*H68*C68</f>
        <v>1286733.15509595</v>
      </c>
      <c r="J68" s="59" t="n">
        <f aca="false">I68*(Curves!B54+Curves!D54+Curves!E54)</f>
        <v>4713303.54711645</v>
      </c>
      <c r="K68" s="68" t="n">
        <f aca="false">ROUNDUP($L$6,4)</f>
        <v>4.2849</v>
      </c>
      <c r="L68" s="59" t="n">
        <f aca="false">K68*I68-J68</f>
        <v>800219.34915417</v>
      </c>
      <c r="N68" s="74" t="n">
        <f aca="false">(1+Curves!V54/12)^(-12*F68/360)</f>
        <v>0.740486341584416</v>
      </c>
      <c r="O68" s="59" t="n">
        <f aca="false">$F$4*N68*C68</f>
        <v>1236643.58607596</v>
      </c>
      <c r="P68" s="59" t="n">
        <f aca="false">O68*K68</f>
        <v>5298894.10197687</v>
      </c>
      <c r="Q68" s="59" t="n">
        <f aca="false">P68+Q67</f>
        <v>299324355.539127</v>
      </c>
      <c r="S68" s="59" t="n">
        <f aca="false">O68</f>
        <v>1236643.58607596</v>
      </c>
      <c r="T68" s="59" t="n">
        <f aca="false">S68*(Curves!B54+Curves!D54+Curves!E54)</f>
        <v>4529825.45579623</v>
      </c>
      <c r="U68" s="0" t="n">
        <f aca="false">$U$55</f>
        <v>3.7889</v>
      </c>
      <c r="V68" s="59" t="n">
        <f aca="false">(O68/N68)/C68</f>
        <v>53872.3354407041</v>
      </c>
      <c r="W68" s="59" t="n">
        <f aca="false">V68*(K68/U68)</f>
        <v>60924.6932169952</v>
      </c>
      <c r="Y68" s="59" t="n">
        <f aca="false">ROUND(W68,-2)</f>
        <v>60900</v>
      </c>
      <c r="Z68" s="68" t="n">
        <f aca="false">$Z$67</f>
        <v>3.79043629113092</v>
      </c>
    </row>
    <row r="69" customFormat="false" ht="12.75" hidden="false" customHeight="false" outlineLevel="0" collapsed="false">
      <c r="B69" s="155" t="n">
        <v>38504</v>
      </c>
      <c r="C69" s="0" t="n">
        <f aca="false">EOMONTH(B69,0)-EOMONTH(B69,-1)</f>
        <v>30</v>
      </c>
      <c r="D69" s="66" t="n">
        <f aca="false">WORKDAY(EOMONTH(B69,0)+24,1,'Financing Assumptions'!E87:E93)</f>
        <v>38558</v>
      </c>
      <c r="E69" s="156" t="str">
        <f aca="false">TEXT(D69,"DDD")</f>
        <v>Mon</v>
      </c>
      <c r="F69" s="41" t="n">
        <f aca="false">D69-$D$14</f>
        <v>1670</v>
      </c>
      <c r="H69" s="0" t="n">
        <f aca="false">(1+Curves!U55/12)^(-12*F69/360)</f>
        <v>0.766988647532492</v>
      </c>
      <c r="I69" s="59" t="n">
        <f aca="false">$F$4*H69*C69</f>
        <v>1239584.09097247</v>
      </c>
      <c r="J69" s="59" t="n">
        <f aca="false">I69*(Curves!B55+Curves!D55+Curves!E55)</f>
        <v>4565388.20705161</v>
      </c>
      <c r="K69" s="68" t="n">
        <f aca="false">ROUNDUP($L$6,4)</f>
        <v>4.2849</v>
      </c>
      <c r="L69" s="59" t="n">
        <f aca="false">K69*I69-J69</f>
        <v>746105.66435633</v>
      </c>
      <c r="N69" s="74" t="n">
        <f aca="false">(1+Curves!V55/12)^(-12*F69/360)</f>
        <v>0.736632665215931</v>
      </c>
      <c r="O69" s="59" t="n">
        <f aca="false">$F$4*N69*C69</f>
        <v>1190523.66111278</v>
      </c>
      <c r="P69" s="59" t="n">
        <f aca="false">O69*K69</f>
        <v>5101274.83550213</v>
      </c>
      <c r="Q69" s="59" t="n">
        <f aca="false">P69+Q68</f>
        <v>304425630.374629</v>
      </c>
      <c r="S69" s="59" t="n">
        <f aca="false">O69</f>
        <v>1190523.66111278</v>
      </c>
      <c r="T69" s="59" t="n">
        <f aca="false">S69*(Curves!B55+Curves!D55+Curves!E55)</f>
        <v>4384698.64387835</v>
      </c>
      <c r="U69" s="0" t="n">
        <f aca="false">$U$55</f>
        <v>3.7889</v>
      </c>
      <c r="V69" s="59" t="n">
        <f aca="false">(O69/N69)/C69</f>
        <v>53872.3354407041</v>
      </c>
      <c r="W69" s="59" t="n">
        <f aca="false">V69*(K69/U69)</f>
        <v>60924.6932169952</v>
      </c>
      <c r="Y69" s="59" t="n">
        <f aca="false">ROUND(W69,-2)</f>
        <v>60900</v>
      </c>
      <c r="Z69" s="68" t="n">
        <f aca="false">$Z$67</f>
        <v>3.79043629113092</v>
      </c>
    </row>
    <row r="70" customFormat="false" ht="12.75" hidden="false" customHeight="false" outlineLevel="0" collapsed="false">
      <c r="B70" s="155" t="n">
        <v>38534</v>
      </c>
      <c r="C70" s="0" t="n">
        <f aca="false">EOMONTH(B70,0)-EOMONTH(B70,-1)</f>
        <v>31</v>
      </c>
      <c r="D70" s="66" t="n">
        <f aca="false">WORKDAY(EOMONTH(B70,0)+24,1,'Financing Assumptions'!E88:E94)</f>
        <v>38589</v>
      </c>
      <c r="E70" s="156" t="str">
        <f aca="false">TEXT(D70,"DDD")</f>
        <v>Thu</v>
      </c>
      <c r="F70" s="41" t="n">
        <f aca="false">D70-$D$14</f>
        <v>1701</v>
      </c>
      <c r="H70" s="0" t="n">
        <f aca="false">(1+Curves!U56/12)^(-12*F70/360)</f>
        <v>0.763149827073883</v>
      </c>
      <c r="I70" s="59" t="n">
        <f aca="false">$F$4*H70*C70</f>
        <v>1274492.56774483</v>
      </c>
      <c r="J70" s="59" t="n">
        <f aca="false">I70*(Curves!B56+Curves!D56+Curves!E56)</f>
        <v>4713073.51552037</v>
      </c>
      <c r="K70" s="68" t="n">
        <f aca="false">ROUNDUP($L$6,4)</f>
        <v>4.2849</v>
      </c>
      <c r="L70" s="59" t="n">
        <f aca="false">K70*I70-J70</f>
        <v>747999.688009438</v>
      </c>
      <c r="N70" s="74" t="n">
        <f aca="false">(1+Curves!V56/12)^(-12*F70/360)</f>
        <v>0.732396604099147</v>
      </c>
      <c r="O70" s="59" t="n">
        <f aca="false">$F$4*N70*C70</f>
        <v>1223133.38148152</v>
      </c>
      <c r="P70" s="59" t="n">
        <f aca="false">O70*K70</f>
        <v>5241004.22631014</v>
      </c>
      <c r="Q70" s="59" t="n">
        <f aca="false">P70+Q69</f>
        <v>309666634.600939</v>
      </c>
      <c r="S70" s="59" t="n">
        <f aca="false">O70</f>
        <v>1223133.38148152</v>
      </c>
      <c r="T70" s="59" t="n">
        <f aca="false">S70*(Curves!B56+Curves!D56+Curves!E56)</f>
        <v>4523147.24471864</v>
      </c>
      <c r="U70" s="0" t="n">
        <f aca="false">$U$55</f>
        <v>3.7889</v>
      </c>
      <c r="V70" s="59" t="n">
        <f aca="false">(O70/N70)/C70</f>
        <v>53872.3354407041</v>
      </c>
      <c r="W70" s="59" t="n">
        <f aca="false">V70*(K70/U70)</f>
        <v>60924.6932169952</v>
      </c>
      <c r="Y70" s="59" t="n">
        <f aca="false">ROUND(W70,-2)</f>
        <v>60900</v>
      </c>
      <c r="Z70" s="68" t="n">
        <f aca="false">$Z$67</f>
        <v>3.79043629113092</v>
      </c>
    </row>
    <row r="71" customFormat="false" ht="12.75" hidden="false" customHeight="false" outlineLevel="0" collapsed="false">
      <c r="B71" s="155" t="n">
        <v>38565</v>
      </c>
      <c r="C71" s="0" t="n">
        <f aca="false">EOMONTH(B71,0)-EOMONTH(B71,-1)</f>
        <v>31</v>
      </c>
      <c r="D71" s="66" t="n">
        <f aca="false">WORKDAY(EOMONTH(B71,0)+24,1,'Financing Assumptions'!E89:E95)</f>
        <v>38621</v>
      </c>
      <c r="E71" s="156" t="str">
        <f aca="false">TEXT(D71,"DDD")</f>
        <v>Mon</v>
      </c>
      <c r="F71" s="41" t="n">
        <f aca="false">D71-$D$14</f>
        <v>1733</v>
      </c>
      <c r="H71" s="0" t="n">
        <f aca="false">(1+Curves!U57/12)^(-12*F71/360)</f>
        <v>0.759204543783095</v>
      </c>
      <c r="I71" s="59" t="n">
        <f aca="false">$F$4*H71*C71</f>
        <v>1267903.77737448</v>
      </c>
      <c r="J71" s="59" t="n">
        <f aca="false">I71*(Curves!B57+Curves!D57+Curves!E57)</f>
        <v>4701387.20650456</v>
      </c>
      <c r="K71" s="68" t="n">
        <f aca="false">ROUNDUP($L$6,4)</f>
        <v>4.2849</v>
      </c>
      <c r="L71" s="59" t="n">
        <f aca="false">K71*I71-J71</f>
        <v>731453.689167337</v>
      </c>
      <c r="N71" s="74" t="n">
        <f aca="false">(1+Curves!V57/12)^(-12*F71/360)</f>
        <v>0.728046779516424</v>
      </c>
      <c r="O71" s="59" t="n">
        <f aca="false">$F$4*N71*C71</f>
        <v>1215868.99000163</v>
      </c>
      <c r="P71" s="59" t="n">
        <f aca="false">O71*K71</f>
        <v>5209877.03525797</v>
      </c>
      <c r="Q71" s="59" t="n">
        <f aca="false">P71+Q70</f>
        <v>314876511.636197</v>
      </c>
      <c r="S71" s="59" t="n">
        <f aca="false">O71</f>
        <v>1215868.99000163</v>
      </c>
      <c r="T71" s="59" t="n">
        <f aca="false">S71*(Curves!B57+Curves!D57+Curves!E57)</f>
        <v>4508442.21492603</v>
      </c>
      <c r="U71" s="0" t="n">
        <f aca="false">$U$55</f>
        <v>3.7889</v>
      </c>
      <c r="V71" s="59" t="n">
        <f aca="false">(O71/N71)/C71</f>
        <v>53872.3354407041</v>
      </c>
      <c r="W71" s="59" t="n">
        <f aca="false">V71*(K71/U71)</f>
        <v>60924.6932169952</v>
      </c>
      <c r="Y71" s="59" t="n">
        <f aca="false">ROUND(W71,-2)</f>
        <v>60900</v>
      </c>
      <c r="Z71" s="68" t="n">
        <f aca="false">$Z$67</f>
        <v>3.79043629113092</v>
      </c>
    </row>
    <row r="72" customFormat="false" ht="12.75" hidden="false" customHeight="false" outlineLevel="0" collapsed="false">
      <c r="B72" s="155" t="n">
        <v>38596</v>
      </c>
      <c r="C72" s="0" t="n">
        <f aca="false">EOMONTH(B72,0)-EOMONTH(B72,-1)</f>
        <v>30</v>
      </c>
      <c r="D72" s="66" t="n">
        <f aca="false">WORKDAY(EOMONTH(B72,0)+24,1,'Financing Assumptions'!E90:E96)</f>
        <v>38650</v>
      </c>
      <c r="E72" s="156" t="str">
        <f aca="false">TEXT(D72,"DDD")</f>
        <v>Tue</v>
      </c>
      <c r="F72" s="41" t="n">
        <f aca="false">D72-$D$14</f>
        <v>1762</v>
      </c>
      <c r="H72" s="0" t="n">
        <f aca="false">(1+Curves!U58/12)^(-12*F72/360)</f>
        <v>0.75563731957216</v>
      </c>
      <c r="I72" s="59" t="n">
        <f aca="false">$F$4*H72*C72</f>
        <v>1221238.41454518</v>
      </c>
      <c r="J72" s="59" t="n">
        <f aca="false">I72*(Curves!B58+Curves!D58+Curves!E58)</f>
        <v>4549113.09418078</v>
      </c>
      <c r="K72" s="68" t="n">
        <f aca="false">ROUNDUP($L$6,4)</f>
        <v>4.2849</v>
      </c>
      <c r="L72" s="59" t="n">
        <f aca="false">K72*I72-J72</f>
        <v>683771.388303844</v>
      </c>
      <c r="N72" s="74" t="n">
        <f aca="false">(1+Curves!V58/12)^(-12*F72/360)</f>
        <v>0.724118038422028</v>
      </c>
      <c r="O72" s="59" t="n">
        <f aca="false">$F$4*N72*C72</f>
        <v>1170297.89593608</v>
      </c>
      <c r="P72" s="59" t="n">
        <f aca="false">O72*K72</f>
        <v>5014609.45429653</v>
      </c>
      <c r="Q72" s="59" t="n">
        <f aca="false">P72+Q71</f>
        <v>319891121.090494</v>
      </c>
      <c r="S72" s="59" t="n">
        <f aca="false">O72</f>
        <v>1170297.89593608</v>
      </c>
      <c r="T72" s="59" t="n">
        <f aca="false">S72*(Curves!B58+Curves!D58+Curves!E58)</f>
        <v>4359359.66236191</v>
      </c>
      <c r="U72" s="0" t="n">
        <f aca="false">$U$55</f>
        <v>3.7889</v>
      </c>
      <c r="V72" s="59" t="n">
        <f aca="false">(O72/N72)/C72</f>
        <v>53872.3354407041</v>
      </c>
      <c r="W72" s="59" t="n">
        <f aca="false">V72*(K72/U72)</f>
        <v>60924.6932169951</v>
      </c>
      <c r="Y72" s="59" t="n">
        <f aca="false">ROUND(W72,-2)</f>
        <v>60900</v>
      </c>
      <c r="Z72" s="68" t="n">
        <f aca="false">$Z$67</f>
        <v>3.79043629113092</v>
      </c>
    </row>
    <row r="73" customFormat="false" ht="12.75" hidden="false" customHeight="false" outlineLevel="0" collapsed="false">
      <c r="B73" s="155" t="n">
        <v>38626</v>
      </c>
      <c r="C73" s="0" t="n">
        <f aca="false">EOMONTH(B73,0)-EOMONTH(B73,-1)</f>
        <v>31</v>
      </c>
      <c r="D73" s="66" t="n">
        <f aca="false">WORKDAY(EOMONTH(B73,0)+24,1,'Financing Assumptions'!E91:E97)</f>
        <v>38681</v>
      </c>
      <c r="E73" s="156" t="str">
        <f aca="false">TEXT(D73,"DDD")</f>
        <v>Fri</v>
      </c>
      <c r="F73" s="41" t="n">
        <f aca="false">D73-$D$14</f>
        <v>1793</v>
      </c>
      <c r="H73" s="0" t="n">
        <f aca="false">(1+Curves!U59/12)^(-12*F73/360)</f>
        <v>0.751847609090296</v>
      </c>
      <c r="I73" s="59" t="n">
        <f aca="false">$F$4*H73*C73</f>
        <v>1255617.38451332</v>
      </c>
      <c r="J73" s="59" t="n">
        <f aca="false">I73*(Curves!B59+Curves!D59+Curves!E59)</f>
        <v>4699775.87023334</v>
      </c>
      <c r="K73" s="68" t="n">
        <f aca="false">ROUNDUP($L$6,4)</f>
        <v>4.2849</v>
      </c>
      <c r="L73" s="59" t="n">
        <f aca="false">K73*I73-J73</f>
        <v>680419.060667767</v>
      </c>
      <c r="N73" s="74" t="n">
        <f aca="false">(1+Curves!V59/12)^(-12*F73/360)</f>
        <v>0.719946571788794</v>
      </c>
      <c r="O73" s="59" t="n">
        <f aca="false">$F$4*N73*C73</f>
        <v>1202341.29965852</v>
      </c>
      <c r="P73" s="59" t="n">
        <f aca="false">O73*K73</f>
        <v>5151912.23490678</v>
      </c>
      <c r="Q73" s="59" t="n">
        <f aca="false">P73+Q72</f>
        <v>325043033.3254</v>
      </c>
      <c r="S73" s="59" t="n">
        <f aca="false">O73</f>
        <v>1202341.29965852</v>
      </c>
      <c r="T73" s="59" t="n">
        <f aca="false">S73*(Curves!B59+Curves!D59+Curves!E59)</f>
        <v>4500363.48462183</v>
      </c>
      <c r="U73" s="0" t="n">
        <f aca="false">$U$55</f>
        <v>3.7889</v>
      </c>
      <c r="V73" s="59" t="n">
        <f aca="false">(O73/N73)/C73</f>
        <v>53872.3354407041</v>
      </c>
      <c r="W73" s="59" t="n">
        <f aca="false">V73*(K73/U73)</f>
        <v>60924.6932169952</v>
      </c>
      <c r="Y73" s="59" t="n">
        <f aca="false">ROUND(W73,-2)</f>
        <v>60900</v>
      </c>
      <c r="Z73" s="68" t="n">
        <f aca="false">$Z$67</f>
        <v>3.79043629113092</v>
      </c>
    </row>
    <row r="74" customFormat="false" ht="12.75" hidden="false" customHeight="false" outlineLevel="0" collapsed="false">
      <c r="B74" s="155" t="n">
        <v>38657</v>
      </c>
      <c r="C74" s="0" t="n">
        <f aca="false">EOMONTH(B74,0)-EOMONTH(B74,-1)</f>
        <v>30</v>
      </c>
      <c r="D74" s="66" t="n">
        <f aca="false">WORKDAY(EOMONTH(B74,0)+24,1,'Financing Assumptions'!E92:E98)</f>
        <v>38712</v>
      </c>
      <c r="E74" s="156" t="str">
        <f aca="false">TEXT(D74,"DDD")</f>
        <v>Mon</v>
      </c>
      <c r="F74" s="41" t="n">
        <f aca="false">D74-$D$14</f>
        <v>1824</v>
      </c>
      <c r="H74" s="0" t="n">
        <f aca="false">(1+Curves!U60/12)^(-12*F74/360)</f>
        <v>0.748071872465204</v>
      </c>
      <c r="I74" s="59" t="n">
        <f aca="false">$F$4*H74*C74</f>
        <v>1209011.36541603</v>
      </c>
      <c r="J74" s="59" t="n">
        <f aca="false">I74*(Curves!B60+Curves!D60+Curves!E60)</f>
        <v>4688546.07508337</v>
      </c>
      <c r="K74" s="68" t="n">
        <f aca="false">ROUNDUP($L$6,4)</f>
        <v>4.2849</v>
      </c>
      <c r="L74" s="59" t="n">
        <f aca="false">K74*I74-J74</f>
        <v>491946.724587783</v>
      </c>
      <c r="N74" s="74" t="n">
        <f aca="false">(1+Curves!V60/12)^(-12*F74/360)</f>
        <v>0.715794324094208</v>
      </c>
      <c r="O74" s="59" t="n">
        <f aca="false">$F$4*N74*C74</f>
        <v>1156845.35802466</v>
      </c>
      <c r="P74" s="59" t="n">
        <f aca="false">O74*K74</f>
        <v>4956966.67459985</v>
      </c>
      <c r="Q74" s="59" t="n">
        <f aca="false">P74+Q73</f>
        <v>330000000</v>
      </c>
      <c r="S74" s="59" t="n">
        <f aca="false">O74</f>
        <v>1156845.35802466</v>
      </c>
      <c r="T74" s="59" t="n">
        <f aca="false">S74*(Curves!B60+Curves!D60+Curves!E60)</f>
        <v>4486246.29841962</v>
      </c>
      <c r="U74" s="0" t="n">
        <f aca="false">$U$55</f>
        <v>3.7889</v>
      </c>
      <c r="V74" s="59" t="n">
        <f aca="false">(O74/N74)/C74</f>
        <v>53872.3354407041</v>
      </c>
      <c r="W74" s="59" t="n">
        <f aca="false">V74*(K74/U74)</f>
        <v>60924.6932169952</v>
      </c>
      <c r="Y74" s="59" t="n">
        <f aca="false">ROUND(W74,-2)</f>
        <v>60900</v>
      </c>
      <c r="Z74" s="68" t="n">
        <f aca="false">$Z$67</f>
        <v>3.79043629113092</v>
      </c>
    </row>
    <row r="78" customFormat="false" ht="12.75" hidden="false" customHeight="false" outlineLevel="0" collapsed="false">
      <c r="U78" s="59"/>
    </row>
    <row r="79" customFormat="false" ht="12.75" hidden="false" customHeight="false" outlineLevel="0" collapsed="false">
      <c r="U79" s="59"/>
    </row>
  </sheetData>
  <mergeCells count="2">
    <mergeCell ref="H9:L9"/>
    <mergeCell ref="N9:Q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3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6" width="14.14"/>
    <col collapsed="false" customWidth="true" hidden="false" outlineLevel="0" max="2" min="2" style="76" width="14.56"/>
    <col collapsed="false" customWidth="true" hidden="false" outlineLevel="0" max="4" min="3" style="76" width="16.42"/>
    <col collapsed="false" customWidth="true" hidden="false" outlineLevel="0" max="5" min="5" style="76" width="14.85"/>
    <col collapsed="false" customWidth="true" hidden="false" outlineLevel="0" max="6" min="6" style="76" width="13.85"/>
    <col collapsed="false" customWidth="true" hidden="false" outlineLevel="0" max="7" min="7" style="76" width="10.71"/>
    <col collapsed="false" customWidth="true" hidden="false" outlineLevel="0" max="9" min="8" style="76" width="18.14"/>
    <col collapsed="false" customWidth="true" hidden="false" outlineLevel="0" max="10" min="10" style="76" width="22.56"/>
    <col collapsed="false" customWidth="true" hidden="false" outlineLevel="0" max="12" min="11" style="76" width="15.99"/>
    <col collapsed="false" customWidth="true" hidden="false" outlineLevel="0" max="13" min="13" style="76" width="24.99"/>
    <col collapsed="false" customWidth="true" hidden="false" outlineLevel="0" max="14" min="14" style="76" width="14.56"/>
    <col collapsed="false" customWidth="true" hidden="false" outlineLevel="0" max="15" min="15" style="76" width="15.41"/>
    <col collapsed="false" customWidth="true" hidden="false" outlineLevel="0" max="16" min="16" style="76" width="3.14"/>
    <col collapsed="false" customWidth="true" hidden="false" outlineLevel="0" max="18" min="17" style="76" width="15.41"/>
    <col collapsed="false" customWidth="true" hidden="false" outlineLevel="0" max="19" min="19" style="76" width="3.14"/>
    <col collapsed="false" customWidth="true" hidden="false" outlineLevel="0" max="26" min="20" style="71" width="10.71"/>
    <col collapsed="false" customWidth="true" hidden="false" outlineLevel="0" max="27" min="27" style="76" width="4.28"/>
    <col collapsed="false" customWidth="true" hidden="false" outlineLevel="0" max="28" min="28" style="76" width="12.28"/>
    <col collapsed="false" customWidth="true" hidden="false" outlineLevel="0" max="29" min="29" style="76" width="18.85"/>
    <col collapsed="false" customWidth="true" hidden="false" outlineLevel="0" max="30" min="30" style="76" width="15.85"/>
    <col collapsed="false" customWidth="true" hidden="false" outlineLevel="0" max="31" min="31" style="76" width="17.14"/>
    <col collapsed="false" customWidth="true" hidden="false" outlineLevel="0" max="32" min="32" style="76" width="20.56"/>
    <col collapsed="false" customWidth="true" hidden="false" outlineLevel="0" max="33" min="33" style="76" width="20.7"/>
    <col collapsed="false" customWidth="true" hidden="false" outlineLevel="0" max="34" min="34" style="76" width="14.28"/>
    <col collapsed="false" customWidth="true" hidden="false" outlineLevel="0" max="35" min="35" style="76" width="16.42"/>
    <col collapsed="false" customWidth="true" hidden="false" outlineLevel="0" max="36" min="36" style="76" width="15.13"/>
    <col collapsed="false" customWidth="true" hidden="false" outlineLevel="0" max="37" min="37" style="77" width="6.56"/>
    <col collapsed="false" customWidth="true" hidden="false" outlineLevel="0" max="39" min="38" style="76" width="15.13"/>
    <col collapsed="false" customWidth="true" hidden="false" outlineLevel="0" max="40" min="40" style="76" width="16.84"/>
    <col collapsed="false" customWidth="true" hidden="false" outlineLevel="0" max="41" min="41" style="76" width="15.99"/>
    <col collapsed="false" customWidth="true" hidden="false" outlineLevel="0" max="42" min="42" style="0" width="5.85"/>
    <col collapsed="false" customWidth="true" hidden="false" outlineLevel="0" max="44" min="43" style="76" width="15.13"/>
    <col collapsed="false" customWidth="true" hidden="false" outlineLevel="0" max="45" min="45" style="76" width="16.84"/>
    <col collapsed="false" customWidth="true" hidden="false" outlineLevel="0" max="46" min="46" style="76" width="15.99"/>
    <col collapsed="false" customWidth="true" hidden="false" outlineLevel="0" max="47" min="47" style="76" width="6.28"/>
    <col collapsed="false" customWidth="true" hidden="false" outlineLevel="0" max="48" min="48" style="76" width="18.41"/>
    <col collapsed="false" customWidth="true" hidden="false" outlineLevel="0" max="49" min="49" style="76" width="3.85"/>
    <col collapsed="false" customWidth="true" hidden="false" outlineLevel="0" max="50" min="50" style="76" width="18.41"/>
    <col collapsed="false" customWidth="false" hidden="false" outlineLevel="0" max="257" min="51" style="76" width="9.14"/>
  </cols>
  <sheetData>
    <row r="1" customFormat="false" ht="13.5" hidden="false" customHeight="false" outlineLevel="0" collapsed="false">
      <c r="A1" s="78"/>
      <c r="B1" s="79" t="s">
        <v>136</v>
      </c>
      <c r="C1" s="80"/>
      <c r="D1" s="80"/>
      <c r="E1" s="0"/>
      <c r="H1" s="81" t="s">
        <v>137</v>
      </c>
      <c r="I1" s="81" t="s">
        <v>138</v>
      </c>
      <c r="J1" s="82" t="s">
        <v>139</v>
      </c>
      <c r="K1" s="82" t="s">
        <v>140</v>
      </c>
      <c r="L1" s="83" t="s">
        <v>141</v>
      </c>
      <c r="M1" s="84"/>
      <c r="AB1" s="85"/>
      <c r="AC1" s="86"/>
      <c r="AD1" s="85"/>
      <c r="AE1" s="85"/>
      <c r="AF1" s="86"/>
      <c r="AG1" s="85"/>
      <c r="AH1" s="87"/>
    </row>
    <row r="2" customFormat="false" ht="12.75" hidden="false" customHeight="false" outlineLevel="0" collapsed="false">
      <c r="A2" s="81" t="s">
        <v>34</v>
      </c>
      <c r="B2" s="88" t="s">
        <v>142</v>
      </c>
      <c r="C2" s="88" t="s">
        <v>143</v>
      </c>
      <c r="D2" s="89" t="s">
        <v>20</v>
      </c>
      <c r="E2" s="88" t="s">
        <v>144</v>
      </c>
      <c r="F2" s="88" t="s">
        <v>145</v>
      </c>
      <c r="G2" s="88" t="s">
        <v>146</v>
      </c>
      <c r="H2" s="90" t="s">
        <v>147</v>
      </c>
      <c r="I2" s="91" t="s">
        <v>148</v>
      </c>
      <c r="J2" s="92" t="s">
        <v>148</v>
      </c>
      <c r="K2" s="92" t="s">
        <v>149</v>
      </c>
      <c r="L2" s="93"/>
      <c r="AB2" s="85"/>
      <c r="AC2" s="85"/>
      <c r="AD2" s="85"/>
      <c r="AE2" s="85"/>
      <c r="AF2" s="85"/>
      <c r="AG2" s="85"/>
      <c r="AH2" s="85"/>
      <c r="AO2" s="94" t="s">
        <v>150</v>
      </c>
      <c r="AT2" s="94" t="s">
        <v>151</v>
      </c>
    </row>
    <row r="3" customFormat="false" ht="13.5" hidden="false" customHeight="false" outlineLevel="0" collapsed="false">
      <c r="A3" s="95" t="n">
        <f aca="false">Summary!C5</f>
        <v>36982</v>
      </c>
      <c r="B3" s="96" t="n">
        <f aca="false">Summary!D5</f>
        <v>38657</v>
      </c>
      <c r="C3" s="97" t="n">
        <f aca="false">Summary!B5</f>
        <v>36888</v>
      </c>
      <c r="D3" s="97" t="n">
        <f aca="true">IF(WEEKDAY(TODAY())=2,TODAY()-3,TODAY()-1)</f>
        <v>45925</v>
      </c>
      <c r="E3" s="98" t="str">
        <f aca="false">CONCATENATE(INT(Y8/12)," Y - ",Y8-INT(Y8/12)*12," M")</f>
        <v>4 Y - 8 M</v>
      </c>
      <c r="F3" s="99" t="n">
        <f aca="false">'Transco Z3'!F3</f>
        <v>1</v>
      </c>
      <c r="G3" s="99" t="n">
        <v>2</v>
      </c>
      <c r="H3" s="100" t="n">
        <v>1</v>
      </c>
      <c r="I3" s="101" t="s">
        <v>200</v>
      </c>
      <c r="J3" s="101" t="s">
        <v>200</v>
      </c>
      <c r="K3" s="101" t="n">
        <f aca="false">'Transco Z3'!K3</f>
        <v>0</v>
      </c>
      <c r="L3" s="102"/>
      <c r="AB3" s="85"/>
      <c r="AE3" s="85"/>
    </row>
    <row r="4" customFormat="false" ht="12.75" hidden="false" customHeight="false" outlineLevel="0" collapsed="false">
      <c r="A4" s="103"/>
      <c r="B4" s="103"/>
      <c r="C4" s="103"/>
      <c r="D4" s="103" t="s">
        <v>153</v>
      </c>
      <c r="E4" s="103" t="s">
        <v>154</v>
      </c>
      <c r="F4" s="103" t="s">
        <v>117</v>
      </c>
      <c r="G4" s="104" t="s">
        <v>155</v>
      </c>
      <c r="H4" s="105"/>
      <c r="I4" s="105"/>
      <c r="J4" s="104" t="str">
        <f aca="false">CONCATENATE(I3,"-","D")</f>
        <v>IF-TGT/ZSL-D</v>
      </c>
      <c r="K4" s="105" t="str">
        <f aca="false">I3</f>
        <v>IF-TGT/ZSL</v>
      </c>
      <c r="L4" s="105" t="str">
        <f aca="false">I3</f>
        <v>IF-TGT/ZSL</v>
      </c>
      <c r="M4" s="104" t="str">
        <f aca="false">CONCATENATE(J3,"-","I")</f>
        <v>IF-TGT/ZSL-I</v>
      </c>
      <c r="N4" s="105" t="str">
        <f aca="false">J3</f>
        <v>IF-TGT/ZSL</v>
      </c>
      <c r="O4" s="105" t="str">
        <f aca="false">J3</f>
        <v>IF-TGT/ZSL</v>
      </c>
      <c r="Q4" s="105" t="str">
        <f aca="false">J4</f>
        <v>IF-TGT/ZSL-D</v>
      </c>
      <c r="R4" s="105" t="str">
        <f aca="false">K4</f>
        <v>IF-TGT/ZSL</v>
      </c>
      <c r="T4" s="106"/>
      <c r="U4" s="106"/>
      <c r="V4" s="106" t="s">
        <v>156</v>
      </c>
      <c r="W4" s="104" t="s">
        <v>157</v>
      </c>
      <c r="X4" s="106"/>
      <c r="Y4" s="106"/>
      <c r="Z4" s="106"/>
      <c r="AB4" s="107"/>
      <c r="AC4" s="107"/>
      <c r="AD4" s="107"/>
      <c r="AE4" s="107" t="str">
        <f aca="false">K4</f>
        <v>IF-TGT/ZSL</v>
      </c>
      <c r="AF4" s="107" t="str">
        <f aca="false">AE4</f>
        <v>IF-TGT/ZSL</v>
      </c>
      <c r="AG4" s="107" t="str">
        <f aca="false">AF4</f>
        <v>IF-TGT/ZSL</v>
      </c>
      <c r="AH4" s="107" t="str">
        <f aca="false">AG4</f>
        <v>IF-TGT/ZSL</v>
      </c>
      <c r="AI4" s="107" t="str">
        <f aca="false">AH4</f>
        <v>IF-TGT/ZSL</v>
      </c>
      <c r="AJ4" s="107" t="str">
        <f aca="false">AI4</f>
        <v>IF-TGT/ZSL</v>
      </c>
      <c r="AK4" s="108"/>
      <c r="AL4" s="109" t="s">
        <v>158</v>
      </c>
      <c r="AM4" s="109" t="s">
        <v>159</v>
      </c>
      <c r="AN4" s="109" t="s">
        <v>160</v>
      </c>
      <c r="AO4" s="109" t="s">
        <v>153</v>
      </c>
      <c r="AQ4" s="109" t="s">
        <v>158</v>
      </c>
      <c r="AR4" s="109" t="s">
        <v>138</v>
      </c>
      <c r="AS4" s="109" t="s">
        <v>160</v>
      </c>
      <c r="AT4" s="109" t="s">
        <v>153</v>
      </c>
      <c r="AU4" s="110"/>
      <c r="AV4" s="111"/>
      <c r="AX4" s="111"/>
    </row>
    <row r="5" customFormat="false" ht="12.75" hidden="false" customHeight="false" outlineLevel="0" collapsed="false">
      <c r="A5" s="103" t="s">
        <v>69</v>
      </c>
      <c r="B5" s="103" t="s">
        <v>70</v>
      </c>
      <c r="C5" s="103"/>
      <c r="D5" s="103" t="s">
        <v>70</v>
      </c>
      <c r="E5" s="103" t="s">
        <v>70</v>
      </c>
      <c r="F5" s="103" t="s">
        <v>70</v>
      </c>
      <c r="G5" s="103" t="s">
        <v>113</v>
      </c>
      <c r="H5" s="103" t="s">
        <v>113</v>
      </c>
      <c r="I5" s="103" t="s">
        <v>113</v>
      </c>
      <c r="J5" s="103" t="s">
        <v>138</v>
      </c>
      <c r="K5" s="103" t="s">
        <v>138</v>
      </c>
      <c r="L5" s="103" t="s">
        <v>138</v>
      </c>
      <c r="M5" s="103" t="s">
        <v>139</v>
      </c>
      <c r="N5" s="103" t="s">
        <v>139</v>
      </c>
      <c r="O5" s="103" t="s">
        <v>139</v>
      </c>
      <c r="Q5" s="103" t="s">
        <v>67</v>
      </c>
      <c r="R5" s="103" t="s">
        <v>67</v>
      </c>
      <c r="T5" s="112" t="s">
        <v>161</v>
      </c>
      <c r="U5" s="112" t="s">
        <v>90</v>
      </c>
      <c r="V5" s="112" t="s">
        <v>90</v>
      </c>
      <c r="W5" s="113" t="s">
        <v>162</v>
      </c>
      <c r="X5" s="112" t="s">
        <v>90</v>
      </c>
      <c r="Y5" s="112" t="s">
        <v>163</v>
      </c>
      <c r="Z5" s="112" t="s">
        <v>163</v>
      </c>
      <c r="AB5" s="114" t="str">
        <f aca="false">G5</f>
        <v>Nymex</v>
      </c>
      <c r="AC5" s="114" t="str">
        <f aca="false">H5</f>
        <v>Nymex</v>
      </c>
      <c r="AD5" s="114" t="str">
        <f aca="false">I5</f>
        <v>Nymex</v>
      </c>
      <c r="AE5" s="114" t="str">
        <f aca="false">J5</f>
        <v>Basis</v>
      </c>
      <c r="AF5" s="114" t="str">
        <f aca="false">K5</f>
        <v>Basis</v>
      </c>
      <c r="AG5" s="114" t="str">
        <f aca="false">L5</f>
        <v>Basis</v>
      </c>
      <c r="AH5" s="114" t="str">
        <f aca="false">M5</f>
        <v>Index</v>
      </c>
      <c r="AI5" s="114" t="str">
        <f aca="false">N5</f>
        <v>Index</v>
      </c>
      <c r="AJ5" s="114" t="str">
        <f aca="false">O5</f>
        <v>Index</v>
      </c>
      <c r="AK5" s="108"/>
      <c r="AL5" s="115" t="str">
        <f aca="false">CHOOSE(G3,"Bid-Contract","Contract-Offer")</f>
        <v>Contract-Offer</v>
      </c>
      <c r="AM5" s="115" t="str">
        <f aca="false">AL5</f>
        <v>Contract-Offer</v>
      </c>
      <c r="AN5" s="115" t="str">
        <f aca="false">AL5</f>
        <v>Contract-Offer</v>
      </c>
      <c r="AO5" s="115" t="str">
        <f aca="false">AL5</f>
        <v>Contract-Offer</v>
      </c>
      <c r="AQ5" s="115" t="str">
        <f aca="false">CHOOSE(G3,"Mid-Bid","Offer-Mid")</f>
        <v>Offer-Mid</v>
      </c>
      <c r="AR5" s="115" t="str">
        <f aca="false">AQ5</f>
        <v>Offer-Mid</v>
      </c>
      <c r="AS5" s="115" t="str">
        <f aca="false">AQ5</f>
        <v>Offer-Mid</v>
      </c>
      <c r="AT5" s="115" t="str">
        <f aca="false">AQ5</f>
        <v>Offer-Mid</v>
      </c>
      <c r="AU5" s="110"/>
      <c r="AV5" s="116" t="s">
        <v>153</v>
      </c>
      <c r="AX5" s="116" t="s">
        <v>153</v>
      </c>
    </row>
    <row r="6" customFormat="false" ht="12.75" hidden="false" customHeight="false" outlineLevel="0" collapsed="false">
      <c r="A6" s="117" t="s">
        <v>164</v>
      </c>
      <c r="B6" s="117" t="s">
        <v>165</v>
      </c>
      <c r="C6" s="117"/>
      <c r="D6" s="117" t="s">
        <v>165</v>
      </c>
      <c r="E6" s="117" t="s">
        <v>166</v>
      </c>
      <c r="F6" s="117" t="s">
        <v>166</v>
      </c>
      <c r="G6" s="117" t="s">
        <v>167</v>
      </c>
      <c r="H6" s="117" t="str">
        <f aca="false">CHOOSE(G3,"Bid","Offer")</f>
        <v>Offer</v>
      </c>
      <c r="I6" s="117" t="s">
        <v>116</v>
      </c>
      <c r="J6" s="117" t="s">
        <v>167</v>
      </c>
      <c r="K6" s="117" t="str">
        <f aca="false">H6</f>
        <v>Offer</v>
      </c>
      <c r="L6" s="117" t="s">
        <v>116</v>
      </c>
      <c r="M6" s="117" t="s">
        <v>167</v>
      </c>
      <c r="N6" s="117" t="str">
        <f aca="false">K6</f>
        <v>Offer</v>
      </c>
      <c r="O6" s="117" t="s">
        <v>116</v>
      </c>
      <c r="Q6" s="117" t="s">
        <v>167</v>
      </c>
      <c r="R6" s="117" t="s">
        <v>116</v>
      </c>
      <c r="T6" s="118" t="s">
        <v>76</v>
      </c>
      <c r="U6" s="118" t="s">
        <v>75</v>
      </c>
      <c r="V6" s="118" t="s">
        <v>76</v>
      </c>
      <c r="W6" s="119" t="s">
        <v>168</v>
      </c>
      <c r="X6" s="118" t="s">
        <v>122</v>
      </c>
      <c r="Y6" s="118" t="s">
        <v>169</v>
      </c>
      <c r="Z6" s="118" t="s">
        <v>76</v>
      </c>
      <c r="AB6" s="120" t="str">
        <f aca="false">G6</f>
        <v>Mid</v>
      </c>
      <c r="AC6" s="120" t="str">
        <f aca="false">H6</f>
        <v>Offer</v>
      </c>
      <c r="AD6" s="120" t="str">
        <f aca="false">I6</f>
        <v>Contract</v>
      </c>
      <c r="AE6" s="120" t="str">
        <f aca="false">J6</f>
        <v>Mid</v>
      </c>
      <c r="AF6" s="120" t="str">
        <f aca="false">K6</f>
        <v>Offer</v>
      </c>
      <c r="AG6" s="120" t="str">
        <f aca="false">L6</f>
        <v>Contract</v>
      </c>
      <c r="AH6" s="120" t="str">
        <f aca="false">M6</f>
        <v>Mid</v>
      </c>
      <c r="AI6" s="120" t="str">
        <f aca="false">N6</f>
        <v>Offer</v>
      </c>
      <c r="AJ6" s="120" t="str">
        <f aca="false">O6</f>
        <v>Contract</v>
      </c>
      <c r="AK6" s="108"/>
      <c r="AL6" s="121" t="s">
        <v>3</v>
      </c>
      <c r="AM6" s="121" t="s">
        <v>3</v>
      </c>
      <c r="AN6" s="121" t="s">
        <v>3</v>
      </c>
      <c r="AO6" s="121" t="s">
        <v>3</v>
      </c>
      <c r="AQ6" s="121" t="s">
        <v>3</v>
      </c>
      <c r="AR6" s="121" t="s">
        <v>3</v>
      </c>
      <c r="AS6" s="121" t="s">
        <v>3</v>
      </c>
      <c r="AT6" s="121" t="s">
        <v>3</v>
      </c>
      <c r="AU6" s="110"/>
      <c r="AV6" s="116" t="s">
        <v>170</v>
      </c>
      <c r="AX6" s="116" t="s">
        <v>116</v>
      </c>
    </row>
    <row r="7" customFormat="false" ht="13.5" hidden="false" customHeight="false" outlineLevel="0" collapsed="false">
      <c r="A7" s="122"/>
      <c r="B7" s="122"/>
      <c r="C7" s="122"/>
      <c r="D7" s="122"/>
      <c r="V7" s="123"/>
      <c r="AV7" s="124"/>
      <c r="AX7" s="124"/>
    </row>
    <row r="8" customFormat="false" ht="13.5" hidden="false" customHeight="false" outlineLevel="0" collapsed="false">
      <c r="A8" s="125" t="s">
        <v>171</v>
      </c>
      <c r="B8" s="126"/>
      <c r="C8" s="126"/>
      <c r="D8" s="126" t="n">
        <f aca="false">SUM(D10:D370)</f>
        <v>0</v>
      </c>
      <c r="E8" s="126" t="n">
        <f aca="false">SUM(E10:E370)</f>
        <v>0</v>
      </c>
      <c r="F8" s="126" t="n">
        <f aca="false">SUM(F10:F370)</f>
        <v>0</v>
      </c>
      <c r="G8" s="127" t="e">
        <f aca="false">AB8/$F$8</f>
        <v>#DIV/0!</v>
      </c>
      <c r="H8" s="127" t="e">
        <f aca="false">AC8/$F$8</f>
        <v>#DIV/0!</v>
      </c>
      <c r="I8" s="127" t="e">
        <f aca="false">AD8/$F$8</f>
        <v>#DIV/0!</v>
      </c>
      <c r="J8" s="127" t="e">
        <f aca="false">AE8/$F$8</f>
        <v>#DIV/0!</v>
      </c>
      <c r="K8" s="127" t="e">
        <f aca="false">AF8/$F$8</f>
        <v>#DIV/0!</v>
      </c>
      <c r="L8" s="127" t="e">
        <f aca="false">AG8/$F$8</f>
        <v>#DIV/0!</v>
      </c>
      <c r="M8" s="128" t="e">
        <f aca="false">AH8/$F$8</f>
        <v>#DIV/0!</v>
      </c>
      <c r="N8" s="127" t="e">
        <f aca="false">AI8/$F$8</f>
        <v>#DIV/0!</v>
      </c>
      <c r="O8" s="127" t="e">
        <f aca="false">AJ8/$F$8</f>
        <v>#DIV/0!</v>
      </c>
      <c r="Q8" s="129" t="e">
        <f aca="false">M8+J8+G8</f>
        <v>#DIV/0!</v>
      </c>
      <c r="R8" s="127" t="e">
        <f aca="false">AX8/$F$8</f>
        <v>#DIV/0!</v>
      </c>
      <c r="W8" s="130"/>
      <c r="Y8" s="131" t="n">
        <f aca="false">SUM(Y10:Y370)</f>
        <v>56</v>
      </c>
      <c r="Z8" s="131" t="n">
        <f aca="false">SUM(Z10:Z370)</f>
        <v>1705</v>
      </c>
      <c r="AB8" s="132" t="n">
        <f aca="false">SUM(AB10:AB370)</f>
        <v>0</v>
      </c>
      <c r="AC8" s="132" t="n">
        <f aca="false">SUM(AC10:AC370)</f>
        <v>0</v>
      </c>
      <c r="AD8" s="132" t="n">
        <f aca="false">SUM(AD10:AD370)</f>
        <v>0</v>
      </c>
      <c r="AE8" s="132" t="n">
        <f aca="false">SUM(AE10:AE370)</f>
        <v>0</v>
      </c>
      <c r="AF8" s="132" t="n">
        <f aca="false">SUM(AF10:AF370)</f>
        <v>0</v>
      </c>
      <c r="AG8" s="132" t="n">
        <f aca="false">SUM(AG10:AG370)</f>
        <v>0</v>
      </c>
      <c r="AH8" s="132" t="n">
        <f aca="false">SUM(AH10:AH370)</f>
        <v>0</v>
      </c>
      <c r="AI8" s="132" t="n">
        <f aca="false">SUM(AI10:AI370)</f>
        <v>0</v>
      </c>
      <c r="AJ8" s="132" t="n">
        <f aca="false">SUM(AJ10:AJ370)</f>
        <v>0</v>
      </c>
      <c r="AK8" s="132"/>
      <c r="AL8" s="132" t="n">
        <f aca="false">SUM(AL10:AL370)</f>
        <v>0</v>
      </c>
      <c r="AM8" s="132" t="n">
        <f aca="false">SUM(AM10:AM370)</f>
        <v>0</v>
      </c>
      <c r="AN8" s="132" t="n">
        <f aca="false">SUM(AN10:AN370)</f>
        <v>0</v>
      </c>
      <c r="AO8" s="132" t="n">
        <f aca="false">SUM(AO10:AO370)</f>
        <v>0</v>
      </c>
      <c r="AQ8" s="132" t="n">
        <f aca="false">SUM(AQ10:AQ370)</f>
        <v>0</v>
      </c>
      <c r="AR8" s="132" t="n">
        <f aca="false">SUM(AR10:AR370)</f>
        <v>0</v>
      </c>
      <c r="AS8" s="132" t="n">
        <f aca="false">SUM(AS10:AS370)</f>
        <v>0</v>
      </c>
      <c r="AT8" s="132" t="n">
        <f aca="false">SUM(AT10:AT370)</f>
        <v>0</v>
      </c>
      <c r="AU8" s="132"/>
      <c r="AV8" s="133" t="n">
        <f aca="false">SUM(AV10:AV370)</f>
        <v>0</v>
      </c>
      <c r="AX8" s="133" t="n">
        <f aca="false">SUM(AX10:AX370)</f>
        <v>0</v>
      </c>
      <c r="AZ8" s="134" t="n">
        <f aca="false">SUM(AZ10:AZ369)</f>
        <v>0</v>
      </c>
    </row>
    <row r="9" customFormat="false" ht="12.75" hidden="false" customHeight="false" outlineLevel="0" collapsed="false">
      <c r="B9" s="135"/>
      <c r="C9" s="135"/>
      <c r="D9" s="135"/>
      <c r="E9" s="135"/>
      <c r="F9" s="135"/>
      <c r="G9" s="136"/>
      <c r="H9" s="136"/>
      <c r="I9" s="136"/>
      <c r="J9" s="136"/>
      <c r="K9" s="136"/>
      <c r="L9" s="136"/>
      <c r="M9" s="136"/>
      <c r="N9" s="136"/>
      <c r="O9" s="136"/>
      <c r="Q9" s="136"/>
      <c r="R9" s="136"/>
      <c r="AB9" s="132"/>
      <c r="AC9" s="132"/>
      <c r="AD9" s="132"/>
      <c r="AE9" s="132"/>
      <c r="AF9" s="132"/>
      <c r="AG9" s="132"/>
      <c r="AH9" s="132"/>
      <c r="AI9" s="132"/>
      <c r="AJ9" s="132"/>
      <c r="AK9" s="137"/>
      <c r="AV9" s="124"/>
      <c r="AX9" s="124"/>
    </row>
    <row r="10" customFormat="false" ht="12.75" hidden="false" customHeight="false" outlineLevel="0" collapsed="false">
      <c r="A10" s="138" t="n">
        <f aca="false">A3</f>
        <v>36982</v>
      </c>
      <c r="B10" s="139" t="n">
        <f aca="false">VLOOKUP($A10,Table2,MATCH(I$3,Curves2,0))</f>
        <v>0</v>
      </c>
      <c r="C10" s="140"/>
      <c r="D10" s="141" t="n">
        <f aca="false">B10+C10</f>
        <v>0</v>
      </c>
      <c r="E10" s="126" t="n">
        <f aca="false">IF(Y10=0,0,IF(AND(Y10=1,$H$3=1),D10*T10,IF($H$3=2,D10,"N/A")))</f>
        <v>0</v>
      </c>
      <c r="F10" s="126" t="n">
        <f aca="false">E10*X10</f>
        <v>0</v>
      </c>
      <c r="G10" s="142" t="n">
        <f aca="false">VLOOKUP($A10,Table,MATCH(G$4,Curves,0))</f>
        <v>6.01</v>
      </c>
      <c r="H10" s="143" t="n">
        <f aca="false">G10</f>
        <v>6.01</v>
      </c>
      <c r="I10" s="142" t="n">
        <f aca="false">VLOOKUP($A10,Table1,MATCH(I$3,Curves1,0))</f>
        <v>0</v>
      </c>
      <c r="J10" s="142" t="n">
        <f aca="false">VLOOKUP($A10,Table,MATCH(J$4,Curves,0))</f>
        <v>-0.025</v>
      </c>
      <c r="K10" s="143" t="n">
        <f aca="false">J10</f>
        <v>-0.025</v>
      </c>
      <c r="L10" s="144" t="n">
        <v>0</v>
      </c>
      <c r="M10" s="142" t="n">
        <f aca="false">VLOOKUP($A10,Table,MATCH(M$4,Curves,0))</f>
        <v>0.0075</v>
      </c>
      <c r="N10" s="143" t="n">
        <f aca="false">M10</f>
        <v>0.0075</v>
      </c>
      <c r="O10" s="144" t="n">
        <v>0</v>
      </c>
      <c r="P10" s="145"/>
      <c r="Q10" s="144" t="n">
        <f aca="false">M10+J10+G10</f>
        <v>5.9925</v>
      </c>
      <c r="R10" s="144" t="n">
        <f aca="false">O10+L10+I10</f>
        <v>0</v>
      </c>
      <c r="S10" s="145"/>
      <c r="T10" s="71" t="n">
        <f aca="false">A11-A10</f>
        <v>30</v>
      </c>
      <c r="U10" s="146" t="n">
        <f aca="false">CHOOSE(F$3,A11+24,A10)</f>
        <v>37036</v>
      </c>
      <c r="V10" s="71" t="n">
        <f aca="false">U10-C$3</f>
        <v>148</v>
      </c>
      <c r="W10" s="142" t="n">
        <f aca="false">VLOOKUP($A10,Table,MATCH(W$4,Curves,0))</f>
        <v>0.066009899863733</v>
      </c>
      <c r="X10" s="147" t="n">
        <f aca="false">1/(1+CHOOSE(F$3,(W11+($K$3/10000))/2,(W10+($K$3/10000))/2))^(2*V10/365.25)</f>
        <v>0.974421293837232</v>
      </c>
      <c r="Y10" s="71" t="n">
        <f aca="false">IF(AND(mthbeg&lt;=A10,mthend&gt;=A10),1,0)</f>
        <v>1</v>
      </c>
      <c r="Z10" s="71" t="n">
        <f aca="false">T10*Y10</f>
        <v>30</v>
      </c>
      <c r="AB10" s="132" t="n">
        <f aca="false">F10*G10</f>
        <v>0</v>
      </c>
      <c r="AC10" s="132" t="n">
        <f aca="false">$F10*H10</f>
        <v>0</v>
      </c>
      <c r="AD10" s="132" t="n">
        <f aca="false">$F10*I10</f>
        <v>0</v>
      </c>
      <c r="AE10" s="132" t="n">
        <f aca="false">$F10*J10</f>
        <v>-0</v>
      </c>
      <c r="AF10" s="132" t="n">
        <f aca="false">$F10*K10</f>
        <v>-0</v>
      </c>
      <c r="AG10" s="132" t="n">
        <f aca="false">$F10*L10</f>
        <v>0</v>
      </c>
      <c r="AH10" s="132" t="n">
        <f aca="false">$F10*M10</f>
        <v>0</v>
      </c>
      <c r="AI10" s="132" t="n">
        <f aca="false">$F10*N10</f>
        <v>0</v>
      </c>
      <c r="AJ10" s="132" t="n">
        <f aca="false">F10*O10</f>
        <v>0</v>
      </c>
      <c r="AK10" s="137"/>
      <c r="AL10" s="132" t="n">
        <f aca="false">CHOOSE($G$3,AC10-AD10,AD10-AC10)</f>
        <v>0</v>
      </c>
      <c r="AM10" s="132" t="n">
        <f aca="false">CHOOSE($G$3,AF10-AG10,AG10-AF10)</f>
        <v>0</v>
      </c>
      <c r="AN10" s="132" t="n">
        <f aca="false">CHOOSE($G$3,AI10-AJ10,AJ10-AI10)</f>
        <v>0</v>
      </c>
      <c r="AO10" s="148" t="n">
        <f aca="false">SUM(AL10:AN10)</f>
        <v>0</v>
      </c>
      <c r="AQ10" s="132" t="n">
        <f aca="false">CHOOSE($G$3,AB10-AC10,AC10-AB10)</f>
        <v>0</v>
      </c>
      <c r="AR10" s="132" t="n">
        <f aca="false">CHOOSE($G$3,AE10-AF10,AF10-AE10)</f>
        <v>0</v>
      </c>
      <c r="AS10" s="132" t="n">
        <f aca="false">CHOOSE($G$3,AH10-AI10,AI10-AH10)</f>
        <v>0</v>
      </c>
      <c r="AT10" s="148" t="n">
        <f aca="false">AQ10+AR10+AS10</f>
        <v>0</v>
      </c>
      <c r="AU10" s="148"/>
      <c r="AV10" s="133" t="n">
        <f aca="false">AT10+AO10</f>
        <v>0</v>
      </c>
      <c r="AX10" s="133" t="n">
        <f aca="false">AJ10+AG10+AD10</f>
        <v>0</v>
      </c>
      <c r="AY10" s="149"/>
      <c r="AZ10" s="76" t="n">
        <f aca="false">R10*E10</f>
        <v>0</v>
      </c>
      <c r="BB10" s="150"/>
    </row>
    <row r="11" customFormat="false" ht="12.75" hidden="false" customHeight="false" outlineLevel="0" collapsed="false">
      <c r="A11" s="138" t="n">
        <f aca="false">EDATE(A10,1)</f>
        <v>37012</v>
      </c>
      <c r="B11" s="139" t="n">
        <f aca="false">VLOOKUP($A11,Table2,MATCH(I$3,Curves2,0))</f>
        <v>0</v>
      </c>
      <c r="C11" s="140"/>
      <c r="D11" s="141" t="n">
        <f aca="false">B11+C11</f>
        <v>0</v>
      </c>
      <c r="E11" s="126" t="n">
        <f aca="false">IF(Y11=0,0,IF(AND(Y11=1,$H$3=1),D11*T11,IF($H$3=2,D11,"N/A")))</f>
        <v>0</v>
      </c>
      <c r="F11" s="126" t="n">
        <f aca="false">E11*X11</f>
        <v>0</v>
      </c>
      <c r="G11" s="142" t="n">
        <f aca="false">VLOOKUP($A11,Table,MATCH(G$4,Curves,0))</f>
        <v>5.36</v>
      </c>
      <c r="H11" s="143" t="n">
        <f aca="false">G11</f>
        <v>5.36</v>
      </c>
      <c r="I11" s="142" t="n">
        <f aca="false">VLOOKUP($A11,Table1,MATCH(I$3,Curves1,0))</f>
        <v>0</v>
      </c>
      <c r="J11" s="142" t="n">
        <f aca="false">VLOOKUP($A11,Table,MATCH(J$4,Curves,0))</f>
        <v>-0.025</v>
      </c>
      <c r="K11" s="143" t="n">
        <f aca="false">J11</f>
        <v>-0.025</v>
      </c>
      <c r="L11" s="144" t="n">
        <v>0</v>
      </c>
      <c r="M11" s="142" t="n">
        <f aca="false">VLOOKUP($A11,Table,MATCH(M$4,Curves,0))</f>
        <v>0.0075</v>
      </c>
      <c r="N11" s="143" t="n">
        <f aca="false">M11</f>
        <v>0.0075</v>
      </c>
      <c r="O11" s="144" t="n">
        <v>0</v>
      </c>
      <c r="P11" s="145"/>
      <c r="Q11" s="144" t="n">
        <f aca="false">M11+J11+G11</f>
        <v>5.3425</v>
      </c>
      <c r="R11" s="144" t="n">
        <f aca="false">O11+L11+I11</f>
        <v>0</v>
      </c>
      <c r="S11" s="145"/>
      <c r="T11" s="71" t="n">
        <f aca="false">A12-A11</f>
        <v>31</v>
      </c>
      <c r="U11" s="146" t="n">
        <f aca="false">CHOOSE(F$3,A12+24,A11)</f>
        <v>37067</v>
      </c>
      <c r="V11" s="71" t="n">
        <f aca="false">U11-C$3</f>
        <v>179</v>
      </c>
      <c r="W11" s="142" t="n">
        <f aca="false">VLOOKUP($A11,Table,MATCH(W$4,Curves,0))</f>
        <v>0.06498049692698</v>
      </c>
      <c r="X11" s="147" t="n">
        <f aca="false">1/(1+CHOOSE(F$3,(W12+($K$3/10000))/2,(W11+($K$3/10000))/2))^(2*V11/365.25)</f>
        <v>0.969636599816097</v>
      </c>
      <c r="Y11" s="71" t="n">
        <f aca="false">IF(AND(mthbeg&lt;=A11,mthend&gt;=A11),1,0)</f>
        <v>1</v>
      </c>
      <c r="Z11" s="71" t="n">
        <f aca="false">T11*Y11</f>
        <v>31</v>
      </c>
      <c r="AB11" s="132" t="n">
        <f aca="false">F11*G11</f>
        <v>0</v>
      </c>
      <c r="AC11" s="132" t="n">
        <f aca="false">$F11*H11</f>
        <v>0</v>
      </c>
      <c r="AD11" s="132" t="n">
        <f aca="false">$F11*I11</f>
        <v>0</v>
      </c>
      <c r="AE11" s="132" t="n">
        <f aca="false">$F11*J11</f>
        <v>-0</v>
      </c>
      <c r="AF11" s="132" t="n">
        <f aca="false">$F11*K11</f>
        <v>-0</v>
      </c>
      <c r="AG11" s="132" t="n">
        <f aca="false">$F11*L11</f>
        <v>0</v>
      </c>
      <c r="AH11" s="132" t="n">
        <f aca="false">$F11*M11</f>
        <v>0</v>
      </c>
      <c r="AI11" s="132" t="n">
        <f aca="false">$F11*N11</f>
        <v>0</v>
      </c>
      <c r="AJ11" s="132" t="n">
        <f aca="false">F11*O11</f>
        <v>0</v>
      </c>
      <c r="AK11" s="137"/>
      <c r="AL11" s="132" t="n">
        <f aca="false">CHOOSE($G$3,AC11-AD11,AD11-AC11)</f>
        <v>0</v>
      </c>
      <c r="AM11" s="132" t="n">
        <f aca="false">CHOOSE($G$3,AF11-AG11,AG11-AF11)</f>
        <v>0</v>
      </c>
      <c r="AN11" s="132" t="n">
        <f aca="false">CHOOSE($G$3,AI11-AJ11,AJ11-AI11)</f>
        <v>0</v>
      </c>
      <c r="AO11" s="148" t="n">
        <f aca="false">SUM(AL11:AN11)</f>
        <v>0</v>
      </c>
      <c r="AQ11" s="132" t="n">
        <f aca="false">CHOOSE($G$3,AB11-AC11,AC11-AB11)</f>
        <v>0</v>
      </c>
      <c r="AR11" s="132" t="n">
        <f aca="false">CHOOSE($G$3,AE11-AF11,AF11-AE11)</f>
        <v>0</v>
      </c>
      <c r="AS11" s="132" t="n">
        <f aca="false">CHOOSE($G$3,AH11-AI11,AI11-AH11)</f>
        <v>0</v>
      </c>
      <c r="AT11" s="148" t="n">
        <f aca="false">AQ11+AR11+AS11</f>
        <v>0</v>
      </c>
      <c r="AU11" s="148"/>
      <c r="AV11" s="133" t="n">
        <f aca="false">AT11+AO11</f>
        <v>0</v>
      </c>
      <c r="AX11" s="133" t="n">
        <f aca="false">AJ11+AG11+AD11</f>
        <v>0</v>
      </c>
      <c r="AY11" s="149"/>
      <c r="AZ11" s="76" t="n">
        <f aca="false">R11*E11</f>
        <v>0</v>
      </c>
    </row>
    <row r="12" customFormat="false" ht="12.75" hidden="false" customHeight="false" outlineLevel="0" collapsed="false">
      <c r="A12" s="138" t="n">
        <f aca="false">EDATE(A11,1)</f>
        <v>37043</v>
      </c>
      <c r="B12" s="139" t="n">
        <f aca="false">VLOOKUP($A12,Table2,MATCH(I$3,Curves2,0))</f>
        <v>0</v>
      </c>
      <c r="C12" s="140"/>
      <c r="D12" s="141" t="n">
        <f aca="false">B12+C12</f>
        <v>0</v>
      </c>
      <c r="E12" s="126" t="n">
        <f aca="false">IF(Y12=0,0,IF(AND(Y12=1,$H$3=1),D12*T12,IF($H$3=2,D12,"N/A")))</f>
        <v>0</v>
      </c>
      <c r="F12" s="126" t="n">
        <f aca="false">E12*X12</f>
        <v>0</v>
      </c>
      <c r="G12" s="142" t="n">
        <f aca="false">VLOOKUP($A12,Table,MATCH(G$4,Curves,0))</f>
        <v>5.31</v>
      </c>
      <c r="H12" s="143" t="n">
        <f aca="false">G12</f>
        <v>5.31</v>
      </c>
      <c r="I12" s="142" t="n">
        <f aca="false">VLOOKUP($A12,Table1,MATCH(I$3,Curves1,0))</f>
        <v>0</v>
      </c>
      <c r="J12" s="142" t="n">
        <f aca="false">VLOOKUP($A12,Table,MATCH(J$4,Curves,0))</f>
        <v>-0.025</v>
      </c>
      <c r="K12" s="143" t="n">
        <f aca="false">J12</f>
        <v>-0.025</v>
      </c>
      <c r="L12" s="144" t="n">
        <v>0</v>
      </c>
      <c r="M12" s="142" t="n">
        <f aca="false">VLOOKUP($A12,Table,MATCH(M$4,Curves,0))</f>
        <v>0.0075</v>
      </c>
      <c r="N12" s="143" t="n">
        <f aca="false">M12</f>
        <v>0.0075</v>
      </c>
      <c r="O12" s="144" t="n">
        <v>0</v>
      </c>
      <c r="P12" s="145"/>
      <c r="Q12" s="144" t="n">
        <f aca="false">M12+J12+G12</f>
        <v>5.2925</v>
      </c>
      <c r="R12" s="144" t="n">
        <f aca="false">O12+L12+I12</f>
        <v>0</v>
      </c>
      <c r="S12" s="145"/>
      <c r="T12" s="71" t="n">
        <f aca="false">A13-A12</f>
        <v>30</v>
      </c>
      <c r="U12" s="146" t="n">
        <f aca="false">CHOOSE(F$3,A13+24,A12)</f>
        <v>37097</v>
      </c>
      <c r="V12" s="71" t="n">
        <f aca="false">U12-C$3</f>
        <v>209</v>
      </c>
      <c r="W12" s="142" t="n">
        <f aca="false">VLOOKUP($A12,Table,MATCH(W$4,Curves,0))</f>
        <v>0.063916780928</v>
      </c>
      <c r="X12" s="147" t="n">
        <f aca="false">1/(1+CHOOSE(F$3,(W13+($K$3/10000))/2,(W12+($K$3/10000))/2))^(2*V12/365.25)</f>
        <v>0.965125995167278</v>
      </c>
      <c r="Y12" s="71" t="n">
        <f aca="false">IF(AND(mthbeg&lt;=A12,mthend&gt;=A12),1,0)</f>
        <v>1</v>
      </c>
      <c r="Z12" s="71" t="n">
        <f aca="false">T12*Y12</f>
        <v>30</v>
      </c>
      <c r="AB12" s="132" t="n">
        <f aca="false">F12*G12</f>
        <v>0</v>
      </c>
      <c r="AC12" s="132" t="n">
        <f aca="false">$F12*H12</f>
        <v>0</v>
      </c>
      <c r="AD12" s="132" t="n">
        <f aca="false">$F12*I12</f>
        <v>0</v>
      </c>
      <c r="AE12" s="132" t="n">
        <f aca="false">$F12*J12</f>
        <v>-0</v>
      </c>
      <c r="AF12" s="132" t="n">
        <f aca="false">$F12*K12</f>
        <v>-0</v>
      </c>
      <c r="AG12" s="132" t="n">
        <f aca="false">$F12*L12</f>
        <v>0</v>
      </c>
      <c r="AH12" s="132" t="n">
        <f aca="false">$F12*M12</f>
        <v>0</v>
      </c>
      <c r="AI12" s="132" t="n">
        <f aca="false">$F12*N12</f>
        <v>0</v>
      </c>
      <c r="AJ12" s="132" t="n">
        <f aca="false">F12*O12</f>
        <v>0</v>
      </c>
      <c r="AK12" s="137"/>
      <c r="AL12" s="132" t="n">
        <f aca="false">CHOOSE($G$3,AC12-AD12,AD12-AC12)</f>
        <v>0</v>
      </c>
      <c r="AM12" s="132" t="n">
        <f aca="false">CHOOSE($G$3,AF12-AG12,AG12-AF12)</f>
        <v>0</v>
      </c>
      <c r="AN12" s="132" t="n">
        <f aca="false">CHOOSE($G$3,AI12-AJ12,AJ12-AI12)</f>
        <v>0</v>
      </c>
      <c r="AO12" s="148" t="n">
        <f aca="false">SUM(AL12:AN12)</f>
        <v>0</v>
      </c>
      <c r="AQ12" s="132" t="n">
        <f aca="false">CHOOSE($G$3,AB12-AC12,AC12-AB12)</f>
        <v>0</v>
      </c>
      <c r="AR12" s="132" t="n">
        <f aca="false">CHOOSE($G$3,AE12-AF12,AF12-AE12)</f>
        <v>0</v>
      </c>
      <c r="AS12" s="132" t="n">
        <f aca="false">CHOOSE($G$3,AH12-AI12,AI12-AH12)</f>
        <v>0</v>
      </c>
      <c r="AT12" s="148" t="n">
        <f aca="false">AQ12+AR12+AS12</f>
        <v>0</v>
      </c>
      <c r="AU12" s="148"/>
      <c r="AV12" s="133" t="n">
        <f aca="false">AT12+AO12</f>
        <v>0</v>
      </c>
      <c r="AX12" s="133" t="n">
        <f aca="false">AJ12+AG12+AD12</f>
        <v>0</v>
      </c>
      <c r="AY12" s="149"/>
      <c r="AZ12" s="76" t="n">
        <f aca="false">R12*E12</f>
        <v>0</v>
      </c>
    </row>
    <row r="13" customFormat="false" ht="12.75" hidden="false" customHeight="false" outlineLevel="0" collapsed="false">
      <c r="A13" s="138" t="n">
        <f aca="false">EDATE(A12,1)</f>
        <v>37073</v>
      </c>
      <c r="B13" s="139" t="n">
        <f aca="false">VLOOKUP($A13,Table2,MATCH(I$3,Curves2,0))</f>
        <v>0</v>
      </c>
      <c r="C13" s="140"/>
      <c r="D13" s="141" t="n">
        <f aca="false">B13+C13</f>
        <v>0</v>
      </c>
      <c r="E13" s="126" t="n">
        <f aca="false">IF(Y13=0,0,IF(AND(Y13=1,$H$3=1),D13*T13,IF($H$3=2,D13,"N/A")))</f>
        <v>0</v>
      </c>
      <c r="F13" s="126" t="n">
        <f aca="false">E13*X13</f>
        <v>0</v>
      </c>
      <c r="G13" s="142" t="n">
        <f aca="false">VLOOKUP($A13,Table,MATCH(G$4,Curves,0))</f>
        <v>5.295</v>
      </c>
      <c r="H13" s="143" t="n">
        <f aca="false">G13</f>
        <v>5.295</v>
      </c>
      <c r="I13" s="142" t="n">
        <f aca="false">VLOOKUP($A13,Table1,MATCH(I$3,Curves1,0))</f>
        <v>0</v>
      </c>
      <c r="J13" s="142" t="n">
        <f aca="false">VLOOKUP($A13,Table,MATCH(J$4,Curves,0))</f>
        <v>-0.025</v>
      </c>
      <c r="K13" s="143" t="n">
        <f aca="false">J13</f>
        <v>-0.025</v>
      </c>
      <c r="L13" s="144" t="n">
        <v>0</v>
      </c>
      <c r="M13" s="142" t="n">
        <f aca="false">VLOOKUP($A13,Table,MATCH(M$4,Curves,0))</f>
        <v>0.0075</v>
      </c>
      <c r="N13" s="143" t="n">
        <f aca="false">M13</f>
        <v>0.0075</v>
      </c>
      <c r="O13" s="144" t="n">
        <v>0</v>
      </c>
      <c r="P13" s="145"/>
      <c r="Q13" s="144" t="n">
        <f aca="false">M13+J13+G13</f>
        <v>5.2775</v>
      </c>
      <c r="R13" s="144" t="n">
        <f aca="false">O13+L13+I13</f>
        <v>0</v>
      </c>
      <c r="S13" s="145"/>
      <c r="T13" s="71" t="n">
        <f aca="false">A14-A13</f>
        <v>31</v>
      </c>
      <c r="U13" s="146" t="n">
        <f aca="false">CHOOSE(F$3,A14+24,A13)</f>
        <v>37128</v>
      </c>
      <c r="V13" s="71" t="n">
        <f aca="false">U13-C$3</f>
        <v>240</v>
      </c>
      <c r="W13" s="142" t="n">
        <f aca="false">VLOOKUP($A13,Table,MATCH(W$4,Curves,0))</f>
        <v>0.063006250837977</v>
      </c>
      <c r="X13" s="147" t="n">
        <f aca="false">1/(1+CHOOSE(F$3,(W14+($K$3/10000))/2,(W13+($K$3/10000))/2))^(2*V13/365.25)</f>
        <v>0.960498083174075</v>
      </c>
      <c r="Y13" s="71" t="n">
        <f aca="false">IF(AND(mthbeg&lt;=A13,mthend&gt;=A13),1,0)</f>
        <v>1</v>
      </c>
      <c r="Z13" s="71" t="n">
        <f aca="false">T13*Y13</f>
        <v>31</v>
      </c>
      <c r="AB13" s="132" t="n">
        <f aca="false">F13*G13</f>
        <v>0</v>
      </c>
      <c r="AC13" s="132" t="n">
        <f aca="false">$F13*H13</f>
        <v>0</v>
      </c>
      <c r="AD13" s="132" t="n">
        <f aca="false">$F13*I13</f>
        <v>0</v>
      </c>
      <c r="AE13" s="132" t="n">
        <f aca="false">$F13*J13</f>
        <v>-0</v>
      </c>
      <c r="AF13" s="132" t="n">
        <f aca="false">$F13*K13</f>
        <v>-0</v>
      </c>
      <c r="AG13" s="132" t="n">
        <f aca="false">$F13*L13</f>
        <v>0</v>
      </c>
      <c r="AH13" s="132" t="n">
        <f aca="false">$F13*M13</f>
        <v>0</v>
      </c>
      <c r="AI13" s="132" t="n">
        <f aca="false">$F13*N13</f>
        <v>0</v>
      </c>
      <c r="AJ13" s="132" t="n">
        <f aca="false">F13*O13</f>
        <v>0</v>
      </c>
      <c r="AK13" s="137"/>
      <c r="AL13" s="132" t="n">
        <f aca="false">CHOOSE($G$3,AC13-AD13,AD13-AC13)</f>
        <v>0</v>
      </c>
      <c r="AM13" s="132" t="n">
        <f aca="false">CHOOSE($G$3,AF13-AG13,AG13-AF13)</f>
        <v>0</v>
      </c>
      <c r="AN13" s="132" t="n">
        <f aca="false">CHOOSE($G$3,AI13-AJ13,AJ13-AI13)</f>
        <v>0</v>
      </c>
      <c r="AO13" s="148" t="n">
        <f aca="false">SUM(AL13:AN13)</f>
        <v>0</v>
      </c>
      <c r="AQ13" s="132" t="n">
        <f aca="false">CHOOSE($G$3,AB13-AC13,AC13-AB13)</f>
        <v>0</v>
      </c>
      <c r="AR13" s="132" t="n">
        <f aca="false">CHOOSE($G$3,AE13-AF13,AF13-AE13)</f>
        <v>0</v>
      </c>
      <c r="AS13" s="132" t="n">
        <f aca="false">CHOOSE($G$3,AH13-AI13,AI13-AH13)</f>
        <v>0</v>
      </c>
      <c r="AT13" s="148" t="n">
        <f aca="false">AQ13+AR13+AS13</f>
        <v>0</v>
      </c>
      <c r="AU13" s="148"/>
      <c r="AV13" s="133" t="n">
        <f aca="false">AT13+AO13</f>
        <v>0</v>
      </c>
      <c r="AX13" s="133" t="n">
        <f aca="false">AJ13+AG13+AD13</f>
        <v>0</v>
      </c>
      <c r="AY13" s="149"/>
      <c r="AZ13" s="76" t="n">
        <f aca="false">R13*E13</f>
        <v>0</v>
      </c>
    </row>
    <row r="14" customFormat="false" ht="12.75" hidden="false" customHeight="false" outlineLevel="0" collapsed="false">
      <c r="A14" s="138" t="n">
        <f aca="false">EDATE(A13,1)</f>
        <v>37104</v>
      </c>
      <c r="B14" s="139" t="n">
        <f aca="false">VLOOKUP($A14,Table2,MATCH(I$3,Curves2,0))</f>
        <v>0</v>
      </c>
      <c r="C14" s="140"/>
      <c r="D14" s="141" t="n">
        <f aca="false">B14+C14</f>
        <v>0</v>
      </c>
      <c r="E14" s="126" t="n">
        <f aca="false">IF(Y14=0,0,IF(AND(Y14=1,$H$3=1),D14*T14,IF($H$3=2,D14,"N/A")))</f>
        <v>0</v>
      </c>
      <c r="F14" s="126" t="n">
        <f aca="false">E14*X14</f>
        <v>0</v>
      </c>
      <c r="G14" s="142" t="n">
        <f aca="false">VLOOKUP($A14,Table,MATCH(G$4,Curves,0))</f>
        <v>5.275</v>
      </c>
      <c r="H14" s="143" t="n">
        <f aca="false">G14</f>
        <v>5.275</v>
      </c>
      <c r="I14" s="142" t="n">
        <f aca="false">VLOOKUP($A14,Table1,MATCH(I$3,Curves1,0))</f>
        <v>0</v>
      </c>
      <c r="J14" s="142" t="n">
        <f aca="false">VLOOKUP($A14,Table,MATCH(J$4,Curves,0))</f>
        <v>-0.025</v>
      </c>
      <c r="K14" s="143" t="n">
        <f aca="false">J14</f>
        <v>-0.025</v>
      </c>
      <c r="L14" s="144" t="n">
        <v>0</v>
      </c>
      <c r="M14" s="142" t="n">
        <f aca="false">VLOOKUP($A14,Table,MATCH(M$4,Curves,0))</f>
        <v>0.0075</v>
      </c>
      <c r="N14" s="143" t="n">
        <f aca="false">M14</f>
        <v>0.0075</v>
      </c>
      <c r="O14" s="144" t="n">
        <v>0</v>
      </c>
      <c r="P14" s="145"/>
      <c r="Q14" s="144" t="n">
        <f aca="false">M14+J14+G14</f>
        <v>5.2575</v>
      </c>
      <c r="R14" s="144" t="n">
        <f aca="false">O14+L14+I14</f>
        <v>0</v>
      </c>
      <c r="S14" s="145"/>
      <c r="T14" s="71" t="n">
        <f aca="false">A15-A14</f>
        <v>31</v>
      </c>
      <c r="U14" s="146" t="n">
        <f aca="false">CHOOSE(F$3,A15+24,A14)</f>
        <v>37159</v>
      </c>
      <c r="V14" s="71" t="n">
        <f aca="false">U14-C$3</f>
        <v>271</v>
      </c>
      <c r="W14" s="142" t="n">
        <f aca="false">VLOOKUP($A14,Table,MATCH(W$4,Curves,0))</f>
        <v>0.062286806097195</v>
      </c>
      <c r="X14" s="147" t="n">
        <f aca="false">1/(1+CHOOSE(F$3,(W15+($K$3/10000))/2,(W14+($K$3/10000))/2))^(2*V14/365.25)</f>
        <v>0.956005733200222</v>
      </c>
      <c r="Y14" s="71" t="n">
        <f aca="false">IF(AND(mthbeg&lt;=A14,mthend&gt;=A14),1,0)</f>
        <v>1</v>
      </c>
      <c r="Z14" s="71" t="n">
        <f aca="false">T14*Y14</f>
        <v>31</v>
      </c>
      <c r="AB14" s="132" t="n">
        <f aca="false">F14*G14</f>
        <v>0</v>
      </c>
      <c r="AC14" s="132" t="n">
        <f aca="false">$F14*H14</f>
        <v>0</v>
      </c>
      <c r="AD14" s="132" t="n">
        <f aca="false">$F14*I14</f>
        <v>0</v>
      </c>
      <c r="AE14" s="132" t="n">
        <f aca="false">$F14*J14</f>
        <v>-0</v>
      </c>
      <c r="AF14" s="132" t="n">
        <f aca="false">$F14*K14</f>
        <v>-0</v>
      </c>
      <c r="AG14" s="132" t="n">
        <f aca="false">$F14*L14</f>
        <v>0</v>
      </c>
      <c r="AH14" s="132" t="n">
        <f aca="false">$F14*M14</f>
        <v>0</v>
      </c>
      <c r="AI14" s="132" t="n">
        <f aca="false">$F14*N14</f>
        <v>0</v>
      </c>
      <c r="AJ14" s="132" t="n">
        <f aca="false">F14*O14</f>
        <v>0</v>
      </c>
      <c r="AK14" s="137"/>
      <c r="AL14" s="132" t="n">
        <f aca="false">CHOOSE($G$3,AC14-AD14,AD14-AC14)</f>
        <v>0</v>
      </c>
      <c r="AM14" s="132" t="n">
        <f aca="false">CHOOSE($G$3,AF14-AG14,AG14-AF14)</f>
        <v>0</v>
      </c>
      <c r="AN14" s="132" t="n">
        <f aca="false">CHOOSE($G$3,AI14-AJ14,AJ14-AI14)</f>
        <v>0</v>
      </c>
      <c r="AO14" s="148" t="n">
        <f aca="false">SUM(AL14:AN14)</f>
        <v>0</v>
      </c>
      <c r="AQ14" s="132" t="n">
        <f aca="false">CHOOSE($G$3,AB14-AC14,AC14-AB14)</f>
        <v>0</v>
      </c>
      <c r="AR14" s="132" t="n">
        <f aca="false">CHOOSE($G$3,AE14-AF14,AF14-AE14)</f>
        <v>0</v>
      </c>
      <c r="AS14" s="132" t="n">
        <f aca="false">CHOOSE($G$3,AH14-AI14,AI14-AH14)</f>
        <v>0</v>
      </c>
      <c r="AT14" s="148" t="n">
        <f aca="false">AQ14+AR14+AS14</f>
        <v>0</v>
      </c>
      <c r="AU14" s="148"/>
      <c r="AV14" s="133" t="n">
        <f aca="false">AT14+AO14</f>
        <v>0</v>
      </c>
      <c r="AX14" s="133" t="n">
        <f aca="false">AJ14+AG14+AD14</f>
        <v>0</v>
      </c>
      <c r="AY14" s="149"/>
      <c r="AZ14" s="76" t="n">
        <f aca="false">R14*E14</f>
        <v>0</v>
      </c>
    </row>
    <row r="15" customFormat="false" ht="12.75" hidden="false" customHeight="false" outlineLevel="0" collapsed="false">
      <c r="A15" s="138" t="n">
        <f aca="false">EDATE(A14,1)</f>
        <v>37135</v>
      </c>
      <c r="B15" s="139" t="n">
        <f aca="false">VLOOKUP($A15,Table2,MATCH(I$3,Curves2,0))</f>
        <v>0</v>
      </c>
      <c r="C15" s="140"/>
      <c r="D15" s="141" t="n">
        <f aca="false">B15+C15</f>
        <v>0</v>
      </c>
      <c r="E15" s="126" t="n">
        <f aca="false">IF(Y15=0,0,IF(AND(Y15=1,$H$3=1),D15*T15,IF($H$3=2,D15,"N/A")))</f>
        <v>0</v>
      </c>
      <c r="F15" s="126" t="n">
        <f aca="false">E15*X15</f>
        <v>0</v>
      </c>
      <c r="G15" s="142" t="n">
        <f aca="false">VLOOKUP($A15,Table,MATCH(G$4,Curves,0))</f>
        <v>5.245</v>
      </c>
      <c r="H15" s="143" t="n">
        <f aca="false">G15</f>
        <v>5.245</v>
      </c>
      <c r="I15" s="142" t="n">
        <f aca="false">VLOOKUP($A15,Table1,MATCH(I$3,Curves1,0))</f>
        <v>0</v>
      </c>
      <c r="J15" s="142" t="n">
        <f aca="false">VLOOKUP($A15,Table,MATCH(J$4,Curves,0))</f>
        <v>-0.025</v>
      </c>
      <c r="K15" s="143" t="n">
        <f aca="false">J15</f>
        <v>-0.025</v>
      </c>
      <c r="L15" s="144" t="n">
        <v>0</v>
      </c>
      <c r="M15" s="142" t="n">
        <f aca="false">VLOOKUP($A15,Table,MATCH(M$4,Curves,0))</f>
        <v>0.0075</v>
      </c>
      <c r="N15" s="143" t="n">
        <f aca="false">M15</f>
        <v>0.0075</v>
      </c>
      <c r="O15" s="144" t="n">
        <v>0</v>
      </c>
      <c r="P15" s="145"/>
      <c r="Q15" s="144" t="n">
        <f aca="false">M15+J15+G15</f>
        <v>5.2275</v>
      </c>
      <c r="R15" s="144" t="n">
        <f aca="false">O15+L15+I15</f>
        <v>0</v>
      </c>
      <c r="S15" s="145"/>
      <c r="T15" s="71" t="n">
        <f aca="false">A16-A15</f>
        <v>30</v>
      </c>
      <c r="U15" s="146" t="n">
        <f aca="false">CHOOSE(F$3,A16+24,A15)</f>
        <v>37189</v>
      </c>
      <c r="V15" s="71" t="n">
        <f aca="false">U15-C$3</f>
        <v>301</v>
      </c>
      <c r="W15" s="142" t="n">
        <f aca="false">VLOOKUP($A15,Table,MATCH(W$4,Curves,0))</f>
        <v>0.061567361528203</v>
      </c>
      <c r="X15" s="147" t="n">
        <f aca="false">1/(1+CHOOSE(F$3,(W16+($K$3/10000))/2,(W15+($K$3/10000))/2))^(2*V15/365.25)</f>
        <v>0.951724843853342</v>
      </c>
      <c r="Y15" s="71" t="n">
        <f aca="false">IF(AND(mthbeg&lt;=A15,mthend&gt;=A15),1,0)</f>
        <v>1</v>
      </c>
      <c r="Z15" s="71" t="n">
        <f aca="false">T15*Y15</f>
        <v>30</v>
      </c>
      <c r="AB15" s="132" t="n">
        <f aca="false">F15*G15</f>
        <v>0</v>
      </c>
      <c r="AC15" s="132" t="n">
        <f aca="false">$F15*H15</f>
        <v>0</v>
      </c>
      <c r="AD15" s="132" t="n">
        <f aca="false">$F15*I15</f>
        <v>0</v>
      </c>
      <c r="AE15" s="132" t="n">
        <f aca="false">$F15*J15</f>
        <v>-0</v>
      </c>
      <c r="AF15" s="132" t="n">
        <f aca="false">$F15*K15</f>
        <v>-0</v>
      </c>
      <c r="AG15" s="132" t="n">
        <f aca="false">$F15*L15</f>
        <v>0</v>
      </c>
      <c r="AH15" s="132" t="n">
        <f aca="false">$F15*M15</f>
        <v>0</v>
      </c>
      <c r="AI15" s="132" t="n">
        <f aca="false">$F15*N15</f>
        <v>0</v>
      </c>
      <c r="AJ15" s="132" t="n">
        <f aca="false">F15*O15</f>
        <v>0</v>
      </c>
      <c r="AK15" s="137"/>
      <c r="AL15" s="132" t="n">
        <f aca="false">CHOOSE($G$3,AC15-AD15,AD15-AC15)</f>
        <v>0</v>
      </c>
      <c r="AM15" s="132" t="n">
        <f aca="false">CHOOSE($G$3,AF15-AG15,AG15-AF15)</f>
        <v>0</v>
      </c>
      <c r="AN15" s="132" t="n">
        <f aca="false">CHOOSE($G$3,AI15-AJ15,AJ15-AI15)</f>
        <v>0</v>
      </c>
      <c r="AO15" s="148" t="n">
        <f aca="false">SUM(AL15:AN15)</f>
        <v>0</v>
      </c>
      <c r="AQ15" s="132" t="n">
        <f aca="false">CHOOSE($G$3,AB15-AC15,AC15-AB15)</f>
        <v>0</v>
      </c>
      <c r="AR15" s="132" t="n">
        <f aca="false">CHOOSE($G$3,AE15-AF15,AF15-AE15)</f>
        <v>0</v>
      </c>
      <c r="AS15" s="132" t="n">
        <f aca="false">CHOOSE($G$3,AH15-AI15,AI15-AH15)</f>
        <v>0</v>
      </c>
      <c r="AT15" s="148" t="n">
        <f aca="false">AQ15+AR15+AS15</f>
        <v>0</v>
      </c>
      <c r="AU15" s="148"/>
      <c r="AV15" s="133" t="n">
        <f aca="false">AT15+AO15</f>
        <v>0</v>
      </c>
      <c r="AX15" s="133" t="n">
        <f aca="false">AJ15+AG15+AD15</f>
        <v>0</v>
      </c>
      <c r="AY15" s="149"/>
      <c r="AZ15" s="76" t="n">
        <f aca="false">R15*E15</f>
        <v>0</v>
      </c>
    </row>
    <row r="16" customFormat="false" ht="12.75" hidden="false" customHeight="false" outlineLevel="0" collapsed="false">
      <c r="A16" s="138" t="n">
        <f aca="false">EDATE(A15,1)</f>
        <v>37165</v>
      </c>
      <c r="B16" s="139" t="n">
        <f aca="false">VLOOKUP($A16,Table2,MATCH(I$3,Curves2,0))</f>
        <v>0</v>
      </c>
      <c r="C16" s="140"/>
      <c r="D16" s="141" t="n">
        <f aca="false">B16+C16</f>
        <v>0</v>
      </c>
      <c r="E16" s="126" t="n">
        <f aca="false">IF(Y16=0,0,IF(AND(Y16=1,$H$3=1),D16*T16,IF($H$3=2,D16,"N/A")))</f>
        <v>0</v>
      </c>
      <c r="F16" s="126" t="n">
        <f aca="false">E16*X16</f>
        <v>0</v>
      </c>
      <c r="G16" s="142" t="n">
        <f aca="false">VLOOKUP($A16,Table,MATCH(G$4,Curves,0))</f>
        <v>5.225</v>
      </c>
      <c r="H16" s="143" t="n">
        <f aca="false">G16</f>
        <v>5.225</v>
      </c>
      <c r="I16" s="142" t="n">
        <f aca="false">VLOOKUP($A16,Table1,MATCH(I$3,Curves1,0))</f>
        <v>0</v>
      </c>
      <c r="J16" s="142" t="n">
        <f aca="false">VLOOKUP($A16,Table,MATCH(J$4,Curves,0))</f>
        <v>-0.025</v>
      </c>
      <c r="K16" s="143" t="n">
        <f aca="false">J16</f>
        <v>-0.025</v>
      </c>
      <c r="L16" s="144" t="n">
        <v>0</v>
      </c>
      <c r="M16" s="142" t="n">
        <f aca="false">VLOOKUP($A16,Table,MATCH(M$4,Curves,0))</f>
        <v>0.0075</v>
      </c>
      <c r="N16" s="143" t="n">
        <f aca="false">M16</f>
        <v>0.0075</v>
      </c>
      <c r="O16" s="144" t="n">
        <v>0</v>
      </c>
      <c r="P16" s="145"/>
      <c r="Q16" s="144" t="n">
        <f aca="false">M16+J16+G16</f>
        <v>5.2075</v>
      </c>
      <c r="R16" s="144" t="n">
        <f aca="false">O16+L16+I16</f>
        <v>0</v>
      </c>
      <c r="S16" s="145"/>
      <c r="T16" s="71" t="n">
        <f aca="false">A17-A16</f>
        <v>31</v>
      </c>
      <c r="U16" s="146" t="n">
        <f aca="false">CHOOSE(F$3,A17+24,A16)</f>
        <v>37220</v>
      </c>
      <c r="V16" s="71" t="n">
        <f aca="false">U16-C$3</f>
        <v>332</v>
      </c>
      <c r="W16" s="142" t="n">
        <f aca="false">VLOOKUP($A16,Table,MATCH(W$4,Curves,0))</f>
        <v>0.060951245077802</v>
      </c>
      <c r="X16" s="147" t="n">
        <f aca="false">1/(1+CHOOSE(F$3,(W17+($K$3/10000))/2,(W16+($K$3/10000))/2))^(2*V16/365.25)</f>
        <v>0.947310536474598</v>
      </c>
      <c r="Y16" s="71" t="n">
        <f aca="false">IF(AND(mthbeg&lt;=A16,mthend&gt;=A16),1,0)</f>
        <v>1</v>
      </c>
      <c r="Z16" s="71" t="n">
        <f aca="false">T16*Y16</f>
        <v>31</v>
      </c>
      <c r="AB16" s="132" t="n">
        <f aca="false">F16*G16</f>
        <v>0</v>
      </c>
      <c r="AC16" s="132" t="n">
        <f aca="false">$F16*H16</f>
        <v>0</v>
      </c>
      <c r="AD16" s="132" t="n">
        <f aca="false">$F16*I16</f>
        <v>0</v>
      </c>
      <c r="AE16" s="132" t="n">
        <f aca="false">$F16*J16</f>
        <v>-0</v>
      </c>
      <c r="AF16" s="132" t="n">
        <f aca="false">$F16*K16</f>
        <v>-0</v>
      </c>
      <c r="AG16" s="132" t="n">
        <f aca="false">$F16*L16</f>
        <v>0</v>
      </c>
      <c r="AH16" s="132" t="n">
        <f aca="false">$F16*M16</f>
        <v>0</v>
      </c>
      <c r="AI16" s="132" t="n">
        <f aca="false">$F16*N16</f>
        <v>0</v>
      </c>
      <c r="AJ16" s="132" t="n">
        <f aca="false">F16*O16</f>
        <v>0</v>
      </c>
      <c r="AK16" s="137"/>
      <c r="AL16" s="132" t="n">
        <f aca="false">CHOOSE($G$3,AC16-AD16,AD16-AC16)</f>
        <v>0</v>
      </c>
      <c r="AM16" s="132" t="n">
        <f aca="false">CHOOSE($G$3,AF16-AG16,AG16-AF16)</f>
        <v>0</v>
      </c>
      <c r="AN16" s="132" t="n">
        <f aca="false">CHOOSE($G$3,AI16-AJ16,AJ16-AI16)</f>
        <v>0</v>
      </c>
      <c r="AO16" s="148" t="n">
        <f aca="false">SUM(AL16:AN16)</f>
        <v>0</v>
      </c>
      <c r="AQ16" s="132" t="n">
        <f aca="false">CHOOSE($G$3,AB16-AC16,AC16-AB16)</f>
        <v>0</v>
      </c>
      <c r="AR16" s="132" t="n">
        <f aca="false">CHOOSE($G$3,AE16-AF16,AF16-AE16)</f>
        <v>0</v>
      </c>
      <c r="AS16" s="132" t="n">
        <f aca="false">CHOOSE($G$3,AH16-AI16,AI16-AH16)</f>
        <v>0</v>
      </c>
      <c r="AT16" s="148" t="n">
        <f aca="false">AQ16+AR16+AS16</f>
        <v>0</v>
      </c>
      <c r="AU16" s="148"/>
      <c r="AV16" s="133" t="n">
        <f aca="false">AT16+AO16</f>
        <v>0</v>
      </c>
      <c r="AX16" s="133" t="n">
        <f aca="false">AJ16+AG16+AD16</f>
        <v>0</v>
      </c>
      <c r="AY16" s="149"/>
      <c r="AZ16" s="76" t="n">
        <f aca="false">R16*E16</f>
        <v>0</v>
      </c>
    </row>
    <row r="17" customFormat="false" ht="12.75" hidden="false" customHeight="false" outlineLevel="0" collapsed="false">
      <c r="A17" s="138" t="n">
        <f aca="false">EDATE(A16,1)</f>
        <v>37196</v>
      </c>
      <c r="B17" s="139" t="n">
        <f aca="false">VLOOKUP($A17,Table2,MATCH(I$3,Curves2,0))</f>
        <v>0</v>
      </c>
      <c r="C17" s="140"/>
      <c r="D17" s="141" t="n">
        <f aca="false">B17+C17</f>
        <v>0</v>
      </c>
      <c r="E17" s="126" t="n">
        <f aca="false">IF(Y17=0,0,IF(AND(Y17=1,$H$3=1),D17*T17,IF($H$3=2,D17,"N/A")))</f>
        <v>0</v>
      </c>
      <c r="F17" s="126" t="n">
        <f aca="false">E17*X17</f>
        <v>0</v>
      </c>
      <c r="G17" s="142" t="n">
        <f aca="false">VLOOKUP($A17,Table,MATCH(G$4,Curves,0))</f>
        <v>5.3</v>
      </c>
      <c r="H17" s="143" t="n">
        <f aca="false">G17</f>
        <v>5.3</v>
      </c>
      <c r="I17" s="142" t="n">
        <f aca="false">VLOOKUP($A17,Table1,MATCH(I$3,Curves1,0))</f>
        <v>0</v>
      </c>
      <c r="J17" s="142" t="n">
        <f aca="false">VLOOKUP($A17,Table,MATCH(J$4,Curves,0))</f>
        <v>-0.0275</v>
      </c>
      <c r="K17" s="143" t="n">
        <f aca="false">J17</f>
        <v>-0.0275</v>
      </c>
      <c r="L17" s="144" t="n">
        <v>0</v>
      </c>
      <c r="M17" s="142" t="n">
        <f aca="false">VLOOKUP($A17,Table,MATCH(M$4,Curves,0))</f>
        <v>0.0075</v>
      </c>
      <c r="N17" s="143" t="n">
        <f aca="false">M17</f>
        <v>0.0075</v>
      </c>
      <c r="O17" s="144" t="n">
        <v>0</v>
      </c>
      <c r="P17" s="145"/>
      <c r="Q17" s="144" t="n">
        <f aca="false">M17+J17+G17</f>
        <v>5.28</v>
      </c>
      <c r="R17" s="144" t="n">
        <f aca="false">O17+L17+I17</f>
        <v>0</v>
      </c>
      <c r="S17" s="145"/>
      <c r="T17" s="71" t="n">
        <f aca="false">A18-A17</f>
        <v>30</v>
      </c>
      <c r="U17" s="146" t="n">
        <f aca="false">CHOOSE(F$3,A18+24,A17)</f>
        <v>37250</v>
      </c>
      <c r="V17" s="71" t="n">
        <f aca="false">U17-C$3</f>
        <v>362</v>
      </c>
      <c r="W17" s="142" t="n">
        <f aca="false">VLOOKUP($A17,Table,MATCH(W$4,Curves,0))</f>
        <v>0.060444702340902</v>
      </c>
      <c r="X17" s="147" t="n">
        <f aca="false">1/(1+CHOOSE(F$3,(W18+($K$3/10000))/2,(W17+($K$3/10000))/2))^(2*V17/365.25)</f>
        <v>0.943133164388334</v>
      </c>
      <c r="Y17" s="71" t="n">
        <f aca="false">IF(AND(mthbeg&lt;=A17,mthend&gt;=A17),1,0)</f>
        <v>1</v>
      </c>
      <c r="Z17" s="71" t="n">
        <f aca="false">T17*Y17</f>
        <v>30</v>
      </c>
      <c r="AB17" s="132" t="n">
        <f aca="false">F17*G17</f>
        <v>0</v>
      </c>
      <c r="AC17" s="132" t="n">
        <f aca="false">$F17*H17</f>
        <v>0</v>
      </c>
      <c r="AD17" s="132" t="n">
        <f aca="false">$F17*I17</f>
        <v>0</v>
      </c>
      <c r="AE17" s="132" t="n">
        <f aca="false">$F17*J17</f>
        <v>-0</v>
      </c>
      <c r="AF17" s="132" t="n">
        <f aca="false">$F17*K17</f>
        <v>-0</v>
      </c>
      <c r="AG17" s="132" t="n">
        <f aca="false">$F17*L17</f>
        <v>0</v>
      </c>
      <c r="AH17" s="132" t="n">
        <f aca="false">$F17*M17</f>
        <v>0</v>
      </c>
      <c r="AI17" s="132" t="n">
        <f aca="false">$F17*N17</f>
        <v>0</v>
      </c>
      <c r="AJ17" s="132" t="n">
        <f aca="false">F17*O17</f>
        <v>0</v>
      </c>
      <c r="AK17" s="137"/>
      <c r="AL17" s="132" t="n">
        <f aca="false">CHOOSE($G$3,AC17-AD17,AD17-AC17)</f>
        <v>0</v>
      </c>
      <c r="AM17" s="132" t="n">
        <f aca="false">CHOOSE($G$3,AF17-AG17,AG17-AF17)</f>
        <v>0</v>
      </c>
      <c r="AN17" s="132" t="n">
        <f aca="false">CHOOSE($G$3,AI17-AJ17,AJ17-AI17)</f>
        <v>0</v>
      </c>
      <c r="AO17" s="148" t="n">
        <f aca="false">SUM(AL17:AN17)</f>
        <v>0</v>
      </c>
      <c r="AQ17" s="132" t="n">
        <f aca="false">CHOOSE($G$3,AB17-AC17,AC17-AB17)</f>
        <v>0</v>
      </c>
      <c r="AR17" s="132" t="n">
        <f aca="false">CHOOSE($G$3,AE17-AF17,AF17-AE17)</f>
        <v>0</v>
      </c>
      <c r="AS17" s="132" t="n">
        <f aca="false">CHOOSE($G$3,AH17-AI17,AI17-AH17)</f>
        <v>0</v>
      </c>
      <c r="AT17" s="148" t="n">
        <f aca="false">AQ17+AR17+AS17</f>
        <v>0</v>
      </c>
      <c r="AU17" s="148"/>
      <c r="AV17" s="133" t="n">
        <f aca="false">AT17+AO17</f>
        <v>0</v>
      </c>
      <c r="AX17" s="133" t="n">
        <f aca="false">AJ17+AG17+AD17</f>
        <v>0</v>
      </c>
      <c r="AY17" s="149"/>
      <c r="AZ17" s="76" t="n">
        <f aca="false">R17*E17</f>
        <v>0</v>
      </c>
    </row>
    <row r="18" customFormat="false" ht="12.75" hidden="false" customHeight="false" outlineLevel="0" collapsed="false">
      <c r="A18" s="138" t="n">
        <f aca="false">EDATE(A17,1)</f>
        <v>37226</v>
      </c>
      <c r="B18" s="139" t="n">
        <f aca="false">VLOOKUP($A18,Table2,MATCH(I$3,Curves2,0))</f>
        <v>0</v>
      </c>
      <c r="C18" s="140"/>
      <c r="D18" s="141" t="n">
        <f aca="false">B18+C18</f>
        <v>0</v>
      </c>
      <c r="E18" s="126" t="n">
        <f aca="false">IF(Y18=0,0,IF(AND(Y18=1,$H$3=1),D18*T18,IF($H$3=2,D18,"N/A")))</f>
        <v>0</v>
      </c>
      <c r="F18" s="126" t="n">
        <f aca="false">E18*X18</f>
        <v>0</v>
      </c>
      <c r="G18" s="142" t="n">
        <f aca="false">VLOOKUP($A18,Table,MATCH(G$4,Curves,0))</f>
        <v>5.375</v>
      </c>
      <c r="H18" s="143" t="n">
        <f aca="false">G18</f>
        <v>5.375</v>
      </c>
      <c r="I18" s="142" t="n">
        <f aca="false">VLOOKUP($A18,Table1,MATCH(I$3,Curves1,0))</f>
        <v>0</v>
      </c>
      <c r="J18" s="142" t="n">
        <f aca="false">VLOOKUP($A18,Table,MATCH(J$4,Curves,0))</f>
        <v>-0.0275</v>
      </c>
      <c r="K18" s="143" t="n">
        <f aca="false">J18</f>
        <v>-0.0275</v>
      </c>
      <c r="L18" s="144" t="n">
        <v>0</v>
      </c>
      <c r="M18" s="142" t="n">
        <f aca="false">VLOOKUP($A18,Table,MATCH(M$4,Curves,0))</f>
        <v>0.0075</v>
      </c>
      <c r="N18" s="143" t="n">
        <f aca="false">M18</f>
        <v>0.0075</v>
      </c>
      <c r="O18" s="144" t="n">
        <v>0</v>
      </c>
      <c r="P18" s="145"/>
      <c r="Q18" s="144" t="n">
        <f aca="false">M18+J18+G18</f>
        <v>5.355</v>
      </c>
      <c r="R18" s="144" t="n">
        <f aca="false">O18+L18+I18</f>
        <v>0</v>
      </c>
      <c r="S18" s="145"/>
      <c r="T18" s="71" t="n">
        <f aca="false">A19-A18</f>
        <v>31</v>
      </c>
      <c r="U18" s="146" t="n">
        <f aca="false">CHOOSE(F$3,A19+24,A18)</f>
        <v>37281</v>
      </c>
      <c r="V18" s="71" t="n">
        <f aca="false">U18-C$3</f>
        <v>393</v>
      </c>
      <c r="W18" s="142" t="n">
        <f aca="false">VLOOKUP($A18,Table,MATCH(W$4,Curves,0))</f>
        <v>0.059954499773445</v>
      </c>
      <c r="X18" s="147" t="n">
        <f aca="false">1/(1+CHOOSE(F$3,(W19+($K$3/10000))/2,(W18+($K$3/10000))/2))^(2*V18/365.25)</f>
        <v>0.938803177129092</v>
      </c>
      <c r="Y18" s="71" t="n">
        <f aca="false">IF(AND(mthbeg&lt;=A18,mthend&gt;=A18),1,0)</f>
        <v>1</v>
      </c>
      <c r="Z18" s="71" t="n">
        <f aca="false">T18*Y18</f>
        <v>31</v>
      </c>
      <c r="AB18" s="132" t="n">
        <f aca="false">F18*G18</f>
        <v>0</v>
      </c>
      <c r="AC18" s="132" t="n">
        <f aca="false">$F18*H18</f>
        <v>0</v>
      </c>
      <c r="AD18" s="132" t="n">
        <f aca="false">$F18*I18</f>
        <v>0</v>
      </c>
      <c r="AE18" s="132" t="n">
        <f aca="false">$F18*J18</f>
        <v>-0</v>
      </c>
      <c r="AF18" s="132" t="n">
        <f aca="false">$F18*K18</f>
        <v>-0</v>
      </c>
      <c r="AG18" s="132" t="n">
        <f aca="false">$F18*L18</f>
        <v>0</v>
      </c>
      <c r="AH18" s="132" t="n">
        <f aca="false">$F18*M18</f>
        <v>0</v>
      </c>
      <c r="AI18" s="132" t="n">
        <f aca="false">$F18*N18</f>
        <v>0</v>
      </c>
      <c r="AJ18" s="132" t="n">
        <f aca="false">F18*O18</f>
        <v>0</v>
      </c>
      <c r="AK18" s="137"/>
      <c r="AL18" s="132" t="n">
        <f aca="false">CHOOSE($G$3,AC18-AD18,AD18-AC18)</f>
        <v>0</v>
      </c>
      <c r="AM18" s="132" t="n">
        <f aca="false">CHOOSE($G$3,AF18-AG18,AG18-AF18)</f>
        <v>0</v>
      </c>
      <c r="AN18" s="132" t="n">
        <f aca="false">CHOOSE($G$3,AI18-AJ18,AJ18-AI18)</f>
        <v>0</v>
      </c>
      <c r="AO18" s="148" t="n">
        <f aca="false">SUM(AL18:AN18)</f>
        <v>0</v>
      </c>
      <c r="AQ18" s="132" t="n">
        <f aca="false">CHOOSE($G$3,AB18-AC18,AC18-AB18)</f>
        <v>0</v>
      </c>
      <c r="AR18" s="132" t="n">
        <f aca="false">CHOOSE($G$3,AE18-AF18,AF18-AE18)</f>
        <v>0</v>
      </c>
      <c r="AS18" s="132" t="n">
        <f aca="false">CHOOSE($G$3,AH18-AI18,AI18-AH18)</f>
        <v>0</v>
      </c>
      <c r="AT18" s="148" t="n">
        <f aca="false">AQ18+AR18+AS18</f>
        <v>0</v>
      </c>
      <c r="AU18" s="148"/>
      <c r="AV18" s="133" t="n">
        <f aca="false">AT18+AO18</f>
        <v>0</v>
      </c>
      <c r="AX18" s="133" t="n">
        <f aca="false">AJ18+AG18+AD18</f>
        <v>0</v>
      </c>
      <c r="AY18" s="149"/>
      <c r="AZ18" s="76" t="n">
        <f aca="false">R18*E18</f>
        <v>0</v>
      </c>
    </row>
    <row r="19" customFormat="false" ht="12.75" hidden="false" customHeight="false" outlineLevel="0" collapsed="false">
      <c r="A19" s="138" t="n">
        <f aca="false">EDATE(A18,1)</f>
        <v>37257</v>
      </c>
      <c r="B19" s="139" t="n">
        <f aca="false">VLOOKUP($A19,Table2,MATCH(I$3,Curves2,0))</f>
        <v>0</v>
      </c>
      <c r="C19" s="140"/>
      <c r="D19" s="141" t="n">
        <f aca="false">B19+C19</f>
        <v>0</v>
      </c>
      <c r="E19" s="126" t="n">
        <f aca="false">IF(Y19=0,0,IF(AND(Y19=1,$H$3=1),D19*T19,IF($H$3=2,D19,"N/A")))</f>
        <v>0</v>
      </c>
      <c r="F19" s="126" t="n">
        <f aca="false">E19*X19</f>
        <v>0</v>
      </c>
      <c r="G19" s="142" t="n">
        <f aca="false">VLOOKUP($A19,Table,MATCH(G$4,Curves,0))</f>
        <v>5.365</v>
      </c>
      <c r="H19" s="143" t="n">
        <f aca="false">G19</f>
        <v>5.365</v>
      </c>
      <c r="I19" s="142" t="n">
        <f aca="false">VLOOKUP($A19,Table1,MATCH(I$3,Curves1,0))</f>
        <v>0</v>
      </c>
      <c r="J19" s="142" t="n">
        <f aca="false">VLOOKUP($A19,Table,MATCH(J$4,Curves,0))</f>
        <v>0.001</v>
      </c>
      <c r="K19" s="143" t="n">
        <f aca="false">J19</f>
        <v>0.001</v>
      </c>
      <c r="L19" s="144" t="n">
        <v>0</v>
      </c>
      <c r="M19" s="142" t="n">
        <f aca="false">VLOOKUP($A19,Table,MATCH(M$4,Curves,0))</f>
        <v>0.01</v>
      </c>
      <c r="N19" s="143" t="n">
        <f aca="false">M19</f>
        <v>0.01</v>
      </c>
      <c r="O19" s="144" t="n">
        <v>0</v>
      </c>
      <c r="P19" s="145"/>
      <c r="Q19" s="144" t="n">
        <f aca="false">M19+J19+G19</f>
        <v>5.376</v>
      </c>
      <c r="R19" s="144" t="n">
        <f aca="false">O19+L19+I19</f>
        <v>0</v>
      </c>
      <c r="S19" s="145"/>
      <c r="T19" s="71" t="n">
        <f aca="false">A20-A19</f>
        <v>31</v>
      </c>
      <c r="U19" s="146" t="n">
        <f aca="false">CHOOSE(F$3,A20+24,A19)</f>
        <v>37312</v>
      </c>
      <c r="V19" s="71" t="n">
        <f aca="false">U19-C$3</f>
        <v>424</v>
      </c>
      <c r="W19" s="142" t="n">
        <f aca="false">VLOOKUP($A19,Table,MATCH(W$4,Curves,0))</f>
        <v>0.059560032629286</v>
      </c>
      <c r="X19" s="147" t="n">
        <f aca="false">1/(1+CHOOSE(F$3,(W20+($K$3/10000))/2,(W19+($K$3/10000))/2))^(2*V19/365.25)</f>
        <v>0.934390413714025</v>
      </c>
      <c r="Y19" s="71" t="n">
        <f aca="false">IF(AND(mthbeg&lt;=A19,mthend&gt;=A19),1,0)</f>
        <v>1</v>
      </c>
      <c r="Z19" s="71" t="n">
        <f aca="false">T19*Y19</f>
        <v>31</v>
      </c>
      <c r="AB19" s="132" t="n">
        <f aca="false">F19*G19</f>
        <v>0</v>
      </c>
      <c r="AC19" s="132" t="n">
        <f aca="false">$F19*H19</f>
        <v>0</v>
      </c>
      <c r="AD19" s="132" t="n">
        <f aca="false">$F19*I19</f>
        <v>0</v>
      </c>
      <c r="AE19" s="132" t="n">
        <f aca="false">$F19*J19</f>
        <v>0</v>
      </c>
      <c r="AF19" s="132" t="n">
        <f aca="false">$F19*K19</f>
        <v>0</v>
      </c>
      <c r="AG19" s="132" t="n">
        <f aca="false">$F19*L19</f>
        <v>0</v>
      </c>
      <c r="AH19" s="132" t="n">
        <f aca="false">$F19*M19</f>
        <v>0</v>
      </c>
      <c r="AI19" s="132" t="n">
        <f aca="false">$F19*N19</f>
        <v>0</v>
      </c>
      <c r="AJ19" s="132" t="n">
        <f aca="false">F19*O19</f>
        <v>0</v>
      </c>
      <c r="AK19" s="137"/>
      <c r="AL19" s="132" t="n">
        <f aca="false">CHOOSE($G$3,AC19-AD19,AD19-AC19)</f>
        <v>0</v>
      </c>
      <c r="AM19" s="132" t="n">
        <f aca="false">CHOOSE($G$3,AF19-AG19,AG19-AF19)</f>
        <v>0</v>
      </c>
      <c r="AN19" s="132" t="n">
        <f aca="false">CHOOSE($G$3,AI19-AJ19,AJ19-AI19)</f>
        <v>0</v>
      </c>
      <c r="AO19" s="148" t="n">
        <f aca="false">SUM(AL19:AN19)</f>
        <v>0</v>
      </c>
      <c r="AQ19" s="132" t="n">
        <f aca="false">CHOOSE($G$3,AB19-AC19,AC19-AB19)</f>
        <v>0</v>
      </c>
      <c r="AR19" s="132" t="n">
        <f aca="false">CHOOSE($G$3,AE19-AF19,AF19-AE19)</f>
        <v>0</v>
      </c>
      <c r="AS19" s="132" t="n">
        <f aca="false">CHOOSE($G$3,AH19-AI19,AI19-AH19)</f>
        <v>0</v>
      </c>
      <c r="AT19" s="148" t="n">
        <f aca="false">AQ19+AR19+AS19</f>
        <v>0</v>
      </c>
      <c r="AU19" s="148"/>
      <c r="AV19" s="133" t="n">
        <f aca="false">AT19+AO19</f>
        <v>0</v>
      </c>
      <c r="AX19" s="133" t="n">
        <f aca="false">AJ19+AG19+AD19</f>
        <v>0</v>
      </c>
      <c r="AY19" s="149"/>
      <c r="AZ19" s="76" t="n">
        <f aca="false">R19*E19</f>
        <v>0</v>
      </c>
    </row>
    <row r="20" customFormat="false" ht="12.75" hidden="false" customHeight="false" outlineLevel="0" collapsed="false">
      <c r="A20" s="138" t="n">
        <f aca="false">EDATE(A19,1)</f>
        <v>37288</v>
      </c>
      <c r="B20" s="139" t="n">
        <f aca="false">VLOOKUP($A20,Table2,MATCH(I$3,Curves2,0))</f>
        <v>0</v>
      </c>
      <c r="C20" s="140"/>
      <c r="D20" s="141" t="n">
        <f aca="false">B20+C20</f>
        <v>0</v>
      </c>
      <c r="E20" s="126" t="n">
        <f aca="false">IF(Y20=0,0,IF(AND(Y20=1,$H$3=1),D20*T20,IF($H$3=2,D20,"N/A")))</f>
        <v>0</v>
      </c>
      <c r="F20" s="126" t="n">
        <f aca="false">E20*X20</f>
        <v>0</v>
      </c>
      <c r="G20" s="142" t="n">
        <f aca="false">VLOOKUP($A20,Table,MATCH(G$4,Curves,0))</f>
        <v>5.11</v>
      </c>
      <c r="H20" s="143" t="n">
        <f aca="false">G20</f>
        <v>5.11</v>
      </c>
      <c r="I20" s="142" t="n">
        <f aca="false">VLOOKUP($A20,Table1,MATCH(I$3,Curves1,0))</f>
        <v>0</v>
      </c>
      <c r="J20" s="142" t="n">
        <f aca="false">VLOOKUP($A20,Table,MATCH(J$4,Curves,0))</f>
        <v>-0.009</v>
      </c>
      <c r="K20" s="143" t="n">
        <f aca="false">J20</f>
        <v>-0.009</v>
      </c>
      <c r="L20" s="144" t="n">
        <v>0</v>
      </c>
      <c r="M20" s="142" t="n">
        <f aca="false">VLOOKUP($A20,Table,MATCH(M$4,Curves,0))</f>
        <v>0.01</v>
      </c>
      <c r="N20" s="143" t="n">
        <f aca="false">M20</f>
        <v>0.01</v>
      </c>
      <c r="O20" s="144" t="n">
        <v>0</v>
      </c>
      <c r="P20" s="145"/>
      <c r="Q20" s="144" t="n">
        <f aca="false">M20+J20+G20</f>
        <v>5.111</v>
      </c>
      <c r="R20" s="144" t="n">
        <f aca="false">O20+L20+I20</f>
        <v>0</v>
      </c>
      <c r="S20" s="145"/>
      <c r="T20" s="71" t="n">
        <f aca="false">A21-A20</f>
        <v>28</v>
      </c>
      <c r="U20" s="146" t="n">
        <f aca="false">CHOOSE(F$3,A21+24,A20)</f>
        <v>37340</v>
      </c>
      <c r="V20" s="71" t="n">
        <f aca="false">U20-C$3</f>
        <v>452</v>
      </c>
      <c r="W20" s="142" t="n">
        <f aca="false">VLOOKUP($A20,Table,MATCH(W$4,Curves,0))</f>
        <v>0.059320746881078</v>
      </c>
      <c r="X20" s="147" t="n">
        <f aca="false">1/(1+CHOOSE(F$3,(W21+($K$3/10000))/2,(W20+($K$3/10000))/2))^(2*V20/365.25)</f>
        <v>0.930454095292277</v>
      </c>
      <c r="Y20" s="71" t="n">
        <f aca="false">IF(AND(mthbeg&lt;=A20,mthend&gt;=A20),1,0)</f>
        <v>1</v>
      </c>
      <c r="Z20" s="71" t="n">
        <f aca="false">T20*Y20</f>
        <v>28</v>
      </c>
      <c r="AB20" s="132" t="n">
        <f aca="false">F20*G20</f>
        <v>0</v>
      </c>
      <c r="AC20" s="132" t="n">
        <f aca="false">$F20*H20</f>
        <v>0</v>
      </c>
      <c r="AD20" s="132" t="n">
        <f aca="false">$F20*I20</f>
        <v>0</v>
      </c>
      <c r="AE20" s="132" t="n">
        <f aca="false">$F20*J20</f>
        <v>-0</v>
      </c>
      <c r="AF20" s="132" t="n">
        <f aca="false">$F20*K20</f>
        <v>-0</v>
      </c>
      <c r="AG20" s="132" t="n">
        <f aca="false">$F20*L20</f>
        <v>0</v>
      </c>
      <c r="AH20" s="132" t="n">
        <f aca="false">$F20*M20</f>
        <v>0</v>
      </c>
      <c r="AI20" s="132" t="n">
        <f aca="false">$F20*N20</f>
        <v>0</v>
      </c>
      <c r="AJ20" s="132" t="n">
        <f aca="false">F20*O20</f>
        <v>0</v>
      </c>
      <c r="AK20" s="137"/>
      <c r="AL20" s="132" t="n">
        <f aca="false">CHOOSE($G$3,AC20-AD20,AD20-AC20)</f>
        <v>0</v>
      </c>
      <c r="AM20" s="132" t="n">
        <f aca="false">CHOOSE($G$3,AF20-AG20,AG20-AF20)</f>
        <v>0</v>
      </c>
      <c r="AN20" s="132" t="n">
        <f aca="false">CHOOSE($G$3,AI20-AJ20,AJ20-AI20)</f>
        <v>0</v>
      </c>
      <c r="AO20" s="148" t="n">
        <f aca="false">SUM(AL20:AN20)</f>
        <v>0</v>
      </c>
      <c r="AQ20" s="132" t="n">
        <f aca="false">CHOOSE($G$3,AB20-AC20,AC20-AB20)</f>
        <v>0</v>
      </c>
      <c r="AR20" s="132" t="n">
        <f aca="false">CHOOSE($G$3,AE20-AF20,AF20-AE20)</f>
        <v>0</v>
      </c>
      <c r="AS20" s="132" t="n">
        <f aca="false">CHOOSE($G$3,AH20-AI20,AI20-AH20)</f>
        <v>0</v>
      </c>
      <c r="AT20" s="148" t="n">
        <f aca="false">AQ20+AR20+AS20</f>
        <v>0</v>
      </c>
      <c r="AU20" s="148"/>
      <c r="AV20" s="133" t="n">
        <f aca="false">AT20+AO20</f>
        <v>0</v>
      </c>
      <c r="AX20" s="133" t="n">
        <f aca="false">AJ20+AG20+AD20</f>
        <v>0</v>
      </c>
      <c r="AY20" s="149"/>
      <c r="AZ20" s="76" t="n">
        <f aca="false">R20*E20</f>
        <v>0</v>
      </c>
    </row>
    <row r="21" customFormat="false" ht="12.75" hidden="false" customHeight="false" outlineLevel="0" collapsed="false">
      <c r="A21" s="138" t="n">
        <f aca="false">EDATE(A20,1)</f>
        <v>37316</v>
      </c>
      <c r="B21" s="139" t="n">
        <f aca="false">VLOOKUP($A21,Table2,MATCH(I$3,Curves2,0))</f>
        <v>0</v>
      </c>
      <c r="C21" s="140"/>
      <c r="D21" s="141" t="n">
        <f aca="false">B21+C21</f>
        <v>0</v>
      </c>
      <c r="E21" s="126" t="n">
        <f aca="false">IF(Y21=0,0,IF(AND(Y21=1,$H$3=1),D21*T21,IF($H$3=2,D21,"N/A")))</f>
        <v>0</v>
      </c>
      <c r="F21" s="126" t="n">
        <f aca="false">E21*X21</f>
        <v>0</v>
      </c>
      <c r="G21" s="142" t="n">
        <f aca="false">VLOOKUP($A21,Table,MATCH(G$4,Curves,0))</f>
        <v>4.777</v>
      </c>
      <c r="H21" s="143" t="n">
        <f aca="false">G21</f>
        <v>4.777</v>
      </c>
      <c r="I21" s="142" t="n">
        <f aca="false">VLOOKUP($A21,Table1,MATCH(I$3,Curves1,0))</f>
        <v>0</v>
      </c>
      <c r="J21" s="142" t="n">
        <f aca="false">VLOOKUP($A21,Table,MATCH(J$4,Curves,0))</f>
        <v>-0.009</v>
      </c>
      <c r="K21" s="143" t="n">
        <f aca="false">J21</f>
        <v>-0.009</v>
      </c>
      <c r="L21" s="144" t="n">
        <v>0</v>
      </c>
      <c r="M21" s="142" t="n">
        <f aca="false">VLOOKUP($A21,Table,MATCH(M$4,Curves,0))</f>
        <v>0.01</v>
      </c>
      <c r="N21" s="143" t="n">
        <f aca="false">M21</f>
        <v>0.01</v>
      </c>
      <c r="O21" s="144" t="n">
        <v>0</v>
      </c>
      <c r="P21" s="145"/>
      <c r="Q21" s="144" t="n">
        <f aca="false">M21+J21+G21</f>
        <v>4.778</v>
      </c>
      <c r="R21" s="144" t="n">
        <f aca="false">O21+L21+I21</f>
        <v>0</v>
      </c>
      <c r="S21" s="145"/>
      <c r="T21" s="71" t="n">
        <f aca="false">A22-A21</f>
        <v>31</v>
      </c>
      <c r="U21" s="146" t="n">
        <f aca="false">CHOOSE(F$3,A22+24,A21)</f>
        <v>37371</v>
      </c>
      <c r="V21" s="71" t="n">
        <f aca="false">U21-C$3</f>
        <v>483</v>
      </c>
      <c r="W21" s="142" t="n">
        <f aca="false">VLOOKUP($A21,Table,MATCH(W$4,Curves,0))</f>
        <v>0.059104617834538</v>
      </c>
      <c r="X21" s="147" t="n">
        <f aca="false">1/(1+CHOOSE(F$3,(W22+($K$3/10000))/2,(W21+($K$3/10000))/2))^(2*V21/365.25)</f>
        <v>0.926116370440044</v>
      </c>
      <c r="Y21" s="71" t="n">
        <f aca="false">IF(AND(mthbeg&lt;=A21,mthend&gt;=A21),1,0)</f>
        <v>1</v>
      </c>
      <c r="Z21" s="71" t="n">
        <f aca="false">T21*Y21</f>
        <v>31</v>
      </c>
      <c r="AB21" s="132" t="n">
        <f aca="false">F21*G21</f>
        <v>0</v>
      </c>
      <c r="AC21" s="132" t="n">
        <f aca="false">$F21*H21</f>
        <v>0</v>
      </c>
      <c r="AD21" s="132" t="n">
        <f aca="false">$F21*I21</f>
        <v>0</v>
      </c>
      <c r="AE21" s="132" t="n">
        <f aca="false">$F21*J21</f>
        <v>-0</v>
      </c>
      <c r="AF21" s="132" t="n">
        <f aca="false">$F21*K21</f>
        <v>-0</v>
      </c>
      <c r="AG21" s="132" t="n">
        <f aca="false">$F21*L21</f>
        <v>0</v>
      </c>
      <c r="AH21" s="132" t="n">
        <f aca="false">$F21*M21</f>
        <v>0</v>
      </c>
      <c r="AI21" s="132" t="n">
        <f aca="false">$F21*N21</f>
        <v>0</v>
      </c>
      <c r="AJ21" s="132" t="n">
        <f aca="false">F21*O21</f>
        <v>0</v>
      </c>
      <c r="AK21" s="137"/>
      <c r="AL21" s="132" t="n">
        <f aca="false">CHOOSE($G$3,AC21-AD21,AD21-AC21)</f>
        <v>0</v>
      </c>
      <c r="AM21" s="132" t="n">
        <f aca="false">CHOOSE($G$3,AF21-AG21,AG21-AF21)</f>
        <v>0</v>
      </c>
      <c r="AN21" s="132" t="n">
        <f aca="false">CHOOSE($G$3,AI21-AJ21,AJ21-AI21)</f>
        <v>0</v>
      </c>
      <c r="AO21" s="148" t="n">
        <f aca="false">SUM(AL21:AN21)</f>
        <v>0</v>
      </c>
      <c r="AQ21" s="132" t="n">
        <f aca="false">CHOOSE($G$3,AB21-AC21,AC21-AB21)</f>
        <v>0</v>
      </c>
      <c r="AR21" s="132" t="n">
        <f aca="false">CHOOSE($G$3,AE21-AF21,AF21-AE21)</f>
        <v>0</v>
      </c>
      <c r="AS21" s="132" t="n">
        <f aca="false">CHOOSE($G$3,AH21-AI21,AI21-AH21)</f>
        <v>0</v>
      </c>
      <c r="AT21" s="148" t="n">
        <f aca="false">AQ21+AR21+AS21</f>
        <v>0</v>
      </c>
      <c r="AU21" s="148"/>
      <c r="AV21" s="133" t="n">
        <f aca="false">AT21+AO21</f>
        <v>0</v>
      </c>
      <c r="AX21" s="133" t="n">
        <f aca="false">AJ21+AG21+AD21</f>
        <v>0</v>
      </c>
      <c r="AY21" s="149"/>
      <c r="AZ21" s="76" t="n">
        <f aca="false">R21*E21</f>
        <v>0</v>
      </c>
    </row>
    <row r="22" customFormat="false" ht="12.75" hidden="false" customHeight="false" outlineLevel="0" collapsed="false">
      <c r="A22" s="138" t="n">
        <f aca="false">EDATE(A21,1)</f>
        <v>37347</v>
      </c>
      <c r="B22" s="139" t="n">
        <f aca="false">VLOOKUP($A22,Table2,MATCH(I$3,Curves2,0))</f>
        <v>0</v>
      </c>
      <c r="C22" s="140"/>
      <c r="D22" s="141" t="n">
        <f aca="false">B22+C22</f>
        <v>0</v>
      </c>
      <c r="E22" s="126" t="n">
        <f aca="false">IF(Y22=0,0,IF(AND(Y22=1,$H$3=1),D22*T22,IF($H$3=2,D22,"N/A")))</f>
        <v>0</v>
      </c>
      <c r="F22" s="126" t="n">
        <f aca="false">E22*X22</f>
        <v>0</v>
      </c>
      <c r="G22" s="142" t="n">
        <f aca="false">VLOOKUP($A22,Table,MATCH(G$4,Curves,0))</f>
        <v>4.317</v>
      </c>
      <c r="H22" s="143" t="n">
        <f aca="false">G22</f>
        <v>4.317</v>
      </c>
      <c r="I22" s="142" t="n">
        <f aca="false">VLOOKUP($A22,Table1,MATCH(I$3,Curves1,0))</f>
        <v>0</v>
      </c>
      <c r="J22" s="142" t="n">
        <f aca="false">VLOOKUP($A22,Table,MATCH(J$4,Curves,0))</f>
        <v>-0.024</v>
      </c>
      <c r="K22" s="143" t="n">
        <f aca="false">J22</f>
        <v>-0.024</v>
      </c>
      <c r="L22" s="144" t="n">
        <v>0</v>
      </c>
      <c r="M22" s="142" t="n">
        <f aca="false">VLOOKUP($A22,Table,MATCH(M$4,Curves,0))</f>
        <v>0.0075</v>
      </c>
      <c r="N22" s="143" t="n">
        <f aca="false">M22</f>
        <v>0.0075</v>
      </c>
      <c r="O22" s="144" t="n">
        <v>0</v>
      </c>
      <c r="P22" s="145"/>
      <c r="Q22" s="144" t="n">
        <f aca="false">M22+J22+G22</f>
        <v>4.3005</v>
      </c>
      <c r="R22" s="144" t="n">
        <f aca="false">O22+L22+I22</f>
        <v>0</v>
      </c>
      <c r="S22" s="145"/>
      <c r="T22" s="71" t="n">
        <f aca="false">A23-A22</f>
        <v>30</v>
      </c>
      <c r="U22" s="146" t="n">
        <f aca="false">CHOOSE(F$3,A23+24,A22)</f>
        <v>37401</v>
      </c>
      <c r="V22" s="71" t="n">
        <f aca="false">U22-C$3</f>
        <v>513</v>
      </c>
      <c r="W22" s="142" t="n">
        <f aca="false">VLOOKUP($A22,Table,MATCH(W$4,Curves,0))</f>
        <v>0.058893741036666</v>
      </c>
      <c r="X22" s="147" t="n">
        <f aca="false">1/(1+CHOOSE(F$3,(W23+($K$3/10000))/2,(W22+($K$3/10000))/2))^(2*V22/365.25)</f>
        <v>0.921919722856329</v>
      </c>
      <c r="Y22" s="71" t="n">
        <f aca="false">IF(AND(mthbeg&lt;=A22,mthend&gt;=A22),1,0)</f>
        <v>1</v>
      </c>
      <c r="Z22" s="71" t="n">
        <f aca="false">T22*Y22</f>
        <v>30</v>
      </c>
      <c r="AB22" s="132" t="n">
        <f aca="false">F22*G22</f>
        <v>0</v>
      </c>
      <c r="AC22" s="132" t="n">
        <f aca="false">$F22*H22</f>
        <v>0</v>
      </c>
      <c r="AD22" s="132" t="n">
        <f aca="false">$F22*I22</f>
        <v>0</v>
      </c>
      <c r="AE22" s="132" t="n">
        <f aca="false">$F22*J22</f>
        <v>-0</v>
      </c>
      <c r="AF22" s="132" t="n">
        <f aca="false">$F22*K22</f>
        <v>-0</v>
      </c>
      <c r="AG22" s="132" t="n">
        <f aca="false">$F22*L22</f>
        <v>0</v>
      </c>
      <c r="AH22" s="132" t="n">
        <f aca="false">$F22*M22</f>
        <v>0</v>
      </c>
      <c r="AI22" s="132" t="n">
        <f aca="false">$F22*N22</f>
        <v>0</v>
      </c>
      <c r="AJ22" s="132" t="n">
        <f aca="false">F22*O22</f>
        <v>0</v>
      </c>
      <c r="AK22" s="137"/>
      <c r="AL22" s="132" t="n">
        <f aca="false">CHOOSE($G$3,AC22-AD22,AD22-AC22)</f>
        <v>0</v>
      </c>
      <c r="AM22" s="132" t="n">
        <f aca="false">CHOOSE($G$3,AF22-AG22,AG22-AF22)</f>
        <v>0</v>
      </c>
      <c r="AN22" s="132" t="n">
        <f aca="false">CHOOSE($G$3,AI22-AJ22,AJ22-AI22)</f>
        <v>0</v>
      </c>
      <c r="AO22" s="148" t="n">
        <f aca="false">SUM(AL22:AN22)</f>
        <v>0</v>
      </c>
      <c r="AQ22" s="132" t="n">
        <f aca="false">CHOOSE($G$3,AB22-AC22,AC22-AB22)</f>
        <v>0</v>
      </c>
      <c r="AR22" s="132" t="n">
        <f aca="false">CHOOSE($G$3,AE22-AF22,AF22-AE22)</f>
        <v>0</v>
      </c>
      <c r="AS22" s="132" t="n">
        <f aca="false">CHOOSE($G$3,AH22-AI22,AI22-AH22)</f>
        <v>0</v>
      </c>
      <c r="AT22" s="148" t="n">
        <f aca="false">AQ22+AR22+AS22</f>
        <v>0</v>
      </c>
      <c r="AU22" s="148"/>
      <c r="AV22" s="133" t="n">
        <f aca="false">AT22+AO22</f>
        <v>0</v>
      </c>
      <c r="AX22" s="133" t="n">
        <f aca="false">AJ22+AG22+AD22</f>
        <v>0</v>
      </c>
      <c r="AY22" s="149"/>
      <c r="AZ22" s="76" t="n">
        <f aca="false">R22*E22</f>
        <v>0</v>
      </c>
    </row>
    <row r="23" customFormat="false" ht="12.75" hidden="false" customHeight="false" outlineLevel="0" collapsed="false">
      <c r="A23" s="138" t="n">
        <f aca="false">EDATE(A22,1)</f>
        <v>37377</v>
      </c>
      <c r="B23" s="139" t="n">
        <f aca="false">VLOOKUP($A23,Table2,MATCH(I$3,Curves2,0))</f>
        <v>0</v>
      </c>
      <c r="C23" s="140"/>
      <c r="D23" s="141" t="n">
        <f aca="false">B23+C23</f>
        <v>0</v>
      </c>
      <c r="E23" s="126" t="n">
        <f aca="false">IF(Y23=0,0,IF(AND(Y23=1,$H$3=1),D23*T23,IF($H$3=2,D23,"N/A")))</f>
        <v>0</v>
      </c>
      <c r="F23" s="126" t="n">
        <f aca="false">E23*X23</f>
        <v>0</v>
      </c>
      <c r="G23" s="142" t="n">
        <f aca="false">VLOOKUP($A23,Table,MATCH(G$4,Curves,0))</f>
        <v>4.212</v>
      </c>
      <c r="H23" s="143" t="n">
        <f aca="false">G23</f>
        <v>4.212</v>
      </c>
      <c r="I23" s="142" t="n">
        <f aca="false">VLOOKUP($A23,Table1,MATCH(I$3,Curves1,0))</f>
        <v>0</v>
      </c>
      <c r="J23" s="142" t="n">
        <f aca="false">VLOOKUP($A23,Table,MATCH(J$4,Curves,0))</f>
        <v>-0.024</v>
      </c>
      <c r="K23" s="143" t="n">
        <f aca="false">J23</f>
        <v>-0.024</v>
      </c>
      <c r="L23" s="144" t="n">
        <v>0</v>
      </c>
      <c r="M23" s="142" t="n">
        <f aca="false">VLOOKUP($A23,Table,MATCH(M$4,Curves,0))</f>
        <v>0.0075</v>
      </c>
      <c r="N23" s="143" t="n">
        <f aca="false">M23</f>
        <v>0.0075</v>
      </c>
      <c r="O23" s="144" t="n">
        <v>0</v>
      </c>
      <c r="P23" s="145"/>
      <c r="Q23" s="144" t="n">
        <f aca="false">M23+J23+G23</f>
        <v>4.1955</v>
      </c>
      <c r="R23" s="144" t="n">
        <f aca="false">O23+L23+I23</f>
        <v>0</v>
      </c>
      <c r="S23" s="145"/>
      <c r="T23" s="71" t="n">
        <f aca="false">A24-A23</f>
        <v>31</v>
      </c>
      <c r="U23" s="146" t="n">
        <f aca="false">CHOOSE(F$3,A24+24,A23)</f>
        <v>37432</v>
      </c>
      <c r="V23" s="71" t="n">
        <f aca="false">U23-C$3</f>
        <v>544</v>
      </c>
      <c r="W23" s="142" t="n">
        <f aca="false">VLOOKUP($A23,Table,MATCH(W$4,Curves,0))</f>
        <v>0.058728342249746</v>
      </c>
      <c r="X23" s="147" t="n">
        <f aca="false">1/(1+CHOOSE(F$3,(W24+($K$3/10000))/2,(W23+($K$3/10000))/2))^(2*V23/365.25)</f>
        <v>0.917628626914862</v>
      </c>
      <c r="Y23" s="71" t="n">
        <f aca="false">IF(AND(mthbeg&lt;=A23,mthend&gt;=A23),1,0)</f>
        <v>1</v>
      </c>
      <c r="Z23" s="71" t="n">
        <f aca="false">T23*Y23</f>
        <v>31</v>
      </c>
      <c r="AB23" s="132" t="n">
        <f aca="false">F23*G23</f>
        <v>0</v>
      </c>
      <c r="AC23" s="132" t="n">
        <f aca="false">$F23*H23</f>
        <v>0</v>
      </c>
      <c r="AD23" s="132" t="n">
        <f aca="false">$F23*I23</f>
        <v>0</v>
      </c>
      <c r="AE23" s="132" t="n">
        <f aca="false">$F23*J23</f>
        <v>-0</v>
      </c>
      <c r="AF23" s="132" t="n">
        <f aca="false">$F23*K23</f>
        <v>-0</v>
      </c>
      <c r="AG23" s="132" t="n">
        <f aca="false">$F23*L23</f>
        <v>0</v>
      </c>
      <c r="AH23" s="132" t="n">
        <f aca="false">$F23*M23</f>
        <v>0</v>
      </c>
      <c r="AI23" s="132" t="n">
        <f aca="false">$F23*N23</f>
        <v>0</v>
      </c>
      <c r="AJ23" s="132" t="n">
        <f aca="false">F23*O23</f>
        <v>0</v>
      </c>
      <c r="AK23" s="137"/>
      <c r="AL23" s="132" t="n">
        <f aca="false">CHOOSE($G$3,AC23-AD23,AD23-AC23)</f>
        <v>0</v>
      </c>
      <c r="AM23" s="132" t="n">
        <f aca="false">CHOOSE($G$3,AF23-AG23,AG23-AF23)</f>
        <v>0</v>
      </c>
      <c r="AN23" s="132" t="n">
        <f aca="false">CHOOSE($G$3,AI23-AJ23,AJ23-AI23)</f>
        <v>0</v>
      </c>
      <c r="AO23" s="148" t="n">
        <f aca="false">SUM(AL23:AN23)</f>
        <v>0</v>
      </c>
      <c r="AQ23" s="132" t="n">
        <f aca="false">CHOOSE($G$3,AB23-AC23,AC23-AB23)</f>
        <v>0</v>
      </c>
      <c r="AR23" s="132" t="n">
        <f aca="false">CHOOSE($G$3,AE23-AF23,AF23-AE23)</f>
        <v>0</v>
      </c>
      <c r="AS23" s="132" t="n">
        <f aca="false">CHOOSE($G$3,AH23-AI23,AI23-AH23)</f>
        <v>0</v>
      </c>
      <c r="AT23" s="148" t="n">
        <f aca="false">AQ23+AR23+AS23</f>
        <v>0</v>
      </c>
      <c r="AU23" s="148"/>
      <c r="AV23" s="133" t="n">
        <f aca="false">AT23+AO23</f>
        <v>0</v>
      </c>
      <c r="AX23" s="133" t="n">
        <f aca="false">AJ23+AG23+AD23</f>
        <v>0</v>
      </c>
      <c r="AY23" s="149"/>
      <c r="AZ23" s="76" t="n">
        <f aca="false">R23*E23</f>
        <v>0</v>
      </c>
    </row>
    <row r="24" customFormat="false" ht="12.75" hidden="false" customHeight="false" outlineLevel="0" collapsed="false">
      <c r="A24" s="138" t="n">
        <f aca="false">EDATE(A23,1)</f>
        <v>37408</v>
      </c>
      <c r="B24" s="139" t="n">
        <f aca="false">VLOOKUP($A24,Table2,MATCH(I$3,Curves2,0))</f>
        <v>0</v>
      </c>
      <c r="C24" s="140"/>
      <c r="D24" s="141" t="n">
        <f aca="false">B24+C24</f>
        <v>0</v>
      </c>
      <c r="E24" s="126" t="n">
        <f aca="false">IF(Y24=0,0,IF(AND(Y24=1,$H$3=1),D24*T24,IF($H$3=2,D24,"N/A")))</f>
        <v>0</v>
      </c>
      <c r="F24" s="126" t="n">
        <f aca="false">E24*X24</f>
        <v>0</v>
      </c>
      <c r="G24" s="142" t="n">
        <f aca="false">VLOOKUP($A24,Table,MATCH(G$4,Curves,0))</f>
        <v>4.192</v>
      </c>
      <c r="H24" s="143" t="n">
        <f aca="false">G24</f>
        <v>4.192</v>
      </c>
      <c r="I24" s="142" t="n">
        <f aca="false">VLOOKUP($A24,Table1,MATCH(I$3,Curves1,0))</f>
        <v>0</v>
      </c>
      <c r="J24" s="142" t="n">
        <f aca="false">VLOOKUP($A24,Table,MATCH(J$4,Curves,0))</f>
        <v>-0.024</v>
      </c>
      <c r="K24" s="143" t="n">
        <f aca="false">J24</f>
        <v>-0.024</v>
      </c>
      <c r="L24" s="144" t="n">
        <v>0</v>
      </c>
      <c r="M24" s="142" t="n">
        <f aca="false">VLOOKUP($A24,Table,MATCH(M$4,Curves,0))</f>
        <v>0.0075</v>
      </c>
      <c r="N24" s="143" t="n">
        <f aca="false">M24</f>
        <v>0.0075</v>
      </c>
      <c r="O24" s="144" t="n">
        <v>0</v>
      </c>
      <c r="P24" s="145"/>
      <c r="Q24" s="144" t="n">
        <f aca="false">M24+J24+G24</f>
        <v>4.1755</v>
      </c>
      <c r="R24" s="144" t="n">
        <f aca="false">O24+L24+I24</f>
        <v>0</v>
      </c>
      <c r="S24" s="145"/>
      <c r="T24" s="71" t="n">
        <f aca="false">A25-A24</f>
        <v>30</v>
      </c>
      <c r="U24" s="146" t="n">
        <f aca="false">CHOOSE(F$3,A25+24,A24)</f>
        <v>37462</v>
      </c>
      <c r="V24" s="71" t="n">
        <f aca="false">U24-C$3</f>
        <v>574</v>
      </c>
      <c r="W24" s="142" t="n">
        <f aca="false">VLOOKUP($A24,Table,MATCH(W$4,Curves,0))</f>
        <v>0.058557430179484</v>
      </c>
      <c r="X24" s="147" t="n">
        <f aca="false">1/(1+CHOOSE(F$3,(W25+($K$3/10000))/2,(W24+($K$3/10000))/2))^(2*V24/365.25)</f>
        <v>0.913470181117722</v>
      </c>
      <c r="Y24" s="71" t="n">
        <f aca="false">IF(AND(mthbeg&lt;=A24,mthend&gt;=A24),1,0)</f>
        <v>1</v>
      </c>
      <c r="Z24" s="71" t="n">
        <f aca="false">T24*Y24</f>
        <v>30</v>
      </c>
      <c r="AB24" s="132" t="n">
        <f aca="false">F24*G24</f>
        <v>0</v>
      </c>
      <c r="AC24" s="132" t="n">
        <f aca="false">$F24*H24</f>
        <v>0</v>
      </c>
      <c r="AD24" s="132" t="n">
        <f aca="false">$F24*I24</f>
        <v>0</v>
      </c>
      <c r="AE24" s="132" t="n">
        <f aca="false">$F24*J24</f>
        <v>-0</v>
      </c>
      <c r="AF24" s="132" t="n">
        <f aca="false">$F24*K24</f>
        <v>-0</v>
      </c>
      <c r="AG24" s="132" t="n">
        <f aca="false">$F24*L24</f>
        <v>0</v>
      </c>
      <c r="AH24" s="132" t="n">
        <f aca="false">$F24*M24</f>
        <v>0</v>
      </c>
      <c r="AI24" s="132" t="n">
        <f aca="false">$F24*N24</f>
        <v>0</v>
      </c>
      <c r="AJ24" s="132" t="n">
        <f aca="false">F24*O24</f>
        <v>0</v>
      </c>
      <c r="AK24" s="137"/>
      <c r="AL24" s="132" t="n">
        <f aca="false">CHOOSE($G$3,AC24-AD24,AD24-AC24)</f>
        <v>0</v>
      </c>
      <c r="AM24" s="132" t="n">
        <f aca="false">CHOOSE($G$3,AF24-AG24,AG24-AF24)</f>
        <v>0</v>
      </c>
      <c r="AN24" s="132" t="n">
        <f aca="false">CHOOSE($G$3,AI24-AJ24,AJ24-AI24)</f>
        <v>0</v>
      </c>
      <c r="AO24" s="148" t="n">
        <f aca="false">SUM(AL24:AN24)</f>
        <v>0</v>
      </c>
      <c r="AQ24" s="132" t="n">
        <f aca="false">CHOOSE($G$3,AB24-AC24,AC24-AB24)</f>
        <v>0</v>
      </c>
      <c r="AR24" s="132" t="n">
        <f aca="false">CHOOSE($G$3,AE24-AF24,AF24-AE24)</f>
        <v>0</v>
      </c>
      <c r="AS24" s="132" t="n">
        <f aca="false">CHOOSE($G$3,AH24-AI24,AI24-AH24)</f>
        <v>0</v>
      </c>
      <c r="AT24" s="148" t="n">
        <f aca="false">AQ24+AR24+AS24</f>
        <v>0</v>
      </c>
      <c r="AU24" s="148"/>
      <c r="AV24" s="133" t="n">
        <f aca="false">AT24+AO24</f>
        <v>0</v>
      </c>
      <c r="AX24" s="133" t="n">
        <f aca="false">AJ24+AG24+AD24</f>
        <v>0</v>
      </c>
      <c r="AY24" s="149"/>
      <c r="AZ24" s="76" t="n">
        <f aca="false">R24*E24</f>
        <v>0</v>
      </c>
    </row>
    <row r="25" customFormat="false" ht="12.75" hidden="false" customHeight="false" outlineLevel="0" collapsed="false">
      <c r="A25" s="138" t="n">
        <f aca="false">EDATE(A24,1)</f>
        <v>37438</v>
      </c>
      <c r="B25" s="139" t="n">
        <f aca="false">VLOOKUP($A25,Table2,MATCH(I$3,Curves2,0))</f>
        <v>0</v>
      </c>
      <c r="C25" s="140"/>
      <c r="D25" s="141" t="n">
        <f aca="false">B25+C25</f>
        <v>0</v>
      </c>
      <c r="E25" s="126" t="n">
        <f aca="false">IF(Y25=0,0,IF(AND(Y25=1,$H$3=1),D25*T25,IF($H$3=2,D25,"N/A")))</f>
        <v>0</v>
      </c>
      <c r="F25" s="126" t="n">
        <f aca="false">E25*X25</f>
        <v>0</v>
      </c>
      <c r="G25" s="142" t="n">
        <f aca="false">VLOOKUP($A25,Table,MATCH(G$4,Curves,0))</f>
        <v>4.192</v>
      </c>
      <c r="H25" s="143" t="n">
        <f aca="false">G25</f>
        <v>4.192</v>
      </c>
      <c r="I25" s="142" t="n">
        <f aca="false">VLOOKUP($A25,Table1,MATCH(I$3,Curves1,0))</f>
        <v>0</v>
      </c>
      <c r="J25" s="142" t="n">
        <f aca="false">VLOOKUP($A25,Table,MATCH(J$4,Curves,0))</f>
        <v>-0.024</v>
      </c>
      <c r="K25" s="143" t="n">
        <f aca="false">J25</f>
        <v>-0.024</v>
      </c>
      <c r="L25" s="144" t="n">
        <v>0</v>
      </c>
      <c r="M25" s="142" t="n">
        <f aca="false">VLOOKUP($A25,Table,MATCH(M$4,Curves,0))</f>
        <v>0.0075</v>
      </c>
      <c r="N25" s="143" t="n">
        <f aca="false">M25</f>
        <v>0.0075</v>
      </c>
      <c r="O25" s="144" t="n">
        <v>0</v>
      </c>
      <c r="P25" s="145"/>
      <c r="Q25" s="144" t="n">
        <f aca="false">M25+J25+G25</f>
        <v>4.1755</v>
      </c>
      <c r="R25" s="144" t="n">
        <f aca="false">O25+L25+I25</f>
        <v>0</v>
      </c>
      <c r="S25" s="145"/>
      <c r="T25" s="71" t="n">
        <f aca="false">A26-A25</f>
        <v>31</v>
      </c>
      <c r="U25" s="146" t="n">
        <f aca="false">CHOOSE(F$3,A26+24,A25)</f>
        <v>37493</v>
      </c>
      <c r="V25" s="71" t="n">
        <f aca="false">U25-C$3</f>
        <v>605</v>
      </c>
      <c r="W25" s="142" t="n">
        <f aca="false">VLOOKUP($A25,Table,MATCH(W$4,Curves,0))</f>
        <v>0.058427393120956</v>
      </c>
      <c r="X25" s="147" t="n">
        <f aca="false">1/(1+CHOOSE(F$3,(W26+($K$3/10000))/2,(W25+($K$3/10000))/2))^(2*V25/365.25)</f>
        <v>0.9091277697465</v>
      </c>
      <c r="Y25" s="71" t="n">
        <f aca="false">IF(AND(mthbeg&lt;=A25,mthend&gt;=A25),1,0)</f>
        <v>1</v>
      </c>
      <c r="Z25" s="71" t="n">
        <f aca="false">T25*Y25</f>
        <v>31</v>
      </c>
      <c r="AB25" s="132" t="n">
        <f aca="false">F25*G25</f>
        <v>0</v>
      </c>
      <c r="AC25" s="132" t="n">
        <f aca="false">$F25*H25</f>
        <v>0</v>
      </c>
      <c r="AD25" s="132" t="n">
        <f aca="false">$F25*I25</f>
        <v>0</v>
      </c>
      <c r="AE25" s="132" t="n">
        <f aca="false">$F25*J25</f>
        <v>-0</v>
      </c>
      <c r="AF25" s="132" t="n">
        <f aca="false">$F25*K25</f>
        <v>-0</v>
      </c>
      <c r="AG25" s="132" t="n">
        <f aca="false">$F25*L25</f>
        <v>0</v>
      </c>
      <c r="AH25" s="132" t="n">
        <f aca="false">$F25*M25</f>
        <v>0</v>
      </c>
      <c r="AI25" s="132" t="n">
        <f aca="false">$F25*N25</f>
        <v>0</v>
      </c>
      <c r="AJ25" s="132" t="n">
        <f aca="false">F25*O25</f>
        <v>0</v>
      </c>
      <c r="AK25" s="137"/>
      <c r="AL25" s="132" t="n">
        <f aca="false">CHOOSE($G$3,AC25-AD25,AD25-AC25)</f>
        <v>0</v>
      </c>
      <c r="AM25" s="132" t="n">
        <f aca="false">CHOOSE($G$3,AF25-AG25,AG25-AF25)</f>
        <v>0</v>
      </c>
      <c r="AN25" s="132" t="n">
        <f aca="false">CHOOSE($G$3,AI25-AJ25,AJ25-AI25)</f>
        <v>0</v>
      </c>
      <c r="AO25" s="148" t="n">
        <f aca="false">SUM(AL25:AN25)</f>
        <v>0</v>
      </c>
      <c r="AQ25" s="132" t="n">
        <f aca="false">CHOOSE($G$3,AB25-AC25,AC25-AB25)</f>
        <v>0</v>
      </c>
      <c r="AR25" s="132" t="n">
        <f aca="false">CHOOSE($G$3,AE25-AF25,AF25-AE25)</f>
        <v>0</v>
      </c>
      <c r="AS25" s="132" t="n">
        <f aca="false">CHOOSE($G$3,AH25-AI25,AI25-AH25)</f>
        <v>0</v>
      </c>
      <c r="AT25" s="148" t="n">
        <f aca="false">AQ25+AR25+AS25</f>
        <v>0</v>
      </c>
      <c r="AU25" s="148"/>
      <c r="AV25" s="133" t="n">
        <f aca="false">AT25+AO25</f>
        <v>0</v>
      </c>
      <c r="AX25" s="133" t="n">
        <f aca="false">AJ25+AG25+AD25</f>
        <v>0</v>
      </c>
      <c r="AY25" s="149"/>
      <c r="AZ25" s="76" t="n">
        <f aca="false">R25*E25</f>
        <v>0</v>
      </c>
    </row>
    <row r="26" customFormat="false" ht="12.75" hidden="false" customHeight="false" outlineLevel="0" collapsed="false">
      <c r="A26" s="138" t="n">
        <f aca="false">EDATE(A25,1)</f>
        <v>37469</v>
      </c>
      <c r="B26" s="139" t="n">
        <f aca="false">VLOOKUP($A26,Table2,MATCH(I$3,Curves2,0))</f>
        <v>0</v>
      </c>
      <c r="C26" s="140"/>
      <c r="D26" s="141" t="n">
        <f aca="false">B26+C26</f>
        <v>0</v>
      </c>
      <c r="E26" s="126" t="n">
        <f aca="false">IF(Y26=0,0,IF(AND(Y26=1,$H$3=1),D26*T26,IF($H$3=2,D26,"N/A")))</f>
        <v>0</v>
      </c>
      <c r="F26" s="126" t="n">
        <f aca="false">E26*X26</f>
        <v>0</v>
      </c>
      <c r="G26" s="142" t="n">
        <f aca="false">VLOOKUP($A26,Table,MATCH(G$4,Curves,0))</f>
        <v>4.192</v>
      </c>
      <c r="H26" s="143" t="n">
        <f aca="false">G26</f>
        <v>4.192</v>
      </c>
      <c r="I26" s="142" t="n">
        <f aca="false">VLOOKUP($A26,Table1,MATCH(I$3,Curves1,0))</f>
        <v>0</v>
      </c>
      <c r="J26" s="142" t="n">
        <f aca="false">VLOOKUP($A26,Table,MATCH(J$4,Curves,0))</f>
        <v>-0.024</v>
      </c>
      <c r="K26" s="143" t="n">
        <f aca="false">J26</f>
        <v>-0.024</v>
      </c>
      <c r="L26" s="144" t="n">
        <v>0</v>
      </c>
      <c r="M26" s="142" t="n">
        <f aca="false">VLOOKUP($A26,Table,MATCH(M$4,Curves,0))</f>
        <v>0.0075</v>
      </c>
      <c r="N26" s="143" t="n">
        <f aca="false">M26</f>
        <v>0.0075</v>
      </c>
      <c r="O26" s="144" t="n">
        <v>0</v>
      </c>
      <c r="P26" s="145"/>
      <c r="Q26" s="144" t="n">
        <f aca="false">M26+J26+G26</f>
        <v>4.1755</v>
      </c>
      <c r="R26" s="144" t="n">
        <f aca="false">O26+L26+I26</f>
        <v>0</v>
      </c>
      <c r="S26" s="145"/>
      <c r="T26" s="71" t="n">
        <f aca="false">A27-A26</f>
        <v>31</v>
      </c>
      <c r="U26" s="146" t="n">
        <f aca="false">CHOOSE(F$3,A27+24,A26)</f>
        <v>37524</v>
      </c>
      <c r="V26" s="71" t="n">
        <f aca="false">U26-C$3</f>
        <v>636</v>
      </c>
      <c r="W26" s="142" t="n">
        <f aca="false">VLOOKUP($A26,Table,MATCH(W$4,Curves,0))</f>
        <v>0.058351099221517</v>
      </c>
      <c r="X26" s="147" t="n">
        <f aca="false">1/(1+CHOOSE(F$3,(W27+($K$3/10000))/2,(W26+($K$3/10000))/2))^(2*V26/365.25)</f>
        <v>0.904817390947842</v>
      </c>
      <c r="Y26" s="71" t="n">
        <f aca="false">IF(AND(mthbeg&lt;=A26,mthend&gt;=A26),1,0)</f>
        <v>1</v>
      </c>
      <c r="Z26" s="71" t="n">
        <f aca="false">T26*Y26</f>
        <v>31</v>
      </c>
      <c r="AB26" s="132" t="n">
        <f aca="false">F26*G26</f>
        <v>0</v>
      </c>
      <c r="AC26" s="132" t="n">
        <f aca="false">$F26*H26</f>
        <v>0</v>
      </c>
      <c r="AD26" s="132" t="n">
        <f aca="false">$F26*I26</f>
        <v>0</v>
      </c>
      <c r="AE26" s="132" t="n">
        <f aca="false">$F26*J26</f>
        <v>-0</v>
      </c>
      <c r="AF26" s="132" t="n">
        <f aca="false">$F26*K26</f>
        <v>-0</v>
      </c>
      <c r="AG26" s="132" t="n">
        <f aca="false">$F26*L26</f>
        <v>0</v>
      </c>
      <c r="AH26" s="132" t="n">
        <f aca="false">$F26*M26</f>
        <v>0</v>
      </c>
      <c r="AI26" s="132" t="n">
        <f aca="false">$F26*N26</f>
        <v>0</v>
      </c>
      <c r="AJ26" s="132" t="n">
        <f aca="false">F26*O26</f>
        <v>0</v>
      </c>
      <c r="AK26" s="137"/>
      <c r="AL26" s="132" t="n">
        <f aca="false">CHOOSE($G$3,AC26-AD26,AD26-AC26)</f>
        <v>0</v>
      </c>
      <c r="AM26" s="132" t="n">
        <f aca="false">CHOOSE($G$3,AF26-AG26,AG26-AF26)</f>
        <v>0</v>
      </c>
      <c r="AN26" s="132" t="n">
        <f aca="false">CHOOSE($G$3,AI26-AJ26,AJ26-AI26)</f>
        <v>0</v>
      </c>
      <c r="AO26" s="148" t="n">
        <f aca="false">SUM(AL26:AN26)</f>
        <v>0</v>
      </c>
      <c r="AQ26" s="132" t="n">
        <f aca="false">CHOOSE($G$3,AB26-AC26,AC26-AB26)</f>
        <v>0</v>
      </c>
      <c r="AR26" s="132" t="n">
        <f aca="false">CHOOSE($G$3,AE26-AF26,AF26-AE26)</f>
        <v>0</v>
      </c>
      <c r="AS26" s="132" t="n">
        <f aca="false">CHOOSE($G$3,AH26-AI26,AI26-AH26)</f>
        <v>0</v>
      </c>
      <c r="AT26" s="148" t="n">
        <f aca="false">AQ26+AR26+AS26</f>
        <v>0</v>
      </c>
      <c r="AU26" s="148"/>
      <c r="AV26" s="133" t="n">
        <f aca="false">AT26+AO26</f>
        <v>0</v>
      </c>
      <c r="AX26" s="133" t="n">
        <f aca="false">AJ26+AG26+AD26</f>
        <v>0</v>
      </c>
      <c r="AY26" s="149"/>
      <c r="AZ26" s="76" t="n">
        <f aca="false">R26*E26</f>
        <v>0</v>
      </c>
    </row>
    <row r="27" customFormat="false" ht="12.75" hidden="false" customHeight="false" outlineLevel="0" collapsed="false">
      <c r="A27" s="138" t="n">
        <f aca="false">EDATE(A26,1)</f>
        <v>37500</v>
      </c>
      <c r="B27" s="139" t="n">
        <f aca="false">VLOOKUP($A27,Table2,MATCH(I$3,Curves2,0))</f>
        <v>0</v>
      </c>
      <c r="C27" s="140"/>
      <c r="D27" s="141" t="n">
        <f aca="false">B27+C27</f>
        <v>0</v>
      </c>
      <c r="E27" s="126" t="n">
        <f aca="false">IF(Y27=0,0,IF(AND(Y27=1,$H$3=1),D27*T27,IF($H$3=2,D27,"N/A")))</f>
        <v>0</v>
      </c>
      <c r="F27" s="126" t="n">
        <f aca="false">E27*X27</f>
        <v>0</v>
      </c>
      <c r="G27" s="142" t="n">
        <f aca="false">VLOOKUP($A27,Table,MATCH(G$4,Curves,0))</f>
        <v>4.187</v>
      </c>
      <c r="H27" s="143" t="n">
        <f aca="false">G27</f>
        <v>4.187</v>
      </c>
      <c r="I27" s="142" t="n">
        <f aca="false">VLOOKUP($A27,Table1,MATCH(I$3,Curves1,0))</f>
        <v>0</v>
      </c>
      <c r="J27" s="142" t="n">
        <f aca="false">VLOOKUP($A27,Table,MATCH(J$4,Curves,0))</f>
        <v>-0.024</v>
      </c>
      <c r="K27" s="143" t="n">
        <f aca="false">J27</f>
        <v>-0.024</v>
      </c>
      <c r="L27" s="144" t="n">
        <v>0</v>
      </c>
      <c r="M27" s="142" t="n">
        <f aca="false">VLOOKUP($A27,Table,MATCH(M$4,Curves,0))</f>
        <v>0.0075</v>
      </c>
      <c r="N27" s="143" t="n">
        <f aca="false">M27</f>
        <v>0.0075</v>
      </c>
      <c r="O27" s="144" t="n">
        <v>0</v>
      </c>
      <c r="P27" s="145"/>
      <c r="Q27" s="144" t="n">
        <f aca="false">M27+J27+G27</f>
        <v>4.1705</v>
      </c>
      <c r="R27" s="144" t="n">
        <f aca="false">O27+L27+I27</f>
        <v>0</v>
      </c>
      <c r="S27" s="145"/>
      <c r="T27" s="71" t="n">
        <f aca="false">A28-A27</f>
        <v>30</v>
      </c>
      <c r="U27" s="146" t="n">
        <f aca="false">CHOOSE(F$3,A28+24,A27)</f>
        <v>37554</v>
      </c>
      <c r="V27" s="71" t="n">
        <f aca="false">U27-C$3</f>
        <v>666</v>
      </c>
      <c r="W27" s="142" t="n">
        <f aca="false">VLOOKUP($A27,Table,MATCH(W$4,Curves,0))</f>
        <v>0.058274805324013</v>
      </c>
      <c r="X27" s="147" t="n">
        <f aca="false">1/(1+CHOOSE(F$3,(W28+($K$3/10000))/2,(W27+($K$3/10000))/2))^(2*V27/365.25)</f>
        <v>0.900647616416714</v>
      </c>
      <c r="Y27" s="71" t="n">
        <f aca="false">IF(AND(mthbeg&lt;=A27,mthend&gt;=A27),1,0)</f>
        <v>1</v>
      </c>
      <c r="Z27" s="71" t="n">
        <f aca="false">T27*Y27</f>
        <v>30</v>
      </c>
      <c r="AB27" s="132" t="n">
        <f aca="false">F27*G27</f>
        <v>0</v>
      </c>
      <c r="AC27" s="132" t="n">
        <f aca="false">$F27*H27</f>
        <v>0</v>
      </c>
      <c r="AD27" s="132" t="n">
        <f aca="false">$F27*I27</f>
        <v>0</v>
      </c>
      <c r="AE27" s="132" t="n">
        <f aca="false">$F27*J27</f>
        <v>-0</v>
      </c>
      <c r="AF27" s="132" t="n">
        <f aca="false">$F27*K27</f>
        <v>-0</v>
      </c>
      <c r="AG27" s="132" t="n">
        <f aca="false">$F27*L27</f>
        <v>0</v>
      </c>
      <c r="AH27" s="132" t="n">
        <f aca="false">$F27*M27</f>
        <v>0</v>
      </c>
      <c r="AI27" s="132" t="n">
        <f aca="false">$F27*N27</f>
        <v>0</v>
      </c>
      <c r="AJ27" s="132" t="n">
        <f aca="false">F27*O27</f>
        <v>0</v>
      </c>
      <c r="AK27" s="137"/>
      <c r="AL27" s="132" t="n">
        <f aca="false">CHOOSE($G$3,AC27-AD27,AD27-AC27)</f>
        <v>0</v>
      </c>
      <c r="AM27" s="132" t="n">
        <f aca="false">CHOOSE($G$3,AF27-AG27,AG27-AF27)</f>
        <v>0</v>
      </c>
      <c r="AN27" s="132" t="n">
        <f aca="false">CHOOSE($G$3,AI27-AJ27,AJ27-AI27)</f>
        <v>0</v>
      </c>
      <c r="AO27" s="148" t="n">
        <f aca="false">SUM(AL27:AN27)</f>
        <v>0</v>
      </c>
      <c r="AQ27" s="132" t="n">
        <f aca="false">CHOOSE($G$3,AB27-AC27,AC27-AB27)</f>
        <v>0</v>
      </c>
      <c r="AR27" s="132" t="n">
        <f aca="false">CHOOSE($G$3,AE27-AF27,AF27-AE27)</f>
        <v>0</v>
      </c>
      <c r="AS27" s="132" t="n">
        <f aca="false">CHOOSE($G$3,AH27-AI27,AI27-AH27)</f>
        <v>0</v>
      </c>
      <c r="AT27" s="148" t="n">
        <f aca="false">AQ27+AR27+AS27</f>
        <v>0</v>
      </c>
      <c r="AU27" s="148"/>
      <c r="AV27" s="133" t="n">
        <f aca="false">AT27+AO27</f>
        <v>0</v>
      </c>
      <c r="AX27" s="133" t="n">
        <f aca="false">AJ27+AG27+AD27</f>
        <v>0</v>
      </c>
      <c r="AY27" s="149"/>
      <c r="AZ27" s="76" t="n">
        <f aca="false">R27*E27</f>
        <v>0</v>
      </c>
    </row>
    <row r="28" customFormat="false" ht="12.75" hidden="false" customHeight="false" outlineLevel="0" collapsed="false">
      <c r="A28" s="138" t="n">
        <f aca="false">EDATE(A27,1)</f>
        <v>37530</v>
      </c>
      <c r="B28" s="139" t="n">
        <f aca="false">VLOOKUP($A28,Table2,MATCH(I$3,Curves2,0))</f>
        <v>0</v>
      </c>
      <c r="C28" s="140"/>
      <c r="D28" s="141" t="n">
        <f aca="false">B28+C28</f>
        <v>0</v>
      </c>
      <c r="E28" s="126" t="n">
        <f aca="false">IF(Y28=0,0,IF(AND(Y28=1,$H$3=1),D28*T28,IF($H$3=2,D28,"N/A")))</f>
        <v>0</v>
      </c>
      <c r="F28" s="126" t="n">
        <f aca="false">E28*X28</f>
        <v>0</v>
      </c>
      <c r="G28" s="142" t="n">
        <f aca="false">VLOOKUP($A28,Table,MATCH(G$4,Curves,0))</f>
        <v>4.177</v>
      </c>
      <c r="H28" s="143" t="n">
        <f aca="false">G28</f>
        <v>4.177</v>
      </c>
      <c r="I28" s="142" t="n">
        <f aca="false">VLOOKUP($A28,Table1,MATCH(I$3,Curves1,0))</f>
        <v>0</v>
      </c>
      <c r="J28" s="142" t="n">
        <f aca="false">VLOOKUP($A28,Table,MATCH(J$4,Curves,0))</f>
        <v>-0.024</v>
      </c>
      <c r="K28" s="143" t="n">
        <f aca="false">J28</f>
        <v>-0.024</v>
      </c>
      <c r="L28" s="144" t="n">
        <v>0</v>
      </c>
      <c r="M28" s="142" t="n">
        <f aca="false">VLOOKUP($A28,Table,MATCH(M$4,Curves,0))</f>
        <v>0.0075</v>
      </c>
      <c r="N28" s="143" t="n">
        <f aca="false">M28</f>
        <v>0.0075</v>
      </c>
      <c r="O28" s="144" t="n">
        <v>0</v>
      </c>
      <c r="P28" s="145"/>
      <c r="Q28" s="144" t="n">
        <f aca="false">M28+J28+G28</f>
        <v>4.1605</v>
      </c>
      <c r="R28" s="144" t="n">
        <f aca="false">O28+L28+I28</f>
        <v>0</v>
      </c>
      <c r="S28" s="145"/>
      <c r="T28" s="71" t="n">
        <f aca="false">A29-A28</f>
        <v>31</v>
      </c>
      <c r="U28" s="146" t="n">
        <f aca="false">CHOOSE(F$3,A29+24,A28)</f>
        <v>37585</v>
      </c>
      <c r="V28" s="71" t="n">
        <f aca="false">U28-C$3</f>
        <v>697</v>
      </c>
      <c r="W28" s="142" t="n">
        <f aca="false">VLOOKUP($A28,Table,MATCH(W$4,Curves,0))</f>
        <v>0.058218953805259</v>
      </c>
      <c r="X28" s="147" t="n">
        <f aca="false">1/(1+CHOOSE(F$3,(W29+($K$3/10000))/2,(W28+($K$3/10000))/2))^(2*V28/365.25)</f>
        <v>0.896324616124709</v>
      </c>
      <c r="Y28" s="71" t="n">
        <f aca="false">IF(AND(mthbeg&lt;=A28,mthend&gt;=A28),1,0)</f>
        <v>1</v>
      </c>
      <c r="Z28" s="71" t="n">
        <f aca="false">T28*Y28</f>
        <v>31</v>
      </c>
      <c r="AB28" s="132" t="n">
        <f aca="false">F28*G28</f>
        <v>0</v>
      </c>
      <c r="AC28" s="132" t="n">
        <f aca="false">$F28*H28</f>
        <v>0</v>
      </c>
      <c r="AD28" s="132" t="n">
        <f aca="false">$F28*I28</f>
        <v>0</v>
      </c>
      <c r="AE28" s="132" t="n">
        <f aca="false">$F28*J28</f>
        <v>-0</v>
      </c>
      <c r="AF28" s="132" t="n">
        <f aca="false">$F28*K28</f>
        <v>-0</v>
      </c>
      <c r="AG28" s="132" t="n">
        <f aca="false">$F28*L28</f>
        <v>0</v>
      </c>
      <c r="AH28" s="132" t="n">
        <f aca="false">$F28*M28</f>
        <v>0</v>
      </c>
      <c r="AI28" s="132" t="n">
        <f aca="false">$F28*N28</f>
        <v>0</v>
      </c>
      <c r="AJ28" s="132" t="n">
        <f aca="false">F28*O28</f>
        <v>0</v>
      </c>
      <c r="AK28" s="137"/>
      <c r="AL28" s="132" t="n">
        <f aca="false">CHOOSE($G$3,AC28-AD28,AD28-AC28)</f>
        <v>0</v>
      </c>
      <c r="AM28" s="132" t="n">
        <f aca="false">CHOOSE($G$3,AF28-AG28,AG28-AF28)</f>
        <v>0</v>
      </c>
      <c r="AN28" s="132" t="n">
        <f aca="false">CHOOSE($G$3,AI28-AJ28,AJ28-AI28)</f>
        <v>0</v>
      </c>
      <c r="AO28" s="148" t="n">
        <f aca="false">SUM(AL28:AN28)</f>
        <v>0</v>
      </c>
      <c r="AQ28" s="132" t="n">
        <f aca="false">CHOOSE($G$3,AB28-AC28,AC28-AB28)</f>
        <v>0</v>
      </c>
      <c r="AR28" s="132" t="n">
        <f aca="false">CHOOSE($G$3,AE28-AF28,AF28-AE28)</f>
        <v>0</v>
      </c>
      <c r="AS28" s="132" t="n">
        <f aca="false">CHOOSE($G$3,AH28-AI28,AI28-AH28)</f>
        <v>0</v>
      </c>
      <c r="AT28" s="148" t="n">
        <f aca="false">AQ28+AR28+AS28</f>
        <v>0</v>
      </c>
      <c r="AU28" s="148"/>
      <c r="AV28" s="133" t="n">
        <f aca="false">AT28+AO28</f>
        <v>0</v>
      </c>
      <c r="AX28" s="133" t="n">
        <f aca="false">AJ28+AG28+AD28</f>
        <v>0</v>
      </c>
      <c r="AY28" s="149"/>
      <c r="AZ28" s="76" t="n">
        <f aca="false">R28*E28</f>
        <v>0</v>
      </c>
    </row>
    <row r="29" customFormat="false" ht="12.75" hidden="false" customHeight="false" outlineLevel="0" collapsed="false">
      <c r="A29" s="138" t="n">
        <f aca="false">EDATE(A28,1)</f>
        <v>37561</v>
      </c>
      <c r="B29" s="139" t="n">
        <f aca="false">VLOOKUP($A29,Table2,MATCH(I$3,Curves2,0))</f>
        <v>0</v>
      </c>
      <c r="C29" s="140"/>
      <c r="D29" s="141" t="n">
        <f aca="false">B29+C29</f>
        <v>0</v>
      </c>
      <c r="E29" s="126" t="n">
        <f aca="false">IF(Y29=0,0,IF(AND(Y29=1,$H$3=1),D29*T29,IF($H$3=2,D29,"N/A")))</f>
        <v>0</v>
      </c>
      <c r="F29" s="126" t="n">
        <f aca="false">E29*X29</f>
        <v>0</v>
      </c>
      <c r="G29" s="142" t="n">
        <f aca="false">VLOOKUP($A29,Table,MATCH(G$4,Curves,0))</f>
        <v>4.267</v>
      </c>
      <c r="H29" s="143" t="n">
        <f aca="false">G29</f>
        <v>4.267</v>
      </c>
      <c r="I29" s="142" t="n">
        <f aca="false">VLOOKUP($A29,Table1,MATCH(I$3,Curves1,0))</f>
        <v>0</v>
      </c>
      <c r="J29" s="142" t="n">
        <f aca="false">VLOOKUP($A29,Table,MATCH(J$4,Curves,0))</f>
        <v>-0.0265</v>
      </c>
      <c r="K29" s="143" t="n">
        <f aca="false">J29</f>
        <v>-0.0265</v>
      </c>
      <c r="L29" s="144" t="n">
        <v>0</v>
      </c>
      <c r="M29" s="142" t="n">
        <f aca="false">VLOOKUP($A29,Table,MATCH(M$4,Curves,0))</f>
        <v>0.0075</v>
      </c>
      <c r="N29" s="143" t="n">
        <f aca="false">M29</f>
        <v>0.0075</v>
      </c>
      <c r="O29" s="144" t="n">
        <v>0</v>
      </c>
      <c r="P29" s="145"/>
      <c r="Q29" s="144" t="n">
        <f aca="false">M29+J29+G29</f>
        <v>4.248</v>
      </c>
      <c r="R29" s="144" t="n">
        <f aca="false">O29+L29+I29</f>
        <v>0</v>
      </c>
      <c r="S29" s="145"/>
      <c r="T29" s="71" t="n">
        <f aca="false">A30-A29</f>
        <v>30</v>
      </c>
      <c r="U29" s="146" t="n">
        <f aca="false">CHOOSE(F$3,A30+24,A29)</f>
        <v>37615</v>
      </c>
      <c r="V29" s="71" t="n">
        <f aca="false">U29-C$3</f>
        <v>727</v>
      </c>
      <c r="W29" s="142" t="n">
        <f aca="false">VLOOKUP($A29,Table,MATCH(W$4,Curves,0))</f>
        <v>0.058187001200475</v>
      </c>
      <c r="X29" s="147" t="n">
        <f aca="false">1/(1+CHOOSE(F$3,(W30+($K$3/10000))/2,(W29+($K$3/10000))/2))^(2*V29/365.25)</f>
        <v>0.892165302986719</v>
      </c>
      <c r="Y29" s="71" t="n">
        <f aca="false">IF(AND(mthbeg&lt;=A29,mthend&gt;=A29),1,0)</f>
        <v>1</v>
      </c>
      <c r="Z29" s="71" t="n">
        <f aca="false">T29*Y29</f>
        <v>30</v>
      </c>
      <c r="AB29" s="132" t="n">
        <f aca="false">F29*G29</f>
        <v>0</v>
      </c>
      <c r="AC29" s="132" t="n">
        <f aca="false">$F29*H29</f>
        <v>0</v>
      </c>
      <c r="AD29" s="132" t="n">
        <f aca="false">$F29*I29</f>
        <v>0</v>
      </c>
      <c r="AE29" s="132" t="n">
        <f aca="false">$F29*J29</f>
        <v>-0</v>
      </c>
      <c r="AF29" s="132" t="n">
        <f aca="false">$F29*K29</f>
        <v>-0</v>
      </c>
      <c r="AG29" s="132" t="n">
        <f aca="false">$F29*L29</f>
        <v>0</v>
      </c>
      <c r="AH29" s="132" t="n">
        <f aca="false">$F29*M29</f>
        <v>0</v>
      </c>
      <c r="AI29" s="132" t="n">
        <f aca="false">$F29*N29</f>
        <v>0</v>
      </c>
      <c r="AJ29" s="132" t="n">
        <f aca="false">F29*O29</f>
        <v>0</v>
      </c>
      <c r="AK29" s="137"/>
      <c r="AL29" s="132" t="n">
        <f aca="false">CHOOSE($G$3,AC29-AD29,AD29-AC29)</f>
        <v>0</v>
      </c>
      <c r="AM29" s="132" t="n">
        <f aca="false">CHOOSE($G$3,AF29-AG29,AG29-AF29)</f>
        <v>0</v>
      </c>
      <c r="AN29" s="132" t="n">
        <f aca="false">CHOOSE($G$3,AI29-AJ29,AJ29-AI29)</f>
        <v>0</v>
      </c>
      <c r="AO29" s="148" t="n">
        <f aca="false">SUM(AL29:AN29)</f>
        <v>0</v>
      </c>
      <c r="AQ29" s="132" t="n">
        <f aca="false">CHOOSE($G$3,AB29-AC29,AC29-AB29)</f>
        <v>0</v>
      </c>
      <c r="AR29" s="132" t="n">
        <f aca="false">CHOOSE($G$3,AE29-AF29,AF29-AE29)</f>
        <v>0</v>
      </c>
      <c r="AS29" s="132" t="n">
        <f aca="false">CHOOSE($G$3,AH29-AI29,AI29-AH29)</f>
        <v>0</v>
      </c>
      <c r="AT29" s="148" t="n">
        <f aca="false">AQ29+AR29+AS29</f>
        <v>0</v>
      </c>
      <c r="AU29" s="148"/>
      <c r="AV29" s="133" t="n">
        <f aca="false">AT29+AO29</f>
        <v>0</v>
      </c>
      <c r="AX29" s="133" t="n">
        <f aca="false">AJ29+AG29+AD29</f>
        <v>0</v>
      </c>
      <c r="AY29" s="149"/>
      <c r="AZ29" s="76" t="n">
        <f aca="false">R29*E29</f>
        <v>0</v>
      </c>
    </row>
    <row r="30" customFormat="false" ht="12.75" hidden="false" customHeight="false" outlineLevel="0" collapsed="false">
      <c r="A30" s="138" t="n">
        <f aca="false">EDATE(A29,1)</f>
        <v>37591</v>
      </c>
      <c r="B30" s="139" t="n">
        <f aca="false">VLOOKUP($A30,Table2,MATCH(I$3,Curves2,0))</f>
        <v>0</v>
      </c>
      <c r="C30" s="140"/>
      <c r="D30" s="141" t="n">
        <f aca="false">B30+C30</f>
        <v>0</v>
      </c>
      <c r="E30" s="126" t="n">
        <f aca="false">IF(Y30=0,0,IF(AND(Y30=1,$H$3=1),D30*T30,IF($H$3=2,D30,"N/A")))</f>
        <v>0</v>
      </c>
      <c r="F30" s="126" t="n">
        <f aca="false">E30*X30</f>
        <v>0</v>
      </c>
      <c r="G30" s="142" t="n">
        <f aca="false">VLOOKUP($A30,Table,MATCH(G$4,Curves,0))</f>
        <v>4.36</v>
      </c>
      <c r="H30" s="143" t="n">
        <f aca="false">G30</f>
        <v>4.36</v>
      </c>
      <c r="I30" s="142" t="n">
        <f aca="false">VLOOKUP($A30,Table1,MATCH(I$3,Curves1,0))</f>
        <v>0</v>
      </c>
      <c r="J30" s="142" t="n">
        <f aca="false">VLOOKUP($A30,Table,MATCH(J$4,Curves,0))</f>
        <v>-0.0265</v>
      </c>
      <c r="K30" s="143" t="n">
        <f aca="false">J30</f>
        <v>-0.0265</v>
      </c>
      <c r="L30" s="144" t="n">
        <v>0</v>
      </c>
      <c r="M30" s="142" t="n">
        <f aca="false">VLOOKUP($A30,Table,MATCH(M$4,Curves,0))</f>
        <v>0.0075</v>
      </c>
      <c r="N30" s="143" t="n">
        <f aca="false">M30</f>
        <v>0.0075</v>
      </c>
      <c r="O30" s="144" t="n">
        <v>0</v>
      </c>
      <c r="P30" s="145"/>
      <c r="Q30" s="144" t="n">
        <f aca="false">M30+J30+G30</f>
        <v>4.341</v>
      </c>
      <c r="R30" s="144" t="n">
        <f aca="false">O30+L30+I30</f>
        <v>0</v>
      </c>
      <c r="S30" s="145"/>
      <c r="T30" s="71" t="n">
        <f aca="false">A31-A30</f>
        <v>31</v>
      </c>
      <c r="U30" s="146" t="n">
        <f aca="false">CHOOSE(F$3,A31+24,A30)</f>
        <v>37646</v>
      </c>
      <c r="V30" s="71" t="n">
        <f aca="false">U30-C$3</f>
        <v>758</v>
      </c>
      <c r="W30" s="142" t="n">
        <f aca="false">VLOOKUP($A30,Table,MATCH(W$4,Curves,0))</f>
        <v>0.058156079325201</v>
      </c>
      <c r="X30" s="147" t="n">
        <f aca="false">1/(1+CHOOSE(F$3,(W31+($K$3/10000))/2,(W30+($K$3/10000))/2))^(2*V30/365.25)</f>
        <v>0.887849539555606</v>
      </c>
      <c r="Y30" s="71" t="n">
        <f aca="false">IF(AND(mthbeg&lt;=A30,mthend&gt;=A30),1,0)</f>
        <v>1</v>
      </c>
      <c r="Z30" s="71" t="n">
        <f aca="false">T30*Y30</f>
        <v>31</v>
      </c>
      <c r="AB30" s="132" t="n">
        <f aca="false">F30*G30</f>
        <v>0</v>
      </c>
      <c r="AC30" s="132" t="n">
        <f aca="false">$F30*H30</f>
        <v>0</v>
      </c>
      <c r="AD30" s="132" t="n">
        <f aca="false">$F30*I30</f>
        <v>0</v>
      </c>
      <c r="AE30" s="132" t="n">
        <f aca="false">$F30*J30</f>
        <v>-0</v>
      </c>
      <c r="AF30" s="132" t="n">
        <f aca="false">$F30*K30</f>
        <v>-0</v>
      </c>
      <c r="AG30" s="132" t="n">
        <f aca="false">$F30*L30</f>
        <v>0</v>
      </c>
      <c r="AH30" s="132" t="n">
        <f aca="false">$F30*M30</f>
        <v>0</v>
      </c>
      <c r="AI30" s="132" t="n">
        <f aca="false">$F30*N30</f>
        <v>0</v>
      </c>
      <c r="AJ30" s="132" t="n">
        <f aca="false">F30*O30</f>
        <v>0</v>
      </c>
      <c r="AK30" s="137"/>
      <c r="AL30" s="132" t="n">
        <f aca="false">CHOOSE($G$3,AC30-AD30,AD30-AC30)</f>
        <v>0</v>
      </c>
      <c r="AM30" s="132" t="n">
        <f aca="false">CHOOSE($G$3,AF30-AG30,AG30-AF30)</f>
        <v>0</v>
      </c>
      <c r="AN30" s="132" t="n">
        <f aca="false">CHOOSE($G$3,AI30-AJ30,AJ30-AI30)</f>
        <v>0</v>
      </c>
      <c r="AO30" s="148" t="n">
        <f aca="false">SUM(AL30:AN30)</f>
        <v>0</v>
      </c>
      <c r="AQ30" s="132" t="n">
        <f aca="false">CHOOSE($G$3,AB30-AC30,AC30-AB30)</f>
        <v>0</v>
      </c>
      <c r="AR30" s="132" t="n">
        <f aca="false">CHOOSE($G$3,AE30-AF30,AF30-AE30)</f>
        <v>0</v>
      </c>
      <c r="AS30" s="132" t="n">
        <f aca="false">CHOOSE($G$3,AH30-AI30,AI30-AH30)</f>
        <v>0</v>
      </c>
      <c r="AT30" s="148" t="n">
        <f aca="false">AQ30+AR30+AS30</f>
        <v>0</v>
      </c>
      <c r="AU30" s="148"/>
      <c r="AV30" s="133" t="n">
        <f aca="false">AT30+AO30</f>
        <v>0</v>
      </c>
      <c r="AX30" s="133" t="n">
        <f aca="false">AJ30+AG30+AD30</f>
        <v>0</v>
      </c>
      <c r="AY30" s="149"/>
      <c r="AZ30" s="76" t="n">
        <f aca="false">R30*E30</f>
        <v>0</v>
      </c>
    </row>
    <row r="31" customFormat="false" ht="12.75" hidden="false" customHeight="false" outlineLevel="0" collapsed="false">
      <c r="A31" s="138" t="n">
        <f aca="false">EDATE(A30,1)</f>
        <v>37622</v>
      </c>
      <c r="B31" s="139" t="n">
        <f aca="false">VLOOKUP($A31,Table2,MATCH(I$3,Curves2,0))</f>
        <v>0</v>
      </c>
      <c r="C31" s="140"/>
      <c r="D31" s="141" t="n">
        <f aca="false">B31+C31</f>
        <v>0</v>
      </c>
      <c r="E31" s="126" t="n">
        <f aca="false">IF(Y31=0,0,IF(AND(Y31=1,$H$3=1),D31*T31,IF($H$3=2,D31,"N/A")))</f>
        <v>0</v>
      </c>
      <c r="F31" s="126" t="n">
        <f aca="false">E31*X31</f>
        <v>0</v>
      </c>
      <c r="G31" s="142" t="n">
        <f aca="false">VLOOKUP($A31,Table,MATCH(G$4,Curves,0))</f>
        <v>4.382</v>
      </c>
      <c r="H31" s="143" t="n">
        <f aca="false">G31</f>
        <v>4.382</v>
      </c>
      <c r="I31" s="142" t="n">
        <f aca="false">VLOOKUP($A31,Table1,MATCH(I$3,Curves1,0))</f>
        <v>0</v>
      </c>
      <c r="J31" s="142" t="n">
        <f aca="false">VLOOKUP($A31,Table,MATCH(J$4,Curves,0))</f>
        <v>0.002</v>
      </c>
      <c r="K31" s="143" t="n">
        <f aca="false">J31</f>
        <v>0.002</v>
      </c>
      <c r="L31" s="144" t="n">
        <v>0</v>
      </c>
      <c r="M31" s="142" t="n">
        <f aca="false">VLOOKUP($A31,Table,MATCH(M$4,Curves,0))</f>
        <v>0.01</v>
      </c>
      <c r="N31" s="143" t="n">
        <f aca="false">M31</f>
        <v>0.01</v>
      </c>
      <c r="O31" s="144" t="n">
        <v>0</v>
      </c>
      <c r="P31" s="145"/>
      <c r="Q31" s="144" t="n">
        <f aca="false">M31+J31+G31</f>
        <v>4.394</v>
      </c>
      <c r="R31" s="144" t="n">
        <f aca="false">O31+L31+I31</f>
        <v>0</v>
      </c>
      <c r="S31" s="145"/>
      <c r="T31" s="71" t="n">
        <f aca="false">A32-A31</f>
        <v>31</v>
      </c>
      <c r="U31" s="146" t="n">
        <f aca="false">CHOOSE(F$3,A32+24,A31)</f>
        <v>37677</v>
      </c>
      <c r="V31" s="71" t="n">
        <f aca="false">U31-C$3</f>
        <v>789</v>
      </c>
      <c r="W31" s="142" t="n">
        <f aca="false">VLOOKUP($A31,Table,MATCH(W$4,Curves,0))</f>
        <v>0.058147967103</v>
      </c>
      <c r="X31" s="147" t="n">
        <f aca="false">1/(1+CHOOSE(F$3,(W32+($K$3/10000))/2,(W31+($K$3/10000))/2))^(2*V31/365.25)</f>
        <v>0.883502145530632</v>
      </c>
      <c r="Y31" s="71" t="n">
        <f aca="false">IF(AND(mthbeg&lt;=A31,mthend&gt;=A31),1,0)</f>
        <v>1</v>
      </c>
      <c r="Z31" s="71" t="n">
        <f aca="false">T31*Y31</f>
        <v>31</v>
      </c>
      <c r="AB31" s="132" t="n">
        <f aca="false">F31*G31</f>
        <v>0</v>
      </c>
      <c r="AC31" s="132" t="n">
        <f aca="false">$F31*H31</f>
        <v>0</v>
      </c>
      <c r="AD31" s="132" t="n">
        <f aca="false">$F31*I31</f>
        <v>0</v>
      </c>
      <c r="AE31" s="132" t="n">
        <f aca="false">$F31*J31</f>
        <v>0</v>
      </c>
      <c r="AF31" s="132" t="n">
        <f aca="false">$F31*K31</f>
        <v>0</v>
      </c>
      <c r="AG31" s="132" t="n">
        <f aca="false">$F31*L31</f>
        <v>0</v>
      </c>
      <c r="AH31" s="132" t="n">
        <f aca="false">$F31*M31</f>
        <v>0</v>
      </c>
      <c r="AI31" s="132" t="n">
        <f aca="false">$F31*N31</f>
        <v>0</v>
      </c>
      <c r="AJ31" s="132" t="n">
        <f aca="false">F31*O31</f>
        <v>0</v>
      </c>
      <c r="AK31" s="137"/>
      <c r="AL31" s="132" t="n">
        <f aca="false">CHOOSE($G$3,AC31-AD31,AD31-AC31)</f>
        <v>0</v>
      </c>
      <c r="AM31" s="132" t="n">
        <f aca="false">CHOOSE($G$3,AF31-AG31,AG31-AF31)</f>
        <v>0</v>
      </c>
      <c r="AN31" s="132" t="n">
        <f aca="false">CHOOSE($G$3,AI31-AJ31,AJ31-AI31)</f>
        <v>0</v>
      </c>
      <c r="AO31" s="148" t="n">
        <f aca="false">SUM(AL31:AN31)</f>
        <v>0</v>
      </c>
      <c r="AQ31" s="132" t="n">
        <f aca="false">CHOOSE($G$3,AB31-AC31,AC31-AB31)</f>
        <v>0</v>
      </c>
      <c r="AR31" s="132" t="n">
        <f aca="false">CHOOSE($G$3,AE31-AF31,AF31-AE31)</f>
        <v>0</v>
      </c>
      <c r="AS31" s="132" t="n">
        <f aca="false">CHOOSE($G$3,AH31-AI31,AI31-AH31)</f>
        <v>0</v>
      </c>
      <c r="AT31" s="148" t="n">
        <f aca="false">AQ31+AR31+AS31</f>
        <v>0</v>
      </c>
      <c r="AU31" s="148"/>
      <c r="AV31" s="133" t="n">
        <f aca="false">AT31+AO31</f>
        <v>0</v>
      </c>
      <c r="AX31" s="133" t="n">
        <f aca="false">AJ31+AG31+AD31</f>
        <v>0</v>
      </c>
      <c r="AY31" s="149"/>
      <c r="AZ31" s="76" t="n">
        <f aca="false">R31*E31</f>
        <v>0</v>
      </c>
    </row>
    <row r="32" customFormat="false" ht="12.75" hidden="false" customHeight="false" outlineLevel="0" collapsed="false">
      <c r="A32" s="138" t="n">
        <f aca="false">EDATE(A31,1)</f>
        <v>37653</v>
      </c>
      <c r="B32" s="139" t="n">
        <f aca="false">VLOOKUP($A32,Table2,MATCH(I$3,Curves2,0))</f>
        <v>0</v>
      </c>
      <c r="C32" s="140"/>
      <c r="D32" s="141" t="n">
        <f aca="false">B32+C32</f>
        <v>0</v>
      </c>
      <c r="E32" s="126" t="n">
        <f aca="false">IF(Y32=0,0,IF(AND(Y32=1,$H$3=1),D32*T32,IF($H$3=2,D32,"N/A")))</f>
        <v>0</v>
      </c>
      <c r="F32" s="126" t="n">
        <f aca="false">E32*X32</f>
        <v>0</v>
      </c>
      <c r="G32" s="142" t="n">
        <f aca="false">VLOOKUP($A32,Table,MATCH(G$4,Curves,0))</f>
        <v>4.227</v>
      </c>
      <c r="H32" s="143" t="n">
        <f aca="false">G32</f>
        <v>4.227</v>
      </c>
      <c r="I32" s="142" t="n">
        <f aca="false">VLOOKUP($A32,Table1,MATCH(I$3,Curves1,0))</f>
        <v>0</v>
      </c>
      <c r="J32" s="142" t="n">
        <f aca="false">VLOOKUP($A32,Table,MATCH(J$4,Curves,0))</f>
        <v>-0.008</v>
      </c>
      <c r="K32" s="143" t="n">
        <f aca="false">J32</f>
        <v>-0.008</v>
      </c>
      <c r="L32" s="144" t="n">
        <v>0</v>
      </c>
      <c r="M32" s="142" t="n">
        <f aca="false">VLOOKUP($A32,Table,MATCH(M$4,Curves,0))</f>
        <v>0.01</v>
      </c>
      <c r="N32" s="143" t="n">
        <f aca="false">M32</f>
        <v>0.01</v>
      </c>
      <c r="O32" s="144" t="n">
        <v>0</v>
      </c>
      <c r="P32" s="145"/>
      <c r="Q32" s="144" t="n">
        <f aca="false">M32+J32+G32</f>
        <v>4.229</v>
      </c>
      <c r="R32" s="144" t="n">
        <f aca="false">O32+L32+I32</f>
        <v>0</v>
      </c>
      <c r="S32" s="145"/>
      <c r="T32" s="71" t="n">
        <f aca="false">A33-A32</f>
        <v>28</v>
      </c>
      <c r="U32" s="146" t="n">
        <f aca="false">CHOOSE(F$3,A33+24,A32)</f>
        <v>37705</v>
      </c>
      <c r="V32" s="71" t="n">
        <f aca="false">U32-C$3</f>
        <v>817</v>
      </c>
      <c r="W32" s="142" t="n">
        <f aca="false">VLOOKUP($A32,Table,MATCH(W$4,Curves,0))</f>
        <v>0.058168803916155</v>
      </c>
      <c r="X32" s="147" t="n">
        <f aca="false">1/(1+CHOOSE(F$3,(W33+($K$3/10000))/2,(W32+($K$3/10000))/2))^(2*V32/365.25)</f>
        <v>0.87959116860681</v>
      </c>
      <c r="Y32" s="71" t="n">
        <f aca="false">IF(AND(mthbeg&lt;=A32,mthend&gt;=A32),1,0)</f>
        <v>1</v>
      </c>
      <c r="Z32" s="71" t="n">
        <f aca="false">T32*Y32</f>
        <v>28</v>
      </c>
      <c r="AB32" s="132" t="n">
        <f aca="false">F32*G32</f>
        <v>0</v>
      </c>
      <c r="AC32" s="132" t="n">
        <f aca="false">$F32*H32</f>
        <v>0</v>
      </c>
      <c r="AD32" s="132" t="n">
        <f aca="false">$F32*I32</f>
        <v>0</v>
      </c>
      <c r="AE32" s="132" t="n">
        <f aca="false">$F32*J32</f>
        <v>-0</v>
      </c>
      <c r="AF32" s="132" t="n">
        <f aca="false">$F32*K32</f>
        <v>-0</v>
      </c>
      <c r="AG32" s="132" t="n">
        <f aca="false">$F32*L32</f>
        <v>0</v>
      </c>
      <c r="AH32" s="132" t="n">
        <f aca="false">$F32*M32</f>
        <v>0</v>
      </c>
      <c r="AI32" s="132" t="n">
        <f aca="false">$F32*N32</f>
        <v>0</v>
      </c>
      <c r="AJ32" s="132" t="n">
        <f aca="false">F32*O32</f>
        <v>0</v>
      </c>
      <c r="AK32" s="137"/>
      <c r="AL32" s="132" t="n">
        <f aca="false">CHOOSE($G$3,AC32-AD32,AD32-AC32)</f>
        <v>0</v>
      </c>
      <c r="AM32" s="132" t="n">
        <f aca="false">CHOOSE($G$3,AF32-AG32,AG32-AF32)</f>
        <v>0</v>
      </c>
      <c r="AN32" s="132" t="n">
        <f aca="false">CHOOSE($G$3,AI32-AJ32,AJ32-AI32)</f>
        <v>0</v>
      </c>
      <c r="AO32" s="148" t="n">
        <f aca="false">SUM(AL32:AN32)</f>
        <v>0</v>
      </c>
      <c r="AQ32" s="132" t="n">
        <f aca="false">CHOOSE($G$3,AB32-AC32,AC32-AB32)</f>
        <v>0</v>
      </c>
      <c r="AR32" s="132" t="n">
        <f aca="false">CHOOSE($G$3,AE32-AF32,AF32-AE32)</f>
        <v>0</v>
      </c>
      <c r="AS32" s="132" t="n">
        <f aca="false">CHOOSE($G$3,AH32-AI32,AI32-AH32)</f>
        <v>0</v>
      </c>
      <c r="AT32" s="148" t="n">
        <f aca="false">AQ32+AR32+AS32</f>
        <v>0</v>
      </c>
      <c r="AU32" s="148"/>
      <c r="AV32" s="133" t="n">
        <f aca="false">AT32+AO32</f>
        <v>0</v>
      </c>
      <c r="AX32" s="133" t="n">
        <f aca="false">AJ32+AG32+AD32</f>
        <v>0</v>
      </c>
      <c r="AY32" s="149"/>
      <c r="AZ32" s="76" t="n">
        <f aca="false">R32*E32</f>
        <v>0</v>
      </c>
    </row>
    <row r="33" customFormat="false" ht="12.75" hidden="false" customHeight="false" outlineLevel="0" collapsed="false">
      <c r="A33" s="138" t="n">
        <f aca="false">EDATE(A32,1)</f>
        <v>37681</v>
      </c>
      <c r="B33" s="139" t="n">
        <f aca="false">VLOOKUP($A33,Table2,MATCH(I$3,Curves2,0))</f>
        <v>0</v>
      </c>
      <c r="C33" s="140"/>
      <c r="D33" s="141" t="n">
        <f aca="false">B33+C33</f>
        <v>0</v>
      </c>
      <c r="E33" s="126" t="n">
        <f aca="false">IF(Y33=0,0,IF(AND(Y33=1,$H$3=1),D33*T33,IF($H$3=2,D33,"N/A")))</f>
        <v>0</v>
      </c>
      <c r="F33" s="126" t="n">
        <f aca="false">E33*X33</f>
        <v>0</v>
      </c>
      <c r="G33" s="142" t="n">
        <f aca="false">VLOOKUP($A33,Table,MATCH(G$4,Curves,0))</f>
        <v>4.027</v>
      </c>
      <c r="H33" s="143" t="n">
        <f aca="false">G33</f>
        <v>4.027</v>
      </c>
      <c r="I33" s="142" t="n">
        <f aca="false">VLOOKUP($A33,Table1,MATCH(I$3,Curves1,0))</f>
        <v>0</v>
      </c>
      <c r="J33" s="142" t="n">
        <f aca="false">VLOOKUP($A33,Table,MATCH(J$4,Curves,0))</f>
        <v>-0.008</v>
      </c>
      <c r="K33" s="143" t="n">
        <f aca="false">J33</f>
        <v>-0.008</v>
      </c>
      <c r="L33" s="144" t="n">
        <v>0</v>
      </c>
      <c r="M33" s="142" t="n">
        <f aca="false">VLOOKUP($A33,Table,MATCH(M$4,Curves,0))</f>
        <v>0.01</v>
      </c>
      <c r="N33" s="143" t="n">
        <f aca="false">M33</f>
        <v>0.01</v>
      </c>
      <c r="O33" s="144" t="n">
        <v>0</v>
      </c>
      <c r="P33" s="145"/>
      <c r="Q33" s="144" t="n">
        <f aca="false">M33+J33+G33</f>
        <v>4.029</v>
      </c>
      <c r="R33" s="144" t="n">
        <f aca="false">O33+L33+I33</f>
        <v>0</v>
      </c>
      <c r="S33" s="145"/>
      <c r="T33" s="71" t="n">
        <f aca="false">A34-A33</f>
        <v>31</v>
      </c>
      <c r="U33" s="146" t="n">
        <f aca="false">CHOOSE(F$3,A34+24,A33)</f>
        <v>37736</v>
      </c>
      <c r="V33" s="71" t="n">
        <f aca="false">U33-C$3</f>
        <v>848</v>
      </c>
      <c r="W33" s="142" t="n">
        <f aca="false">VLOOKUP($A33,Table,MATCH(W$4,Curves,0))</f>
        <v>0.058187624263651</v>
      </c>
      <c r="X33" s="147" t="n">
        <f aca="false">1/(1+CHOOSE(F$3,(W34+($K$3/10000))/2,(W33+($K$3/10000))/2))^(2*V33/365.25)</f>
        <v>0.875291529453389</v>
      </c>
      <c r="Y33" s="71" t="n">
        <f aca="false">IF(AND(mthbeg&lt;=A33,mthend&gt;=A33),1,0)</f>
        <v>1</v>
      </c>
      <c r="Z33" s="71" t="n">
        <f aca="false">T33*Y33</f>
        <v>31</v>
      </c>
      <c r="AB33" s="132" t="n">
        <f aca="false">F33*G33</f>
        <v>0</v>
      </c>
      <c r="AC33" s="132" t="n">
        <f aca="false">$F33*H33</f>
        <v>0</v>
      </c>
      <c r="AD33" s="132" t="n">
        <f aca="false">$F33*I33</f>
        <v>0</v>
      </c>
      <c r="AE33" s="132" t="n">
        <f aca="false">$F33*J33</f>
        <v>-0</v>
      </c>
      <c r="AF33" s="132" t="n">
        <f aca="false">$F33*K33</f>
        <v>-0</v>
      </c>
      <c r="AG33" s="132" t="n">
        <f aca="false">$F33*L33</f>
        <v>0</v>
      </c>
      <c r="AH33" s="132" t="n">
        <f aca="false">$F33*M33</f>
        <v>0</v>
      </c>
      <c r="AI33" s="132" t="n">
        <f aca="false">$F33*N33</f>
        <v>0</v>
      </c>
      <c r="AJ33" s="132" t="n">
        <f aca="false">F33*O33</f>
        <v>0</v>
      </c>
      <c r="AK33" s="137"/>
      <c r="AL33" s="132" t="n">
        <f aca="false">CHOOSE($G$3,AC33-AD33,AD33-AC33)</f>
        <v>0</v>
      </c>
      <c r="AM33" s="132" t="n">
        <f aca="false">CHOOSE($G$3,AF33-AG33,AG33-AF33)</f>
        <v>0</v>
      </c>
      <c r="AN33" s="132" t="n">
        <f aca="false">CHOOSE($G$3,AI33-AJ33,AJ33-AI33)</f>
        <v>0</v>
      </c>
      <c r="AO33" s="148" t="n">
        <f aca="false">SUM(AL33:AN33)</f>
        <v>0</v>
      </c>
      <c r="AQ33" s="132" t="n">
        <f aca="false">CHOOSE($G$3,AB33-AC33,AC33-AB33)</f>
        <v>0</v>
      </c>
      <c r="AR33" s="132" t="n">
        <f aca="false">CHOOSE($G$3,AE33-AF33,AF33-AE33)</f>
        <v>0</v>
      </c>
      <c r="AS33" s="132" t="n">
        <f aca="false">CHOOSE($G$3,AH33-AI33,AI33-AH33)</f>
        <v>0</v>
      </c>
      <c r="AT33" s="148" t="n">
        <f aca="false">AQ33+AR33+AS33</f>
        <v>0</v>
      </c>
      <c r="AU33" s="148"/>
      <c r="AV33" s="133" t="n">
        <f aca="false">AT33+AO33</f>
        <v>0</v>
      </c>
      <c r="AX33" s="133" t="n">
        <f aca="false">AJ33+AG33+AD33</f>
        <v>0</v>
      </c>
      <c r="AY33" s="149"/>
      <c r="AZ33" s="76" t="n">
        <f aca="false">R33*E33</f>
        <v>0</v>
      </c>
    </row>
    <row r="34" customFormat="false" ht="12.75" hidden="false" customHeight="false" outlineLevel="0" collapsed="false">
      <c r="A34" s="138" t="n">
        <f aca="false">EDATE(A33,1)</f>
        <v>37712</v>
      </c>
      <c r="B34" s="139" t="n">
        <f aca="false">VLOOKUP($A34,Table2,MATCH(I$3,Curves2,0))</f>
        <v>0</v>
      </c>
      <c r="C34" s="140"/>
      <c r="D34" s="141" t="n">
        <f aca="false">B34+C34</f>
        <v>0</v>
      </c>
      <c r="E34" s="126" t="n">
        <f aca="false">IF(Y34=0,0,IF(AND(Y34=1,$H$3=1),D34*T34,IF($H$3=2,D34,"N/A")))</f>
        <v>0</v>
      </c>
      <c r="F34" s="126" t="n">
        <f aca="false">E34*X34</f>
        <v>0</v>
      </c>
      <c r="G34" s="142" t="n">
        <f aca="false">VLOOKUP($A34,Table,MATCH(G$4,Curves,0))</f>
        <v>3.792</v>
      </c>
      <c r="H34" s="143" t="n">
        <f aca="false">G34</f>
        <v>3.792</v>
      </c>
      <c r="I34" s="142" t="n">
        <f aca="false">VLOOKUP($A34,Table1,MATCH(I$3,Curves1,0))</f>
        <v>0</v>
      </c>
      <c r="J34" s="142" t="n">
        <f aca="false">VLOOKUP($A34,Table,MATCH(J$4,Curves,0))</f>
        <v>-0.023</v>
      </c>
      <c r="K34" s="143" t="n">
        <f aca="false">J34</f>
        <v>-0.023</v>
      </c>
      <c r="L34" s="144" t="n">
        <v>0</v>
      </c>
      <c r="M34" s="142" t="n">
        <f aca="false">VLOOKUP($A34,Table,MATCH(M$4,Curves,0))</f>
        <v>0.0075</v>
      </c>
      <c r="N34" s="143" t="n">
        <f aca="false">M34</f>
        <v>0.0075</v>
      </c>
      <c r="O34" s="144" t="n">
        <v>0</v>
      </c>
      <c r="P34" s="145"/>
      <c r="Q34" s="144" t="n">
        <f aca="false">M34+J34+G34</f>
        <v>3.7765</v>
      </c>
      <c r="R34" s="144" t="n">
        <f aca="false">O34+L34+I34</f>
        <v>0</v>
      </c>
      <c r="S34" s="145"/>
      <c r="T34" s="71" t="n">
        <f aca="false">A35-A34</f>
        <v>30</v>
      </c>
      <c r="U34" s="146" t="n">
        <f aca="false">CHOOSE(F$3,A35+24,A34)</f>
        <v>37766</v>
      </c>
      <c r="V34" s="71" t="n">
        <f aca="false">U34-C$3</f>
        <v>878</v>
      </c>
      <c r="W34" s="142" t="n">
        <f aca="false">VLOOKUP($A34,Table,MATCH(W$4,Curves,0))</f>
        <v>0.058201856354669</v>
      </c>
      <c r="X34" s="147" t="n">
        <f aca="false">1/(1+CHOOSE(F$3,(W35+($K$3/10000))/2,(W34+($K$3/10000))/2))^(2*V34/365.25)</f>
        <v>0.871166775818526</v>
      </c>
      <c r="Y34" s="71" t="n">
        <f aca="false">IF(AND(mthbeg&lt;=A34,mthend&gt;=A34),1,0)</f>
        <v>1</v>
      </c>
      <c r="Z34" s="71" t="n">
        <f aca="false">T34*Y34</f>
        <v>30</v>
      </c>
      <c r="AB34" s="132" t="n">
        <f aca="false">F34*G34</f>
        <v>0</v>
      </c>
      <c r="AC34" s="132" t="n">
        <f aca="false">$F34*H34</f>
        <v>0</v>
      </c>
      <c r="AD34" s="132" t="n">
        <f aca="false">$F34*I34</f>
        <v>0</v>
      </c>
      <c r="AE34" s="132" t="n">
        <f aca="false">$F34*J34</f>
        <v>-0</v>
      </c>
      <c r="AF34" s="132" t="n">
        <f aca="false">$F34*K34</f>
        <v>-0</v>
      </c>
      <c r="AG34" s="132" t="n">
        <f aca="false">$F34*L34</f>
        <v>0</v>
      </c>
      <c r="AH34" s="132" t="n">
        <f aca="false">$F34*M34</f>
        <v>0</v>
      </c>
      <c r="AI34" s="132" t="n">
        <f aca="false">$F34*N34</f>
        <v>0</v>
      </c>
      <c r="AJ34" s="132" t="n">
        <f aca="false">F34*O34</f>
        <v>0</v>
      </c>
      <c r="AK34" s="137"/>
      <c r="AL34" s="132" t="n">
        <f aca="false">CHOOSE($G$3,AC34-AD34,AD34-AC34)</f>
        <v>0</v>
      </c>
      <c r="AM34" s="132" t="n">
        <f aca="false">CHOOSE($G$3,AF34-AG34,AG34-AF34)</f>
        <v>0</v>
      </c>
      <c r="AN34" s="132" t="n">
        <f aca="false">CHOOSE($G$3,AI34-AJ34,AJ34-AI34)</f>
        <v>0</v>
      </c>
      <c r="AO34" s="148" t="n">
        <f aca="false">SUM(AL34:AN34)</f>
        <v>0</v>
      </c>
      <c r="AQ34" s="132" t="n">
        <f aca="false">CHOOSE($G$3,AB34-AC34,AC34-AB34)</f>
        <v>0</v>
      </c>
      <c r="AR34" s="132" t="n">
        <f aca="false">CHOOSE($G$3,AE34-AF34,AF34-AE34)</f>
        <v>0</v>
      </c>
      <c r="AS34" s="132" t="n">
        <f aca="false">CHOOSE($G$3,AH34-AI34,AI34-AH34)</f>
        <v>0</v>
      </c>
      <c r="AT34" s="148" t="n">
        <f aca="false">AQ34+AR34+AS34</f>
        <v>0</v>
      </c>
      <c r="AU34" s="148"/>
      <c r="AV34" s="133" t="n">
        <f aca="false">AT34+AO34</f>
        <v>0</v>
      </c>
      <c r="AX34" s="133" t="n">
        <f aca="false">AJ34+AG34+AD34</f>
        <v>0</v>
      </c>
      <c r="AY34" s="149"/>
      <c r="AZ34" s="76" t="n">
        <f aca="false">R34*E34</f>
        <v>0</v>
      </c>
    </row>
    <row r="35" customFormat="false" ht="12.75" hidden="false" customHeight="false" outlineLevel="0" collapsed="false">
      <c r="A35" s="138" t="n">
        <f aca="false">EDATE(A34,1)</f>
        <v>37742</v>
      </c>
      <c r="B35" s="139" t="n">
        <f aca="false">VLOOKUP($A35,Table2,MATCH(I$3,Curves2,0))</f>
        <v>0</v>
      </c>
      <c r="C35" s="140"/>
      <c r="D35" s="141" t="n">
        <f aca="false">B35+C35</f>
        <v>0</v>
      </c>
      <c r="E35" s="126" t="n">
        <f aca="false">IF(Y35=0,0,IF(AND(Y35=1,$H$3=1),D35*T35,IF($H$3=2,D35,"N/A")))</f>
        <v>0</v>
      </c>
      <c r="F35" s="126" t="n">
        <f aca="false">E35*X35</f>
        <v>0</v>
      </c>
      <c r="G35" s="142" t="n">
        <f aca="false">VLOOKUP($A35,Table,MATCH(G$4,Curves,0))</f>
        <v>3.742</v>
      </c>
      <c r="H35" s="143" t="n">
        <f aca="false">G35</f>
        <v>3.742</v>
      </c>
      <c r="I35" s="142" t="n">
        <f aca="false">VLOOKUP($A35,Table1,MATCH(I$3,Curves1,0))</f>
        <v>0</v>
      </c>
      <c r="J35" s="142" t="n">
        <f aca="false">VLOOKUP($A35,Table,MATCH(J$4,Curves,0))</f>
        <v>-0.023</v>
      </c>
      <c r="K35" s="143" t="n">
        <f aca="false">J35</f>
        <v>-0.023</v>
      </c>
      <c r="L35" s="144" t="n">
        <v>0</v>
      </c>
      <c r="M35" s="142" t="n">
        <f aca="false">VLOOKUP($A35,Table,MATCH(M$4,Curves,0))</f>
        <v>0.0075</v>
      </c>
      <c r="N35" s="143" t="n">
        <f aca="false">M35</f>
        <v>0.0075</v>
      </c>
      <c r="O35" s="144" t="n">
        <v>0</v>
      </c>
      <c r="P35" s="145"/>
      <c r="Q35" s="144" t="n">
        <f aca="false">M35+J35+G35</f>
        <v>3.7265</v>
      </c>
      <c r="R35" s="144" t="n">
        <f aca="false">O35+L35+I35</f>
        <v>0</v>
      </c>
      <c r="S35" s="145"/>
      <c r="T35" s="71" t="n">
        <f aca="false">A36-A35</f>
        <v>31</v>
      </c>
      <c r="U35" s="146" t="n">
        <f aca="false">CHOOSE(F$3,A36+24,A35)</f>
        <v>37797</v>
      </c>
      <c r="V35" s="71" t="n">
        <f aca="false">U35-C$3</f>
        <v>909</v>
      </c>
      <c r="W35" s="142" t="n">
        <f aca="false">VLOOKUP($A35,Table,MATCH(W$4,Curves,0))</f>
        <v>0.05820672378151</v>
      </c>
      <c r="X35" s="147" t="n">
        <f aca="false">1/(1+CHOOSE(F$3,(W36+($K$3/10000))/2,(W35+($K$3/10000))/2))^(2*V35/365.25)</f>
        <v>0.866924242036878</v>
      </c>
      <c r="Y35" s="71" t="n">
        <f aca="false">IF(AND(mthbeg&lt;=A35,mthend&gt;=A35),1,0)</f>
        <v>1</v>
      </c>
      <c r="Z35" s="71" t="n">
        <f aca="false">T35*Y35</f>
        <v>31</v>
      </c>
      <c r="AB35" s="132" t="n">
        <f aca="false">F35*G35</f>
        <v>0</v>
      </c>
      <c r="AC35" s="132" t="n">
        <f aca="false">$F35*H35</f>
        <v>0</v>
      </c>
      <c r="AD35" s="132" t="n">
        <f aca="false">$F35*I35</f>
        <v>0</v>
      </c>
      <c r="AE35" s="132" t="n">
        <f aca="false">$F35*J35</f>
        <v>-0</v>
      </c>
      <c r="AF35" s="132" t="n">
        <f aca="false">$F35*K35</f>
        <v>-0</v>
      </c>
      <c r="AG35" s="132" t="n">
        <f aca="false">$F35*L35</f>
        <v>0</v>
      </c>
      <c r="AH35" s="132" t="n">
        <f aca="false">$F35*M35</f>
        <v>0</v>
      </c>
      <c r="AI35" s="132" t="n">
        <f aca="false">$F35*N35</f>
        <v>0</v>
      </c>
      <c r="AJ35" s="132" t="n">
        <f aca="false">F35*O35</f>
        <v>0</v>
      </c>
      <c r="AK35" s="137"/>
      <c r="AL35" s="132" t="n">
        <f aca="false">CHOOSE($G$3,AC35-AD35,AD35-AC35)</f>
        <v>0</v>
      </c>
      <c r="AM35" s="132" t="n">
        <f aca="false">CHOOSE($G$3,AF35-AG35,AG35-AF35)</f>
        <v>0</v>
      </c>
      <c r="AN35" s="132" t="n">
        <f aca="false">CHOOSE($G$3,AI35-AJ35,AJ35-AI35)</f>
        <v>0</v>
      </c>
      <c r="AO35" s="148" t="n">
        <f aca="false">SUM(AL35:AN35)</f>
        <v>0</v>
      </c>
      <c r="AQ35" s="132" t="n">
        <f aca="false">CHOOSE($G$3,AB35-AC35,AC35-AB35)</f>
        <v>0</v>
      </c>
      <c r="AR35" s="132" t="n">
        <f aca="false">CHOOSE($G$3,AE35-AF35,AF35-AE35)</f>
        <v>0</v>
      </c>
      <c r="AS35" s="132" t="n">
        <f aca="false">CHOOSE($G$3,AH35-AI35,AI35-AH35)</f>
        <v>0</v>
      </c>
      <c r="AT35" s="148" t="n">
        <f aca="false">AQ35+AR35+AS35</f>
        <v>0</v>
      </c>
      <c r="AU35" s="148"/>
      <c r="AV35" s="133" t="n">
        <f aca="false">AT35+AO35</f>
        <v>0</v>
      </c>
      <c r="AX35" s="133" t="n">
        <f aca="false">AJ35+AG35+AD35</f>
        <v>0</v>
      </c>
      <c r="AY35" s="149"/>
      <c r="AZ35" s="76" t="n">
        <f aca="false">R35*E35</f>
        <v>0</v>
      </c>
    </row>
    <row r="36" customFormat="false" ht="12.75" hidden="false" customHeight="false" outlineLevel="0" collapsed="false">
      <c r="A36" s="138" t="n">
        <f aca="false">EDATE(A35,1)</f>
        <v>37773</v>
      </c>
      <c r="B36" s="139" t="n">
        <f aca="false">VLOOKUP($A36,Table2,MATCH(I$3,Curves2,0))</f>
        <v>0</v>
      </c>
      <c r="C36" s="140"/>
      <c r="D36" s="141" t="n">
        <f aca="false">B36+C36</f>
        <v>0</v>
      </c>
      <c r="E36" s="126" t="n">
        <f aca="false">IF(Y36=0,0,IF(AND(Y36=1,$H$3=1),D36*T36,IF($H$3=2,D36,"N/A")))</f>
        <v>0</v>
      </c>
      <c r="F36" s="126" t="n">
        <f aca="false">E36*X36</f>
        <v>0</v>
      </c>
      <c r="G36" s="142" t="n">
        <f aca="false">VLOOKUP($A36,Table,MATCH(G$4,Curves,0))</f>
        <v>3.752</v>
      </c>
      <c r="H36" s="143" t="n">
        <f aca="false">G36</f>
        <v>3.752</v>
      </c>
      <c r="I36" s="142" t="n">
        <f aca="false">VLOOKUP($A36,Table1,MATCH(I$3,Curves1,0))</f>
        <v>0</v>
      </c>
      <c r="J36" s="142" t="n">
        <f aca="false">VLOOKUP($A36,Table,MATCH(J$4,Curves,0))</f>
        <v>-0.023</v>
      </c>
      <c r="K36" s="143" t="n">
        <f aca="false">J36</f>
        <v>-0.023</v>
      </c>
      <c r="L36" s="144" t="n">
        <v>0</v>
      </c>
      <c r="M36" s="142" t="n">
        <f aca="false">VLOOKUP($A36,Table,MATCH(M$4,Curves,0))</f>
        <v>0.0075</v>
      </c>
      <c r="N36" s="143" t="n">
        <f aca="false">M36</f>
        <v>0.0075</v>
      </c>
      <c r="O36" s="144" t="n">
        <v>0</v>
      </c>
      <c r="P36" s="145"/>
      <c r="Q36" s="144" t="n">
        <f aca="false">M36+J36+G36</f>
        <v>3.7365</v>
      </c>
      <c r="R36" s="144" t="n">
        <f aca="false">O36+L36+I36</f>
        <v>0</v>
      </c>
      <c r="S36" s="145"/>
      <c r="T36" s="71" t="n">
        <f aca="false">A37-A36</f>
        <v>30</v>
      </c>
      <c r="U36" s="146" t="n">
        <f aca="false">CHOOSE(F$3,A37+24,A36)</f>
        <v>37827</v>
      </c>
      <c r="V36" s="71" t="n">
        <f aca="false">U36-C$3</f>
        <v>939</v>
      </c>
      <c r="W36" s="142" t="n">
        <f aca="false">VLOOKUP($A36,Table,MATCH(W$4,Curves,0))</f>
        <v>0.058211753455922</v>
      </c>
      <c r="X36" s="147" t="n">
        <f aca="false">1/(1+CHOOSE(F$3,(W37+($K$3/10000))/2,(W36+($K$3/10000))/2))^(2*V36/365.25)</f>
        <v>0.8628293966132</v>
      </c>
      <c r="Y36" s="71" t="n">
        <f aca="false">IF(AND(mthbeg&lt;=A36,mthend&gt;=A36),1,0)</f>
        <v>1</v>
      </c>
      <c r="Z36" s="71" t="n">
        <f aca="false">T36*Y36</f>
        <v>30</v>
      </c>
      <c r="AB36" s="132" t="n">
        <f aca="false">F36*G36</f>
        <v>0</v>
      </c>
      <c r="AC36" s="132" t="n">
        <f aca="false">$F36*H36</f>
        <v>0</v>
      </c>
      <c r="AD36" s="132" t="n">
        <f aca="false">$F36*I36</f>
        <v>0</v>
      </c>
      <c r="AE36" s="132" t="n">
        <f aca="false">$F36*J36</f>
        <v>-0</v>
      </c>
      <c r="AF36" s="132" t="n">
        <f aca="false">$F36*K36</f>
        <v>-0</v>
      </c>
      <c r="AG36" s="132" t="n">
        <f aca="false">$F36*L36</f>
        <v>0</v>
      </c>
      <c r="AH36" s="132" t="n">
        <f aca="false">$F36*M36</f>
        <v>0</v>
      </c>
      <c r="AI36" s="132" t="n">
        <f aca="false">$F36*N36</f>
        <v>0</v>
      </c>
      <c r="AJ36" s="132" t="n">
        <f aca="false">F36*O36</f>
        <v>0</v>
      </c>
      <c r="AK36" s="137"/>
      <c r="AL36" s="132" t="n">
        <f aca="false">CHOOSE($G$3,AC36-AD36,AD36-AC36)</f>
        <v>0</v>
      </c>
      <c r="AM36" s="132" t="n">
        <f aca="false">CHOOSE($G$3,AF36-AG36,AG36-AF36)</f>
        <v>0</v>
      </c>
      <c r="AN36" s="132" t="n">
        <f aca="false">CHOOSE($G$3,AI36-AJ36,AJ36-AI36)</f>
        <v>0</v>
      </c>
      <c r="AO36" s="148" t="n">
        <f aca="false">SUM(AL36:AN36)</f>
        <v>0</v>
      </c>
      <c r="AQ36" s="132" t="n">
        <f aca="false">CHOOSE($G$3,AB36-AC36,AC36-AB36)</f>
        <v>0</v>
      </c>
      <c r="AR36" s="132" t="n">
        <f aca="false">CHOOSE($G$3,AE36-AF36,AF36-AE36)</f>
        <v>0</v>
      </c>
      <c r="AS36" s="132" t="n">
        <f aca="false">CHOOSE($G$3,AH36-AI36,AI36-AH36)</f>
        <v>0</v>
      </c>
      <c r="AT36" s="148" t="n">
        <f aca="false">AQ36+AR36+AS36</f>
        <v>0</v>
      </c>
      <c r="AU36" s="148"/>
      <c r="AV36" s="133" t="n">
        <f aca="false">AT36+AO36</f>
        <v>0</v>
      </c>
      <c r="AX36" s="133" t="n">
        <f aca="false">AJ36+AG36+AD36</f>
        <v>0</v>
      </c>
      <c r="AY36" s="149"/>
      <c r="AZ36" s="76" t="n">
        <f aca="false">R36*E36</f>
        <v>0</v>
      </c>
    </row>
    <row r="37" customFormat="false" ht="12.75" hidden="false" customHeight="false" outlineLevel="0" collapsed="false">
      <c r="A37" s="138" t="n">
        <f aca="false">EDATE(A36,1)</f>
        <v>37803</v>
      </c>
      <c r="B37" s="139" t="n">
        <f aca="false">VLOOKUP($A37,Table2,MATCH(I$3,Curves2,0))</f>
        <v>0</v>
      </c>
      <c r="C37" s="140"/>
      <c r="D37" s="141" t="n">
        <f aca="false">B37+C37</f>
        <v>0</v>
      </c>
      <c r="E37" s="126" t="n">
        <f aca="false">IF(Y37=0,0,IF(AND(Y37=1,$H$3=1),D37*T37,IF($H$3=2,D37,"N/A")))</f>
        <v>0</v>
      </c>
      <c r="F37" s="126" t="n">
        <f aca="false">E37*X37</f>
        <v>0</v>
      </c>
      <c r="G37" s="142" t="n">
        <f aca="false">VLOOKUP($A37,Table,MATCH(G$4,Curves,0))</f>
        <v>3.767</v>
      </c>
      <c r="H37" s="143" t="n">
        <f aca="false">G37</f>
        <v>3.767</v>
      </c>
      <c r="I37" s="142" t="n">
        <f aca="false">VLOOKUP($A37,Table1,MATCH(I$3,Curves1,0))</f>
        <v>0</v>
      </c>
      <c r="J37" s="142" t="n">
        <f aca="false">VLOOKUP($A37,Table,MATCH(J$4,Curves,0))</f>
        <v>-0.023</v>
      </c>
      <c r="K37" s="143" t="n">
        <f aca="false">J37</f>
        <v>-0.023</v>
      </c>
      <c r="L37" s="144" t="n">
        <v>0</v>
      </c>
      <c r="M37" s="142" t="n">
        <f aca="false">VLOOKUP($A37,Table,MATCH(M$4,Curves,0))</f>
        <v>0.0075</v>
      </c>
      <c r="N37" s="143" t="n">
        <f aca="false">M37</f>
        <v>0.0075</v>
      </c>
      <c r="O37" s="144" t="n">
        <v>0</v>
      </c>
      <c r="P37" s="145"/>
      <c r="Q37" s="144" t="n">
        <f aca="false">M37+J37+G37</f>
        <v>3.7515</v>
      </c>
      <c r="R37" s="144" t="n">
        <f aca="false">O37+L37+I37</f>
        <v>0</v>
      </c>
      <c r="S37" s="145"/>
      <c r="T37" s="71" t="n">
        <f aca="false">A38-A37</f>
        <v>31</v>
      </c>
      <c r="U37" s="146" t="n">
        <f aca="false">CHOOSE(F$3,A38+24,A37)</f>
        <v>37858</v>
      </c>
      <c r="V37" s="71" t="n">
        <f aca="false">U37-C$3</f>
        <v>970</v>
      </c>
      <c r="W37" s="142" t="n">
        <f aca="false">VLOOKUP($A37,Table,MATCH(W$4,Curves,0))</f>
        <v>0.058220406142149</v>
      </c>
      <c r="X37" s="147" t="n">
        <f aca="false">1/(1+CHOOSE(F$3,(W38+($K$3/10000))/2,(W37+($K$3/10000))/2))^(2*V37/365.25)</f>
        <v>0.85860508220354</v>
      </c>
      <c r="Y37" s="71" t="n">
        <f aca="false">IF(AND(mthbeg&lt;=A37,mthend&gt;=A37),1,0)</f>
        <v>1</v>
      </c>
      <c r="Z37" s="71" t="n">
        <f aca="false">T37*Y37</f>
        <v>31</v>
      </c>
      <c r="AB37" s="132" t="n">
        <f aca="false">F37*G37</f>
        <v>0</v>
      </c>
      <c r="AC37" s="132" t="n">
        <f aca="false">$F37*H37</f>
        <v>0</v>
      </c>
      <c r="AD37" s="132" t="n">
        <f aca="false">$F37*I37</f>
        <v>0</v>
      </c>
      <c r="AE37" s="132" t="n">
        <f aca="false">$F37*J37</f>
        <v>-0</v>
      </c>
      <c r="AF37" s="132" t="n">
        <f aca="false">$F37*K37</f>
        <v>-0</v>
      </c>
      <c r="AG37" s="132" t="n">
        <f aca="false">$F37*L37</f>
        <v>0</v>
      </c>
      <c r="AH37" s="132" t="n">
        <f aca="false">$F37*M37</f>
        <v>0</v>
      </c>
      <c r="AI37" s="132" t="n">
        <f aca="false">$F37*N37</f>
        <v>0</v>
      </c>
      <c r="AJ37" s="132" t="n">
        <f aca="false">F37*O37</f>
        <v>0</v>
      </c>
      <c r="AK37" s="137"/>
      <c r="AL37" s="132" t="n">
        <f aca="false">CHOOSE($G$3,AC37-AD37,AD37-AC37)</f>
        <v>0</v>
      </c>
      <c r="AM37" s="132" t="n">
        <f aca="false">CHOOSE($G$3,AF37-AG37,AG37-AF37)</f>
        <v>0</v>
      </c>
      <c r="AN37" s="132" t="n">
        <f aca="false">CHOOSE($G$3,AI37-AJ37,AJ37-AI37)</f>
        <v>0</v>
      </c>
      <c r="AO37" s="148" t="n">
        <f aca="false">SUM(AL37:AN37)</f>
        <v>0</v>
      </c>
      <c r="AQ37" s="132" t="n">
        <f aca="false">CHOOSE($G$3,AB37-AC37,AC37-AB37)</f>
        <v>0</v>
      </c>
      <c r="AR37" s="132" t="n">
        <f aca="false">CHOOSE($G$3,AE37-AF37,AF37-AE37)</f>
        <v>0</v>
      </c>
      <c r="AS37" s="132" t="n">
        <f aca="false">CHOOSE($G$3,AH37-AI37,AI37-AH37)</f>
        <v>0</v>
      </c>
      <c r="AT37" s="148" t="n">
        <f aca="false">AQ37+AR37+AS37</f>
        <v>0</v>
      </c>
      <c r="AU37" s="148"/>
      <c r="AV37" s="133" t="n">
        <f aca="false">AT37+AO37</f>
        <v>0</v>
      </c>
      <c r="AX37" s="133" t="n">
        <f aca="false">AJ37+AG37+AD37</f>
        <v>0</v>
      </c>
      <c r="AY37" s="149"/>
      <c r="AZ37" s="76" t="n">
        <f aca="false">R37*E37</f>
        <v>0</v>
      </c>
    </row>
    <row r="38" customFormat="false" ht="12.75" hidden="false" customHeight="false" outlineLevel="0" collapsed="false">
      <c r="A38" s="138" t="n">
        <f aca="false">EDATE(A37,1)</f>
        <v>37834</v>
      </c>
      <c r="B38" s="139" t="n">
        <f aca="false">VLOOKUP($A38,Table2,MATCH(I$3,Curves2,0))</f>
        <v>0</v>
      </c>
      <c r="C38" s="140"/>
      <c r="D38" s="141" t="n">
        <f aca="false">B38+C38</f>
        <v>0</v>
      </c>
      <c r="E38" s="126" t="n">
        <f aca="false">IF(Y38=0,0,IF(AND(Y38=1,$H$3=1),D38*T38,IF($H$3=2,D38,"N/A")))</f>
        <v>0</v>
      </c>
      <c r="F38" s="126" t="n">
        <f aca="false">E38*X38</f>
        <v>0</v>
      </c>
      <c r="G38" s="142" t="n">
        <f aca="false">VLOOKUP($A38,Table,MATCH(G$4,Curves,0))</f>
        <v>3.762</v>
      </c>
      <c r="H38" s="143" t="n">
        <f aca="false">G38</f>
        <v>3.762</v>
      </c>
      <c r="I38" s="142" t="n">
        <f aca="false">VLOOKUP($A38,Table1,MATCH(I$3,Curves1,0))</f>
        <v>0</v>
      </c>
      <c r="J38" s="142" t="n">
        <f aca="false">VLOOKUP($A38,Table,MATCH(J$4,Curves,0))</f>
        <v>-0.023</v>
      </c>
      <c r="K38" s="143" t="n">
        <f aca="false">J38</f>
        <v>-0.023</v>
      </c>
      <c r="L38" s="144" t="n">
        <v>0</v>
      </c>
      <c r="M38" s="142" t="n">
        <f aca="false">VLOOKUP($A38,Table,MATCH(M$4,Curves,0))</f>
        <v>0.0075</v>
      </c>
      <c r="N38" s="143" t="n">
        <f aca="false">M38</f>
        <v>0.0075</v>
      </c>
      <c r="O38" s="144" t="n">
        <v>0</v>
      </c>
      <c r="P38" s="145"/>
      <c r="Q38" s="144" t="n">
        <f aca="false">M38+J38+G38</f>
        <v>3.7465</v>
      </c>
      <c r="R38" s="144" t="n">
        <f aca="false">O38+L38+I38</f>
        <v>0</v>
      </c>
      <c r="S38" s="145"/>
      <c r="T38" s="71" t="n">
        <f aca="false">A39-A38</f>
        <v>31</v>
      </c>
      <c r="U38" s="146" t="n">
        <f aca="false">CHOOSE(F$3,A39+24,A38)</f>
        <v>37889</v>
      </c>
      <c r="V38" s="71" t="n">
        <f aca="false">U38-C$3</f>
        <v>1001</v>
      </c>
      <c r="W38" s="142" t="n">
        <f aca="false">VLOOKUP($A38,Table,MATCH(W$4,Curves,0))</f>
        <v>0.058234784229674</v>
      </c>
      <c r="X38" s="147" t="n">
        <f aca="false">1/(1+CHOOSE(F$3,(W39+($K$3/10000))/2,(W38+($K$3/10000))/2))^(2*V38/365.25)</f>
        <v>0.854399423498708</v>
      </c>
      <c r="Y38" s="71" t="n">
        <f aca="false">IF(AND(mthbeg&lt;=A38,mthend&gt;=A38),1,0)</f>
        <v>1</v>
      </c>
      <c r="Z38" s="71" t="n">
        <f aca="false">T38*Y38</f>
        <v>31</v>
      </c>
      <c r="AB38" s="132" t="n">
        <f aca="false">F38*G38</f>
        <v>0</v>
      </c>
      <c r="AC38" s="132" t="n">
        <f aca="false">$F38*H38</f>
        <v>0</v>
      </c>
      <c r="AD38" s="132" t="n">
        <f aca="false">$F38*I38</f>
        <v>0</v>
      </c>
      <c r="AE38" s="132" t="n">
        <f aca="false">$F38*J38</f>
        <v>-0</v>
      </c>
      <c r="AF38" s="132" t="n">
        <f aca="false">$F38*K38</f>
        <v>-0</v>
      </c>
      <c r="AG38" s="132" t="n">
        <f aca="false">$F38*L38</f>
        <v>0</v>
      </c>
      <c r="AH38" s="132" t="n">
        <f aca="false">$F38*M38</f>
        <v>0</v>
      </c>
      <c r="AI38" s="132" t="n">
        <f aca="false">$F38*N38</f>
        <v>0</v>
      </c>
      <c r="AJ38" s="132" t="n">
        <f aca="false">F38*O38</f>
        <v>0</v>
      </c>
      <c r="AK38" s="137"/>
      <c r="AL38" s="132" t="n">
        <f aca="false">CHOOSE($G$3,AC38-AD38,AD38-AC38)</f>
        <v>0</v>
      </c>
      <c r="AM38" s="132" t="n">
        <f aca="false">CHOOSE($G$3,AF38-AG38,AG38-AF38)</f>
        <v>0</v>
      </c>
      <c r="AN38" s="132" t="n">
        <f aca="false">CHOOSE($G$3,AI38-AJ38,AJ38-AI38)</f>
        <v>0</v>
      </c>
      <c r="AO38" s="148" t="n">
        <f aca="false">SUM(AL38:AN38)</f>
        <v>0</v>
      </c>
      <c r="AQ38" s="132" t="n">
        <f aca="false">CHOOSE($G$3,AB38-AC38,AC38-AB38)</f>
        <v>0</v>
      </c>
      <c r="AR38" s="132" t="n">
        <f aca="false">CHOOSE($G$3,AE38-AF38,AF38-AE38)</f>
        <v>0</v>
      </c>
      <c r="AS38" s="132" t="n">
        <f aca="false">CHOOSE($G$3,AH38-AI38,AI38-AH38)</f>
        <v>0</v>
      </c>
      <c r="AT38" s="148" t="n">
        <f aca="false">AQ38+AR38+AS38</f>
        <v>0</v>
      </c>
      <c r="AU38" s="148"/>
      <c r="AV38" s="133" t="n">
        <f aca="false">AT38+AO38</f>
        <v>0</v>
      </c>
      <c r="AX38" s="133" t="n">
        <f aca="false">AJ38+AG38+AD38</f>
        <v>0</v>
      </c>
      <c r="AY38" s="149"/>
      <c r="AZ38" s="76" t="n">
        <f aca="false">R38*E38</f>
        <v>0</v>
      </c>
    </row>
    <row r="39" customFormat="false" ht="12.75" hidden="false" customHeight="false" outlineLevel="0" collapsed="false">
      <c r="A39" s="138" t="n">
        <f aca="false">EDATE(A38,1)</f>
        <v>37865</v>
      </c>
      <c r="B39" s="139" t="n">
        <f aca="false">VLOOKUP($A39,Table2,MATCH(I$3,Curves2,0))</f>
        <v>0</v>
      </c>
      <c r="C39" s="140"/>
      <c r="D39" s="141" t="n">
        <f aca="false">B39+C39</f>
        <v>0</v>
      </c>
      <c r="E39" s="126" t="n">
        <f aca="false">IF(Y39=0,0,IF(AND(Y39=1,$H$3=1),D39*T39,IF($H$3=2,D39,"N/A")))</f>
        <v>0</v>
      </c>
      <c r="F39" s="126" t="n">
        <f aca="false">E39*X39</f>
        <v>0</v>
      </c>
      <c r="G39" s="142" t="n">
        <f aca="false">VLOOKUP($A39,Table,MATCH(G$4,Curves,0))</f>
        <v>3.774</v>
      </c>
      <c r="H39" s="143" t="n">
        <f aca="false">G39</f>
        <v>3.774</v>
      </c>
      <c r="I39" s="142" t="n">
        <f aca="false">VLOOKUP($A39,Table1,MATCH(I$3,Curves1,0))</f>
        <v>0</v>
      </c>
      <c r="J39" s="142" t="n">
        <f aca="false">VLOOKUP($A39,Table,MATCH(J$4,Curves,0))</f>
        <v>-0.023</v>
      </c>
      <c r="K39" s="143" t="n">
        <f aca="false">J39</f>
        <v>-0.023</v>
      </c>
      <c r="L39" s="144" t="n">
        <v>0</v>
      </c>
      <c r="M39" s="142" t="n">
        <f aca="false">VLOOKUP($A39,Table,MATCH(M$4,Curves,0))</f>
        <v>0.0075</v>
      </c>
      <c r="N39" s="143" t="n">
        <f aca="false">M39</f>
        <v>0.0075</v>
      </c>
      <c r="O39" s="144" t="n">
        <v>0</v>
      </c>
      <c r="P39" s="145"/>
      <c r="Q39" s="144" t="n">
        <f aca="false">M39+J39+G39</f>
        <v>3.7585</v>
      </c>
      <c r="R39" s="144" t="n">
        <f aca="false">O39+L39+I39</f>
        <v>0</v>
      </c>
      <c r="S39" s="145"/>
      <c r="T39" s="71" t="n">
        <f aca="false">A40-A39</f>
        <v>30</v>
      </c>
      <c r="U39" s="146" t="n">
        <f aca="false">CHOOSE(F$3,A40+24,A39)</f>
        <v>37919</v>
      </c>
      <c r="V39" s="71" t="n">
        <f aca="false">U39-C$3</f>
        <v>1031</v>
      </c>
      <c r="W39" s="142" t="n">
        <f aca="false">VLOOKUP($A39,Table,MATCH(W$4,Curves,0))</f>
        <v>0.058249162317267</v>
      </c>
      <c r="X39" s="147" t="n">
        <f aca="false">1/(1+CHOOSE(F$3,(W40+($K$3/10000))/2,(W39+($K$3/10000))/2))^(2*V39/365.25)</f>
        <v>0.850341654467784</v>
      </c>
      <c r="Y39" s="71" t="n">
        <f aca="false">IF(AND(mthbeg&lt;=A39,mthend&gt;=A39),1,0)</f>
        <v>1</v>
      </c>
      <c r="Z39" s="71" t="n">
        <f aca="false">T39*Y39</f>
        <v>30</v>
      </c>
      <c r="AB39" s="132" t="n">
        <f aca="false">F39*G39</f>
        <v>0</v>
      </c>
      <c r="AC39" s="132" t="n">
        <f aca="false">$F39*H39</f>
        <v>0</v>
      </c>
      <c r="AD39" s="132" t="n">
        <f aca="false">$F39*I39</f>
        <v>0</v>
      </c>
      <c r="AE39" s="132" t="n">
        <f aca="false">$F39*J39</f>
        <v>-0</v>
      </c>
      <c r="AF39" s="132" t="n">
        <f aca="false">$F39*K39</f>
        <v>-0</v>
      </c>
      <c r="AG39" s="132" t="n">
        <f aca="false">$F39*L39</f>
        <v>0</v>
      </c>
      <c r="AH39" s="132" t="n">
        <f aca="false">$F39*M39</f>
        <v>0</v>
      </c>
      <c r="AI39" s="132" t="n">
        <f aca="false">$F39*N39</f>
        <v>0</v>
      </c>
      <c r="AJ39" s="132" t="n">
        <f aca="false">F39*O39</f>
        <v>0</v>
      </c>
      <c r="AK39" s="137"/>
      <c r="AL39" s="132" t="n">
        <f aca="false">CHOOSE($G$3,AC39-AD39,AD39-AC39)</f>
        <v>0</v>
      </c>
      <c r="AM39" s="132" t="n">
        <f aca="false">CHOOSE($G$3,AF39-AG39,AG39-AF39)</f>
        <v>0</v>
      </c>
      <c r="AN39" s="132" t="n">
        <f aca="false">CHOOSE($G$3,AI39-AJ39,AJ39-AI39)</f>
        <v>0</v>
      </c>
      <c r="AO39" s="148" t="n">
        <f aca="false">SUM(AL39:AN39)</f>
        <v>0</v>
      </c>
      <c r="AQ39" s="132" t="n">
        <f aca="false">CHOOSE($G$3,AB39-AC39,AC39-AB39)</f>
        <v>0</v>
      </c>
      <c r="AR39" s="132" t="n">
        <f aca="false">CHOOSE($G$3,AE39-AF39,AF39-AE39)</f>
        <v>0</v>
      </c>
      <c r="AS39" s="132" t="n">
        <f aca="false">CHOOSE($G$3,AH39-AI39,AI39-AH39)</f>
        <v>0</v>
      </c>
      <c r="AT39" s="148" t="n">
        <f aca="false">AQ39+AR39+AS39</f>
        <v>0</v>
      </c>
      <c r="AU39" s="148"/>
      <c r="AV39" s="133" t="n">
        <f aca="false">AT39+AO39</f>
        <v>0</v>
      </c>
      <c r="AX39" s="133" t="n">
        <f aca="false">AJ39+AG39+AD39</f>
        <v>0</v>
      </c>
      <c r="AY39" s="149"/>
      <c r="AZ39" s="76" t="n">
        <f aca="false">R39*E39</f>
        <v>0</v>
      </c>
    </row>
    <row r="40" customFormat="false" ht="12.75" hidden="false" customHeight="false" outlineLevel="0" collapsed="false">
      <c r="A40" s="138" t="n">
        <f aca="false">EDATE(A39,1)</f>
        <v>37895</v>
      </c>
      <c r="B40" s="139" t="n">
        <f aca="false">VLOOKUP($A40,Table2,MATCH(I$3,Curves2,0))</f>
        <v>0</v>
      </c>
      <c r="C40" s="140"/>
      <c r="D40" s="141" t="n">
        <f aca="false">B40+C40</f>
        <v>0</v>
      </c>
      <c r="E40" s="126" t="n">
        <f aca="false">IF(Y40=0,0,IF(AND(Y40=1,$H$3=1),D40*T40,IF($H$3=2,D40,"N/A")))</f>
        <v>0</v>
      </c>
      <c r="F40" s="126" t="n">
        <f aca="false">E40*X40</f>
        <v>0</v>
      </c>
      <c r="G40" s="142" t="n">
        <f aca="false">VLOOKUP($A40,Table,MATCH(G$4,Curves,0))</f>
        <v>3.792</v>
      </c>
      <c r="H40" s="143" t="n">
        <f aca="false">G40</f>
        <v>3.792</v>
      </c>
      <c r="I40" s="142" t="n">
        <f aca="false">VLOOKUP($A40,Table1,MATCH(I$3,Curves1,0))</f>
        <v>0</v>
      </c>
      <c r="J40" s="142" t="n">
        <f aca="false">VLOOKUP($A40,Table,MATCH(J$4,Curves,0))</f>
        <v>-0.023</v>
      </c>
      <c r="K40" s="143" t="n">
        <f aca="false">J40</f>
        <v>-0.023</v>
      </c>
      <c r="L40" s="144" t="n">
        <v>0</v>
      </c>
      <c r="M40" s="142" t="n">
        <f aca="false">VLOOKUP($A40,Table,MATCH(M$4,Curves,0))</f>
        <v>0.0075</v>
      </c>
      <c r="N40" s="143" t="n">
        <f aca="false">M40</f>
        <v>0.0075</v>
      </c>
      <c r="O40" s="144" t="n">
        <v>0</v>
      </c>
      <c r="P40" s="145"/>
      <c r="Q40" s="144" t="n">
        <f aca="false">M40+J40+G40</f>
        <v>3.7765</v>
      </c>
      <c r="R40" s="144" t="n">
        <f aca="false">O40+L40+I40</f>
        <v>0</v>
      </c>
      <c r="S40" s="145"/>
      <c r="T40" s="71" t="n">
        <f aca="false">A41-A40</f>
        <v>31</v>
      </c>
      <c r="U40" s="146" t="n">
        <f aca="false">CHOOSE(F$3,A41+24,A40)</f>
        <v>37950</v>
      </c>
      <c r="V40" s="71" t="n">
        <f aca="false">U40-C$3</f>
        <v>1062</v>
      </c>
      <c r="W40" s="142" t="n">
        <f aca="false">VLOOKUP($A40,Table,MATCH(W$4,Curves,0))</f>
        <v>0.058265422795858</v>
      </c>
      <c r="X40" s="147" t="n">
        <f aca="false">1/(1+CHOOSE(F$3,(W41+($K$3/10000))/2,(W40+($K$3/10000))/2))^(2*V40/365.25)</f>
        <v>0.846159523288873</v>
      </c>
      <c r="Y40" s="71" t="n">
        <f aca="false">IF(AND(mthbeg&lt;=A40,mthend&gt;=A40),1,0)</f>
        <v>1</v>
      </c>
      <c r="Z40" s="71" t="n">
        <f aca="false">T40*Y40</f>
        <v>31</v>
      </c>
      <c r="AB40" s="132" t="n">
        <f aca="false">F40*G40</f>
        <v>0</v>
      </c>
      <c r="AC40" s="132" t="n">
        <f aca="false">$F40*H40</f>
        <v>0</v>
      </c>
      <c r="AD40" s="132" t="n">
        <f aca="false">$F40*I40</f>
        <v>0</v>
      </c>
      <c r="AE40" s="132" t="n">
        <f aca="false">$F40*J40</f>
        <v>-0</v>
      </c>
      <c r="AF40" s="132" t="n">
        <f aca="false">$F40*K40</f>
        <v>-0</v>
      </c>
      <c r="AG40" s="132" t="n">
        <f aca="false">$F40*L40</f>
        <v>0</v>
      </c>
      <c r="AH40" s="132" t="n">
        <f aca="false">$F40*M40</f>
        <v>0</v>
      </c>
      <c r="AI40" s="132" t="n">
        <f aca="false">$F40*N40</f>
        <v>0</v>
      </c>
      <c r="AJ40" s="132" t="n">
        <f aca="false">F40*O40</f>
        <v>0</v>
      </c>
      <c r="AK40" s="137"/>
      <c r="AL40" s="132" t="n">
        <f aca="false">CHOOSE($G$3,AC40-AD40,AD40-AC40)</f>
        <v>0</v>
      </c>
      <c r="AM40" s="132" t="n">
        <f aca="false">CHOOSE($G$3,AF40-AG40,AG40-AF40)</f>
        <v>0</v>
      </c>
      <c r="AN40" s="132" t="n">
        <f aca="false">CHOOSE($G$3,AI40-AJ40,AJ40-AI40)</f>
        <v>0</v>
      </c>
      <c r="AO40" s="148" t="n">
        <f aca="false">SUM(AL40:AN40)</f>
        <v>0</v>
      </c>
      <c r="AQ40" s="132" t="n">
        <f aca="false">CHOOSE($G$3,AB40-AC40,AC40-AB40)</f>
        <v>0</v>
      </c>
      <c r="AR40" s="132" t="n">
        <f aca="false">CHOOSE($G$3,AE40-AF40,AF40-AE40)</f>
        <v>0</v>
      </c>
      <c r="AS40" s="132" t="n">
        <f aca="false">CHOOSE($G$3,AH40-AI40,AI40-AH40)</f>
        <v>0</v>
      </c>
      <c r="AT40" s="148" t="n">
        <f aca="false">AQ40+AR40+AS40</f>
        <v>0</v>
      </c>
      <c r="AU40" s="148"/>
      <c r="AV40" s="133" t="n">
        <f aca="false">AT40+AO40</f>
        <v>0</v>
      </c>
      <c r="AX40" s="133" t="n">
        <f aca="false">AJ40+AG40+AD40</f>
        <v>0</v>
      </c>
      <c r="AY40" s="149"/>
      <c r="AZ40" s="76" t="n">
        <f aca="false">R40*E40</f>
        <v>0</v>
      </c>
    </row>
    <row r="41" customFormat="false" ht="12.75" hidden="false" customHeight="false" outlineLevel="0" collapsed="false">
      <c r="A41" s="138" t="n">
        <f aca="false">EDATE(A40,1)</f>
        <v>37926</v>
      </c>
      <c r="B41" s="139" t="n">
        <f aca="false">VLOOKUP($A41,Table2,MATCH(I$3,Curves2,0))</f>
        <v>0</v>
      </c>
      <c r="C41" s="140"/>
      <c r="D41" s="141" t="n">
        <f aca="false">B41+C41</f>
        <v>0</v>
      </c>
      <c r="E41" s="126" t="n">
        <f aca="false">IF(Y41=0,0,IF(AND(Y41=1,$H$3=1),D41*T41,IF($H$3=2,D41,"N/A")))</f>
        <v>0</v>
      </c>
      <c r="F41" s="126" t="n">
        <f aca="false">E41*X41</f>
        <v>0</v>
      </c>
      <c r="G41" s="142" t="n">
        <f aca="false">VLOOKUP($A41,Table,MATCH(G$4,Curves,0))</f>
        <v>3.927</v>
      </c>
      <c r="H41" s="143" t="n">
        <f aca="false">G41</f>
        <v>3.927</v>
      </c>
      <c r="I41" s="142" t="n">
        <f aca="false">VLOOKUP($A41,Table1,MATCH(I$3,Curves1,0))</f>
        <v>0</v>
      </c>
      <c r="J41" s="142" t="n">
        <f aca="false">VLOOKUP($A41,Table,MATCH(J$4,Curves,0))</f>
        <v>-0.0255</v>
      </c>
      <c r="K41" s="143" t="n">
        <f aca="false">J41</f>
        <v>-0.0255</v>
      </c>
      <c r="L41" s="144" t="n">
        <v>0</v>
      </c>
      <c r="M41" s="142" t="n">
        <f aca="false">VLOOKUP($A41,Table,MATCH(M$4,Curves,0))</f>
        <v>0.0075</v>
      </c>
      <c r="N41" s="143" t="n">
        <f aca="false">M41</f>
        <v>0.0075</v>
      </c>
      <c r="O41" s="144" t="n">
        <v>0</v>
      </c>
      <c r="P41" s="145"/>
      <c r="Q41" s="144" t="n">
        <f aca="false">M41+J41+G41</f>
        <v>3.909</v>
      </c>
      <c r="R41" s="144" t="n">
        <f aca="false">O41+L41+I41</f>
        <v>0</v>
      </c>
      <c r="S41" s="145"/>
      <c r="T41" s="71" t="n">
        <f aca="false">A42-A41</f>
        <v>30</v>
      </c>
      <c r="U41" s="146" t="n">
        <f aca="false">CHOOSE(F$3,A42+24,A41)</f>
        <v>37980</v>
      </c>
      <c r="V41" s="71" t="n">
        <f aca="false">U41-C$3</f>
        <v>1092</v>
      </c>
      <c r="W41" s="142" t="n">
        <f aca="false">VLOOKUP($A41,Table,MATCH(W$4,Curves,0))</f>
        <v>0.058285170471645</v>
      </c>
      <c r="X41" s="147" t="n">
        <f aca="false">1/(1+CHOOSE(F$3,(W42+($K$3/10000))/2,(W41+($K$3/10000))/2))^(2*V41/365.25)</f>
        <v>0.842129273275098</v>
      </c>
      <c r="Y41" s="71" t="n">
        <f aca="false">IF(AND(mthbeg&lt;=A41,mthend&gt;=A41),1,0)</f>
        <v>1</v>
      </c>
      <c r="Z41" s="71" t="n">
        <f aca="false">T41*Y41</f>
        <v>30</v>
      </c>
      <c r="AB41" s="132" t="n">
        <f aca="false">F41*G41</f>
        <v>0</v>
      </c>
      <c r="AC41" s="132" t="n">
        <f aca="false">$F41*H41</f>
        <v>0</v>
      </c>
      <c r="AD41" s="132" t="n">
        <f aca="false">$F41*I41</f>
        <v>0</v>
      </c>
      <c r="AE41" s="132" t="n">
        <f aca="false">$F41*J41</f>
        <v>-0</v>
      </c>
      <c r="AF41" s="132" t="n">
        <f aca="false">$F41*K41</f>
        <v>-0</v>
      </c>
      <c r="AG41" s="132" t="n">
        <f aca="false">$F41*L41</f>
        <v>0</v>
      </c>
      <c r="AH41" s="132" t="n">
        <f aca="false">$F41*M41</f>
        <v>0</v>
      </c>
      <c r="AI41" s="132" t="n">
        <f aca="false">$F41*N41</f>
        <v>0</v>
      </c>
      <c r="AJ41" s="132" t="n">
        <f aca="false">F41*O41</f>
        <v>0</v>
      </c>
      <c r="AK41" s="137"/>
      <c r="AL41" s="132" t="n">
        <f aca="false">CHOOSE($G$3,AC41-AD41,AD41-AC41)</f>
        <v>0</v>
      </c>
      <c r="AM41" s="132" t="n">
        <f aca="false">CHOOSE($G$3,AF41-AG41,AG41-AF41)</f>
        <v>0</v>
      </c>
      <c r="AN41" s="132" t="n">
        <f aca="false">CHOOSE($G$3,AI41-AJ41,AJ41-AI41)</f>
        <v>0</v>
      </c>
      <c r="AO41" s="148" t="n">
        <f aca="false">SUM(AL41:AN41)</f>
        <v>0</v>
      </c>
      <c r="AQ41" s="132" t="n">
        <f aca="false">CHOOSE($G$3,AB41-AC41,AC41-AB41)</f>
        <v>0</v>
      </c>
      <c r="AR41" s="132" t="n">
        <f aca="false">CHOOSE($G$3,AE41-AF41,AF41-AE41)</f>
        <v>0</v>
      </c>
      <c r="AS41" s="132" t="n">
        <f aca="false">CHOOSE($G$3,AH41-AI41,AI41-AH41)</f>
        <v>0</v>
      </c>
      <c r="AT41" s="148" t="n">
        <f aca="false">AQ41+AR41+AS41</f>
        <v>0</v>
      </c>
      <c r="AU41" s="148"/>
      <c r="AV41" s="133" t="n">
        <f aca="false">AT41+AO41</f>
        <v>0</v>
      </c>
      <c r="AX41" s="133" t="n">
        <f aca="false">AJ41+AG41+AD41</f>
        <v>0</v>
      </c>
      <c r="AY41" s="149"/>
      <c r="AZ41" s="76" t="n">
        <f aca="false">R41*E41</f>
        <v>0</v>
      </c>
    </row>
    <row r="42" customFormat="false" ht="12.75" hidden="false" customHeight="false" outlineLevel="0" collapsed="false">
      <c r="A42" s="138" t="n">
        <f aca="false">EDATE(A41,1)</f>
        <v>37956</v>
      </c>
      <c r="B42" s="139" t="n">
        <f aca="false">VLOOKUP($A42,Table2,MATCH(I$3,Curves2,0))</f>
        <v>0</v>
      </c>
      <c r="C42" s="140"/>
      <c r="D42" s="141" t="n">
        <f aca="false">B42+C42</f>
        <v>0</v>
      </c>
      <c r="E42" s="126" t="n">
        <f aca="false">IF(Y42=0,0,IF(AND(Y42=1,$H$3=1),D42*T42,IF($H$3=2,D42,"N/A")))</f>
        <v>0</v>
      </c>
      <c r="F42" s="126" t="n">
        <f aca="false">E42*X42</f>
        <v>0</v>
      </c>
      <c r="G42" s="142" t="n">
        <f aca="false">VLOOKUP($A42,Table,MATCH(G$4,Curves,0))</f>
        <v>4.052</v>
      </c>
      <c r="H42" s="143" t="n">
        <f aca="false">G42</f>
        <v>4.052</v>
      </c>
      <c r="I42" s="142" t="n">
        <f aca="false">VLOOKUP($A42,Table1,MATCH(I$3,Curves1,0))</f>
        <v>0</v>
      </c>
      <c r="J42" s="142" t="n">
        <f aca="false">VLOOKUP($A42,Table,MATCH(J$4,Curves,0))</f>
        <v>-0.0255</v>
      </c>
      <c r="K42" s="143" t="n">
        <f aca="false">J42</f>
        <v>-0.0255</v>
      </c>
      <c r="L42" s="144" t="n">
        <v>0</v>
      </c>
      <c r="M42" s="142" t="n">
        <f aca="false">VLOOKUP($A42,Table,MATCH(M$4,Curves,0))</f>
        <v>0.0075</v>
      </c>
      <c r="N42" s="143" t="n">
        <f aca="false">M42</f>
        <v>0.0075</v>
      </c>
      <c r="O42" s="144" t="n">
        <v>0</v>
      </c>
      <c r="P42" s="145"/>
      <c r="Q42" s="144" t="n">
        <f aca="false">M42+J42+G42</f>
        <v>4.034</v>
      </c>
      <c r="R42" s="144" t="n">
        <f aca="false">O42+L42+I42</f>
        <v>0</v>
      </c>
      <c r="S42" s="145"/>
      <c r="T42" s="71" t="n">
        <f aca="false">A43-A42</f>
        <v>31</v>
      </c>
      <c r="U42" s="146" t="n">
        <f aca="false">CHOOSE(F$3,A43+24,A42)</f>
        <v>38011</v>
      </c>
      <c r="V42" s="71" t="n">
        <f aca="false">U42-C$3</f>
        <v>1123</v>
      </c>
      <c r="W42" s="142" t="n">
        <f aca="false">VLOOKUP($A42,Table,MATCH(W$4,Curves,0))</f>
        <v>0.058304281125756</v>
      </c>
      <c r="X42" s="147" t="n">
        <f aca="false">1/(1+CHOOSE(F$3,(W43+($K$3/10000))/2,(W42+($K$3/10000))/2))^(2*V42/365.25)</f>
        <v>0.837957755928416</v>
      </c>
      <c r="Y42" s="71" t="n">
        <f aca="false">IF(AND(mthbeg&lt;=A42,mthend&gt;=A42),1,0)</f>
        <v>1</v>
      </c>
      <c r="Z42" s="71" t="n">
        <f aca="false">T42*Y42</f>
        <v>31</v>
      </c>
      <c r="AB42" s="132" t="n">
        <f aca="false">F42*G42</f>
        <v>0</v>
      </c>
      <c r="AC42" s="132" t="n">
        <f aca="false">$F42*H42</f>
        <v>0</v>
      </c>
      <c r="AD42" s="132" t="n">
        <f aca="false">$F42*I42</f>
        <v>0</v>
      </c>
      <c r="AE42" s="132" t="n">
        <f aca="false">$F42*J42</f>
        <v>-0</v>
      </c>
      <c r="AF42" s="132" t="n">
        <f aca="false">$F42*K42</f>
        <v>-0</v>
      </c>
      <c r="AG42" s="132" t="n">
        <f aca="false">$F42*L42</f>
        <v>0</v>
      </c>
      <c r="AH42" s="132" t="n">
        <f aca="false">$F42*M42</f>
        <v>0</v>
      </c>
      <c r="AI42" s="132" t="n">
        <f aca="false">$F42*N42</f>
        <v>0</v>
      </c>
      <c r="AJ42" s="132" t="n">
        <f aca="false">F42*O42</f>
        <v>0</v>
      </c>
      <c r="AK42" s="137"/>
      <c r="AL42" s="132" t="n">
        <f aca="false">CHOOSE($G$3,AC42-AD42,AD42-AC42)</f>
        <v>0</v>
      </c>
      <c r="AM42" s="132" t="n">
        <f aca="false">CHOOSE($G$3,AF42-AG42,AG42-AF42)</f>
        <v>0</v>
      </c>
      <c r="AN42" s="132" t="n">
        <f aca="false">CHOOSE($G$3,AI42-AJ42,AJ42-AI42)</f>
        <v>0</v>
      </c>
      <c r="AO42" s="148" t="n">
        <f aca="false">SUM(AL42:AN42)</f>
        <v>0</v>
      </c>
      <c r="AQ42" s="132" t="n">
        <f aca="false">CHOOSE($G$3,AB42-AC42,AC42-AB42)</f>
        <v>0</v>
      </c>
      <c r="AR42" s="132" t="n">
        <f aca="false">CHOOSE($G$3,AE42-AF42,AF42-AE42)</f>
        <v>0</v>
      </c>
      <c r="AS42" s="132" t="n">
        <f aca="false">CHOOSE($G$3,AH42-AI42,AI42-AH42)</f>
        <v>0</v>
      </c>
      <c r="AT42" s="148" t="n">
        <f aca="false">AQ42+AR42+AS42</f>
        <v>0</v>
      </c>
      <c r="AU42" s="148"/>
      <c r="AV42" s="133" t="n">
        <f aca="false">AT42+AO42</f>
        <v>0</v>
      </c>
      <c r="AX42" s="133" t="n">
        <f aca="false">AJ42+AG42+AD42</f>
        <v>0</v>
      </c>
      <c r="AY42" s="149"/>
      <c r="AZ42" s="76" t="n">
        <f aca="false">R42*E42</f>
        <v>0</v>
      </c>
    </row>
    <row r="43" customFormat="false" ht="12.75" hidden="false" customHeight="false" outlineLevel="0" collapsed="false">
      <c r="A43" s="138" t="n">
        <f aca="false">EDATE(A42,1)</f>
        <v>37987</v>
      </c>
      <c r="B43" s="139" t="n">
        <f aca="false">VLOOKUP($A43,Table2,MATCH(I$3,Curves2,0))</f>
        <v>0</v>
      </c>
      <c r="C43" s="140"/>
      <c r="D43" s="141" t="n">
        <f aca="false">B43+C43</f>
        <v>0</v>
      </c>
      <c r="E43" s="126" t="n">
        <f aca="false">IF(Y43=0,0,IF(AND(Y43=1,$H$3=1),D43*T43,IF($H$3=2,D43,"N/A")))</f>
        <v>0</v>
      </c>
      <c r="F43" s="126" t="n">
        <f aca="false">E43*X43</f>
        <v>0</v>
      </c>
      <c r="G43" s="142" t="n">
        <f aca="false">VLOOKUP($A43,Table,MATCH(G$4,Curves,0))</f>
        <v>4.132</v>
      </c>
      <c r="H43" s="143" t="n">
        <f aca="false">G43</f>
        <v>4.132</v>
      </c>
      <c r="I43" s="142" t="n">
        <f aca="false">VLOOKUP($A43,Table1,MATCH(I$3,Curves1,0))</f>
        <v>0</v>
      </c>
      <c r="J43" s="142" t="n">
        <f aca="false">VLOOKUP($A43,Table,MATCH(J$4,Curves,0))</f>
        <v>0.003</v>
      </c>
      <c r="K43" s="143" t="n">
        <f aca="false">J43</f>
        <v>0.003</v>
      </c>
      <c r="L43" s="144" t="n">
        <v>0</v>
      </c>
      <c r="M43" s="142" t="n">
        <f aca="false">VLOOKUP($A43,Table,MATCH(M$4,Curves,0))</f>
        <v>0.01</v>
      </c>
      <c r="N43" s="143" t="n">
        <f aca="false">M43</f>
        <v>0.01</v>
      </c>
      <c r="O43" s="144" t="n">
        <v>0</v>
      </c>
      <c r="P43" s="145"/>
      <c r="Q43" s="144" t="n">
        <f aca="false">M43+J43+G43</f>
        <v>4.145</v>
      </c>
      <c r="R43" s="144" t="n">
        <f aca="false">O43+L43+I43</f>
        <v>0</v>
      </c>
      <c r="S43" s="145"/>
      <c r="T43" s="71" t="n">
        <f aca="false">A44-A43</f>
        <v>31</v>
      </c>
      <c r="U43" s="146" t="n">
        <f aca="false">CHOOSE(F$3,A44+24,A43)</f>
        <v>38042</v>
      </c>
      <c r="V43" s="71" t="n">
        <f aca="false">U43-C$3</f>
        <v>1154</v>
      </c>
      <c r="W43" s="142" t="n">
        <f aca="false">VLOOKUP($A43,Table,MATCH(W$4,Curves,0))</f>
        <v>0.058333777934929</v>
      </c>
      <c r="X43" s="147" t="n">
        <f aca="false">1/(1+CHOOSE(F$3,(W44+($K$3/10000))/2,(W43+($K$3/10000))/2))^(2*V43/365.25)</f>
        <v>0.833776228969362</v>
      </c>
      <c r="Y43" s="71" t="n">
        <f aca="false">IF(AND(mthbeg&lt;=A43,mthend&gt;=A43),1,0)</f>
        <v>1</v>
      </c>
      <c r="Z43" s="71" t="n">
        <f aca="false">T43*Y43</f>
        <v>31</v>
      </c>
      <c r="AB43" s="132" t="n">
        <f aca="false">F43*G43</f>
        <v>0</v>
      </c>
      <c r="AC43" s="132" t="n">
        <f aca="false">$F43*H43</f>
        <v>0</v>
      </c>
      <c r="AD43" s="132" t="n">
        <f aca="false">$F43*I43</f>
        <v>0</v>
      </c>
      <c r="AE43" s="132" t="n">
        <f aca="false">$F43*J43</f>
        <v>0</v>
      </c>
      <c r="AF43" s="132" t="n">
        <f aca="false">$F43*K43</f>
        <v>0</v>
      </c>
      <c r="AG43" s="132" t="n">
        <f aca="false">$F43*L43</f>
        <v>0</v>
      </c>
      <c r="AH43" s="132" t="n">
        <f aca="false">$F43*M43</f>
        <v>0</v>
      </c>
      <c r="AI43" s="132" t="n">
        <f aca="false">$F43*N43</f>
        <v>0</v>
      </c>
      <c r="AJ43" s="132" t="n">
        <f aca="false">F43*O43</f>
        <v>0</v>
      </c>
      <c r="AK43" s="137"/>
      <c r="AL43" s="132" t="n">
        <f aca="false">CHOOSE($G$3,AC43-AD43,AD43-AC43)</f>
        <v>0</v>
      </c>
      <c r="AM43" s="132" t="n">
        <f aca="false">CHOOSE($G$3,AF43-AG43,AG43-AF43)</f>
        <v>0</v>
      </c>
      <c r="AN43" s="132" t="n">
        <f aca="false">CHOOSE($G$3,AI43-AJ43,AJ43-AI43)</f>
        <v>0</v>
      </c>
      <c r="AO43" s="148" t="n">
        <f aca="false">SUM(AL43:AN43)</f>
        <v>0</v>
      </c>
      <c r="AQ43" s="132" t="n">
        <f aca="false">CHOOSE($G$3,AB43-AC43,AC43-AB43)</f>
        <v>0</v>
      </c>
      <c r="AR43" s="132" t="n">
        <f aca="false">CHOOSE($G$3,AE43-AF43,AF43-AE43)</f>
        <v>0</v>
      </c>
      <c r="AS43" s="132" t="n">
        <f aca="false">CHOOSE($G$3,AH43-AI43,AI43-AH43)</f>
        <v>0</v>
      </c>
      <c r="AT43" s="148" t="n">
        <f aca="false">AQ43+AR43+AS43</f>
        <v>0</v>
      </c>
      <c r="AU43" s="148"/>
      <c r="AV43" s="133" t="n">
        <f aca="false">AT43+AO43</f>
        <v>0</v>
      </c>
      <c r="AX43" s="133" t="n">
        <f aca="false">AJ43+AG43+AD43</f>
        <v>0</v>
      </c>
      <c r="AY43" s="149"/>
      <c r="AZ43" s="76" t="n">
        <f aca="false">R43*E43</f>
        <v>0</v>
      </c>
    </row>
    <row r="44" customFormat="false" ht="12.75" hidden="false" customHeight="false" outlineLevel="0" collapsed="false">
      <c r="A44" s="138" t="n">
        <f aca="false">EDATE(A43,1)</f>
        <v>38018</v>
      </c>
      <c r="B44" s="139" t="n">
        <f aca="false">VLOOKUP($A44,Table2,MATCH(I$3,Curves2,0))</f>
        <v>0</v>
      </c>
      <c r="C44" s="140"/>
      <c r="D44" s="141" t="n">
        <f aca="false">B44+C44</f>
        <v>0</v>
      </c>
      <c r="E44" s="126" t="n">
        <f aca="false">IF(Y44=0,0,IF(AND(Y44=1,$H$3=1),D44*T44,IF($H$3=2,D44,"N/A")))</f>
        <v>0</v>
      </c>
      <c r="F44" s="126" t="n">
        <f aca="false">E44*X44</f>
        <v>0</v>
      </c>
      <c r="G44" s="142" t="n">
        <f aca="false">VLOOKUP($A44,Table,MATCH(G$4,Curves,0))</f>
        <v>4.017</v>
      </c>
      <c r="H44" s="143" t="n">
        <f aca="false">G44</f>
        <v>4.017</v>
      </c>
      <c r="I44" s="142" t="n">
        <f aca="false">VLOOKUP($A44,Table1,MATCH(I$3,Curves1,0))</f>
        <v>0</v>
      </c>
      <c r="J44" s="142" t="n">
        <f aca="false">VLOOKUP($A44,Table,MATCH(J$4,Curves,0))</f>
        <v>-0.007</v>
      </c>
      <c r="K44" s="143" t="n">
        <f aca="false">J44</f>
        <v>-0.007</v>
      </c>
      <c r="L44" s="144" t="n">
        <v>0</v>
      </c>
      <c r="M44" s="142" t="n">
        <f aca="false">VLOOKUP($A44,Table,MATCH(M$4,Curves,0))</f>
        <v>0.01</v>
      </c>
      <c r="N44" s="143" t="n">
        <f aca="false">M44</f>
        <v>0.01</v>
      </c>
      <c r="O44" s="144" t="n">
        <v>0</v>
      </c>
      <c r="P44" s="145"/>
      <c r="Q44" s="144" t="n">
        <f aca="false">M44+J44+G44</f>
        <v>4.02</v>
      </c>
      <c r="R44" s="144" t="n">
        <f aca="false">O44+L44+I44</f>
        <v>0</v>
      </c>
      <c r="S44" s="145"/>
      <c r="T44" s="71" t="n">
        <f aca="false">A45-A44</f>
        <v>29</v>
      </c>
      <c r="U44" s="146" t="n">
        <f aca="false">CHOOSE(F$3,A45+24,A44)</f>
        <v>38071</v>
      </c>
      <c r="V44" s="71" t="n">
        <f aca="false">U44-C$3</f>
        <v>1183</v>
      </c>
      <c r="W44" s="142" t="n">
        <f aca="false">VLOOKUP($A44,Table,MATCH(W$4,Curves,0))</f>
        <v>0.058373673819866</v>
      </c>
      <c r="X44" s="147" t="n">
        <f aca="false">1/(1+CHOOSE(F$3,(W45+($K$3/10000))/2,(W44+($K$3/10000))/2))^(2*V44/365.25)</f>
        <v>0.829878428614467</v>
      </c>
      <c r="Y44" s="71" t="n">
        <f aca="false">IF(AND(mthbeg&lt;=A44,mthend&gt;=A44),1,0)</f>
        <v>1</v>
      </c>
      <c r="Z44" s="71" t="n">
        <f aca="false">T44*Y44</f>
        <v>29</v>
      </c>
      <c r="AB44" s="132" t="n">
        <f aca="false">F44*G44</f>
        <v>0</v>
      </c>
      <c r="AC44" s="132" t="n">
        <f aca="false">$F44*H44</f>
        <v>0</v>
      </c>
      <c r="AD44" s="132" t="n">
        <f aca="false">$F44*I44</f>
        <v>0</v>
      </c>
      <c r="AE44" s="132" t="n">
        <f aca="false">$F44*J44</f>
        <v>-0</v>
      </c>
      <c r="AF44" s="132" t="n">
        <f aca="false">$F44*K44</f>
        <v>-0</v>
      </c>
      <c r="AG44" s="132" t="n">
        <f aca="false">$F44*L44</f>
        <v>0</v>
      </c>
      <c r="AH44" s="132" t="n">
        <f aca="false">$F44*M44</f>
        <v>0</v>
      </c>
      <c r="AI44" s="132" t="n">
        <f aca="false">$F44*N44</f>
        <v>0</v>
      </c>
      <c r="AJ44" s="132" t="n">
        <f aca="false">F44*O44</f>
        <v>0</v>
      </c>
      <c r="AK44" s="137"/>
      <c r="AL44" s="132" t="n">
        <f aca="false">CHOOSE($G$3,AC44-AD44,AD44-AC44)</f>
        <v>0</v>
      </c>
      <c r="AM44" s="132" t="n">
        <f aca="false">CHOOSE($G$3,AF44-AG44,AG44-AF44)</f>
        <v>0</v>
      </c>
      <c r="AN44" s="132" t="n">
        <f aca="false">CHOOSE($G$3,AI44-AJ44,AJ44-AI44)</f>
        <v>0</v>
      </c>
      <c r="AO44" s="148" t="n">
        <f aca="false">SUM(AL44:AN44)</f>
        <v>0</v>
      </c>
      <c r="AQ44" s="132" t="n">
        <f aca="false">CHOOSE($G$3,AB44-AC44,AC44-AB44)</f>
        <v>0</v>
      </c>
      <c r="AR44" s="132" t="n">
        <f aca="false">CHOOSE($G$3,AE44-AF44,AF44-AE44)</f>
        <v>0</v>
      </c>
      <c r="AS44" s="132" t="n">
        <f aca="false">CHOOSE($G$3,AH44-AI44,AI44-AH44)</f>
        <v>0</v>
      </c>
      <c r="AT44" s="148" t="n">
        <f aca="false">AQ44+AR44+AS44</f>
        <v>0</v>
      </c>
      <c r="AU44" s="148"/>
      <c r="AV44" s="133" t="n">
        <f aca="false">AT44+AO44</f>
        <v>0</v>
      </c>
      <c r="AX44" s="133" t="n">
        <f aca="false">AJ44+AG44+AD44</f>
        <v>0</v>
      </c>
      <c r="AY44" s="149"/>
      <c r="AZ44" s="76" t="n">
        <f aca="false">R44*E44</f>
        <v>0</v>
      </c>
    </row>
    <row r="45" customFormat="false" ht="12.75" hidden="false" customHeight="false" outlineLevel="0" collapsed="false">
      <c r="A45" s="138" t="n">
        <f aca="false">EDATE(A44,1)</f>
        <v>38047</v>
      </c>
      <c r="B45" s="139" t="n">
        <f aca="false">VLOOKUP($A45,Table2,MATCH(I$3,Curves2,0))</f>
        <v>0</v>
      </c>
      <c r="C45" s="140"/>
      <c r="D45" s="141" t="n">
        <f aca="false">B45+C45</f>
        <v>0</v>
      </c>
      <c r="E45" s="126" t="n">
        <f aca="false">IF(Y45=0,0,IF(AND(Y45=1,$H$3=1),D45*T45,IF($H$3=2,D45,"N/A")))</f>
        <v>0</v>
      </c>
      <c r="F45" s="126" t="n">
        <f aca="false">E45*X45</f>
        <v>0</v>
      </c>
      <c r="G45" s="142" t="n">
        <f aca="false">VLOOKUP($A45,Table,MATCH(G$4,Curves,0))</f>
        <v>3.877</v>
      </c>
      <c r="H45" s="143" t="n">
        <f aca="false">G45</f>
        <v>3.877</v>
      </c>
      <c r="I45" s="142" t="n">
        <f aca="false">VLOOKUP($A45,Table1,MATCH(I$3,Curves1,0))</f>
        <v>0</v>
      </c>
      <c r="J45" s="142" t="n">
        <f aca="false">VLOOKUP($A45,Table,MATCH(J$4,Curves,0))</f>
        <v>-0.007</v>
      </c>
      <c r="K45" s="143" t="n">
        <f aca="false">J45</f>
        <v>-0.007</v>
      </c>
      <c r="L45" s="144" t="n">
        <v>0</v>
      </c>
      <c r="M45" s="142" t="n">
        <f aca="false">VLOOKUP($A45,Table,MATCH(M$4,Curves,0))</f>
        <v>0.01</v>
      </c>
      <c r="N45" s="143" t="n">
        <f aca="false">M45</f>
        <v>0.01</v>
      </c>
      <c r="O45" s="144" t="n">
        <v>0</v>
      </c>
      <c r="P45" s="145"/>
      <c r="Q45" s="144" t="n">
        <f aca="false">M45+J45+G45</f>
        <v>3.88</v>
      </c>
      <c r="R45" s="144" t="n">
        <f aca="false">O45+L45+I45</f>
        <v>0</v>
      </c>
      <c r="S45" s="145"/>
      <c r="T45" s="71" t="n">
        <f aca="false">A46-A45</f>
        <v>31</v>
      </c>
      <c r="U45" s="146" t="n">
        <f aca="false">CHOOSE(F$3,A46+24,A45)</f>
        <v>38102</v>
      </c>
      <c r="V45" s="71" t="n">
        <f aca="false">U45-C$3</f>
        <v>1214</v>
      </c>
      <c r="W45" s="142" t="n">
        <f aca="false">VLOOKUP($A45,Table,MATCH(W$4,Curves,0))</f>
        <v>0.058410995777223</v>
      </c>
      <c r="X45" s="147" t="n">
        <f aca="false">1/(1+CHOOSE(F$3,(W46+($K$3/10000))/2,(W45+($K$3/10000))/2))^(2*V45/365.25)</f>
        <v>0.825748816967081</v>
      </c>
      <c r="Y45" s="71" t="n">
        <f aca="false">IF(AND(mthbeg&lt;=A45,mthend&gt;=A45),1,0)</f>
        <v>1</v>
      </c>
      <c r="Z45" s="71" t="n">
        <f aca="false">T45*Y45</f>
        <v>31</v>
      </c>
      <c r="AB45" s="132" t="n">
        <f aca="false">F45*G45</f>
        <v>0</v>
      </c>
      <c r="AC45" s="132" t="n">
        <f aca="false">$F45*H45</f>
        <v>0</v>
      </c>
      <c r="AD45" s="132" t="n">
        <f aca="false">$F45*I45</f>
        <v>0</v>
      </c>
      <c r="AE45" s="132" t="n">
        <f aca="false">$F45*J45</f>
        <v>-0</v>
      </c>
      <c r="AF45" s="132" t="n">
        <f aca="false">$F45*K45</f>
        <v>-0</v>
      </c>
      <c r="AG45" s="132" t="n">
        <f aca="false">$F45*L45</f>
        <v>0</v>
      </c>
      <c r="AH45" s="132" t="n">
        <f aca="false">$F45*M45</f>
        <v>0</v>
      </c>
      <c r="AI45" s="132" t="n">
        <f aca="false">$F45*N45</f>
        <v>0</v>
      </c>
      <c r="AJ45" s="132" t="n">
        <f aca="false">F45*O45</f>
        <v>0</v>
      </c>
      <c r="AK45" s="137"/>
      <c r="AL45" s="132" t="n">
        <f aca="false">CHOOSE($G$3,AC45-AD45,AD45-AC45)</f>
        <v>0</v>
      </c>
      <c r="AM45" s="132" t="n">
        <f aca="false">CHOOSE($G$3,AF45-AG45,AG45-AF45)</f>
        <v>0</v>
      </c>
      <c r="AN45" s="132" t="n">
        <f aca="false">CHOOSE($G$3,AI45-AJ45,AJ45-AI45)</f>
        <v>0</v>
      </c>
      <c r="AO45" s="148" t="n">
        <f aca="false">SUM(AL45:AN45)</f>
        <v>0</v>
      </c>
      <c r="AQ45" s="132" t="n">
        <f aca="false">CHOOSE($G$3,AB45-AC45,AC45-AB45)</f>
        <v>0</v>
      </c>
      <c r="AR45" s="132" t="n">
        <f aca="false">CHOOSE($G$3,AE45-AF45,AF45-AE45)</f>
        <v>0</v>
      </c>
      <c r="AS45" s="132" t="n">
        <f aca="false">CHOOSE($G$3,AH45-AI45,AI45-AH45)</f>
        <v>0</v>
      </c>
      <c r="AT45" s="148" t="n">
        <f aca="false">AQ45+AR45+AS45</f>
        <v>0</v>
      </c>
      <c r="AU45" s="148"/>
      <c r="AV45" s="133" t="n">
        <f aca="false">AT45+AO45</f>
        <v>0</v>
      </c>
      <c r="AX45" s="133" t="n">
        <f aca="false">AJ45+AG45+AD45</f>
        <v>0</v>
      </c>
      <c r="AY45" s="149"/>
      <c r="AZ45" s="76" t="n">
        <f aca="false">R45*E45</f>
        <v>0</v>
      </c>
    </row>
    <row r="46" customFormat="false" ht="12.75" hidden="false" customHeight="false" outlineLevel="0" collapsed="false">
      <c r="A46" s="138" t="n">
        <f aca="false">EDATE(A45,1)</f>
        <v>38078</v>
      </c>
      <c r="B46" s="139" t="n">
        <f aca="false">VLOOKUP($A46,Table2,MATCH(I$3,Curves2,0))</f>
        <v>0</v>
      </c>
      <c r="C46" s="140"/>
      <c r="D46" s="141" t="n">
        <f aca="false">B46+C46</f>
        <v>0</v>
      </c>
      <c r="E46" s="126" t="n">
        <f aca="false">IF(Y46=0,0,IF(AND(Y46=1,$H$3=1),D46*T46,IF($H$3=2,D46,"N/A")))</f>
        <v>0</v>
      </c>
      <c r="F46" s="126" t="n">
        <f aca="false">E46*X46</f>
        <v>0</v>
      </c>
      <c r="G46" s="142" t="n">
        <f aca="false">VLOOKUP($A46,Table,MATCH(G$4,Curves,0))</f>
        <v>3.682</v>
      </c>
      <c r="H46" s="143" t="n">
        <f aca="false">G46</f>
        <v>3.682</v>
      </c>
      <c r="I46" s="142" t="n">
        <f aca="false">VLOOKUP($A46,Table1,MATCH(I$3,Curves1,0))</f>
        <v>0</v>
      </c>
      <c r="J46" s="142" t="n">
        <f aca="false">VLOOKUP($A46,Table,MATCH(J$4,Curves,0))</f>
        <v>-0.022</v>
      </c>
      <c r="K46" s="143" t="n">
        <f aca="false">J46</f>
        <v>-0.022</v>
      </c>
      <c r="L46" s="144" t="n">
        <v>0</v>
      </c>
      <c r="M46" s="142" t="n">
        <f aca="false">VLOOKUP($A46,Table,MATCH(M$4,Curves,0))</f>
        <v>0.0075</v>
      </c>
      <c r="N46" s="143" t="n">
        <f aca="false">M46</f>
        <v>0.0075</v>
      </c>
      <c r="O46" s="144" t="n">
        <v>0</v>
      </c>
      <c r="P46" s="145"/>
      <c r="Q46" s="144" t="n">
        <f aca="false">M46+J46+G46</f>
        <v>3.6675</v>
      </c>
      <c r="R46" s="144" t="n">
        <f aca="false">O46+L46+I46</f>
        <v>0</v>
      </c>
      <c r="S46" s="145"/>
      <c r="T46" s="71" t="n">
        <f aca="false">A47-A46</f>
        <v>30</v>
      </c>
      <c r="U46" s="146" t="n">
        <f aca="false">CHOOSE(F$3,A47+24,A46)</f>
        <v>38132</v>
      </c>
      <c r="V46" s="71" t="n">
        <f aca="false">U46-C$3</f>
        <v>1244</v>
      </c>
      <c r="W46" s="142" t="n">
        <f aca="false">VLOOKUP($A46,Table,MATCH(W$4,Curves,0))</f>
        <v>0.05844259999348</v>
      </c>
      <c r="X46" s="147" t="n">
        <f aca="false">1/(1+CHOOSE(F$3,(W47+($K$3/10000))/2,(W46+($K$3/10000))/2))^(2*V46/365.25)</f>
        <v>0.82179118412241</v>
      </c>
      <c r="Y46" s="71" t="n">
        <f aca="false">IF(AND(mthbeg&lt;=A46,mthend&gt;=A46),1,0)</f>
        <v>1</v>
      </c>
      <c r="Z46" s="71" t="n">
        <f aca="false">T46*Y46</f>
        <v>30</v>
      </c>
      <c r="AB46" s="132" t="n">
        <f aca="false">F46*G46</f>
        <v>0</v>
      </c>
      <c r="AC46" s="132" t="n">
        <f aca="false">$F46*H46</f>
        <v>0</v>
      </c>
      <c r="AD46" s="132" t="n">
        <f aca="false">$F46*I46</f>
        <v>0</v>
      </c>
      <c r="AE46" s="132" t="n">
        <f aca="false">$F46*J46</f>
        <v>-0</v>
      </c>
      <c r="AF46" s="132" t="n">
        <f aca="false">$F46*K46</f>
        <v>-0</v>
      </c>
      <c r="AG46" s="132" t="n">
        <f aca="false">$F46*L46</f>
        <v>0</v>
      </c>
      <c r="AH46" s="132" t="n">
        <f aca="false">$F46*M46</f>
        <v>0</v>
      </c>
      <c r="AI46" s="132" t="n">
        <f aca="false">$F46*N46</f>
        <v>0</v>
      </c>
      <c r="AJ46" s="132" t="n">
        <f aca="false">F46*O46</f>
        <v>0</v>
      </c>
      <c r="AK46" s="137"/>
      <c r="AL46" s="132" t="n">
        <f aca="false">CHOOSE($G$3,AC46-AD46,AD46-AC46)</f>
        <v>0</v>
      </c>
      <c r="AM46" s="132" t="n">
        <f aca="false">CHOOSE($G$3,AF46-AG46,AG46-AF46)</f>
        <v>0</v>
      </c>
      <c r="AN46" s="132" t="n">
        <f aca="false">CHOOSE($G$3,AI46-AJ46,AJ46-AI46)</f>
        <v>0</v>
      </c>
      <c r="AO46" s="148" t="n">
        <f aca="false">SUM(AL46:AN46)</f>
        <v>0</v>
      </c>
      <c r="AQ46" s="132" t="n">
        <f aca="false">CHOOSE($G$3,AB46-AC46,AC46-AB46)</f>
        <v>0</v>
      </c>
      <c r="AR46" s="132" t="n">
        <f aca="false">CHOOSE($G$3,AE46-AF46,AF46-AE46)</f>
        <v>0</v>
      </c>
      <c r="AS46" s="132" t="n">
        <f aca="false">CHOOSE($G$3,AH46-AI46,AI46-AH46)</f>
        <v>0</v>
      </c>
      <c r="AT46" s="148" t="n">
        <f aca="false">AQ46+AR46+AS46</f>
        <v>0</v>
      </c>
      <c r="AU46" s="148"/>
      <c r="AV46" s="133" t="n">
        <f aca="false">AT46+AO46</f>
        <v>0</v>
      </c>
      <c r="AX46" s="133" t="n">
        <f aca="false">AJ46+AG46+AD46</f>
        <v>0</v>
      </c>
      <c r="AY46" s="149"/>
      <c r="AZ46" s="76" t="n">
        <f aca="false">R46*E46</f>
        <v>0</v>
      </c>
    </row>
    <row r="47" customFormat="false" ht="12.75" hidden="false" customHeight="false" outlineLevel="0" collapsed="false">
      <c r="A47" s="138" t="n">
        <f aca="false">EDATE(A46,1)</f>
        <v>38108</v>
      </c>
      <c r="B47" s="139" t="n">
        <f aca="false">VLOOKUP($A47,Table2,MATCH(I$3,Curves2,0))</f>
        <v>0</v>
      </c>
      <c r="C47" s="140"/>
      <c r="D47" s="141" t="n">
        <f aca="false">B47+C47</f>
        <v>0</v>
      </c>
      <c r="E47" s="126" t="n">
        <f aca="false">IF(Y47=0,0,IF(AND(Y47=1,$H$3=1),D47*T47,IF($H$3=2,D47,"N/A")))</f>
        <v>0</v>
      </c>
      <c r="F47" s="126" t="n">
        <f aca="false">E47*X47</f>
        <v>0</v>
      </c>
      <c r="G47" s="142" t="n">
        <f aca="false">VLOOKUP($A47,Table,MATCH(G$4,Curves,0))</f>
        <v>3.637</v>
      </c>
      <c r="H47" s="143" t="n">
        <f aca="false">G47</f>
        <v>3.637</v>
      </c>
      <c r="I47" s="142" t="n">
        <f aca="false">VLOOKUP($A47,Table1,MATCH(I$3,Curves1,0))</f>
        <v>0</v>
      </c>
      <c r="J47" s="142" t="n">
        <f aca="false">VLOOKUP($A47,Table,MATCH(J$4,Curves,0))</f>
        <v>-0.022</v>
      </c>
      <c r="K47" s="143" t="n">
        <f aca="false">J47</f>
        <v>-0.022</v>
      </c>
      <c r="L47" s="144" t="n">
        <v>0</v>
      </c>
      <c r="M47" s="142" t="n">
        <f aca="false">VLOOKUP($A47,Table,MATCH(M$4,Curves,0))</f>
        <v>0.0075</v>
      </c>
      <c r="N47" s="143" t="n">
        <f aca="false">M47</f>
        <v>0.0075</v>
      </c>
      <c r="O47" s="144" t="n">
        <v>0</v>
      </c>
      <c r="P47" s="145"/>
      <c r="Q47" s="144" t="n">
        <f aca="false">M47+J47+G47</f>
        <v>3.6225</v>
      </c>
      <c r="R47" s="144" t="n">
        <f aca="false">O47+L47+I47</f>
        <v>0</v>
      </c>
      <c r="S47" s="145"/>
      <c r="T47" s="71" t="n">
        <f aca="false">A48-A47</f>
        <v>31</v>
      </c>
      <c r="U47" s="146" t="n">
        <f aca="false">CHOOSE(F$3,A48+24,A47)</f>
        <v>38163</v>
      </c>
      <c r="V47" s="71" t="n">
        <f aca="false">U47-C$3</f>
        <v>1275</v>
      </c>
      <c r="W47" s="142" t="n">
        <f aca="false">VLOOKUP($A47,Table,MATCH(W$4,Curves,0))</f>
        <v>0.058464625576222</v>
      </c>
      <c r="X47" s="147" t="n">
        <f aca="false">1/(1+CHOOSE(F$3,(W48+($K$3/10000))/2,(W47+($K$3/10000))/2))^(2*V47/365.25)</f>
        <v>0.817718536854636</v>
      </c>
      <c r="Y47" s="71" t="n">
        <f aca="false">IF(AND(mthbeg&lt;=A47,mthend&gt;=A47),1,0)</f>
        <v>1</v>
      </c>
      <c r="Z47" s="71" t="n">
        <f aca="false">T47*Y47</f>
        <v>31</v>
      </c>
      <c r="AB47" s="132" t="n">
        <f aca="false">F47*G47</f>
        <v>0</v>
      </c>
      <c r="AC47" s="132" t="n">
        <f aca="false">$F47*H47</f>
        <v>0</v>
      </c>
      <c r="AD47" s="132" t="n">
        <f aca="false">$F47*I47</f>
        <v>0</v>
      </c>
      <c r="AE47" s="132" t="n">
        <f aca="false">$F47*J47</f>
        <v>-0</v>
      </c>
      <c r="AF47" s="132" t="n">
        <f aca="false">$F47*K47</f>
        <v>-0</v>
      </c>
      <c r="AG47" s="132" t="n">
        <f aca="false">$F47*L47</f>
        <v>0</v>
      </c>
      <c r="AH47" s="132" t="n">
        <f aca="false">$F47*M47</f>
        <v>0</v>
      </c>
      <c r="AI47" s="132" t="n">
        <f aca="false">$F47*N47</f>
        <v>0</v>
      </c>
      <c r="AJ47" s="132" t="n">
        <f aca="false">F47*O47</f>
        <v>0</v>
      </c>
      <c r="AK47" s="137"/>
      <c r="AL47" s="132" t="n">
        <f aca="false">CHOOSE($G$3,AC47-AD47,AD47-AC47)</f>
        <v>0</v>
      </c>
      <c r="AM47" s="132" t="n">
        <f aca="false">CHOOSE($G$3,AF47-AG47,AG47-AF47)</f>
        <v>0</v>
      </c>
      <c r="AN47" s="132" t="n">
        <f aca="false">CHOOSE($G$3,AI47-AJ47,AJ47-AI47)</f>
        <v>0</v>
      </c>
      <c r="AO47" s="148" t="n">
        <f aca="false">SUM(AL47:AN47)</f>
        <v>0</v>
      </c>
      <c r="AQ47" s="132" t="n">
        <f aca="false">CHOOSE($G$3,AB47-AC47,AC47-AB47)</f>
        <v>0</v>
      </c>
      <c r="AR47" s="132" t="n">
        <f aca="false">CHOOSE($G$3,AE47-AF47,AF47-AE47)</f>
        <v>0</v>
      </c>
      <c r="AS47" s="132" t="n">
        <f aca="false">CHOOSE($G$3,AH47-AI47,AI47-AH47)</f>
        <v>0</v>
      </c>
      <c r="AT47" s="148" t="n">
        <f aca="false">AQ47+AR47+AS47</f>
        <v>0</v>
      </c>
      <c r="AU47" s="148"/>
      <c r="AV47" s="133" t="n">
        <f aca="false">AT47+AO47</f>
        <v>0</v>
      </c>
      <c r="AX47" s="133" t="n">
        <f aca="false">AJ47+AG47+AD47</f>
        <v>0</v>
      </c>
      <c r="AY47" s="149"/>
      <c r="AZ47" s="76" t="n">
        <f aca="false">R47*E47</f>
        <v>0</v>
      </c>
    </row>
    <row r="48" customFormat="false" ht="12.75" hidden="false" customHeight="false" outlineLevel="0" collapsed="false">
      <c r="A48" s="138" t="n">
        <f aca="false">EDATE(A47,1)</f>
        <v>38139</v>
      </c>
      <c r="B48" s="139" t="n">
        <f aca="false">VLOOKUP($A48,Table2,MATCH(I$3,Curves2,0))</f>
        <v>0</v>
      </c>
      <c r="C48" s="140"/>
      <c r="D48" s="141" t="n">
        <f aca="false">B48+C48</f>
        <v>0</v>
      </c>
      <c r="E48" s="126" t="n">
        <f aca="false">IF(Y48=0,0,IF(AND(Y48=1,$H$3=1),D48*T48,IF($H$3=2,D48,"N/A")))</f>
        <v>0</v>
      </c>
      <c r="F48" s="126" t="n">
        <f aca="false">E48*X48</f>
        <v>0</v>
      </c>
      <c r="G48" s="142" t="n">
        <f aca="false">VLOOKUP($A48,Table,MATCH(G$4,Curves,0))</f>
        <v>3.657</v>
      </c>
      <c r="H48" s="143" t="n">
        <f aca="false">G48</f>
        <v>3.657</v>
      </c>
      <c r="I48" s="142" t="n">
        <f aca="false">VLOOKUP($A48,Table1,MATCH(I$3,Curves1,0))</f>
        <v>0</v>
      </c>
      <c r="J48" s="142" t="n">
        <f aca="false">VLOOKUP($A48,Table,MATCH(J$4,Curves,0))</f>
        <v>-0.022</v>
      </c>
      <c r="K48" s="143" t="n">
        <f aca="false">J48</f>
        <v>-0.022</v>
      </c>
      <c r="L48" s="144" t="n">
        <v>0</v>
      </c>
      <c r="M48" s="142" t="n">
        <f aca="false">VLOOKUP($A48,Table,MATCH(M$4,Curves,0))</f>
        <v>0.0075</v>
      </c>
      <c r="N48" s="143" t="n">
        <f aca="false">M48</f>
        <v>0.0075</v>
      </c>
      <c r="O48" s="144" t="n">
        <v>0</v>
      </c>
      <c r="P48" s="145"/>
      <c r="Q48" s="144" t="n">
        <f aca="false">M48+J48+G48</f>
        <v>3.6425</v>
      </c>
      <c r="R48" s="144" t="n">
        <f aca="false">O48+L48+I48</f>
        <v>0</v>
      </c>
      <c r="S48" s="145"/>
      <c r="T48" s="71" t="n">
        <f aca="false">A49-A48</f>
        <v>30</v>
      </c>
      <c r="U48" s="146" t="n">
        <f aca="false">CHOOSE(F$3,A49+24,A48)</f>
        <v>38193</v>
      </c>
      <c r="V48" s="71" t="n">
        <f aca="false">U48-C$3</f>
        <v>1305</v>
      </c>
      <c r="W48" s="142" t="n">
        <f aca="false">VLOOKUP($A48,Table,MATCH(W$4,Curves,0))</f>
        <v>0.058487385345225</v>
      </c>
      <c r="X48" s="147" t="n">
        <f aca="false">1/(1+CHOOSE(F$3,(W49+($K$3/10000))/2,(W48+($K$3/10000))/2))^(2*V48/365.25)</f>
        <v>0.813788582416761</v>
      </c>
      <c r="Y48" s="71" t="n">
        <f aca="false">IF(AND(mthbeg&lt;=A48,mthend&gt;=A48),1,0)</f>
        <v>1</v>
      </c>
      <c r="Z48" s="71" t="n">
        <f aca="false">T48*Y48</f>
        <v>30</v>
      </c>
      <c r="AB48" s="132" t="n">
        <f aca="false">F48*G48</f>
        <v>0</v>
      </c>
      <c r="AC48" s="132" t="n">
        <f aca="false">$F48*H48</f>
        <v>0</v>
      </c>
      <c r="AD48" s="132" t="n">
        <f aca="false">$F48*I48</f>
        <v>0</v>
      </c>
      <c r="AE48" s="132" t="n">
        <f aca="false">$F48*J48</f>
        <v>-0</v>
      </c>
      <c r="AF48" s="132" t="n">
        <f aca="false">$F48*K48</f>
        <v>-0</v>
      </c>
      <c r="AG48" s="132" t="n">
        <f aca="false">$F48*L48</f>
        <v>0</v>
      </c>
      <c r="AH48" s="132" t="n">
        <f aca="false">$F48*M48</f>
        <v>0</v>
      </c>
      <c r="AI48" s="132" t="n">
        <f aca="false">$F48*N48</f>
        <v>0</v>
      </c>
      <c r="AJ48" s="132" t="n">
        <f aca="false">F48*O48</f>
        <v>0</v>
      </c>
      <c r="AK48" s="137"/>
      <c r="AL48" s="132" t="n">
        <f aca="false">CHOOSE($G$3,AC48-AD48,AD48-AC48)</f>
        <v>0</v>
      </c>
      <c r="AM48" s="132" t="n">
        <f aca="false">CHOOSE($G$3,AF48-AG48,AG48-AF48)</f>
        <v>0</v>
      </c>
      <c r="AN48" s="132" t="n">
        <f aca="false">CHOOSE($G$3,AI48-AJ48,AJ48-AI48)</f>
        <v>0</v>
      </c>
      <c r="AO48" s="148" t="n">
        <f aca="false">SUM(AL48:AN48)</f>
        <v>0</v>
      </c>
      <c r="AQ48" s="132" t="n">
        <f aca="false">CHOOSE($G$3,AB48-AC48,AC48-AB48)</f>
        <v>0</v>
      </c>
      <c r="AR48" s="132" t="n">
        <f aca="false">CHOOSE($G$3,AE48-AF48,AF48-AE48)</f>
        <v>0</v>
      </c>
      <c r="AS48" s="132" t="n">
        <f aca="false">CHOOSE($G$3,AH48-AI48,AI48-AH48)</f>
        <v>0</v>
      </c>
      <c r="AT48" s="148" t="n">
        <f aca="false">AQ48+AR48+AS48</f>
        <v>0</v>
      </c>
      <c r="AU48" s="148"/>
      <c r="AV48" s="133" t="n">
        <f aca="false">AT48+AO48</f>
        <v>0</v>
      </c>
      <c r="AX48" s="133" t="n">
        <f aca="false">AJ48+AG48+AD48</f>
        <v>0</v>
      </c>
      <c r="AY48" s="149"/>
      <c r="AZ48" s="76" t="n">
        <f aca="false">R48*E48</f>
        <v>0</v>
      </c>
    </row>
    <row r="49" customFormat="false" ht="12.75" hidden="false" customHeight="false" outlineLevel="0" collapsed="false">
      <c r="A49" s="138" t="n">
        <f aca="false">EDATE(A48,1)</f>
        <v>38169</v>
      </c>
      <c r="B49" s="139" t="n">
        <f aca="false">VLOOKUP($A49,Table2,MATCH(I$3,Curves2,0))</f>
        <v>0</v>
      </c>
      <c r="C49" s="140"/>
      <c r="D49" s="141" t="n">
        <f aca="false">B49+C49</f>
        <v>0</v>
      </c>
      <c r="E49" s="126" t="n">
        <f aca="false">IF(Y49=0,0,IF(AND(Y49=1,$H$3=1),D49*T49,IF($H$3=2,D49,"N/A")))</f>
        <v>0</v>
      </c>
      <c r="F49" s="126" t="n">
        <f aca="false">E49*X49</f>
        <v>0</v>
      </c>
      <c r="G49" s="142" t="n">
        <f aca="false">VLOOKUP($A49,Table,MATCH(G$4,Curves,0))</f>
        <v>3.672</v>
      </c>
      <c r="H49" s="143" t="n">
        <f aca="false">G49</f>
        <v>3.672</v>
      </c>
      <c r="I49" s="142" t="n">
        <f aca="false">VLOOKUP($A49,Table1,MATCH(I$3,Curves1,0))</f>
        <v>0</v>
      </c>
      <c r="J49" s="142" t="n">
        <f aca="false">VLOOKUP($A49,Table,MATCH(J$4,Curves,0))</f>
        <v>-0.022</v>
      </c>
      <c r="K49" s="143" t="n">
        <f aca="false">J49</f>
        <v>-0.022</v>
      </c>
      <c r="L49" s="144" t="n">
        <v>0</v>
      </c>
      <c r="M49" s="142" t="n">
        <f aca="false">VLOOKUP($A49,Table,MATCH(M$4,Curves,0))</f>
        <v>0.0075</v>
      </c>
      <c r="N49" s="143" t="n">
        <f aca="false">M49</f>
        <v>0.0075</v>
      </c>
      <c r="O49" s="144" t="n">
        <v>0</v>
      </c>
      <c r="P49" s="145"/>
      <c r="Q49" s="144" t="n">
        <f aca="false">M49+J49+G49</f>
        <v>3.6575</v>
      </c>
      <c r="R49" s="144" t="n">
        <f aca="false">O49+L49+I49</f>
        <v>0</v>
      </c>
      <c r="S49" s="145"/>
      <c r="T49" s="71" t="n">
        <f aca="false">A50-A49</f>
        <v>31</v>
      </c>
      <c r="U49" s="146" t="n">
        <f aca="false">CHOOSE(F$3,A50+24,A49)</f>
        <v>38224</v>
      </c>
      <c r="V49" s="71" t="n">
        <f aca="false">U49-C$3</f>
        <v>1336</v>
      </c>
      <c r="W49" s="142" t="n">
        <f aca="false">VLOOKUP($A49,Table,MATCH(W$4,Curves,0))</f>
        <v>0.058511178500586</v>
      </c>
      <c r="X49" s="147" t="n">
        <f aca="false">1/(1+CHOOSE(F$3,(W50+($K$3/10000))/2,(W49+($K$3/10000))/2))^(2*V49/365.25)</f>
        <v>0.809738650904168</v>
      </c>
      <c r="Y49" s="71" t="n">
        <f aca="false">IF(AND(mthbeg&lt;=A49,mthend&gt;=A49),1,0)</f>
        <v>1</v>
      </c>
      <c r="Z49" s="71" t="n">
        <f aca="false">T49*Y49</f>
        <v>31</v>
      </c>
      <c r="AB49" s="132" t="n">
        <f aca="false">F49*G49</f>
        <v>0</v>
      </c>
      <c r="AC49" s="132" t="n">
        <f aca="false">$F49*H49</f>
        <v>0</v>
      </c>
      <c r="AD49" s="132" t="n">
        <f aca="false">$F49*I49</f>
        <v>0</v>
      </c>
      <c r="AE49" s="132" t="n">
        <f aca="false">$F49*J49</f>
        <v>-0</v>
      </c>
      <c r="AF49" s="132" t="n">
        <f aca="false">$F49*K49</f>
        <v>-0</v>
      </c>
      <c r="AG49" s="132" t="n">
        <f aca="false">$F49*L49</f>
        <v>0</v>
      </c>
      <c r="AH49" s="132" t="n">
        <f aca="false">$F49*M49</f>
        <v>0</v>
      </c>
      <c r="AI49" s="132" t="n">
        <f aca="false">$F49*N49</f>
        <v>0</v>
      </c>
      <c r="AJ49" s="132" t="n">
        <f aca="false">F49*O49</f>
        <v>0</v>
      </c>
      <c r="AK49" s="137"/>
      <c r="AL49" s="132" t="n">
        <f aca="false">CHOOSE($G$3,AC49-AD49,AD49-AC49)</f>
        <v>0</v>
      </c>
      <c r="AM49" s="132" t="n">
        <f aca="false">CHOOSE($G$3,AF49-AG49,AG49-AF49)</f>
        <v>0</v>
      </c>
      <c r="AN49" s="132" t="n">
        <f aca="false">CHOOSE($G$3,AI49-AJ49,AJ49-AI49)</f>
        <v>0</v>
      </c>
      <c r="AO49" s="148" t="n">
        <f aca="false">SUM(AL49:AN49)</f>
        <v>0</v>
      </c>
      <c r="AQ49" s="132" t="n">
        <f aca="false">CHOOSE($G$3,AB49-AC49,AC49-AB49)</f>
        <v>0</v>
      </c>
      <c r="AR49" s="132" t="n">
        <f aca="false">CHOOSE($G$3,AE49-AF49,AF49-AE49)</f>
        <v>0</v>
      </c>
      <c r="AS49" s="132" t="n">
        <f aca="false">CHOOSE($G$3,AH49-AI49,AI49-AH49)</f>
        <v>0</v>
      </c>
      <c r="AT49" s="148" t="n">
        <f aca="false">AQ49+AR49+AS49</f>
        <v>0</v>
      </c>
      <c r="AU49" s="148"/>
      <c r="AV49" s="133" t="n">
        <f aca="false">AT49+AO49</f>
        <v>0</v>
      </c>
      <c r="AX49" s="133" t="n">
        <f aca="false">AJ49+AG49+AD49</f>
        <v>0</v>
      </c>
      <c r="AY49" s="149"/>
      <c r="AZ49" s="76" t="n">
        <f aca="false">R49*E49</f>
        <v>0</v>
      </c>
    </row>
    <row r="50" customFormat="false" ht="12.75" hidden="false" customHeight="false" outlineLevel="0" collapsed="false">
      <c r="A50" s="138" t="n">
        <f aca="false">EDATE(A49,1)</f>
        <v>38200</v>
      </c>
      <c r="B50" s="139" t="n">
        <f aca="false">VLOOKUP($A50,Table2,MATCH(I$3,Curves2,0))</f>
        <v>0</v>
      </c>
      <c r="C50" s="140"/>
      <c r="D50" s="141" t="n">
        <f aca="false">B50+C50</f>
        <v>0</v>
      </c>
      <c r="E50" s="126" t="n">
        <f aca="false">IF(Y50=0,0,IF(AND(Y50=1,$H$3=1),D50*T50,IF($H$3=2,D50,"N/A")))</f>
        <v>0</v>
      </c>
      <c r="F50" s="126" t="n">
        <f aca="false">E50*X50</f>
        <v>0</v>
      </c>
      <c r="G50" s="142" t="n">
        <f aca="false">VLOOKUP($A50,Table,MATCH(G$4,Curves,0))</f>
        <v>3.682</v>
      </c>
      <c r="H50" s="143" t="n">
        <f aca="false">G50</f>
        <v>3.682</v>
      </c>
      <c r="I50" s="142" t="n">
        <f aca="false">VLOOKUP($A50,Table1,MATCH(I$3,Curves1,0))</f>
        <v>0</v>
      </c>
      <c r="J50" s="142" t="n">
        <f aca="false">VLOOKUP($A50,Table,MATCH(J$4,Curves,0))</f>
        <v>-0.022</v>
      </c>
      <c r="K50" s="143" t="n">
        <f aca="false">J50</f>
        <v>-0.022</v>
      </c>
      <c r="L50" s="144" t="n">
        <v>0</v>
      </c>
      <c r="M50" s="142" t="n">
        <f aca="false">VLOOKUP($A50,Table,MATCH(M$4,Curves,0))</f>
        <v>0.0075</v>
      </c>
      <c r="N50" s="143" t="n">
        <f aca="false">M50</f>
        <v>0.0075</v>
      </c>
      <c r="O50" s="144" t="n">
        <v>0</v>
      </c>
      <c r="P50" s="145"/>
      <c r="Q50" s="144" t="n">
        <f aca="false">M50+J50+G50</f>
        <v>3.6675</v>
      </c>
      <c r="R50" s="144" t="n">
        <f aca="false">O50+L50+I50</f>
        <v>0</v>
      </c>
      <c r="S50" s="145"/>
      <c r="T50" s="71" t="n">
        <f aca="false">A51-A50</f>
        <v>31</v>
      </c>
      <c r="U50" s="146" t="n">
        <f aca="false">CHOOSE(F$3,A51+24,A50)</f>
        <v>38255</v>
      </c>
      <c r="V50" s="71" t="n">
        <f aca="false">U50-C$3</f>
        <v>1367</v>
      </c>
      <c r="W50" s="142" t="n">
        <f aca="false">VLOOKUP($A50,Table,MATCH(W$4,Curves,0))</f>
        <v>0.058537707389653</v>
      </c>
      <c r="X50" s="147" t="n">
        <f aca="false">1/(1+CHOOSE(F$3,(W51+($K$3/10000))/2,(W50+($K$3/10000))/2))^(2*V50/365.25)</f>
        <v>0.805705350335172</v>
      </c>
      <c r="Y50" s="71" t="n">
        <f aca="false">IF(AND(mthbeg&lt;=A50,mthend&gt;=A50),1,0)</f>
        <v>1</v>
      </c>
      <c r="Z50" s="71" t="n">
        <f aca="false">T50*Y50</f>
        <v>31</v>
      </c>
      <c r="AB50" s="132" t="n">
        <f aca="false">F50*G50</f>
        <v>0</v>
      </c>
      <c r="AC50" s="132" t="n">
        <f aca="false">$F50*H50</f>
        <v>0</v>
      </c>
      <c r="AD50" s="132" t="n">
        <f aca="false">$F50*I50</f>
        <v>0</v>
      </c>
      <c r="AE50" s="132" t="n">
        <f aca="false">$F50*J50</f>
        <v>-0</v>
      </c>
      <c r="AF50" s="132" t="n">
        <f aca="false">$F50*K50</f>
        <v>-0</v>
      </c>
      <c r="AG50" s="132" t="n">
        <f aca="false">$F50*L50</f>
        <v>0</v>
      </c>
      <c r="AH50" s="132" t="n">
        <f aca="false">$F50*M50</f>
        <v>0</v>
      </c>
      <c r="AI50" s="132" t="n">
        <f aca="false">$F50*N50</f>
        <v>0</v>
      </c>
      <c r="AJ50" s="132" t="n">
        <f aca="false">F50*O50</f>
        <v>0</v>
      </c>
      <c r="AK50" s="137"/>
      <c r="AL50" s="132" t="n">
        <f aca="false">CHOOSE($G$3,AC50-AD50,AD50-AC50)</f>
        <v>0</v>
      </c>
      <c r="AM50" s="132" t="n">
        <f aca="false">CHOOSE($G$3,AF50-AG50,AG50-AF50)</f>
        <v>0</v>
      </c>
      <c r="AN50" s="132" t="n">
        <f aca="false">CHOOSE($G$3,AI50-AJ50,AJ50-AI50)</f>
        <v>0</v>
      </c>
      <c r="AO50" s="148" t="n">
        <f aca="false">SUM(AL50:AN50)</f>
        <v>0</v>
      </c>
      <c r="AQ50" s="132" t="n">
        <f aca="false">CHOOSE($G$3,AB50-AC50,AC50-AB50)</f>
        <v>0</v>
      </c>
      <c r="AR50" s="132" t="n">
        <f aca="false">CHOOSE($G$3,AE50-AF50,AF50-AE50)</f>
        <v>0</v>
      </c>
      <c r="AS50" s="132" t="n">
        <f aca="false">CHOOSE($G$3,AH50-AI50,AI50-AH50)</f>
        <v>0</v>
      </c>
      <c r="AT50" s="148" t="n">
        <f aca="false">AQ50+AR50+AS50</f>
        <v>0</v>
      </c>
      <c r="AU50" s="148"/>
      <c r="AV50" s="133" t="n">
        <f aca="false">AT50+AO50</f>
        <v>0</v>
      </c>
      <c r="AX50" s="133" t="n">
        <f aca="false">AJ50+AG50+AD50</f>
        <v>0</v>
      </c>
      <c r="AY50" s="149"/>
      <c r="AZ50" s="76" t="n">
        <f aca="false">R50*E50</f>
        <v>0</v>
      </c>
    </row>
    <row r="51" customFormat="false" ht="12.75" hidden="false" customHeight="false" outlineLevel="0" collapsed="false">
      <c r="A51" s="138" t="n">
        <f aca="false">EDATE(A50,1)</f>
        <v>38231</v>
      </c>
      <c r="B51" s="139" t="n">
        <f aca="false">VLOOKUP($A51,Table2,MATCH(I$3,Curves2,0))</f>
        <v>0</v>
      </c>
      <c r="C51" s="140"/>
      <c r="D51" s="141" t="n">
        <f aca="false">B51+C51</f>
        <v>0</v>
      </c>
      <c r="E51" s="126" t="n">
        <f aca="false">IF(Y51=0,0,IF(AND(Y51=1,$H$3=1),D51*T51,IF($H$3=2,D51,"N/A")))</f>
        <v>0</v>
      </c>
      <c r="F51" s="126" t="n">
        <f aca="false">E51*X51</f>
        <v>0</v>
      </c>
      <c r="G51" s="142" t="n">
        <f aca="false">VLOOKUP($A51,Table,MATCH(G$4,Curves,0))</f>
        <v>3.699</v>
      </c>
      <c r="H51" s="143" t="n">
        <f aca="false">G51</f>
        <v>3.699</v>
      </c>
      <c r="I51" s="142" t="n">
        <f aca="false">VLOOKUP($A51,Table1,MATCH(I$3,Curves1,0))</f>
        <v>0</v>
      </c>
      <c r="J51" s="142" t="n">
        <f aca="false">VLOOKUP($A51,Table,MATCH(J$4,Curves,0))</f>
        <v>-0.022</v>
      </c>
      <c r="K51" s="143" t="n">
        <f aca="false">J51</f>
        <v>-0.022</v>
      </c>
      <c r="L51" s="144" t="n">
        <v>0</v>
      </c>
      <c r="M51" s="142" t="n">
        <f aca="false">VLOOKUP($A51,Table,MATCH(M$4,Curves,0))</f>
        <v>0.0075</v>
      </c>
      <c r="N51" s="143" t="n">
        <f aca="false">M51</f>
        <v>0.0075</v>
      </c>
      <c r="O51" s="144" t="n">
        <v>0</v>
      </c>
      <c r="P51" s="145"/>
      <c r="Q51" s="144" t="n">
        <f aca="false">M51+J51+G51</f>
        <v>3.6845</v>
      </c>
      <c r="R51" s="144" t="n">
        <f aca="false">O51+L51+I51</f>
        <v>0</v>
      </c>
      <c r="S51" s="145"/>
      <c r="T51" s="71" t="n">
        <f aca="false">A52-A51</f>
        <v>30</v>
      </c>
      <c r="U51" s="146" t="n">
        <f aca="false">CHOOSE(F$3,A52+24,A51)</f>
        <v>38285</v>
      </c>
      <c r="V51" s="71" t="n">
        <f aca="false">U51-C$3</f>
        <v>1397</v>
      </c>
      <c r="W51" s="142" t="n">
        <f aca="false">VLOOKUP($A51,Table,MATCH(W$4,Curves,0))</f>
        <v>0.058564236278954</v>
      </c>
      <c r="X51" s="147" t="n">
        <f aca="false">1/(1+CHOOSE(F$3,(W52+($K$3/10000))/2,(W51+($K$3/10000))/2))^(2*V51/365.25)</f>
        <v>0.801814522784125</v>
      </c>
      <c r="Y51" s="71" t="n">
        <f aca="false">IF(AND(mthbeg&lt;=A51,mthend&gt;=A51),1,0)</f>
        <v>1</v>
      </c>
      <c r="Z51" s="71" t="n">
        <f aca="false">T51*Y51</f>
        <v>30</v>
      </c>
      <c r="AB51" s="132" t="n">
        <f aca="false">F51*G51</f>
        <v>0</v>
      </c>
      <c r="AC51" s="132" t="n">
        <f aca="false">$F51*H51</f>
        <v>0</v>
      </c>
      <c r="AD51" s="132" t="n">
        <f aca="false">$F51*I51</f>
        <v>0</v>
      </c>
      <c r="AE51" s="132" t="n">
        <f aca="false">$F51*J51</f>
        <v>-0</v>
      </c>
      <c r="AF51" s="132" t="n">
        <f aca="false">$F51*K51</f>
        <v>-0</v>
      </c>
      <c r="AG51" s="132" t="n">
        <f aca="false">$F51*L51</f>
        <v>0</v>
      </c>
      <c r="AH51" s="132" t="n">
        <f aca="false">$F51*M51</f>
        <v>0</v>
      </c>
      <c r="AI51" s="132" t="n">
        <f aca="false">$F51*N51</f>
        <v>0</v>
      </c>
      <c r="AJ51" s="132" t="n">
        <f aca="false">F51*O51</f>
        <v>0</v>
      </c>
      <c r="AK51" s="137"/>
      <c r="AL51" s="132" t="n">
        <f aca="false">CHOOSE($G$3,AC51-AD51,AD51-AC51)</f>
        <v>0</v>
      </c>
      <c r="AM51" s="132" t="n">
        <f aca="false">CHOOSE($G$3,AF51-AG51,AG51-AF51)</f>
        <v>0</v>
      </c>
      <c r="AN51" s="132" t="n">
        <f aca="false">CHOOSE($G$3,AI51-AJ51,AJ51-AI51)</f>
        <v>0</v>
      </c>
      <c r="AO51" s="148" t="n">
        <f aca="false">SUM(AL51:AN51)</f>
        <v>0</v>
      </c>
      <c r="AQ51" s="132" t="n">
        <f aca="false">CHOOSE($G$3,AB51-AC51,AC51-AB51)</f>
        <v>0</v>
      </c>
      <c r="AR51" s="132" t="n">
        <f aca="false">CHOOSE($G$3,AE51-AF51,AF51-AE51)</f>
        <v>0</v>
      </c>
      <c r="AS51" s="132" t="n">
        <f aca="false">CHOOSE($G$3,AH51-AI51,AI51-AH51)</f>
        <v>0</v>
      </c>
      <c r="AT51" s="148" t="n">
        <f aca="false">AQ51+AR51+AS51</f>
        <v>0</v>
      </c>
      <c r="AU51" s="148"/>
      <c r="AV51" s="133" t="n">
        <f aca="false">AT51+AO51</f>
        <v>0</v>
      </c>
      <c r="AX51" s="133" t="n">
        <f aca="false">AJ51+AG51+AD51</f>
        <v>0</v>
      </c>
      <c r="AY51" s="149"/>
      <c r="AZ51" s="76" t="n">
        <f aca="false">R51*E51</f>
        <v>0</v>
      </c>
    </row>
    <row r="52" customFormat="false" ht="12.75" hidden="false" customHeight="false" outlineLevel="0" collapsed="false">
      <c r="A52" s="138" t="n">
        <f aca="false">EDATE(A51,1)</f>
        <v>38261</v>
      </c>
      <c r="B52" s="139" t="n">
        <f aca="false">VLOOKUP($A52,Table2,MATCH(I$3,Curves2,0))</f>
        <v>0</v>
      </c>
      <c r="C52" s="140"/>
      <c r="D52" s="141" t="n">
        <f aca="false">B52+C52</f>
        <v>0</v>
      </c>
      <c r="E52" s="126" t="n">
        <f aca="false">IF(Y52=0,0,IF(AND(Y52=1,$H$3=1),D52*T52,IF($H$3=2,D52,"N/A")))</f>
        <v>0</v>
      </c>
      <c r="F52" s="126" t="n">
        <f aca="false">E52*X52</f>
        <v>0</v>
      </c>
      <c r="G52" s="142" t="n">
        <f aca="false">VLOOKUP($A52,Table,MATCH(G$4,Curves,0))</f>
        <v>3.717</v>
      </c>
      <c r="H52" s="143" t="n">
        <f aca="false">G52</f>
        <v>3.717</v>
      </c>
      <c r="I52" s="142" t="n">
        <f aca="false">VLOOKUP($A52,Table1,MATCH(I$3,Curves1,0))</f>
        <v>0</v>
      </c>
      <c r="J52" s="142" t="n">
        <f aca="false">VLOOKUP($A52,Table,MATCH(J$4,Curves,0))</f>
        <v>-0.022</v>
      </c>
      <c r="K52" s="143" t="n">
        <f aca="false">J52</f>
        <v>-0.022</v>
      </c>
      <c r="L52" s="144" t="n">
        <v>0</v>
      </c>
      <c r="M52" s="142" t="n">
        <f aca="false">VLOOKUP($A52,Table,MATCH(M$4,Curves,0))</f>
        <v>0.0075</v>
      </c>
      <c r="N52" s="143" t="n">
        <f aca="false">M52</f>
        <v>0.0075</v>
      </c>
      <c r="O52" s="144" t="n">
        <v>0</v>
      </c>
      <c r="P52" s="145"/>
      <c r="Q52" s="144" t="n">
        <f aca="false">M52+J52+G52</f>
        <v>3.7025</v>
      </c>
      <c r="R52" s="144" t="n">
        <f aca="false">O52+L52+I52</f>
        <v>0</v>
      </c>
      <c r="S52" s="145"/>
      <c r="T52" s="71" t="n">
        <f aca="false">A53-A52</f>
        <v>31</v>
      </c>
      <c r="U52" s="146" t="n">
        <f aca="false">CHOOSE(F$3,A53+24,A52)</f>
        <v>38316</v>
      </c>
      <c r="V52" s="71" t="n">
        <f aca="false">U52-C$3</f>
        <v>1428</v>
      </c>
      <c r="W52" s="142" t="n">
        <f aca="false">VLOOKUP($A52,Table,MATCH(W$4,Curves,0))</f>
        <v>0.058591058426884</v>
      </c>
      <c r="X52" s="147" t="n">
        <f aca="false">1/(1+CHOOSE(F$3,(W53+($K$3/10000))/2,(W52+($K$3/10000))/2))^(2*V52/365.25)</f>
        <v>0.797806801207727</v>
      </c>
      <c r="Y52" s="71" t="n">
        <f aca="false">IF(AND(mthbeg&lt;=A52,mthend&gt;=A52),1,0)</f>
        <v>1</v>
      </c>
      <c r="Z52" s="71" t="n">
        <f aca="false">T52*Y52</f>
        <v>31</v>
      </c>
      <c r="AB52" s="132" t="n">
        <f aca="false">F52*G52</f>
        <v>0</v>
      </c>
      <c r="AC52" s="132" t="n">
        <f aca="false">$F52*H52</f>
        <v>0</v>
      </c>
      <c r="AD52" s="132" t="n">
        <f aca="false">$F52*I52</f>
        <v>0</v>
      </c>
      <c r="AE52" s="132" t="n">
        <f aca="false">$F52*J52</f>
        <v>-0</v>
      </c>
      <c r="AF52" s="132" t="n">
        <f aca="false">$F52*K52</f>
        <v>-0</v>
      </c>
      <c r="AG52" s="132" t="n">
        <f aca="false">$F52*L52</f>
        <v>0</v>
      </c>
      <c r="AH52" s="132" t="n">
        <f aca="false">$F52*M52</f>
        <v>0</v>
      </c>
      <c r="AI52" s="132" t="n">
        <f aca="false">$F52*N52</f>
        <v>0</v>
      </c>
      <c r="AJ52" s="132" t="n">
        <f aca="false">F52*O52</f>
        <v>0</v>
      </c>
      <c r="AK52" s="137"/>
      <c r="AL52" s="132" t="n">
        <f aca="false">CHOOSE($G$3,AC52-AD52,AD52-AC52)</f>
        <v>0</v>
      </c>
      <c r="AM52" s="132" t="n">
        <f aca="false">CHOOSE($G$3,AF52-AG52,AG52-AF52)</f>
        <v>0</v>
      </c>
      <c r="AN52" s="132" t="n">
        <f aca="false">CHOOSE($G$3,AI52-AJ52,AJ52-AI52)</f>
        <v>0</v>
      </c>
      <c r="AO52" s="148" t="n">
        <f aca="false">SUM(AL52:AN52)</f>
        <v>0</v>
      </c>
      <c r="AQ52" s="132" t="n">
        <f aca="false">CHOOSE($G$3,AB52-AC52,AC52-AB52)</f>
        <v>0</v>
      </c>
      <c r="AR52" s="132" t="n">
        <f aca="false">CHOOSE($G$3,AE52-AF52,AF52-AE52)</f>
        <v>0</v>
      </c>
      <c r="AS52" s="132" t="n">
        <f aca="false">CHOOSE($G$3,AH52-AI52,AI52-AH52)</f>
        <v>0</v>
      </c>
      <c r="AT52" s="148" t="n">
        <f aca="false">AQ52+AR52+AS52</f>
        <v>0</v>
      </c>
      <c r="AU52" s="148"/>
      <c r="AV52" s="133" t="n">
        <f aca="false">AT52+AO52</f>
        <v>0</v>
      </c>
      <c r="AX52" s="133" t="n">
        <f aca="false">AJ52+AG52+AD52</f>
        <v>0</v>
      </c>
      <c r="AY52" s="149"/>
      <c r="AZ52" s="76" t="n">
        <f aca="false">R52*E52</f>
        <v>0</v>
      </c>
    </row>
    <row r="53" customFormat="false" ht="12.75" hidden="false" customHeight="false" outlineLevel="0" collapsed="false">
      <c r="A53" s="138" t="n">
        <f aca="false">EDATE(A52,1)</f>
        <v>38292</v>
      </c>
      <c r="B53" s="139" t="n">
        <f aca="false">VLOOKUP($A53,Table2,MATCH(I$3,Curves2,0))</f>
        <v>0</v>
      </c>
      <c r="C53" s="140"/>
      <c r="D53" s="141" t="n">
        <f aca="false">B53+C53</f>
        <v>0</v>
      </c>
      <c r="E53" s="126" t="n">
        <f aca="false">IF(Y53=0,0,IF(AND(Y53=1,$H$3=1),D53*T53,IF($H$3=2,D53,"N/A")))</f>
        <v>0</v>
      </c>
      <c r="F53" s="126" t="n">
        <f aca="false">E53*X53</f>
        <v>0</v>
      </c>
      <c r="G53" s="142" t="n">
        <f aca="false">VLOOKUP($A53,Table,MATCH(G$4,Curves,0))</f>
        <v>3.862</v>
      </c>
      <c r="H53" s="143" t="n">
        <f aca="false">G53</f>
        <v>3.862</v>
      </c>
      <c r="I53" s="142" t="n">
        <f aca="false">VLOOKUP($A53,Table1,MATCH(I$3,Curves1,0))</f>
        <v>0</v>
      </c>
      <c r="J53" s="142" t="n">
        <f aca="false">VLOOKUP($A53,Table,MATCH(J$4,Curves,0))</f>
        <v>-0.0245</v>
      </c>
      <c r="K53" s="143" t="n">
        <f aca="false">J53</f>
        <v>-0.0245</v>
      </c>
      <c r="L53" s="144" t="n">
        <v>0</v>
      </c>
      <c r="M53" s="142" t="n">
        <f aca="false">VLOOKUP($A53,Table,MATCH(M$4,Curves,0))</f>
        <v>0.0075</v>
      </c>
      <c r="N53" s="143" t="n">
        <f aca="false">M53</f>
        <v>0.0075</v>
      </c>
      <c r="O53" s="144" t="n">
        <v>0</v>
      </c>
      <c r="P53" s="145"/>
      <c r="Q53" s="144" t="n">
        <f aca="false">M53+J53+G53</f>
        <v>3.845</v>
      </c>
      <c r="R53" s="144" t="n">
        <f aca="false">O53+L53+I53</f>
        <v>0</v>
      </c>
      <c r="S53" s="145"/>
      <c r="T53" s="71" t="n">
        <f aca="false">A54-A53</f>
        <v>30</v>
      </c>
      <c r="U53" s="146" t="n">
        <f aca="false">CHOOSE(F$3,A54+24,A53)</f>
        <v>38346</v>
      </c>
      <c r="V53" s="71" t="n">
        <f aca="false">U53-C$3</f>
        <v>1458</v>
      </c>
      <c r="W53" s="142" t="n">
        <f aca="false">VLOOKUP($A53,Table,MATCH(W$4,Curves,0))</f>
        <v>0.058619880473754</v>
      </c>
      <c r="X53" s="147" t="n">
        <f aca="false">1/(1+CHOOSE(F$3,(W54+($K$3/10000))/2,(W53+($K$3/10000))/2))^(2*V53/365.25)</f>
        <v>0.793943843055903</v>
      </c>
      <c r="Y53" s="71" t="n">
        <f aca="false">IF(AND(mthbeg&lt;=A53,mthend&gt;=A53),1,0)</f>
        <v>1</v>
      </c>
      <c r="Z53" s="71" t="n">
        <f aca="false">T53*Y53</f>
        <v>30</v>
      </c>
      <c r="AB53" s="132" t="n">
        <f aca="false">F53*G53</f>
        <v>0</v>
      </c>
      <c r="AC53" s="132" t="n">
        <f aca="false">$F53*H53</f>
        <v>0</v>
      </c>
      <c r="AD53" s="132" t="n">
        <f aca="false">$F53*I53</f>
        <v>0</v>
      </c>
      <c r="AE53" s="132" t="n">
        <f aca="false">$F53*J53</f>
        <v>-0</v>
      </c>
      <c r="AF53" s="132" t="n">
        <f aca="false">$F53*K53</f>
        <v>-0</v>
      </c>
      <c r="AG53" s="132" t="n">
        <f aca="false">$F53*L53</f>
        <v>0</v>
      </c>
      <c r="AH53" s="132" t="n">
        <f aca="false">$F53*M53</f>
        <v>0</v>
      </c>
      <c r="AI53" s="132" t="n">
        <f aca="false">$F53*N53</f>
        <v>0</v>
      </c>
      <c r="AJ53" s="132" t="n">
        <f aca="false">F53*O53</f>
        <v>0</v>
      </c>
      <c r="AK53" s="137"/>
      <c r="AL53" s="132" t="n">
        <f aca="false">CHOOSE($G$3,AC53-AD53,AD53-AC53)</f>
        <v>0</v>
      </c>
      <c r="AM53" s="132" t="n">
        <f aca="false">CHOOSE($G$3,AF53-AG53,AG53-AF53)</f>
        <v>0</v>
      </c>
      <c r="AN53" s="132" t="n">
        <f aca="false">CHOOSE($G$3,AI53-AJ53,AJ53-AI53)</f>
        <v>0</v>
      </c>
      <c r="AO53" s="148" t="n">
        <f aca="false">SUM(AL53:AN53)</f>
        <v>0</v>
      </c>
      <c r="AQ53" s="132" t="n">
        <f aca="false">CHOOSE($G$3,AB53-AC53,AC53-AB53)</f>
        <v>0</v>
      </c>
      <c r="AR53" s="132" t="n">
        <f aca="false">CHOOSE($G$3,AE53-AF53,AF53-AE53)</f>
        <v>0</v>
      </c>
      <c r="AS53" s="132" t="n">
        <f aca="false">CHOOSE($G$3,AH53-AI53,AI53-AH53)</f>
        <v>0</v>
      </c>
      <c r="AT53" s="148" t="n">
        <f aca="false">AQ53+AR53+AS53</f>
        <v>0</v>
      </c>
      <c r="AU53" s="148"/>
      <c r="AV53" s="133" t="n">
        <f aca="false">AT53+AO53</f>
        <v>0</v>
      </c>
      <c r="AX53" s="133" t="n">
        <f aca="false">AJ53+AG53+AD53</f>
        <v>0</v>
      </c>
      <c r="AY53" s="149"/>
      <c r="AZ53" s="76" t="n">
        <f aca="false">R53*E53</f>
        <v>0</v>
      </c>
    </row>
    <row r="54" customFormat="false" ht="12.75" hidden="false" customHeight="false" outlineLevel="0" collapsed="false">
      <c r="A54" s="138" t="n">
        <f aca="false">EDATE(A53,1)</f>
        <v>38322</v>
      </c>
      <c r="B54" s="139" t="n">
        <f aca="false">VLOOKUP($A54,Table2,MATCH(I$3,Curves2,0))</f>
        <v>0</v>
      </c>
      <c r="C54" s="140"/>
      <c r="D54" s="141" t="n">
        <f aca="false">B54+C54</f>
        <v>0</v>
      </c>
      <c r="E54" s="126" t="n">
        <f aca="false">IF(Y54=0,0,IF(AND(Y54=1,$H$3=1),D54*T54,IF($H$3=2,D54,"N/A")))</f>
        <v>0</v>
      </c>
      <c r="F54" s="126" t="n">
        <f aca="false">E54*X54</f>
        <v>0</v>
      </c>
      <c r="G54" s="142" t="n">
        <f aca="false">VLOOKUP($A54,Table,MATCH(G$4,Curves,0))</f>
        <v>3.997</v>
      </c>
      <c r="H54" s="143" t="n">
        <f aca="false">G54</f>
        <v>3.997</v>
      </c>
      <c r="I54" s="142" t="n">
        <f aca="false">VLOOKUP($A54,Table1,MATCH(I$3,Curves1,0))</f>
        <v>0</v>
      </c>
      <c r="J54" s="142" t="n">
        <f aca="false">VLOOKUP($A54,Table,MATCH(J$4,Curves,0))</f>
        <v>-0.0245</v>
      </c>
      <c r="K54" s="143" t="n">
        <f aca="false">J54</f>
        <v>-0.0245</v>
      </c>
      <c r="L54" s="144" t="n">
        <v>0</v>
      </c>
      <c r="M54" s="142" t="n">
        <f aca="false">VLOOKUP($A54,Table,MATCH(M$4,Curves,0))</f>
        <v>0.0075</v>
      </c>
      <c r="N54" s="143" t="n">
        <f aca="false">M54</f>
        <v>0.0075</v>
      </c>
      <c r="O54" s="144" t="n">
        <v>0</v>
      </c>
      <c r="P54" s="145"/>
      <c r="Q54" s="144" t="n">
        <f aca="false">M54+J54+G54</f>
        <v>3.98</v>
      </c>
      <c r="R54" s="144" t="n">
        <f aca="false">O54+L54+I54</f>
        <v>0</v>
      </c>
      <c r="S54" s="145"/>
      <c r="T54" s="71" t="n">
        <f aca="false">A55-A54</f>
        <v>31</v>
      </c>
      <c r="U54" s="146" t="n">
        <f aca="false">CHOOSE(F$3,A55+24,A54)</f>
        <v>38377</v>
      </c>
      <c r="V54" s="71" t="n">
        <f aca="false">U54-C$3</f>
        <v>1489</v>
      </c>
      <c r="W54" s="142" t="n">
        <f aca="false">VLOOKUP($A54,Table,MATCH(W$4,Curves,0))</f>
        <v>0.05864777277744</v>
      </c>
      <c r="X54" s="147" t="n">
        <f aca="false">1/(1+CHOOSE(F$3,(W55+($K$3/10000))/2,(W54+($K$3/10000))/2))^(2*V54/365.25)</f>
        <v>0.789942538412671</v>
      </c>
      <c r="Y54" s="71" t="n">
        <f aca="false">IF(AND(mthbeg&lt;=A54,mthend&gt;=A54),1,0)</f>
        <v>1</v>
      </c>
      <c r="Z54" s="71" t="n">
        <f aca="false">T54*Y54</f>
        <v>31</v>
      </c>
      <c r="AB54" s="132" t="n">
        <f aca="false">F54*G54</f>
        <v>0</v>
      </c>
      <c r="AC54" s="132" t="n">
        <f aca="false">$F54*H54</f>
        <v>0</v>
      </c>
      <c r="AD54" s="132" t="n">
        <f aca="false">$F54*I54</f>
        <v>0</v>
      </c>
      <c r="AE54" s="132" t="n">
        <f aca="false">$F54*J54</f>
        <v>-0</v>
      </c>
      <c r="AF54" s="132" t="n">
        <f aca="false">$F54*K54</f>
        <v>-0</v>
      </c>
      <c r="AG54" s="132" t="n">
        <f aca="false">$F54*L54</f>
        <v>0</v>
      </c>
      <c r="AH54" s="132" t="n">
        <f aca="false">$F54*M54</f>
        <v>0</v>
      </c>
      <c r="AI54" s="132" t="n">
        <f aca="false">$F54*N54</f>
        <v>0</v>
      </c>
      <c r="AJ54" s="132" t="n">
        <f aca="false">F54*O54</f>
        <v>0</v>
      </c>
      <c r="AK54" s="137"/>
      <c r="AL54" s="132" t="n">
        <f aca="false">CHOOSE($G$3,AC54-AD54,AD54-AC54)</f>
        <v>0</v>
      </c>
      <c r="AM54" s="132" t="n">
        <f aca="false">CHOOSE($G$3,AF54-AG54,AG54-AF54)</f>
        <v>0</v>
      </c>
      <c r="AN54" s="132" t="n">
        <f aca="false">CHOOSE($G$3,AI54-AJ54,AJ54-AI54)</f>
        <v>0</v>
      </c>
      <c r="AO54" s="148" t="n">
        <f aca="false">SUM(AL54:AN54)</f>
        <v>0</v>
      </c>
      <c r="AQ54" s="132" t="n">
        <f aca="false">CHOOSE($G$3,AB54-AC54,AC54-AB54)</f>
        <v>0</v>
      </c>
      <c r="AR54" s="132" t="n">
        <f aca="false">CHOOSE($G$3,AE54-AF54,AF54-AE54)</f>
        <v>0</v>
      </c>
      <c r="AS54" s="132" t="n">
        <f aca="false">CHOOSE($G$3,AH54-AI54,AI54-AH54)</f>
        <v>0</v>
      </c>
      <c r="AT54" s="148" t="n">
        <f aca="false">AQ54+AR54+AS54</f>
        <v>0</v>
      </c>
      <c r="AU54" s="148"/>
      <c r="AV54" s="133" t="n">
        <f aca="false">AT54+AO54</f>
        <v>0</v>
      </c>
      <c r="AX54" s="133" t="n">
        <f aca="false">AJ54+AG54+AD54</f>
        <v>0</v>
      </c>
      <c r="AY54" s="149"/>
      <c r="AZ54" s="76" t="n">
        <f aca="false">R54*E54</f>
        <v>0</v>
      </c>
    </row>
    <row r="55" customFormat="false" ht="12.75" hidden="false" customHeight="false" outlineLevel="0" collapsed="false">
      <c r="A55" s="138" t="n">
        <f aca="false">EDATE(A54,1)</f>
        <v>38353</v>
      </c>
      <c r="B55" s="139" t="n">
        <f aca="false">VLOOKUP($A55,Table2,MATCH(I$3,Curves2,0))</f>
        <v>0</v>
      </c>
      <c r="C55" s="140"/>
      <c r="D55" s="141" t="n">
        <f aca="false">B55+C55</f>
        <v>0</v>
      </c>
      <c r="E55" s="126" t="n">
        <f aca="false">IF(Y55=0,0,IF(AND(Y55=1,$H$3=1),D55*T55,IF($H$3=2,D55,"N/A")))</f>
        <v>0</v>
      </c>
      <c r="F55" s="126" t="n">
        <f aca="false">E55*X55</f>
        <v>0</v>
      </c>
      <c r="G55" s="142" t="n">
        <f aca="false">VLOOKUP($A55,Table,MATCH(G$4,Curves,0))</f>
        <v>4.122</v>
      </c>
      <c r="H55" s="143" t="n">
        <f aca="false">G55</f>
        <v>4.122</v>
      </c>
      <c r="I55" s="142" t="n">
        <f aca="false">VLOOKUP($A55,Table1,MATCH(I$3,Curves1,0))</f>
        <v>0</v>
      </c>
      <c r="J55" s="142" t="n">
        <f aca="false">VLOOKUP($A55,Table,MATCH(J$4,Curves,0))</f>
        <v>0.004</v>
      </c>
      <c r="K55" s="143" t="n">
        <f aca="false">J55</f>
        <v>0.004</v>
      </c>
      <c r="L55" s="144" t="n">
        <v>0</v>
      </c>
      <c r="M55" s="142" t="n">
        <f aca="false">VLOOKUP($A55,Table,MATCH(M$4,Curves,0))</f>
        <v>0.01</v>
      </c>
      <c r="N55" s="143" t="n">
        <f aca="false">M55</f>
        <v>0.01</v>
      </c>
      <c r="O55" s="144" t="n">
        <v>0</v>
      </c>
      <c r="P55" s="145"/>
      <c r="Q55" s="144" t="n">
        <f aca="false">M55+J55+G55</f>
        <v>4.136</v>
      </c>
      <c r="R55" s="144" t="n">
        <f aca="false">O55+L55+I55</f>
        <v>0</v>
      </c>
      <c r="S55" s="145"/>
      <c r="T55" s="71" t="n">
        <f aca="false">A56-A55</f>
        <v>31</v>
      </c>
      <c r="U55" s="146" t="n">
        <f aca="false">CHOOSE(F$3,A56+24,A55)</f>
        <v>38408</v>
      </c>
      <c r="V55" s="71" t="n">
        <f aca="false">U55-C$3</f>
        <v>1520</v>
      </c>
      <c r="W55" s="142" t="n">
        <f aca="false">VLOOKUP($A55,Table,MATCH(W$4,Curves,0))</f>
        <v>0.058684757331705</v>
      </c>
      <c r="X55" s="147" t="n">
        <f aca="false">1/(1+CHOOSE(F$3,(W56+($K$3/10000))/2,(W55+($K$3/10000))/2))^(2*V55/365.25)</f>
        <v>0.785935248969975</v>
      </c>
      <c r="Y55" s="71" t="n">
        <f aca="false">IF(AND(mthbeg&lt;=A55,mthend&gt;=A55),1,0)</f>
        <v>1</v>
      </c>
      <c r="Z55" s="71" t="n">
        <f aca="false">T55*Y55</f>
        <v>31</v>
      </c>
      <c r="AB55" s="132" t="n">
        <f aca="false">F55*G55</f>
        <v>0</v>
      </c>
      <c r="AC55" s="132" t="n">
        <f aca="false">$F55*H55</f>
        <v>0</v>
      </c>
      <c r="AD55" s="132" t="n">
        <f aca="false">$F55*I55</f>
        <v>0</v>
      </c>
      <c r="AE55" s="132" t="n">
        <f aca="false">$F55*J55</f>
        <v>0</v>
      </c>
      <c r="AF55" s="132" t="n">
        <f aca="false">$F55*K55</f>
        <v>0</v>
      </c>
      <c r="AG55" s="132" t="n">
        <f aca="false">$F55*L55</f>
        <v>0</v>
      </c>
      <c r="AH55" s="132" t="n">
        <f aca="false">$F55*M55</f>
        <v>0</v>
      </c>
      <c r="AI55" s="132" t="n">
        <f aca="false">$F55*N55</f>
        <v>0</v>
      </c>
      <c r="AJ55" s="132" t="n">
        <f aca="false">F55*O55</f>
        <v>0</v>
      </c>
      <c r="AK55" s="137"/>
      <c r="AL55" s="132" t="n">
        <f aca="false">CHOOSE($G$3,AC55-AD55,AD55-AC55)</f>
        <v>0</v>
      </c>
      <c r="AM55" s="132" t="n">
        <f aca="false">CHOOSE($G$3,AF55-AG55,AG55-AF55)</f>
        <v>0</v>
      </c>
      <c r="AN55" s="132" t="n">
        <f aca="false">CHOOSE($G$3,AI55-AJ55,AJ55-AI55)</f>
        <v>0</v>
      </c>
      <c r="AO55" s="148" t="n">
        <f aca="false">SUM(AL55:AN55)</f>
        <v>0</v>
      </c>
      <c r="AQ55" s="132" t="n">
        <f aca="false">CHOOSE($G$3,AB55-AC55,AC55-AB55)</f>
        <v>0</v>
      </c>
      <c r="AR55" s="132" t="n">
        <f aca="false">CHOOSE($G$3,AE55-AF55,AF55-AE55)</f>
        <v>0</v>
      </c>
      <c r="AS55" s="132" t="n">
        <f aca="false">CHOOSE($G$3,AH55-AI55,AI55-AH55)</f>
        <v>0</v>
      </c>
      <c r="AT55" s="148" t="n">
        <f aca="false">AQ55+AR55+AS55</f>
        <v>0</v>
      </c>
      <c r="AU55" s="148"/>
      <c r="AV55" s="133" t="n">
        <f aca="false">AT55+AO55</f>
        <v>0</v>
      </c>
      <c r="AX55" s="133" t="n">
        <f aca="false">AJ55+AG55+AD55</f>
        <v>0</v>
      </c>
      <c r="AY55" s="149"/>
      <c r="AZ55" s="76" t="n">
        <f aca="false">R55*E55</f>
        <v>0</v>
      </c>
    </row>
    <row r="56" customFormat="false" ht="12.75" hidden="false" customHeight="false" outlineLevel="0" collapsed="false">
      <c r="A56" s="138" t="n">
        <f aca="false">EDATE(A55,1)</f>
        <v>38384</v>
      </c>
      <c r="B56" s="139" t="n">
        <f aca="false">VLOOKUP($A56,Table2,MATCH(I$3,Curves2,0))</f>
        <v>0</v>
      </c>
      <c r="C56" s="140"/>
      <c r="D56" s="141" t="n">
        <f aca="false">B56+C56</f>
        <v>0</v>
      </c>
      <c r="E56" s="126" t="n">
        <f aca="false">IF(Y56=0,0,IF(AND(Y56=1,$H$3=1),D56*T56,IF($H$3=2,D56,"N/A")))</f>
        <v>0</v>
      </c>
      <c r="F56" s="126" t="n">
        <f aca="false">E56*X56</f>
        <v>0</v>
      </c>
      <c r="G56" s="142" t="n">
        <f aca="false">VLOOKUP($A56,Table,MATCH(G$4,Curves,0))</f>
        <v>4.007</v>
      </c>
      <c r="H56" s="143" t="n">
        <f aca="false">G56</f>
        <v>4.007</v>
      </c>
      <c r="I56" s="142" t="n">
        <f aca="false">VLOOKUP($A56,Table1,MATCH(I$3,Curves1,0))</f>
        <v>0</v>
      </c>
      <c r="J56" s="142" t="n">
        <f aca="false">VLOOKUP($A56,Table,MATCH(J$4,Curves,0))</f>
        <v>-0.006</v>
      </c>
      <c r="K56" s="143" t="n">
        <f aca="false">J56</f>
        <v>-0.006</v>
      </c>
      <c r="L56" s="144" t="n">
        <v>0</v>
      </c>
      <c r="M56" s="142" t="n">
        <f aca="false">VLOOKUP($A56,Table,MATCH(M$4,Curves,0))</f>
        <v>0.01</v>
      </c>
      <c r="N56" s="143" t="n">
        <f aca="false">M56</f>
        <v>0.01</v>
      </c>
      <c r="O56" s="144" t="n">
        <v>0</v>
      </c>
      <c r="P56" s="145"/>
      <c r="Q56" s="144" t="n">
        <f aca="false">M56+J56+G56</f>
        <v>4.011</v>
      </c>
      <c r="R56" s="144" t="n">
        <f aca="false">O56+L56+I56</f>
        <v>0</v>
      </c>
      <c r="S56" s="145"/>
      <c r="T56" s="71" t="n">
        <f aca="false">A57-A56</f>
        <v>28</v>
      </c>
      <c r="U56" s="146" t="n">
        <f aca="false">CHOOSE(F$3,A57+24,A56)</f>
        <v>38436</v>
      </c>
      <c r="V56" s="71" t="n">
        <f aca="false">U56-C$3</f>
        <v>1548</v>
      </c>
      <c r="W56" s="142" t="n">
        <f aca="false">VLOOKUP($A56,Table,MATCH(W$4,Curves,0))</f>
        <v>0.058728463950989</v>
      </c>
      <c r="X56" s="147" t="n">
        <f aca="false">1/(1+CHOOSE(F$3,(W57+($K$3/10000))/2,(W56+($K$3/10000))/2))^(2*V56/365.25)</f>
        <v>0.782328393430408</v>
      </c>
      <c r="Y56" s="71" t="n">
        <f aca="false">IF(AND(mthbeg&lt;=A56,mthend&gt;=A56),1,0)</f>
        <v>1</v>
      </c>
      <c r="Z56" s="71" t="n">
        <f aca="false">T56*Y56</f>
        <v>28</v>
      </c>
      <c r="AB56" s="132" t="n">
        <f aca="false">F56*G56</f>
        <v>0</v>
      </c>
      <c r="AC56" s="132" t="n">
        <f aca="false">$F56*H56</f>
        <v>0</v>
      </c>
      <c r="AD56" s="132" t="n">
        <f aca="false">$F56*I56</f>
        <v>0</v>
      </c>
      <c r="AE56" s="132" t="n">
        <f aca="false">$F56*J56</f>
        <v>-0</v>
      </c>
      <c r="AF56" s="132" t="n">
        <f aca="false">$F56*K56</f>
        <v>-0</v>
      </c>
      <c r="AG56" s="132" t="n">
        <f aca="false">$F56*L56</f>
        <v>0</v>
      </c>
      <c r="AH56" s="132" t="n">
        <f aca="false">$F56*M56</f>
        <v>0</v>
      </c>
      <c r="AI56" s="132" t="n">
        <f aca="false">$F56*N56</f>
        <v>0</v>
      </c>
      <c r="AJ56" s="132" t="n">
        <f aca="false">F56*O56</f>
        <v>0</v>
      </c>
      <c r="AK56" s="137"/>
      <c r="AL56" s="132" t="n">
        <f aca="false">CHOOSE($G$3,AC56-AD56,AD56-AC56)</f>
        <v>0</v>
      </c>
      <c r="AM56" s="132" t="n">
        <f aca="false">CHOOSE($G$3,AF56-AG56,AG56-AF56)</f>
        <v>0</v>
      </c>
      <c r="AN56" s="132" t="n">
        <f aca="false">CHOOSE($G$3,AI56-AJ56,AJ56-AI56)</f>
        <v>0</v>
      </c>
      <c r="AO56" s="148" t="n">
        <f aca="false">SUM(AL56:AN56)</f>
        <v>0</v>
      </c>
      <c r="AQ56" s="132" t="n">
        <f aca="false">CHOOSE($G$3,AB56-AC56,AC56-AB56)</f>
        <v>0</v>
      </c>
      <c r="AR56" s="132" t="n">
        <f aca="false">CHOOSE($G$3,AE56-AF56,AF56-AE56)</f>
        <v>0</v>
      </c>
      <c r="AS56" s="132" t="n">
        <f aca="false">CHOOSE($G$3,AH56-AI56,AI56-AH56)</f>
        <v>0</v>
      </c>
      <c r="AT56" s="148" t="n">
        <f aca="false">AQ56+AR56+AS56</f>
        <v>0</v>
      </c>
      <c r="AU56" s="148"/>
      <c r="AV56" s="133" t="n">
        <f aca="false">AT56+AO56</f>
        <v>0</v>
      </c>
      <c r="AX56" s="133" t="n">
        <f aca="false">AJ56+AG56+AD56</f>
        <v>0</v>
      </c>
      <c r="AY56" s="149"/>
      <c r="AZ56" s="76" t="n">
        <f aca="false">R56*E56</f>
        <v>0</v>
      </c>
    </row>
    <row r="57" customFormat="false" ht="12.75" hidden="false" customHeight="false" outlineLevel="0" collapsed="false">
      <c r="A57" s="138" t="n">
        <f aca="false">EDATE(A56,1)</f>
        <v>38412</v>
      </c>
      <c r="B57" s="139" t="n">
        <f aca="false">VLOOKUP($A57,Table2,MATCH(I$3,Curves2,0))</f>
        <v>0</v>
      </c>
      <c r="C57" s="140"/>
      <c r="D57" s="141" t="n">
        <f aca="false">B57+C57</f>
        <v>0</v>
      </c>
      <c r="E57" s="126" t="n">
        <f aca="false">IF(Y57=0,0,IF(AND(Y57=1,$H$3=1),D57*T57,IF($H$3=2,D57,"N/A")))</f>
        <v>0</v>
      </c>
      <c r="F57" s="126" t="n">
        <f aca="false">E57*X57</f>
        <v>0</v>
      </c>
      <c r="G57" s="142" t="n">
        <f aca="false">VLOOKUP($A57,Table,MATCH(G$4,Curves,0))</f>
        <v>3.867</v>
      </c>
      <c r="H57" s="143" t="n">
        <f aca="false">G57</f>
        <v>3.867</v>
      </c>
      <c r="I57" s="142" t="n">
        <f aca="false">VLOOKUP($A57,Table1,MATCH(I$3,Curves1,0))</f>
        <v>0</v>
      </c>
      <c r="J57" s="142" t="n">
        <f aca="false">VLOOKUP($A57,Table,MATCH(J$4,Curves,0))</f>
        <v>-0.006</v>
      </c>
      <c r="K57" s="143" t="n">
        <f aca="false">J57</f>
        <v>-0.006</v>
      </c>
      <c r="L57" s="144" t="n">
        <v>0</v>
      </c>
      <c r="M57" s="142" t="n">
        <f aca="false">VLOOKUP($A57,Table,MATCH(M$4,Curves,0))</f>
        <v>0.01</v>
      </c>
      <c r="N57" s="143" t="n">
        <f aca="false">M57</f>
        <v>0.01</v>
      </c>
      <c r="O57" s="144" t="n">
        <v>0</v>
      </c>
      <c r="P57" s="145"/>
      <c r="Q57" s="144" t="n">
        <f aca="false">M57+J57+G57</f>
        <v>3.871</v>
      </c>
      <c r="R57" s="144" t="n">
        <f aca="false">O57+L57+I57</f>
        <v>0</v>
      </c>
      <c r="S57" s="145"/>
      <c r="T57" s="71" t="n">
        <f aca="false">A58-A57</f>
        <v>31</v>
      </c>
      <c r="U57" s="146" t="n">
        <f aca="false">CHOOSE(F$3,A58+24,A57)</f>
        <v>38467</v>
      </c>
      <c r="V57" s="71" t="n">
        <f aca="false">U57-C$3</f>
        <v>1579</v>
      </c>
      <c r="W57" s="142" t="n">
        <f aca="false">VLOOKUP($A57,Table,MATCH(W$4,Curves,0))</f>
        <v>0.058767940897985</v>
      </c>
      <c r="X57" s="147" t="n">
        <f aca="false">1/(1+CHOOSE(F$3,(W58+($K$3/10000))/2,(W57+($K$3/10000))/2))^(2*V57/365.25)</f>
        <v>0.778389256178404</v>
      </c>
      <c r="Y57" s="71" t="n">
        <f aca="false">IF(AND(mthbeg&lt;=A57,mthend&gt;=A57),1,0)</f>
        <v>1</v>
      </c>
      <c r="Z57" s="71" t="n">
        <f aca="false">T57*Y57</f>
        <v>31</v>
      </c>
      <c r="AB57" s="132" t="n">
        <f aca="false">F57*G57</f>
        <v>0</v>
      </c>
      <c r="AC57" s="132" t="n">
        <f aca="false">$F57*H57</f>
        <v>0</v>
      </c>
      <c r="AD57" s="132" t="n">
        <f aca="false">$F57*I57</f>
        <v>0</v>
      </c>
      <c r="AE57" s="132" t="n">
        <f aca="false">$F57*J57</f>
        <v>-0</v>
      </c>
      <c r="AF57" s="132" t="n">
        <f aca="false">$F57*K57</f>
        <v>-0</v>
      </c>
      <c r="AG57" s="132" t="n">
        <f aca="false">$F57*L57</f>
        <v>0</v>
      </c>
      <c r="AH57" s="132" t="n">
        <f aca="false">$F57*M57</f>
        <v>0</v>
      </c>
      <c r="AI57" s="132" t="n">
        <f aca="false">$F57*N57</f>
        <v>0</v>
      </c>
      <c r="AJ57" s="132" t="n">
        <f aca="false">F57*O57</f>
        <v>0</v>
      </c>
      <c r="AK57" s="137"/>
      <c r="AL57" s="132" t="n">
        <f aca="false">CHOOSE($G$3,AC57-AD57,AD57-AC57)</f>
        <v>0</v>
      </c>
      <c r="AM57" s="132" t="n">
        <f aca="false">CHOOSE($G$3,AF57-AG57,AG57-AF57)</f>
        <v>0</v>
      </c>
      <c r="AN57" s="132" t="n">
        <f aca="false">CHOOSE($G$3,AI57-AJ57,AJ57-AI57)</f>
        <v>0</v>
      </c>
      <c r="AO57" s="148" t="n">
        <f aca="false">SUM(AL57:AN57)</f>
        <v>0</v>
      </c>
      <c r="AQ57" s="132" t="n">
        <f aca="false">CHOOSE($G$3,AB57-AC57,AC57-AB57)</f>
        <v>0</v>
      </c>
      <c r="AR57" s="132" t="n">
        <f aca="false">CHOOSE($G$3,AE57-AF57,AF57-AE57)</f>
        <v>0</v>
      </c>
      <c r="AS57" s="132" t="n">
        <f aca="false">CHOOSE($G$3,AH57-AI57,AI57-AH57)</f>
        <v>0</v>
      </c>
      <c r="AT57" s="148" t="n">
        <f aca="false">AQ57+AR57+AS57</f>
        <v>0</v>
      </c>
      <c r="AU57" s="148"/>
      <c r="AV57" s="133" t="n">
        <f aca="false">AT57+AO57</f>
        <v>0</v>
      </c>
      <c r="AX57" s="133" t="n">
        <f aca="false">AJ57+AG57+AD57</f>
        <v>0</v>
      </c>
      <c r="AY57" s="149"/>
      <c r="AZ57" s="76" t="n">
        <f aca="false">R57*E57</f>
        <v>0</v>
      </c>
    </row>
    <row r="58" customFormat="false" ht="12.75" hidden="false" customHeight="false" outlineLevel="0" collapsed="false">
      <c r="A58" s="138" t="n">
        <f aca="false">EDATE(A57,1)</f>
        <v>38443</v>
      </c>
      <c r="B58" s="139" t="n">
        <f aca="false">VLOOKUP($A58,Table2,MATCH(I$3,Curves2,0))</f>
        <v>0</v>
      </c>
      <c r="C58" s="140"/>
      <c r="D58" s="141" t="n">
        <f aca="false">B58+C58</f>
        <v>0</v>
      </c>
      <c r="E58" s="126" t="n">
        <f aca="false">IF(Y58=0,0,IF(AND(Y58=1,$H$3=1),D58*T58,IF($H$3=2,D58,"N/A")))</f>
        <v>0</v>
      </c>
      <c r="F58" s="126" t="n">
        <f aca="false">E58*X58</f>
        <v>0</v>
      </c>
      <c r="G58" s="142" t="n">
        <f aca="false">VLOOKUP($A58,Table,MATCH(G$4,Curves,0))</f>
        <v>3.672</v>
      </c>
      <c r="H58" s="143" t="n">
        <f aca="false">G58</f>
        <v>3.672</v>
      </c>
      <c r="I58" s="142" t="n">
        <f aca="false">VLOOKUP($A58,Table1,MATCH(I$3,Curves1,0))</f>
        <v>0</v>
      </c>
      <c r="J58" s="142" t="n">
        <f aca="false">VLOOKUP($A58,Table,MATCH(J$4,Curves,0))</f>
        <v>-0.021</v>
      </c>
      <c r="K58" s="143" t="n">
        <f aca="false">J58</f>
        <v>-0.021</v>
      </c>
      <c r="L58" s="144" t="n">
        <v>0</v>
      </c>
      <c r="M58" s="142" t="n">
        <f aca="false">VLOOKUP($A58,Table,MATCH(M$4,Curves,0))</f>
        <v>0.0075</v>
      </c>
      <c r="N58" s="143" t="n">
        <f aca="false">M58</f>
        <v>0.0075</v>
      </c>
      <c r="O58" s="144" t="n">
        <v>0</v>
      </c>
      <c r="P58" s="145"/>
      <c r="Q58" s="144" t="n">
        <f aca="false">M58+J58+G58</f>
        <v>3.6585</v>
      </c>
      <c r="R58" s="144" t="n">
        <f aca="false">O58+L58+I58</f>
        <v>0</v>
      </c>
      <c r="S58" s="145"/>
      <c r="T58" s="71" t="n">
        <f aca="false">A59-A58</f>
        <v>30</v>
      </c>
      <c r="U58" s="146" t="n">
        <f aca="false">CHOOSE(F$3,A59+24,A58)</f>
        <v>38497</v>
      </c>
      <c r="V58" s="71" t="n">
        <f aca="false">U58-C$3</f>
        <v>1609</v>
      </c>
      <c r="W58" s="142" t="n">
        <f aca="false">VLOOKUP($A58,Table,MATCH(W$4,Curves,0))</f>
        <v>0.058799350228651</v>
      </c>
      <c r="X58" s="147" t="n">
        <f aca="false">1/(1+CHOOSE(F$3,(W59+($K$3/10000))/2,(W58+($K$3/10000))/2))^(2*V58/365.25)</f>
        <v>0.774624742030143</v>
      </c>
      <c r="Y58" s="71" t="n">
        <f aca="false">IF(AND(mthbeg&lt;=A58,mthend&gt;=A58),1,0)</f>
        <v>1</v>
      </c>
      <c r="Z58" s="71" t="n">
        <f aca="false">T58*Y58</f>
        <v>30</v>
      </c>
      <c r="AB58" s="132" t="n">
        <f aca="false">F58*G58</f>
        <v>0</v>
      </c>
      <c r="AC58" s="132" t="n">
        <f aca="false">$F58*H58</f>
        <v>0</v>
      </c>
      <c r="AD58" s="132" t="n">
        <f aca="false">$F58*I58</f>
        <v>0</v>
      </c>
      <c r="AE58" s="132" t="n">
        <f aca="false">$F58*J58</f>
        <v>-0</v>
      </c>
      <c r="AF58" s="132" t="n">
        <f aca="false">$F58*K58</f>
        <v>-0</v>
      </c>
      <c r="AG58" s="132" t="n">
        <f aca="false">$F58*L58</f>
        <v>0</v>
      </c>
      <c r="AH58" s="132" t="n">
        <f aca="false">$F58*M58</f>
        <v>0</v>
      </c>
      <c r="AI58" s="132" t="n">
        <f aca="false">$F58*N58</f>
        <v>0</v>
      </c>
      <c r="AJ58" s="132" t="n">
        <f aca="false">F58*O58</f>
        <v>0</v>
      </c>
      <c r="AK58" s="137"/>
      <c r="AL58" s="132" t="n">
        <f aca="false">CHOOSE($G$3,AC58-AD58,AD58-AC58)</f>
        <v>0</v>
      </c>
      <c r="AM58" s="132" t="n">
        <f aca="false">CHOOSE($G$3,AF58-AG58,AG58-AF58)</f>
        <v>0</v>
      </c>
      <c r="AN58" s="132" t="n">
        <f aca="false">CHOOSE($G$3,AI58-AJ58,AJ58-AI58)</f>
        <v>0</v>
      </c>
      <c r="AO58" s="148" t="n">
        <f aca="false">SUM(AL58:AN58)</f>
        <v>0</v>
      </c>
      <c r="AQ58" s="132" t="n">
        <f aca="false">CHOOSE($G$3,AB58-AC58,AC58-AB58)</f>
        <v>0</v>
      </c>
      <c r="AR58" s="132" t="n">
        <f aca="false">CHOOSE($G$3,AE58-AF58,AF58-AE58)</f>
        <v>0</v>
      </c>
      <c r="AS58" s="132" t="n">
        <f aca="false">CHOOSE($G$3,AH58-AI58,AI58-AH58)</f>
        <v>0</v>
      </c>
      <c r="AT58" s="148" t="n">
        <f aca="false">AQ58+AR58+AS58</f>
        <v>0</v>
      </c>
      <c r="AU58" s="148"/>
      <c r="AV58" s="133" t="n">
        <f aca="false">AT58+AO58</f>
        <v>0</v>
      </c>
      <c r="AX58" s="133" t="n">
        <f aca="false">AJ58+AG58+AD58</f>
        <v>0</v>
      </c>
      <c r="AY58" s="149"/>
      <c r="AZ58" s="76" t="n">
        <f aca="false">R58*E58</f>
        <v>0</v>
      </c>
    </row>
    <row r="59" customFormat="false" ht="12.75" hidden="false" customHeight="false" outlineLevel="0" collapsed="false">
      <c r="A59" s="138" t="n">
        <f aca="false">EDATE(A58,1)</f>
        <v>38473</v>
      </c>
      <c r="B59" s="139" t="n">
        <f aca="false">VLOOKUP($A59,Table2,MATCH(I$3,Curves2,0))</f>
        <v>0</v>
      </c>
      <c r="C59" s="140"/>
      <c r="D59" s="141" t="n">
        <f aca="false">B59+C59</f>
        <v>0</v>
      </c>
      <c r="E59" s="126" t="n">
        <f aca="false">IF(Y59=0,0,IF(AND(Y59=1,$H$3=1),D59*T59,IF($H$3=2,D59,"N/A")))</f>
        <v>0</v>
      </c>
      <c r="F59" s="126" t="n">
        <f aca="false">E59*X59</f>
        <v>0</v>
      </c>
      <c r="G59" s="142" t="n">
        <f aca="false">VLOOKUP($A59,Table,MATCH(G$4,Curves,0))</f>
        <v>3.627</v>
      </c>
      <c r="H59" s="143" t="n">
        <f aca="false">G59</f>
        <v>3.627</v>
      </c>
      <c r="I59" s="142" t="n">
        <f aca="false">VLOOKUP($A59,Table1,MATCH(I$3,Curves1,0))</f>
        <v>0</v>
      </c>
      <c r="J59" s="142" t="n">
        <f aca="false">VLOOKUP($A59,Table,MATCH(J$4,Curves,0))</f>
        <v>-0.021</v>
      </c>
      <c r="K59" s="143" t="n">
        <f aca="false">J59</f>
        <v>-0.021</v>
      </c>
      <c r="L59" s="144" t="n">
        <v>0</v>
      </c>
      <c r="M59" s="142" t="n">
        <f aca="false">VLOOKUP($A59,Table,MATCH(M$4,Curves,0))</f>
        <v>0.0075</v>
      </c>
      <c r="N59" s="143" t="n">
        <f aca="false">M59</f>
        <v>0.0075</v>
      </c>
      <c r="O59" s="144" t="n">
        <v>0</v>
      </c>
      <c r="P59" s="145"/>
      <c r="Q59" s="144" t="n">
        <f aca="false">M59+J59+G59</f>
        <v>3.6135</v>
      </c>
      <c r="R59" s="144" t="n">
        <f aca="false">O59+L59+I59</f>
        <v>0</v>
      </c>
      <c r="S59" s="145"/>
      <c r="T59" s="71" t="n">
        <f aca="false">A60-A59</f>
        <v>31</v>
      </c>
      <c r="U59" s="146" t="n">
        <f aca="false">CHOOSE(F$3,A60+24,A59)</f>
        <v>38528</v>
      </c>
      <c r="V59" s="71" t="n">
        <f aca="false">U59-C$3</f>
        <v>1640</v>
      </c>
      <c r="W59" s="142" t="n">
        <f aca="false">VLOOKUP($A59,Table,MATCH(W$4,Curves,0))</f>
        <v>0.058819945858717</v>
      </c>
      <c r="X59" s="147" t="n">
        <f aca="false">1/(1+CHOOSE(F$3,(W60+($K$3/10000))/2,(W59+($K$3/10000))/2))^(2*V59/365.25)</f>
        <v>0.77075120923653</v>
      </c>
      <c r="Y59" s="71" t="n">
        <f aca="false">IF(AND(mthbeg&lt;=A59,mthend&gt;=A59),1,0)</f>
        <v>1</v>
      </c>
      <c r="Z59" s="71" t="n">
        <f aca="false">T59*Y59</f>
        <v>31</v>
      </c>
      <c r="AB59" s="132" t="n">
        <f aca="false">F59*G59</f>
        <v>0</v>
      </c>
      <c r="AC59" s="132" t="n">
        <f aca="false">$F59*H59</f>
        <v>0</v>
      </c>
      <c r="AD59" s="132" t="n">
        <f aca="false">$F59*I59</f>
        <v>0</v>
      </c>
      <c r="AE59" s="132" t="n">
        <f aca="false">$F59*J59</f>
        <v>-0</v>
      </c>
      <c r="AF59" s="132" t="n">
        <f aca="false">$F59*K59</f>
        <v>-0</v>
      </c>
      <c r="AG59" s="132" t="n">
        <f aca="false">$F59*L59</f>
        <v>0</v>
      </c>
      <c r="AH59" s="132" t="n">
        <f aca="false">$F59*M59</f>
        <v>0</v>
      </c>
      <c r="AI59" s="132" t="n">
        <f aca="false">$F59*N59</f>
        <v>0</v>
      </c>
      <c r="AJ59" s="132" t="n">
        <f aca="false">F59*O59</f>
        <v>0</v>
      </c>
      <c r="AK59" s="137"/>
      <c r="AL59" s="132" t="n">
        <f aca="false">CHOOSE($G$3,AC59-AD59,AD59-AC59)</f>
        <v>0</v>
      </c>
      <c r="AM59" s="132" t="n">
        <f aca="false">CHOOSE($G$3,AF59-AG59,AG59-AF59)</f>
        <v>0</v>
      </c>
      <c r="AN59" s="132" t="n">
        <f aca="false">CHOOSE($G$3,AI59-AJ59,AJ59-AI59)</f>
        <v>0</v>
      </c>
      <c r="AO59" s="148" t="n">
        <f aca="false">SUM(AL59:AN59)</f>
        <v>0</v>
      </c>
      <c r="AQ59" s="132" t="n">
        <f aca="false">CHOOSE($G$3,AB59-AC59,AC59-AB59)</f>
        <v>0</v>
      </c>
      <c r="AR59" s="132" t="n">
        <f aca="false">CHOOSE($G$3,AE59-AF59,AF59-AE59)</f>
        <v>0</v>
      </c>
      <c r="AS59" s="132" t="n">
        <f aca="false">CHOOSE($G$3,AH59-AI59,AI59-AH59)</f>
        <v>0</v>
      </c>
      <c r="AT59" s="148" t="n">
        <f aca="false">AQ59+AR59+AS59</f>
        <v>0</v>
      </c>
      <c r="AU59" s="148"/>
      <c r="AV59" s="133" t="n">
        <f aca="false">AT59+AO59</f>
        <v>0</v>
      </c>
      <c r="AX59" s="133" t="n">
        <f aca="false">AJ59+AG59+AD59</f>
        <v>0</v>
      </c>
      <c r="AY59" s="149"/>
      <c r="AZ59" s="76" t="n">
        <f aca="false">R59*E59</f>
        <v>0</v>
      </c>
    </row>
    <row r="60" customFormat="false" ht="12.75" hidden="false" customHeight="false" outlineLevel="0" collapsed="false">
      <c r="A60" s="138" t="n">
        <f aca="false">EDATE(A59,1)</f>
        <v>38504</v>
      </c>
      <c r="B60" s="139" t="n">
        <f aca="false">VLOOKUP($A60,Table2,MATCH(I$3,Curves2,0))</f>
        <v>0</v>
      </c>
      <c r="C60" s="140"/>
      <c r="D60" s="141" t="n">
        <f aca="false">B60+C60</f>
        <v>0</v>
      </c>
      <c r="E60" s="126" t="n">
        <f aca="false">IF(Y60=0,0,IF(AND(Y60=1,$H$3=1),D60*T60,IF($H$3=2,D60,"N/A")))</f>
        <v>0</v>
      </c>
      <c r="F60" s="126" t="n">
        <f aca="false">E60*X60</f>
        <v>0</v>
      </c>
      <c r="G60" s="142" t="n">
        <f aca="false">VLOOKUP($A60,Table,MATCH(G$4,Curves,0))</f>
        <v>3.647</v>
      </c>
      <c r="H60" s="143" t="n">
        <f aca="false">G60</f>
        <v>3.647</v>
      </c>
      <c r="I60" s="142" t="n">
        <f aca="false">VLOOKUP($A60,Table1,MATCH(I$3,Curves1,0))</f>
        <v>0</v>
      </c>
      <c r="J60" s="142" t="n">
        <f aca="false">VLOOKUP($A60,Table,MATCH(J$4,Curves,0))</f>
        <v>-0.021</v>
      </c>
      <c r="K60" s="143" t="n">
        <f aca="false">J60</f>
        <v>-0.021</v>
      </c>
      <c r="L60" s="144" t="n">
        <v>0</v>
      </c>
      <c r="M60" s="142" t="n">
        <f aca="false">VLOOKUP($A60,Table,MATCH(M$4,Curves,0))</f>
        <v>0.0075</v>
      </c>
      <c r="N60" s="143" t="n">
        <f aca="false">M60</f>
        <v>0.0075</v>
      </c>
      <c r="O60" s="144" t="n">
        <v>0</v>
      </c>
      <c r="P60" s="145"/>
      <c r="Q60" s="144" t="n">
        <f aca="false">M60+J60+G60</f>
        <v>3.6335</v>
      </c>
      <c r="R60" s="144" t="n">
        <f aca="false">O60+L60+I60</f>
        <v>0</v>
      </c>
      <c r="S60" s="145"/>
      <c r="T60" s="71" t="n">
        <f aca="false">A61-A60</f>
        <v>30</v>
      </c>
      <c r="U60" s="146" t="n">
        <f aca="false">CHOOSE(F$3,A61+24,A60)</f>
        <v>38558</v>
      </c>
      <c r="V60" s="71" t="n">
        <f aca="false">U60-C$3</f>
        <v>1670</v>
      </c>
      <c r="W60" s="142" t="n">
        <f aca="false">VLOOKUP($A60,Table,MATCH(W$4,Curves,0))</f>
        <v>0.058841228009932</v>
      </c>
      <c r="X60" s="147" t="n">
        <f aca="false">1/(1+CHOOSE(F$3,(W61+($K$3/10000))/2,(W60+($K$3/10000))/2))^(2*V60/365.25)</f>
        <v>0.767018510469143</v>
      </c>
      <c r="Y60" s="71" t="n">
        <f aca="false">IF(AND(mthbeg&lt;=A60,mthend&gt;=A60),1,0)</f>
        <v>1</v>
      </c>
      <c r="Z60" s="71" t="n">
        <f aca="false">T60*Y60</f>
        <v>30</v>
      </c>
      <c r="AB60" s="132" t="n">
        <f aca="false">F60*G60</f>
        <v>0</v>
      </c>
      <c r="AC60" s="132" t="n">
        <f aca="false">$F60*H60</f>
        <v>0</v>
      </c>
      <c r="AD60" s="132" t="n">
        <f aca="false">$F60*I60</f>
        <v>0</v>
      </c>
      <c r="AE60" s="132" t="n">
        <f aca="false">$F60*J60</f>
        <v>-0</v>
      </c>
      <c r="AF60" s="132" t="n">
        <f aca="false">$F60*K60</f>
        <v>-0</v>
      </c>
      <c r="AG60" s="132" t="n">
        <f aca="false">$F60*L60</f>
        <v>0</v>
      </c>
      <c r="AH60" s="132" t="n">
        <f aca="false">$F60*M60</f>
        <v>0</v>
      </c>
      <c r="AI60" s="132" t="n">
        <f aca="false">$F60*N60</f>
        <v>0</v>
      </c>
      <c r="AJ60" s="132" t="n">
        <f aca="false">F60*O60</f>
        <v>0</v>
      </c>
      <c r="AK60" s="137"/>
      <c r="AL60" s="132" t="n">
        <f aca="false">CHOOSE($G$3,AC60-AD60,AD60-AC60)</f>
        <v>0</v>
      </c>
      <c r="AM60" s="132" t="n">
        <f aca="false">CHOOSE($G$3,AF60-AG60,AG60-AF60)</f>
        <v>0</v>
      </c>
      <c r="AN60" s="132" t="n">
        <f aca="false">CHOOSE($G$3,AI60-AJ60,AJ60-AI60)</f>
        <v>0</v>
      </c>
      <c r="AO60" s="148" t="n">
        <f aca="false">SUM(AL60:AN60)</f>
        <v>0</v>
      </c>
      <c r="AQ60" s="132" t="n">
        <f aca="false">CHOOSE($G$3,AB60-AC60,AC60-AB60)</f>
        <v>0</v>
      </c>
      <c r="AR60" s="132" t="n">
        <f aca="false">CHOOSE($G$3,AE60-AF60,AF60-AE60)</f>
        <v>0</v>
      </c>
      <c r="AS60" s="132" t="n">
        <f aca="false">CHOOSE($G$3,AH60-AI60,AI60-AH60)</f>
        <v>0</v>
      </c>
      <c r="AT60" s="148" t="n">
        <f aca="false">AQ60+AR60+AS60</f>
        <v>0</v>
      </c>
      <c r="AU60" s="148"/>
      <c r="AV60" s="133" t="n">
        <f aca="false">AT60+AO60</f>
        <v>0</v>
      </c>
      <c r="AX60" s="133" t="n">
        <f aca="false">AJ60+AG60+AD60</f>
        <v>0</v>
      </c>
      <c r="AY60" s="149"/>
      <c r="AZ60" s="76" t="n">
        <f aca="false">R60*E60</f>
        <v>0</v>
      </c>
    </row>
    <row r="61" customFormat="false" ht="12.75" hidden="false" customHeight="false" outlineLevel="0" collapsed="false">
      <c r="A61" s="138" t="n">
        <f aca="false">EDATE(A60,1)</f>
        <v>38534</v>
      </c>
      <c r="B61" s="139" t="n">
        <f aca="false">VLOOKUP($A61,Table2,MATCH(I$3,Curves2,0))</f>
        <v>0</v>
      </c>
      <c r="C61" s="140"/>
      <c r="D61" s="141" t="n">
        <f aca="false">B61+C61</f>
        <v>0</v>
      </c>
      <c r="E61" s="126" t="n">
        <f aca="false">IF(Y61=0,0,IF(AND(Y61=1,$H$3=1),D61*T61,IF($H$3=2,D61,"N/A")))</f>
        <v>0</v>
      </c>
      <c r="F61" s="126" t="n">
        <f aca="false">E61*X61</f>
        <v>0</v>
      </c>
      <c r="G61" s="142" t="n">
        <f aca="false">VLOOKUP($A61,Table,MATCH(G$4,Curves,0))</f>
        <v>3.662</v>
      </c>
      <c r="H61" s="143" t="n">
        <f aca="false">G61</f>
        <v>3.662</v>
      </c>
      <c r="I61" s="142" t="n">
        <f aca="false">VLOOKUP($A61,Table1,MATCH(I$3,Curves1,0))</f>
        <v>0</v>
      </c>
      <c r="J61" s="142" t="n">
        <f aca="false">VLOOKUP($A61,Table,MATCH(J$4,Curves,0))</f>
        <v>-0.021</v>
      </c>
      <c r="K61" s="143" t="n">
        <f aca="false">J61</f>
        <v>-0.021</v>
      </c>
      <c r="L61" s="144" t="n">
        <v>0</v>
      </c>
      <c r="M61" s="142" t="n">
        <f aca="false">VLOOKUP($A61,Table,MATCH(M$4,Curves,0))</f>
        <v>0.0075</v>
      </c>
      <c r="N61" s="143" t="n">
        <f aca="false">M61</f>
        <v>0.0075</v>
      </c>
      <c r="O61" s="144" t="n">
        <v>0</v>
      </c>
      <c r="P61" s="145"/>
      <c r="Q61" s="144" t="n">
        <f aca="false">M61+J61+G61</f>
        <v>3.6485</v>
      </c>
      <c r="R61" s="144" t="n">
        <f aca="false">O61+L61+I61</f>
        <v>0</v>
      </c>
      <c r="S61" s="145"/>
      <c r="T61" s="71" t="n">
        <f aca="false">A62-A61</f>
        <v>31</v>
      </c>
      <c r="U61" s="146" t="n">
        <f aca="false">CHOOSE(F$3,A62+24,A61)</f>
        <v>38589</v>
      </c>
      <c r="V61" s="71" t="n">
        <f aca="false">U61-C$3</f>
        <v>1701</v>
      </c>
      <c r="W61" s="142" t="n">
        <f aca="false">VLOOKUP($A61,Table,MATCH(W$4,Curves,0))</f>
        <v>0.058861823640284</v>
      </c>
      <c r="X61" s="147" t="n">
        <f aca="false">1/(1+CHOOSE(F$3,(W62+($K$3/10000))/2,(W61+($K$3/10000))/2))^(2*V61/365.25)</f>
        <v>0.763177744222314</v>
      </c>
      <c r="Y61" s="71" t="n">
        <f aca="false">IF(AND(mthbeg&lt;=A61,mthend&gt;=A61),1,0)</f>
        <v>1</v>
      </c>
      <c r="Z61" s="71" t="n">
        <f aca="false">T61*Y61</f>
        <v>31</v>
      </c>
      <c r="AB61" s="132" t="n">
        <f aca="false">F61*G61</f>
        <v>0</v>
      </c>
      <c r="AC61" s="132" t="n">
        <f aca="false">$F61*H61</f>
        <v>0</v>
      </c>
      <c r="AD61" s="132" t="n">
        <f aca="false">$F61*I61</f>
        <v>0</v>
      </c>
      <c r="AE61" s="132" t="n">
        <f aca="false">$F61*J61</f>
        <v>-0</v>
      </c>
      <c r="AF61" s="132" t="n">
        <f aca="false">$F61*K61</f>
        <v>-0</v>
      </c>
      <c r="AG61" s="132" t="n">
        <f aca="false">$F61*L61</f>
        <v>0</v>
      </c>
      <c r="AH61" s="132" t="n">
        <f aca="false">$F61*M61</f>
        <v>0</v>
      </c>
      <c r="AI61" s="132" t="n">
        <f aca="false">$F61*N61</f>
        <v>0</v>
      </c>
      <c r="AJ61" s="132" t="n">
        <f aca="false">F61*O61</f>
        <v>0</v>
      </c>
      <c r="AK61" s="137"/>
      <c r="AL61" s="132" t="n">
        <f aca="false">CHOOSE($G$3,AC61-AD61,AD61-AC61)</f>
        <v>0</v>
      </c>
      <c r="AM61" s="132" t="n">
        <f aca="false">CHOOSE($G$3,AF61-AG61,AG61-AF61)</f>
        <v>0</v>
      </c>
      <c r="AN61" s="132" t="n">
        <f aca="false">CHOOSE($G$3,AI61-AJ61,AJ61-AI61)</f>
        <v>0</v>
      </c>
      <c r="AO61" s="148" t="n">
        <f aca="false">SUM(AL61:AN61)</f>
        <v>0</v>
      </c>
      <c r="AQ61" s="132" t="n">
        <f aca="false">CHOOSE($G$3,AB61-AC61,AC61-AB61)</f>
        <v>0</v>
      </c>
      <c r="AR61" s="132" t="n">
        <f aca="false">CHOOSE($G$3,AE61-AF61,AF61-AE61)</f>
        <v>0</v>
      </c>
      <c r="AS61" s="132" t="n">
        <f aca="false">CHOOSE($G$3,AH61-AI61,AI61-AH61)</f>
        <v>0</v>
      </c>
      <c r="AT61" s="148" t="n">
        <f aca="false">AQ61+AR61+AS61</f>
        <v>0</v>
      </c>
      <c r="AU61" s="148"/>
      <c r="AV61" s="133" t="n">
        <f aca="false">AT61+AO61</f>
        <v>0</v>
      </c>
      <c r="AX61" s="133" t="n">
        <f aca="false">AJ61+AG61+AD61</f>
        <v>0</v>
      </c>
      <c r="AY61" s="149"/>
      <c r="AZ61" s="76" t="n">
        <f aca="false">R61*E61</f>
        <v>0</v>
      </c>
    </row>
    <row r="62" customFormat="false" ht="12.75" hidden="false" customHeight="false" outlineLevel="0" collapsed="false">
      <c r="A62" s="138" t="n">
        <f aca="false">EDATE(A61,1)</f>
        <v>38565</v>
      </c>
      <c r="B62" s="139" t="n">
        <f aca="false">VLOOKUP($A62,Table2,MATCH(I$3,Curves2,0))</f>
        <v>0</v>
      </c>
      <c r="C62" s="140"/>
      <c r="D62" s="141" t="n">
        <f aca="false">B62+C62</f>
        <v>0</v>
      </c>
      <c r="E62" s="126" t="n">
        <f aca="false">IF(Y62=0,0,IF(AND(Y62=1,$H$3=1),D62*T62,IF($H$3=2,D62,"N/A")))</f>
        <v>0</v>
      </c>
      <c r="F62" s="126" t="n">
        <f aca="false">E62*X62</f>
        <v>0</v>
      </c>
      <c r="G62" s="142" t="n">
        <f aca="false">VLOOKUP($A62,Table,MATCH(G$4,Curves,0))</f>
        <v>3.672</v>
      </c>
      <c r="H62" s="143" t="n">
        <f aca="false">G62</f>
        <v>3.672</v>
      </c>
      <c r="I62" s="142" t="n">
        <f aca="false">VLOOKUP($A62,Table1,MATCH(I$3,Curves1,0))</f>
        <v>0</v>
      </c>
      <c r="J62" s="142" t="n">
        <f aca="false">VLOOKUP($A62,Table,MATCH(J$4,Curves,0))</f>
        <v>-0.021</v>
      </c>
      <c r="K62" s="143" t="n">
        <f aca="false">J62</f>
        <v>-0.021</v>
      </c>
      <c r="L62" s="144" t="n">
        <v>0</v>
      </c>
      <c r="M62" s="142" t="n">
        <f aca="false">VLOOKUP($A62,Table,MATCH(M$4,Curves,0))</f>
        <v>0.0075</v>
      </c>
      <c r="N62" s="143" t="n">
        <f aca="false">M62</f>
        <v>0.0075</v>
      </c>
      <c r="O62" s="144" t="n">
        <v>0</v>
      </c>
      <c r="P62" s="145"/>
      <c r="Q62" s="144" t="n">
        <f aca="false">M62+J62+G62</f>
        <v>3.6585</v>
      </c>
      <c r="R62" s="144" t="n">
        <f aca="false">O62+L62+I62</f>
        <v>0</v>
      </c>
      <c r="S62" s="145"/>
      <c r="T62" s="71" t="n">
        <f aca="false">A63-A62</f>
        <v>31</v>
      </c>
      <c r="U62" s="146" t="n">
        <f aca="false">CHOOSE(F$3,A63+24,A62)</f>
        <v>38620</v>
      </c>
      <c r="V62" s="71" t="n">
        <f aca="false">U62-C$3</f>
        <v>1732</v>
      </c>
      <c r="W62" s="142" t="n">
        <f aca="false">VLOOKUP($A62,Table,MATCH(W$4,Curves,0))</f>
        <v>0.058883105791796</v>
      </c>
      <c r="X62" s="147" t="n">
        <f aca="false">1/(1+CHOOSE(F$3,(W63+($K$3/10000))/2,(W62+($K$3/10000))/2))^(2*V62/365.25)</f>
        <v>0.759353546200148</v>
      </c>
      <c r="Y62" s="71" t="n">
        <f aca="false">IF(AND(mthbeg&lt;=A62,mthend&gt;=A62),1,0)</f>
        <v>1</v>
      </c>
      <c r="Z62" s="71" t="n">
        <f aca="false">T62*Y62</f>
        <v>31</v>
      </c>
      <c r="AB62" s="132" t="n">
        <f aca="false">F62*G62</f>
        <v>0</v>
      </c>
      <c r="AC62" s="132" t="n">
        <f aca="false">$F62*H62</f>
        <v>0</v>
      </c>
      <c r="AD62" s="132" t="n">
        <f aca="false">$F62*I62</f>
        <v>0</v>
      </c>
      <c r="AE62" s="132" t="n">
        <f aca="false">$F62*J62</f>
        <v>-0</v>
      </c>
      <c r="AF62" s="132" t="n">
        <f aca="false">$F62*K62</f>
        <v>-0</v>
      </c>
      <c r="AG62" s="132" t="n">
        <f aca="false">$F62*L62</f>
        <v>0</v>
      </c>
      <c r="AH62" s="132" t="n">
        <f aca="false">$F62*M62</f>
        <v>0</v>
      </c>
      <c r="AI62" s="132" t="n">
        <f aca="false">$F62*N62</f>
        <v>0</v>
      </c>
      <c r="AJ62" s="132" t="n">
        <f aca="false">F62*O62</f>
        <v>0</v>
      </c>
      <c r="AK62" s="137"/>
      <c r="AL62" s="132" t="n">
        <f aca="false">CHOOSE($G$3,AC62-AD62,AD62-AC62)</f>
        <v>0</v>
      </c>
      <c r="AM62" s="132" t="n">
        <f aca="false">CHOOSE($G$3,AF62-AG62,AG62-AF62)</f>
        <v>0</v>
      </c>
      <c r="AN62" s="132" t="n">
        <f aca="false">CHOOSE($G$3,AI62-AJ62,AJ62-AI62)</f>
        <v>0</v>
      </c>
      <c r="AO62" s="148" t="n">
        <f aca="false">SUM(AL62:AN62)</f>
        <v>0</v>
      </c>
      <c r="AQ62" s="132" t="n">
        <f aca="false">CHOOSE($G$3,AB62-AC62,AC62-AB62)</f>
        <v>0</v>
      </c>
      <c r="AR62" s="132" t="n">
        <f aca="false">CHOOSE($G$3,AE62-AF62,AF62-AE62)</f>
        <v>0</v>
      </c>
      <c r="AS62" s="132" t="n">
        <f aca="false">CHOOSE($G$3,AH62-AI62,AI62-AH62)</f>
        <v>0</v>
      </c>
      <c r="AT62" s="148" t="n">
        <f aca="false">AQ62+AR62+AS62</f>
        <v>0</v>
      </c>
      <c r="AU62" s="148"/>
      <c r="AV62" s="133" t="n">
        <f aca="false">AT62+AO62</f>
        <v>0</v>
      </c>
      <c r="AX62" s="133" t="n">
        <f aca="false">AJ62+AG62+AD62</f>
        <v>0</v>
      </c>
      <c r="AY62" s="149"/>
      <c r="AZ62" s="76" t="n">
        <f aca="false">R62*E62</f>
        <v>0</v>
      </c>
    </row>
    <row r="63" customFormat="false" ht="12.75" hidden="false" customHeight="false" outlineLevel="0" collapsed="false">
      <c r="A63" s="138" t="n">
        <f aca="false">EDATE(A62,1)</f>
        <v>38596</v>
      </c>
      <c r="B63" s="139" t="n">
        <f aca="false">VLOOKUP($A63,Table2,MATCH(I$3,Curves2,0))</f>
        <v>0</v>
      </c>
      <c r="C63" s="140"/>
      <c r="D63" s="141" t="n">
        <f aca="false">B63+C63</f>
        <v>0</v>
      </c>
      <c r="E63" s="126" t="n">
        <f aca="false">IF(Y63=0,0,IF(AND(Y63=1,$H$3=1),D63*T63,IF($H$3=2,D63,"N/A")))</f>
        <v>0</v>
      </c>
      <c r="F63" s="126" t="n">
        <f aca="false">E63*X63</f>
        <v>0</v>
      </c>
      <c r="G63" s="142" t="n">
        <f aca="false">VLOOKUP($A63,Table,MATCH(G$4,Curves,0))</f>
        <v>3.689</v>
      </c>
      <c r="H63" s="143" t="n">
        <f aca="false">G63</f>
        <v>3.689</v>
      </c>
      <c r="I63" s="142" t="n">
        <f aca="false">VLOOKUP($A63,Table1,MATCH(I$3,Curves1,0))</f>
        <v>0</v>
      </c>
      <c r="J63" s="142" t="n">
        <f aca="false">VLOOKUP($A63,Table,MATCH(J$4,Curves,0))</f>
        <v>-0.021</v>
      </c>
      <c r="K63" s="143" t="n">
        <f aca="false">J63</f>
        <v>-0.021</v>
      </c>
      <c r="L63" s="144" t="n">
        <v>0</v>
      </c>
      <c r="M63" s="142" t="n">
        <f aca="false">VLOOKUP($A63,Table,MATCH(M$4,Curves,0))</f>
        <v>0.0075</v>
      </c>
      <c r="N63" s="143" t="n">
        <f aca="false">M63</f>
        <v>0.0075</v>
      </c>
      <c r="O63" s="144" t="n">
        <v>0</v>
      </c>
      <c r="P63" s="145"/>
      <c r="Q63" s="144" t="n">
        <f aca="false">M63+J63+G63</f>
        <v>3.6755</v>
      </c>
      <c r="R63" s="144" t="n">
        <f aca="false">O63+L63+I63</f>
        <v>0</v>
      </c>
      <c r="S63" s="145"/>
      <c r="T63" s="71" t="n">
        <f aca="false">A64-A63</f>
        <v>30</v>
      </c>
      <c r="U63" s="146" t="n">
        <f aca="false">CHOOSE(F$3,A64+24,A63)</f>
        <v>38650</v>
      </c>
      <c r="V63" s="71" t="n">
        <f aca="false">U63-C$3</f>
        <v>1762</v>
      </c>
      <c r="W63" s="142" t="n">
        <f aca="false">VLOOKUP($A63,Table,MATCH(W$4,Curves,0))</f>
        <v>0.058904387943459</v>
      </c>
      <c r="X63" s="147" t="n">
        <f aca="false">1/(1+CHOOSE(F$3,(W64+($K$3/10000))/2,(W63+($K$3/10000))/2))^(2*V63/365.25)</f>
        <v>0.755668431611598</v>
      </c>
      <c r="Y63" s="71" t="n">
        <f aca="false">IF(AND(mthbeg&lt;=A63,mthend&gt;=A63),1,0)</f>
        <v>1</v>
      </c>
      <c r="Z63" s="71" t="n">
        <f aca="false">T63*Y63</f>
        <v>30</v>
      </c>
      <c r="AB63" s="132" t="n">
        <f aca="false">F63*G63</f>
        <v>0</v>
      </c>
      <c r="AC63" s="132" t="n">
        <f aca="false">$F63*H63</f>
        <v>0</v>
      </c>
      <c r="AD63" s="132" t="n">
        <f aca="false">$F63*I63</f>
        <v>0</v>
      </c>
      <c r="AE63" s="132" t="n">
        <f aca="false">$F63*J63</f>
        <v>-0</v>
      </c>
      <c r="AF63" s="132" t="n">
        <f aca="false">$F63*K63</f>
        <v>-0</v>
      </c>
      <c r="AG63" s="132" t="n">
        <f aca="false">$F63*L63</f>
        <v>0</v>
      </c>
      <c r="AH63" s="132" t="n">
        <f aca="false">$F63*M63</f>
        <v>0</v>
      </c>
      <c r="AI63" s="132" t="n">
        <f aca="false">$F63*N63</f>
        <v>0</v>
      </c>
      <c r="AJ63" s="132" t="n">
        <f aca="false">F63*O63</f>
        <v>0</v>
      </c>
      <c r="AK63" s="137"/>
      <c r="AL63" s="132" t="n">
        <f aca="false">CHOOSE($G$3,AC63-AD63,AD63-AC63)</f>
        <v>0</v>
      </c>
      <c r="AM63" s="132" t="n">
        <f aca="false">CHOOSE($G$3,AF63-AG63,AG63-AF63)</f>
        <v>0</v>
      </c>
      <c r="AN63" s="132" t="n">
        <f aca="false">CHOOSE($G$3,AI63-AJ63,AJ63-AI63)</f>
        <v>0</v>
      </c>
      <c r="AO63" s="148" t="n">
        <f aca="false">SUM(AL63:AN63)</f>
        <v>0</v>
      </c>
      <c r="AQ63" s="132" t="n">
        <f aca="false">CHOOSE($G$3,AB63-AC63,AC63-AB63)</f>
        <v>0</v>
      </c>
      <c r="AR63" s="132" t="n">
        <f aca="false">CHOOSE($G$3,AE63-AF63,AF63-AE63)</f>
        <v>0</v>
      </c>
      <c r="AS63" s="132" t="n">
        <f aca="false">CHOOSE($G$3,AH63-AI63,AI63-AH63)</f>
        <v>0</v>
      </c>
      <c r="AT63" s="148" t="n">
        <f aca="false">AQ63+AR63+AS63</f>
        <v>0</v>
      </c>
      <c r="AU63" s="148"/>
      <c r="AV63" s="133" t="n">
        <f aca="false">AT63+AO63</f>
        <v>0</v>
      </c>
      <c r="AX63" s="133" t="n">
        <f aca="false">AJ63+AG63+AD63</f>
        <v>0</v>
      </c>
      <c r="AY63" s="149"/>
      <c r="AZ63" s="76" t="n">
        <f aca="false">R63*E63</f>
        <v>0</v>
      </c>
    </row>
    <row r="64" customFormat="false" ht="12.75" hidden="false" customHeight="false" outlineLevel="0" collapsed="false">
      <c r="A64" s="138" t="n">
        <f aca="false">EDATE(A63,1)</f>
        <v>38626</v>
      </c>
      <c r="B64" s="139" t="n">
        <f aca="false">VLOOKUP($A64,Table2,MATCH(I$3,Curves2,0))</f>
        <v>0</v>
      </c>
      <c r="C64" s="140"/>
      <c r="D64" s="141" t="n">
        <f aca="false">B64+C64</f>
        <v>0</v>
      </c>
      <c r="E64" s="126" t="n">
        <f aca="false">IF(Y64=0,0,IF(AND(Y64=1,$H$3=1),D64*T64,IF($H$3=2,D64,"N/A")))</f>
        <v>0</v>
      </c>
      <c r="F64" s="126" t="n">
        <f aca="false">E64*X64</f>
        <v>0</v>
      </c>
      <c r="G64" s="142" t="n">
        <f aca="false">VLOOKUP($A64,Table,MATCH(G$4,Curves,0))</f>
        <v>3.707</v>
      </c>
      <c r="H64" s="143" t="n">
        <f aca="false">G64</f>
        <v>3.707</v>
      </c>
      <c r="I64" s="142" t="n">
        <f aca="false">VLOOKUP($A64,Table1,MATCH(I$3,Curves1,0))</f>
        <v>0</v>
      </c>
      <c r="J64" s="142" t="n">
        <f aca="false">VLOOKUP($A64,Table,MATCH(J$4,Curves,0))</f>
        <v>-0.021</v>
      </c>
      <c r="K64" s="143" t="n">
        <f aca="false">J64</f>
        <v>-0.021</v>
      </c>
      <c r="L64" s="144" t="n">
        <v>0</v>
      </c>
      <c r="M64" s="142" t="n">
        <f aca="false">VLOOKUP($A64,Table,MATCH(M$4,Curves,0))</f>
        <v>0.0075</v>
      </c>
      <c r="N64" s="143" t="n">
        <f aca="false">M64</f>
        <v>0.0075</v>
      </c>
      <c r="O64" s="144" t="n">
        <v>0</v>
      </c>
      <c r="P64" s="145"/>
      <c r="Q64" s="144" t="n">
        <f aca="false">M64+J64+G64</f>
        <v>3.6935</v>
      </c>
      <c r="R64" s="144" t="n">
        <f aca="false">O64+L64+I64</f>
        <v>0</v>
      </c>
      <c r="S64" s="145"/>
      <c r="T64" s="71" t="n">
        <f aca="false">A65-A64</f>
        <v>31</v>
      </c>
      <c r="U64" s="146" t="n">
        <f aca="false">CHOOSE(F$3,A65+24,A64)</f>
        <v>38681</v>
      </c>
      <c r="V64" s="71" t="n">
        <f aca="false">U64-C$3</f>
        <v>1793</v>
      </c>
      <c r="W64" s="142" t="n">
        <f aca="false">VLOOKUP($A64,Table,MATCH(W$4,Curves,0))</f>
        <v>0.058924983574244</v>
      </c>
      <c r="X64" s="147" t="n">
        <f aca="false">1/(1+CHOOSE(F$3,(W65+($K$3/10000))/2,(W64+($K$3/10000))/2))^(2*V64/365.25)</f>
        <v>0.751876671540284</v>
      </c>
      <c r="Y64" s="71" t="n">
        <f aca="false">IF(AND(mthbeg&lt;=A64,mthend&gt;=A64),1,0)</f>
        <v>1</v>
      </c>
      <c r="Z64" s="71" t="n">
        <f aca="false">T64*Y64</f>
        <v>31</v>
      </c>
      <c r="AB64" s="132" t="n">
        <f aca="false">F64*G64</f>
        <v>0</v>
      </c>
      <c r="AC64" s="132" t="n">
        <f aca="false">$F64*H64</f>
        <v>0</v>
      </c>
      <c r="AD64" s="132" t="n">
        <f aca="false">$F64*I64</f>
        <v>0</v>
      </c>
      <c r="AE64" s="132" t="n">
        <f aca="false">$F64*J64</f>
        <v>-0</v>
      </c>
      <c r="AF64" s="132" t="n">
        <f aca="false">$F64*K64</f>
        <v>-0</v>
      </c>
      <c r="AG64" s="132" t="n">
        <f aca="false">$F64*L64</f>
        <v>0</v>
      </c>
      <c r="AH64" s="132" t="n">
        <f aca="false">$F64*M64</f>
        <v>0</v>
      </c>
      <c r="AI64" s="132" t="n">
        <f aca="false">$F64*N64</f>
        <v>0</v>
      </c>
      <c r="AJ64" s="132" t="n">
        <f aca="false">F64*O64</f>
        <v>0</v>
      </c>
      <c r="AK64" s="137"/>
      <c r="AL64" s="132" t="n">
        <f aca="false">CHOOSE($G$3,AC64-AD64,AD64-AC64)</f>
        <v>0</v>
      </c>
      <c r="AM64" s="132" t="n">
        <f aca="false">CHOOSE($G$3,AF64-AG64,AG64-AF64)</f>
        <v>0</v>
      </c>
      <c r="AN64" s="132" t="n">
        <f aca="false">CHOOSE($G$3,AI64-AJ64,AJ64-AI64)</f>
        <v>0</v>
      </c>
      <c r="AO64" s="148" t="n">
        <f aca="false">SUM(AL64:AN64)</f>
        <v>0</v>
      </c>
      <c r="AQ64" s="132" t="n">
        <f aca="false">CHOOSE($G$3,AB64-AC64,AC64-AB64)</f>
        <v>0</v>
      </c>
      <c r="AR64" s="132" t="n">
        <f aca="false">CHOOSE($G$3,AE64-AF64,AF64-AE64)</f>
        <v>0</v>
      </c>
      <c r="AS64" s="132" t="n">
        <f aca="false">CHOOSE($G$3,AH64-AI64,AI64-AH64)</f>
        <v>0</v>
      </c>
      <c r="AT64" s="148" t="n">
        <f aca="false">AQ64+AR64+AS64</f>
        <v>0</v>
      </c>
      <c r="AU64" s="148"/>
      <c r="AV64" s="133" t="n">
        <f aca="false">AT64+AO64</f>
        <v>0</v>
      </c>
      <c r="AX64" s="133" t="n">
        <f aca="false">AJ64+AG64+AD64</f>
        <v>0</v>
      </c>
      <c r="AY64" s="149"/>
      <c r="AZ64" s="76" t="n">
        <f aca="false">R64*E64</f>
        <v>0</v>
      </c>
    </row>
    <row r="65" customFormat="false" ht="12.75" hidden="false" customHeight="false" outlineLevel="0" collapsed="false">
      <c r="A65" s="138" t="n">
        <f aca="false">EDATE(A64,1)</f>
        <v>38657</v>
      </c>
      <c r="B65" s="139" t="n">
        <f aca="false">VLOOKUP($A65,Table2,MATCH(I$3,Curves2,0))</f>
        <v>0</v>
      </c>
      <c r="C65" s="140"/>
      <c r="D65" s="141" t="n">
        <f aca="false">B65+C65</f>
        <v>0</v>
      </c>
      <c r="E65" s="126" t="n">
        <f aca="false">IF(Y65=0,0,IF(AND(Y65=1,$H$3=1),D65*T65,IF($H$3=2,D65,"N/A")))</f>
        <v>0</v>
      </c>
      <c r="F65" s="126" t="n">
        <f aca="false">E65*X65</f>
        <v>0</v>
      </c>
      <c r="G65" s="142" t="n">
        <f aca="false">VLOOKUP($A65,Table,MATCH(G$4,Curves,0))</f>
        <v>3.852</v>
      </c>
      <c r="H65" s="143" t="n">
        <f aca="false">G65</f>
        <v>3.852</v>
      </c>
      <c r="I65" s="142" t="n">
        <f aca="false">VLOOKUP($A65,Table1,MATCH(I$3,Curves1,0))</f>
        <v>0</v>
      </c>
      <c r="J65" s="142" t="n">
        <f aca="false">VLOOKUP($A65,Table,MATCH(J$4,Curves,0))</f>
        <v>-0.0235</v>
      </c>
      <c r="K65" s="143" t="n">
        <f aca="false">J65</f>
        <v>-0.0235</v>
      </c>
      <c r="L65" s="144" t="n">
        <v>0</v>
      </c>
      <c r="M65" s="142" t="n">
        <f aca="false">VLOOKUP($A65,Table,MATCH(M$4,Curves,0))</f>
        <v>0.0075</v>
      </c>
      <c r="N65" s="143" t="n">
        <f aca="false">M65</f>
        <v>0.0075</v>
      </c>
      <c r="O65" s="144" t="n">
        <v>0</v>
      </c>
      <c r="P65" s="145"/>
      <c r="Q65" s="144" t="n">
        <f aca="false">M65+J65+G65</f>
        <v>3.836</v>
      </c>
      <c r="R65" s="144" t="n">
        <f aca="false">O65+L65+I65</f>
        <v>0</v>
      </c>
      <c r="S65" s="145"/>
      <c r="T65" s="71" t="n">
        <f aca="false">A66-A65</f>
        <v>30</v>
      </c>
      <c r="U65" s="146" t="n">
        <f aca="false">CHOOSE(F$3,A66+24,A65)</f>
        <v>38711</v>
      </c>
      <c r="V65" s="71" t="n">
        <f aca="false">U65-C$3</f>
        <v>1823</v>
      </c>
      <c r="W65" s="142" t="n">
        <f aca="false">VLOOKUP($A65,Table,MATCH(W$4,Curves,0))</f>
        <v>0.058946265726202</v>
      </c>
      <c r="X65" s="147" t="n">
        <f aca="false">1/(1+CHOOSE(F$3,(W66+($K$3/10000))/2,(W65+($K$3/10000))/2))^(2*V65/365.25)</f>
        <v>0.748222843492863</v>
      </c>
      <c r="Y65" s="71" t="n">
        <f aca="false">IF(AND(mthbeg&lt;=A65,mthend&gt;=A65),1,0)</f>
        <v>1</v>
      </c>
      <c r="Z65" s="71" t="n">
        <f aca="false">T65*Y65</f>
        <v>30</v>
      </c>
      <c r="AB65" s="132" t="n">
        <f aca="false">F65*G65</f>
        <v>0</v>
      </c>
      <c r="AC65" s="132" t="n">
        <f aca="false">$F65*H65</f>
        <v>0</v>
      </c>
      <c r="AD65" s="132" t="n">
        <f aca="false">$F65*I65</f>
        <v>0</v>
      </c>
      <c r="AE65" s="132" t="n">
        <f aca="false">$F65*J65</f>
        <v>-0</v>
      </c>
      <c r="AF65" s="132" t="n">
        <f aca="false">$F65*K65</f>
        <v>-0</v>
      </c>
      <c r="AG65" s="132" t="n">
        <f aca="false">$F65*L65</f>
        <v>0</v>
      </c>
      <c r="AH65" s="132" t="n">
        <f aca="false">$F65*M65</f>
        <v>0</v>
      </c>
      <c r="AI65" s="132" t="n">
        <f aca="false">$F65*N65</f>
        <v>0</v>
      </c>
      <c r="AJ65" s="132" t="n">
        <f aca="false">F65*O65</f>
        <v>0</v>
      </c>
      <c r="AK65" s="137"/>
      <c r="AL65" s="132" t="n">
        <f aca="false">CHOOSE($G$3,AC65-AD65,AD65-AC65)</f>
        <v>0</v>
      </c>
      <c r="AM65" s="132" t="n">
        <f aca="false">CHOOSE($G$3,AF65-AG65,AG65-AF65)</f>
        <v>0</v>
      </c>
      <c r="AN65" s="132" t="n">
        <f aca="false">CHOOSE($G$3,AI65-AJ65,AJ65-AI65)</f>
        <v>0</v>
      </c>
      <c r="AO65" s="148" t="n">
        <f aca="false">SUM(AL65:AN65)</f>
        <v>0</v>
      </c>
      <c r="AQ65" s="132" t="n">
        <f aca="false">CHOOSE($G$3,AB65-AC65,AC65-AB65)</f>
        <v>0</v>
      </c>
      <c r="AR65" s="132" t="n">
        <f aca="false">CHOOSE($G$3,AE65-AF65,AF65-AE65)</f>
        <v>0</v>
      </c>
      <c r="AS65" s="132" t="n">
        <f aca="false">CHOOSE($G$3,AH65-AI65,AI65-AH65)</f>
        <v>0</v>
      </c>
      <c r="AT65" s="148" t="n">
        <f aca="false">AQ65+AR65+AS65</f>
        <v>0</v>
      </c>
      <c r="AU65" s="148"/>
      <c r="AV65" s="133" t="n">
        <f aca="false">AT65+AO65</f>
        <v>0</v>
      </c>
      <c r="AX65" s="133" t="n">
        <f aca="false">AJ65+AG65+AD65</f>
        <v>0</v>
      </c>
      <c r="AY65" s="149"/>
      <c r="AZ65" s="76" t="n">
        <f aca="false">R65*E65</f>
        <v>0</v>
      </c>
    </row>
    <row r="66" customFormat="false" ht="12.75" hidden="false" customHeight="false" outlineLevel="0" collapsed="false">
      <c r="A66" s="138" t="n">
        <f aca="false">EDATE(A65,1)</f>
        <v>38687</v>
      </c>
      <c r="B66" s="139" t="n">
        <f aca="false">VLOOKUP($A66,Table2,MATCH(I$3,Curves2,0))</f>
        <v>0</v>
      </c>
      <c r="C66" s="140"/>
      <c r="D66" s="141" t="n">
        <f aca="false">B66+C66</f>
        <v>0</v>
      </c>
      <c r="E66" s="126" t="n">
        <f aca="false">IF(Y66=0,0,IF(AND(Y66=1,$H$3=1),D66*T66,IF($H$3=2,D66,"N/A")))</f>
        <v>0</v>
      </c>
      <c r="F66" s="126" t="n">
        <f aca="false">E66*X66</f>
        <v>0</v>
      </c>
      <c r="G66" s="142" t="n">
        <f aca="false">VLOOKUP($A66,Table,MATCH(G$4,Curves,0))</f>
        <v>3.987</v>
      </c>
      <c r="H66" s="143" t="n">
        <f aca="false">G66</f>
        <v>3.987</v>
      </c>
      <c r="I66" s="142" t="n">
        <f aca="false">VLOOKUP($A66,Table1,MATCH(I$3,Curves1,0))</f>
        <v>0</v>
      </c>
      <c r="J66" s="142" t="n">
        <f aca="false">VLOOKUP($A66,Table,MATCH(J$4,Curves,0))</f>
        <v>-0.0235</v>
      </c>
      <c r="K66" s="143" t="n">
        <f aca="false">J66</f>
        <v>-0.0235</v>
      </c>
      <c r="L66" s="144" t="n">
        <v>0</v>
      </c>
      <c r="M66" s="142" t="n">
        <f aca="false">VLOOKUP($A66,Table,MATCH(M$4,Curves,0))</f>
        <v>0.0075</v>
      </c>
      <c r="N66" s="143" t="n">
        <f aca="false">M66</f>
        <v>0.0075</v>
      </c>
      <c r="O66" s="144" t="n">
        <v>0</v>
      </c>
      <c r="P66" s="145"/>
      <c r="Q66" s="144" t="n">
        <f aca="false">M66+J66+G66</f>
        <v>3.971</v>
      </c>
      <c r="R66" s="144" t="n">
        <f aca="false">O66+L66+I66</f>
        <v>0</v>
      </c>
      <c r="S66" s="145"/>
      <c r="T66" s="71" t="n">
        <f aca="false">A67-A66</f>
        <v>31</v>
      </c>
      <c r="U66" s="146" t="n">
        <f aca="false">CHOOSE(F$3,A67+24,A66)</f>
        <v>38742</v>
      </c>
      <c r="V66" s="71" t="n">
        <f aca="false">U66-C$3</f>
        <v>1854</v>
      </c>
      <c r="W66" s="142" t="n">
        <f aca="false">VLOOKUP($A66,Table,MATCH(W$4,Curves,0))</f>
        <v>0.058966861357273</v>
      </c>
      <c r="X66" s="147" t="n">
        <f aca="false">1/(1+CHOOSE(F$3,(W67+($K$3/10000))/2,(W66+($K$3/10000))/2))^(2*V66/365.25)</f>
        <v>0.744541427640193</v>
      </c>
      <c r="Y66" s="71" t="n">
        <f aca="false">IF(AND(mthbeg&lt;=A66,mthend&gt;=A66),1,0)</f>
        <v>0</v>
      </c>
      <c r="Z66" s="71" t="n">
        <f aca="false">T66*Y66</f>
        <v>0</v>
      </c>
      <c r="AB66" s="132" t="n">
        <f aca="false">F66*G66</f>
        <v>0</v>
      </c>
      <c r="AC66" s="132" t="n">
        <f aca="false">$F66*H66</f>
        <v>0</v>
      </c>
      <c r="AD66" s="132" t="n">
        <f aca="false">$F66*I66</f>
        <v>0</v>
      </c>
      <c r="AE66" s="132" t="n">
        <f aca="false">$F66*J66</f>
        <v>-0</v>
      </c>
      <c r="AF66" s="132" t="n">
        <f aca="false">$F66*K66</f>
        <v>-0</v>
      </c>
      <c r="AG66" s="132" t="n">
        <f aca="false">$F66*L66</f>
        <v>0</v>
      </c>
      <c r="AH66" s="132" t="n">
        <f aca="false">$F66*M66</f>
        <v>0</v>
      </c>
      <c r="AI66" s="132" t="n">
        <f aca="false">$F66*N66</f>
        <v>0</v>
      </c>
      <c r="AJ66" s="132" t="n">
        <f aca="false">F66*O66</f>
        <v>0</v>
      </c>
      <c r="AK66" s="137"/>
      <c r="AL66" s="132" t="n">
        <f aca="false">CHOOSE($G$3,AC66-AD66,AD66-AC66)</f>
        <v>0</v>
      </c>
      <c r="AM66" s="132" t="n">
        <f aca="false">CHOOSE($G$3,AF66-AG66,AG66-AF66)</f>
        <v>0</v>
      </c>
      <c r="AN66" s="132" t="n">
        <f aca="false">CHOOSE($G$3,AI66-AJ66,AJ66-AI66)</f>
        <v>0</v>
      </c>
      <c r="AO66" s="148" t="n">
        <f aca="false">SUM(AL66:AN66)</f>
        <v>0</v>
      </c>
      <c r="AQ66" s="132" t="n">
        <f aca="false">CHOOSE($G$3,AB66-AC66,AC66-AB66)</f>
        <v>0</v>
      </c>
      <c r="AR66" s="132" t="n">
        <f aca="false">CHOOSE($G$3,AE66-AF66,AF66-AE66)</f>
        <v>0</v>
      </c>
      <c r="AS66" s="132" t="n">
        <f aca="false">CHOOSE($G$3,AH66-AI66,AI66-AH66)</f>
        <v>0</v>
      </c>
      <c r="AT66" s="148" t="n">
        <f aca="false">AQ66+AR66+AS66</f>
        <v>0</v>
      </c>
      <c r="AU66" s="148"/>
      <c r="AV66" s="133" t="n">
        <f aca="false">AT66+AO66</f>
        <v>0</v>
      </c>
      <c r="AX66" s="133" t="n">
        <f aca="false">AJ66+AG66+AD66</f>
        <v>0</v>
      </c>
      <c r="AY66" s="149"/>
      <c r="AZ66" s="76" t="n">
        <f aca="false">R66*E66</f>
        <v>0</v>
      </c>
    </row>
    <row r="67" customFormat="false" ht="12.75" hidden="false" customHeight="false" outlineLevel="0" collapsed="false">
      <c r="A67" s="138" t="n">
        <f aca="false">EDATE(A66,1)</f>
        <v>38718</v>
      </c>
      <c r="B67" s="139" t="n">
        <f aca="false">VLOOKUP($A67,Table2,MATCH(I$3,Curves2,0))</f>
        <v>0</v>
      </c>
      <c r="C67" s="140"/>
      <c r="D67" s="141" t="n">
        <f aca="false">B67+C67</f>
        <v>0</v>
      </c>
      <c r="E67" s="126" t="n">
        <f aca="false">IF(Y67=0,0,IF(AND(Y67=1,$H$3=1),D67*T67,IF($H$3=2,D67,"N/A")))</f>
        <v>0</v>
      </c>
      <c r="F67" s="126" t="n">
        <f aca="false">E67*X67</f>
        <v>0</v>
      </c>
      <c r="G67" s="142" t="n">
        <f aca="false">VLOOKUP($A67,Table,MATCH(G$4,Curves,0))</f>
        <v>3.987</v>
      </c>
      <c r="H67" s="143" t="n">
        <f aca="false">G67</f>
        <v>3.987</v>
      </c>
      <c r="I67" s="142" t="n">
        <f aca="false">VLOOKUP($A67,Table1,MATCH(I$3,Curves1,0))</f>
        <v>0</v>
      </c>
      <c r="J67" s="142" t="n">
        <f aca="false">VLOOKUP($A67,Table,MATCH(J$4,Curves,0))</f>
        <v>-0.0235</v>
      </c>
      <c r="K67" s="143" t="n">
        <f aca="false">J67</f>
        <v>-0.0235</v>
      </c>
      <c r="L67" s="144" t="n">
        <v>0</v>
      </c>
      <c r="M67" s="142" t="n">
        <f aca="false">VLOOKUP($A67,Table,MATCH(M$4,Curves,0))</f>
        <v>0.0075</v>
      </c>
      <c r="N67" s="143" t="n">
        <f aca="false">M67</f>
        <v>0.0075</v>
      </c>
      <c r="O67" s="144" t="n">
        <v>0</v>
      </c>
      <c r="P67" s="145"/>
      <c r="Q67" s="144" t="n">
        <f aca="false">M67+J67+G67</f>
        <v>3.971</v>
      </c>
      <c r="R67" s="144" t="n">
        <f aca="false">O67+L67+I67</f>
        <v>0</v>
      </c>
      <c r="S67" s="145"/>
      <c r="T67" s="71" t="n">
        <f aca="false">A68-A67</f>
        <v>31</v>
      </c>
      <c r="U67" s="146" t="n">
        <f aca="false">CHOOSE(F$3,A68+24,A67)</f>
        <v>38773</v>
      </c>
      <c r="V67" s="71" t="n">
        <f aca="false">U67-C$3</f>
        <v>1885</v>
      </c>
      <c r="W67" s="142" t="n">
        <f aca="false">VLOOKUP($A67,Table,MATCH(W$4,Curves,0))</f>
        <v>0.058966861357273</v>
      </c>
      <c r="X67" s="147" t="n">
        <f aca="false">1/(1+CHOOSE(F$3,(W68+($K$3/10000))/2,(W67+($K$3/10000))/2))^(2*V67/365.25)</f>
        <v>0.740878125138109</v>
      </c>
      <c r="Y67" s="71" t="n">
        <f aca="false">IF(AND(mthbeg&lt;=A67,mthend&gt;=A67),1,0)</f>
        <v>0</v>
      </c>
      <c r="Z67" s="71" t="n">
        <f aca="false">T67*Y67</f>
        <v>0</v>
      </c>
      <c r="AB67" s="132" t="n">
        <f aca="false">F67*G67</f>
        <v>0</v>
      </c>
      <c r="AC67" s="132" t="n">
        <f aca="false">$F67*H67</f>
        <v>0</v>
      </c>
      <c r="AD67" s="132" t="n">
        <f aca="false">$F67*I67</f>
        <v>0</v>
      </c>
      <c r="AE67" s="132" t="n">
        <f aca="false">$F67*J67</f>
        <v>-0</v>
      </c>
      <c r="AF67" s="132" t="n">
        <f aca="false">$F67*K67</f>
        <v>-0</v>
      </c>
      <c r="AG67" s="132" t="n">
        <f aca="false">$F67*L67</f>
        <v>0</v>
      </c>
      <c r="AH67" s="132" t="n">
        <f aca="false">$F67*M67</f>
        <v>0</v>
      </c>
      <c r="AI67" s="132" t="n">
        <f aca="false">$F67*N67</f>
        <v>0</v>
      </c>
      <c r="AJ67" s="132" t="n">
        <f aca="false">F67*O67</f>
        <v>0</v>
      </c>
      <c r="AK67" s="137"/>
      <c r="AL67" s="132" t="n">
        <f aca="false">CHOOSE($G$3,AC67-AD67,AD67-AC67)</f>
        <v>0</v>
      </c>
      <c r="AM67" s="132" t="n">
        <f aca="false">CHOOSE($G$3,AF67-AG67,AG67-AF67)</f>
        <v>0</v>
      </c>
      <c r="AN67" s="132" t="n">
        <f aca="false">CHOOSE($G$3,AI67-AJ67,AJ67-AI67)</f>
        <v>0</v>
      </c>
      <c r="AO67" s="148" t="n">
        <f aca="false">SUM(AL67:AN67)</f>
        <v>0</v>
      </c>
      <c r="AQ67" s="132" t="n">
        <f aca="false">CHOOSE($G$3,AB67-AC67,AC67-AB67)</f>
        <v>0</v>
      </c>
      <c r="AR67" s="132" t="n">
        <f aca="false">CHOOSE($G$3,AE67-AF67,AF67-AE67)</f>
        <v>0</v>
      </c>
      <c r="AS67" s="132" t="n">
        <f aca="false">CHOOSE($G$3,AH67-AI67,AI67-AH67)</f>
        <v>0</v>
      </c>
      <c r="AT67" s="148" t="n">
        <f aca="false">AQ67+AR67+AS67</f>
        <v>0</v>
      </c>
      <c r="AU67" s="148"/>
      <c r="AV67" s="133" t="n">
        <f aca="false">AT67+AO67</f>
        <v>0</v>
      </c>
      <c r="AX67" s="133" t="n">
        <f aca="false">AJ67+AG67+AD67</f>
        <v>0</v>
      </c>
      <c r="AY67" s="149"/>
      <c r="AZ67" s="76" t="n">
        <f aca="false">R67*E67</f>
        <v>0</v>
      </c>
    </row>
    <row r="68" customFormat="false" ht="12.75" hidden="false" customHeight="false" outlineLevel="0" collapsed="false">
      <c r="A68" s="138" t="n">
        <f aca="false">EDATE(A67,1)</f>
        <v>38749</v>
      </c>
      <c r="B68" s="139" t="n">
        <f aca="false">VLOOKUP($A68,Table2,MATCH(I$3,Curves2,0))</f>
        <v>0</v>
      </c>
      <c r="C68" s="140"/>
      <c r="D68" s="141" t="n">
        <f aca="false">B68+C68</f>
        <v>0</v>
      </c>
      <c r="E68" s="126" t="n">
        <f aca="false">IF(Y68=0,0,IF(AND(Y68=1,$H$3=1),D68*T68,IF($H$3=2,D68,"N/A")))</f>
        <v>0</v>
      </c>
      <c r="F68" s="126" t="n">
        <f aca="false">E68*X68</f>
        <v>0</v>
      </c>
      <c r="G68" s="142" t="n">
        <f aca="false">VLOOKUP($A68,Table,MATCH(G$4,Curves,0))</f>
        <v>3.987</v>
      </c>
      <c r="H68" s="143" t="n">
        <f aca="false">G68</f>
        <v>3.987</v>
      </c>
      <c r="I68" s="142" t="n">
        <f aca="false">VLOOKUP($A68,Table1,MATCH(I$3,Curves1,0))</f>
        <v>0</v>
      </c>
      <c r="J68" s="142" t="n">
        <f aca="false">VLOOKUP($A68,Table,MATCH(J$4,Curves,0))</f>
        <v>-0.0235</v>
      </c>
      <c r="K68" s="143" t="n">
        <f aca="false">J68</f>
        <v>-0.0235</v>
      </c>
      <c r="L68" s="144" t="n">
        <v>0</v>
      </c>
      <c r="M68" s="142" t="n">
        <f aca="false">VLOOKUP($A68,Table,MATCH(M$4,Curves,0))</f>
        <v>0.0075</v>
      </c>
      <c r="N68" s="143" t="n">
        <f aca="false">M68</f>
        <v>0.0075</v>
      </c>
      <c r="O68" s="144" t="n">
        <v>0</v>
      </c>
      <c r="P68" s="145"/>
      <c r="Q68" s="144" t="n">
        <f aca="false">M68+J68+G68</f>
        <v>3.971</v>
      </c>
      <c r="R68" s="144" t="n">
        <f aca="false">O68+L68+I68</f>
        <v>0</v>
      </c>
      <c r="S68" s="145"/>
      <c r="T68" s="71" t="n">
        <f aca="false">A69-A68</f>
        <v>28</v>
      </c>
      <c r="U68" s="146" t="n">
        <f aca="false">CHOOSE(F$3,A69+24,A68)</f>
        <v>38801</v>
      </c>
      <c r="V68" s="71" t="n">
        <f aca="false">U68-C$3</f>
        <v>1913</v>
      </c>
      <c r="W68" s="142" t="n">
        <f aca="false">VLOOKUP($A68,Table,MATCH(W$4,Curves,0))</f>
        <v>0.058966861357273</v>
      </c>
      <c r="X68" s="147" t="n">
        <f aca="false">1/(1+CHOOSE(F$3,(W69+($K$3/10000))/2,(W68+($K$3/10000))/2))^(2*V68/365.25)</f>
        <v>0.737584830452934</v>
      </c>
      <c r="Y68" s="71" t="n">
        <f aca="false">IF(AND(mthbeg&lt;=A68,mthend&gt;=A68),1,0)</f>
        <v>0</v>
      </c>
      <c r="Z68" s="71" t="n">
        <f aca="false">T68*Y68</f>
        <v>0</v>
      </c>
      <c r="AB68" s="132" t="n">
        <f aca="false">F68*G68</f>
        <v>0</v>
      </c>
      <c r="AC68" s="132" t="n">
        <f aca="false">$F68*H68</f>
        <v>0</v>
      </c>
      <c r="AD68" s="132" t="n">
        <f aca="false">$F68*I68</f>
        <v>0</v>
      </c>
      <c r="AE68" s="132" t="n">
        <f aca="false">$F68*J68</f>
        <v>-0</v>
      </c>
      <c r="AF68" s="132" t="n">
        <f aca="false">$F68*K68</f>
        <v>-0</v>
      </c>
      <c r="AG68" s="132" t="n">
        <f aca="false">$F68*L68</f>
        <v>0</v>
      </c>
      <c r="AH68" s="132" t="n">
        <f aca="false">$F68*M68</f>
        <v>0</v>
      </c>
      <c r="AI68" s="132" t="n">
        <f aca="false">$F68*N68</f>
        <v>0</v>
      </c>
      <c r="AJ68" s="132" t="n">
        <f aca="false">F68*O68</f>
        <v>0</v>
      </c>
      <c r="AK68" s="137"/>
      <c r="AL68" s="132" t="n">
        <f aca="false">CHOOSE($G$3,AC68-AD68,AD68-AC68)</f>
        <v>0</v>
      </c>
      <c r="AM68" s="132" t="n">
        <f aca="false">CHOOSE($G$3,AF68-AG68,AG68-AF68)</f>
        <v>0</v>
      </c>
      <c r="AN68" s="132" t="n">
        <f aca="false">CHOOSE($G$3,AI68-AJ68,AJ68-AI68)</f>
        <v>0</v>
      </c>
      <c r="AO68" s="148" t="n">
        <f aca="false">SUM(AL68:AN68)</f>
        <v>0</v>
      </c>
      <c r="AQ68" s="132" t="n">
        <f aca="false">CHOOSE($G$3,AB68-AC68,AC68-AB68)</f>
        <v>0</v>
      </c>
      <c r="AR68" s="132" t="n">
        <f aca="false">CHOOSE($G$3,AE68-AF68,AF68-AE68)</f>
        <v>0</v>
      </c>
      <c r="AS68" s="132" t="n">
        <f aca="false">CHOOSE($G$3,AH68-AI68,AI68-AH68)</f>
        <v>0</v>
      </c>
      <c r="AT68" s="148" t="n">
        <f aca="false">AQ68+AR68+AS68</f>
        <v>0</v>
      </c>
      <c r="AU68" s="148"/>
      <c r="AV68" s="133" t="n">
        <f aca="false">AT68+AO68</f>
        <v>0</v>
      </c>
      <c r="AX68" s="133" t="n">
        <f aca="false">AJ68+AG68+AD68</f>
        <v>0</v>
      </c>
      <c r="AY68" s="149"/>
      <c r="AZ68" s="76" t="n">
        <f aca="false">R68*E68</f>
        <v>0</v>
      </c>
    </row>
    <row r="69" customFormat="false" ht="12.75" hidden="false" customHeight="false" outlineLevel="0" collapsed="false">
      <c r="A69" s="138" t="n">
        <f aca="false">EDATE(A68,1)</f>
        <v>38777</v>
      </c>
      <c r="B69" s="139" t="n">
        <f aca="false">VLOOKUP($A69,Table2,MATCH(I$3,Curves2,0))</f>
        <v>0</v>
      </c>
      <c r="C69" s="140"/>
      <c r="D69" s="141" t="n">
        <f aca="false">B69+C69</f>
        <v>0</v>
      </c>
      <c r="E69" s="126" t="n">
        <f aca="false">IF(Y69=0,0,IF(AND(Y69=1,$H$3=1),D69*T69,IF($H$3=2,D69,"N/A")))</f>
        <v>0</v>
      </c>
      <c r="F69" s="126" t="n">
        <f aca="false">E69*X69</f>
        <v>0</v>
      </c>
      <c r="G69" s="142" t="n">
        <f aca="false">VLOOKUP($A69,Table,MATCH(G$4,Curves,0))</f>
        <v>3.987</v>
      </c>
      <c r="H69" s="143" t="n">
        <f aca="false">G69</f>
        <v>3.987</v>
      </c>
      <c r="I69" s="142" t="n">
        <f aca="false">VLOOKUP($A69,Table1,MATCH(I$3,Curves1,0))</f>
        <v>0</v>
      </c>
      <c r="J69" s="142" t="n">
        <f aca="false">VLOOKUP($A69,Table,MATCH(J$4,Curves,0))</f>
        <v>-0.0235</v>
      </c>
      <c r="K69" s="143" t="n">
        <f aca="false">J69</f>
        <v>-0.0235</v>
      </c>
      <c r="L69" s="144" t="n">
        <v>0</v>
      </c>
      <c r="M69" s="142" t="n">
        <f aca="false">VLOOKUP($A69,Table,MATCH(M$4,Curves,0))</f>
        <v>0.0075</v>
      </c>
      <c r="N69" s="143" t="n">
        <f aca="false">M69</f>
        <v>0.0075</v>
      </c>
      <c r="O69" s="144" t="n">
        <v>0</v>
      </c>
      <c r="P69" s="145"/>
      <c r="Q69" s="144" t="n">
        <f aca="false">M69+J69+G69</f>
        <v>3.971</v>
      </c>
      <c r="R69" s="144" t="n">
        <f aca="false">O69+L69+I69</f>
        <v>0</v>
      </c>
      <c r="S69" s="145"/>
      <c r="T69" s="71" t="n">
        <f aca="false">A70-A69</f>
        <v>31</v>
      </c>
      <c r="U69" s="146" t="n">
        <f aca="false">CHOOSE(F$3,A70+24,A69)</f>
        <v>38832</v>
      </c>
      <c r="V69" s="71" t="n">
        <f aca="false">U69-C$3</f>
        <v>1944</v>
      </c>
      <c r="W69" s="142" t="n">
        <f aca="false">VLOOKUP($A69,Table,MATCH(W$4,Curves,0))</f>
        <v>0.058966861357273</v>
      </c>
      <c r="X69" s="147" t="n">
        <f aca="false">1/(1+CHOOSE(F$3,(W70+($K$3/10000))/2,(W69+($K$3/10000))/2))^(2*V69/365.25)</f>
        <v>0.733955755891614</v>
      </c>
      <c r="Y69" s="71" t="n">
        <f aca="false">IF(AND(mthbeg&lt;=A69,mthend&gt;=A69),1,0)</f>
        <v>0</v>
      </c>
      <c r="Z69" s="71" t="n">
        <f aca="false">T69*Y69</f>
        <v>0</v>
      </c>
      <c r="AB69" s="132" t="n">
        <f aca="false">F69*G69</f>
        <v>0</v>
      </c>
      <c r="AC69" s="132" t="n">
        <f aca="false">$F69*H69</f>
        <v>0</v>
      </c>
      <c r="AD69" s="132" t="n">
        <f aca="false">$F69*I69</f>
        <v>0</v>
      </c>
      <c r="AE69" s="132" t="n">
        <f aca="false">$F69*J69</f>
        <v>-0</v>
      </c>
      <c r="AF69" s="132" t="n">
        <f aca="false">$F69*K69</f>
        <v>-0</v>
      </c>
      <c r="AG69" s="132" t="n">
        <f aca="false">$F69*L69</f>
        <v>0</v>
      </c>
      <c r="AH69" s="132" t="n">
        <f aca="false">$F69*M69</f>
        <v>0</v>
      </c>
      <c r="AI69" s="132" t="n">
        <f aca="false">$F69*N69</f>
        <v>0</v>
      </c>
      <c r="AJ69" s="132" t="n">
        <f aca="false">F69*O69</f>
        <v>0</v>
      </c>
      <c r="AK69" s="137"/>
      <c r="AL69" s="132" t="n">
        <f aca="false">CHOOSE($G$3,AC69-AD69,AD69-AC69)</f>
        <v>0</v>
      </c>
      <c r="AM69" s="132" t="n">
        <f aca="false">CHOOSE($G$3,AF69-AG69,AG69-AF69)</f>
        <v>0</v>
      </c>
      <c r="AN69" s="132" t="n">
        <f aca="false">CHOOSE($G$3,AI69-AJ69,AJ69-AI69)</f>
        <v>0</v>
      </c>
      <c r="AO69" s="148" t="n">
        <f aca="false">SUM(AL69:AN69)</f>
        <v>0</v>
      </c>
      <c r="AQ69" s="132" t="n">
        <f aca="false">CHOOSE($G$3,AB69-AC69,AC69-AB69)</f>
        <v>0</v>
      </c>
      <c r="AR69" s="132" t="n">
        <f aca="false">CHOOSE($G$3,AE69-AF69,AF69-AE69)</f>
        <v>0</v>
      </c>
      <c r="AS69" s="132" t="n">
        <f aca="false">CHOOSE($G$3,AH69-AI69,AI69-AH69)</f>
        <v>0</v>
      </c>
      <c r="AT69" s="148" t="n">
        <f aca="false">AQ69+AR69+AS69</f>
        <v>0</v>
      </c>
      <c r="AU69" s="148"/>
      <c r="AV69" s="133" t="n">
        <f aca="false">AT69+AO69</f>
        <v>0</v>
      </c>
      <c r="AX69" s="133" t="n">
        <f aca="false">AJ69+AG69+AD69</f>
        <v>0</v>
      </c>
      <c r="AY69" s="149"/>
      <c r="AZ69" s="76" t="n">
        <f aca="false">R69*E69</f>
        <v>0</v>
      </c>
    </row>
    <row r="70" customFormat="false" ht="12.75" hidden="false" customHeight="false" outlineLevel="0" collapsed="false">
      <c r="A70" s="138" t="n">
        <f aca="false">EDATE(A69,1)</f>
        <v>38808</v>
      </c>
      <c r="B70" s="139" t="n">
        <f aca="false">VLOOKUP($A70,Table2,MATCH(I$3,Curves2,0))</f>
        <v>0</v>
      </c>
      <c r="C70" s="140"/>
      <c r="D70" s="141" t="n">
        <f aca="false">B70+C70</f>
        <v>0</v>
      </c>
      <c r="E70" s="126" t="n">
        <f aca="false">IF(Y70=0,0,IF(AND(Y70=1,$H$3=1),D70*T70,IF($H$3=2,D70,"N/A")))</f>
        <v>0</v>
      </c>
      <c r="F70" s="126" t="n">
        <f aca="false">E70*X70</f>
        <v>0</v>
      </c>
      <c r="G70" s="142" t="n">
        <f aca="false">VLOOKUP($A70,Table,MATCH(G$4,Curves,0))</f>
        <v>3.987</v>
      </c>
      <c r="H70" s="143" t="n">
        <f aca="false">G70</f>
        <v>3.987</v>
      </c>
      <c r="I70" s="142" t="n">
        <f aca="false">VLOOKUP($A70,Table1,MATCH(I$3,Curves1,0))</f>
        <v>0</v>
      </c>
      <c r="J70" s="142" t="n">
        <f aca="false">VLOOKUP($A70,Table,MATCH(J$4,Curves,0))</f>
        <v>-0.0235</v>
      </c>
      <c r="K70" s="143" t="n">
        <f aca="false">J70</f>
        <v>-0.0235</v>
      </c>
      <c r="L70" s="144" t="n">
        <v>0</v>
      </c>
      <c r="M70" s="142" t="n">
        <f aca="false">VLOOKUP($A70,Table,MATCH(M$4,Curves,0))</f>
        <v>0.0075</v>
      </c>
      <c r="N70" s="143" t="n">
        <f aca="false">M70</f>
        <v>0.0075</v>
      </c>
      <c r="O70" s="144" t="n">
        <v>0</v>
      </c>
      <c r="P70" s="145"/>
      <c r="Q70" s="144" t="n">
        <f aca="false">M70+J70+G70</f>
        <v>3.971</v>
      </c>
      <c r="R70" s="144" t="n">
        <f aca="false">O70+L70+I70</f>
        <v>0</v>
      </c>
      <c r="S70" s="145"/>
      <c r="T70" s="71" t="n">
        <f aca="false">A71-A70</f>
        <v>30</v>
      </c>
      <c r="U70" s="146" t="n">
        <f aca="false">CHOOSE(F$3,A71+24,A70)</f>
        <v>38862</v>
      </c>
      <c r="V70" s="71" t="n">
        <f aca="false">U70-C$3</f>
        <v>1974</v>
      </c>
      <c r="W70" s="142" t="n">
        <f aca="false">VLOOKUP($A70,Table,MATCH(W$4,Curves,0))</f>
        <v>0.058966861357273</v>
      </c>
      <c r="X70" s="147" t="n">
        <f aca="false">1/(1+CHOOSE(F$3,(W71+($K$3/10000))/2,(W70+($K$3/10000))/2))^(2*V70/365.25)</f>
        <v>0.730460750271427</v>
      </c>
      <c r="Y70" s="71" t="n">
        <f aca="false">IF(AND(mthbeg&lt;=A70,mthend&gt;=A70),1,0)</f>
        <v>0</v>
      </c>
      <c r="Z70" s="71" t="n">
        <f aca="false">T70*Y70</f>
        <v>0</v>
      </c>
      <c r="AB70" s="132" t="n">
        <f aca="false">F70*G70</f>
        <v>0</v>
      </c>
      <c r="AC70" s="132" t="n">
        <f aca="false">$F70*H70</f>
        <v>0</v>
      </c>
      <c r="AD70" s="132" t="n">
        <f aca="false">$F70*I70</f>
        <v>0</v>
      </c>
      <c r="AE70" s="132" t="n">
        <f aca="false">$F70*J70</f>
        <v>-0</v>
      </c>
      <c r="AF70" s="132" t="n">
        <f aca="false">$F70*K70</f>
        <v>-0</v>
      </c>
      <c r="AG70" s="132" t="n">
        <f aca="false">$F70*L70</f>
        <v>0</v>
      </c>
      <c r="AH70" s="132" t="n">
        <f aca="false">$F70*M70</f>
        <v>0</v>
      </c>
      <c r="AI70" s="132" t="n">
        <f aca="false">$F70*N70</f>
        <v>0</v>
      </c>
      <c r="AJ70" s="132" t="n">
        <f aca="false">F70*O70</f>
        <v>0</v>
      </c>
      <c r="AK70" s="137"/>
      <c r="AL70" s="132" t="n">
        <f aca="false">CHOOSE($G$3,AC70-AD70,AD70-AC70)</f>
        <v>0</v>
      </c>
      <c r="AM70" s="132" t="n">
        <f aca="false">CHOOSE($G$3,AF70-AG70,AG70-AF70)</f>
        <v>0</v>
      </c>
      <c r="AN70" s="132" t="n">
        <f aca="false">CHOOSE($G$3,AI70-AJ70,AJ70-AI70)</f>
        <v>0</v>
      </c>
      <c r="AO70" s="148" t="n">
        <f aca="false">SUM(AL70:AN70)</f>
        <v>0</v>
      </c>
      <c r="AQ70" s="132" t="n">
        <f aca="false">CHOOSE($G$3,AB70-AC70,AC70-AB70)</f>
        <v>0</v>
      </c>
      <c r="AR70" s="132" t="n">
        <f aca="false">CHOOSE($G$3,AE70-AF70,AF70-AE70)</f>
        <v>0</v>
      </c>
      <c r="AS70" s="132" t="n">
        <f aca="false">CHOOSE($G$3,AH70-AI70,AI70-AH70)</f>
        <v>0</v>
      </c>
      <c r="AT70" s="148" t="n">
        <f aca="false">AQ70+AR70+AS70</f>
        <v>0</v>
      </c>
      <c r="AU70" s="148"/>
      <c r="AV70" s="133" t="n">
        <f aca="false">AT70+AO70</f>
        <v>0</v>
      </c>
      <c r="AX70" s="133" t="n">
        <f aca="false">AJ70+AG70+AD70</f>
        <v>0</v>
      </c>
      <c r="AY70" s="149"/>
      <c r="AZ70" s="76" t="n">
        <f aca="false">R70*E70</f>
        <v>0</v>
      </c>
    </row>
    <row r="71" customFormat="false" ht="12.75" hidden="false" customHeight="false" outlineLevel="0" collapsed="false">
      <c r="A71" s="138" t="n">
        <f aca="false">EDATE(A70,1)</f>
        <v>38838</v>
      </c>
      <c r="B71" s="139" t="n">
        <f aca="false">VLOOKUP($A71,Table2,MATCH(I$3,Curves2,0))</f>
        <v>0</v>
      </c>
      <c r="C71" s="140"/>
      <c r="D71" s="141" t="n">
        <f aca="false">B71+C71</f>
        <v>0</v>
      </c>
      <c r="E71" s="126" t="n">
        <f aca="false">IF(Y71=0,0,IF(AND(Y71=1,$H$3=1),D71*T71,IF($H$3=2,D71,"N/A")))</f>
        <v>0</v>
      </c>
      <c r="F71" s="126" t="n">
        <f aca="false">E71*X71</f>
        <v>0</v>
      </c>
      <c r="G71" s="142" t="n">
        <f aca="false">VLOOKUP($A71,Table,MATCH(G$4,Curves,0))</f>
        <v>3.987</v>
      </c>
      <c r="H71" s="143" t="n">
        <f aca="false">G71</f>
        <v>3.987</v>
      </c>
      <c r="I71" s="142" t="n">
        <f aca="false">VLOOKUP($A71,Table1,MATCH(I$3,Curves1,0))</f>
        <v>0</v>
      </c>
      <c r="J71" s="142" t="n">
        <f aca="false">VLOOKUP($A71,Table,MATCH(J$4,Curves,0))</f>
        <v>-0.0235</v>
      </c>
      <c r="K71" s="143" t="n">
        <f aca="false">J71</f>
        <v>-0.0235</v>
      </c>
      <c r="L71" s="144" t="n">
        <v>0</v>
      </c>
      <c r="M71" s="142" t="n">
        <f aca="false">VLOOKUP($A71,Table,MATCH(M$4,Curves,0))</f>
        <v>0.0075</v>
      </c>
      <c r="N71" s="143" t="n">
        <f aca="false">M71</f>
        <v>0.0075</v>
      </c>
      <c r="O71" s="144" t="n">
        <v>0</v>
      </c>
      <c r="P71" s="145"/>
      <c r="Q71" s="144" t="n">
        <f aca="false">M71+J71+G71</f>
        <v>3.971</v>
      </c>
      <c r="R71" s="144" t="n">
        <f aca="false">O71+L71+I71</f>
        <v>0</v>
      </c>
      <c r="S71" s="145"/>
      <c r="T71" s="71" t="n">
        <f aca="false">A72-A71</f>
        <v>31</v>
      </c>
      <c r="U71" s="146" t="n">
        <f aca="false">CHOOSE(F$3,A72+24,A71)</f>
        <v>38893</v>
      </c>
      <c r="V71" s="71" t="n">
        <f aca="false">U71-C$3</f>
        <v>2005</v>
      </c>
      <c r="W71" s="142" t="n">
        <f aca="false">VLOOKUP($A71,Table,MATCH(W$4,Curves,0))</f>
        <v>0.058966861357273</v>
      </c>
      <c r="X71" s="147" t="n">
        <f aca="false">1/(1+CHOOSE(F$3,(W72+($K$3/10000))/2,(W71+($K$3/10000))/2))^(2*V71/365.25)</f>
        <v>0.726866727702898</v>
      </c>
      <c r="Y71" s="71" t="n">
        <f aca="false">IF(AND(mthbeg&lt;=A71,mthend&gt;=A71),1,0)</f>
        <v>0</v>
      </c>
      <c r="Z71" s="71" t="n">
        <f aca="false">T71*Y71</f>
        <v>0</v>
      </c>
      <c r="AB71" s="132" t="n">
        <f aca="false">F71*G71</f>
        <v>0</v>
      </c>
      <c r="AC71" s="132" t="n">
        <f aca="false">$F71*H71</f>
        <v>0</v>
      </c>
      <c r="AD71" s="132" t="n">
        <f aca="false">$F71*I71</f>
        <v>0</v>
      </c>
      <c r="AE71" s="132" t="n">
        <f aca="false">$F71*J71</f>
        <v>-0</v>
      </c>
      <c r="AF71" s="132" t="n">
        <f aca="false">$F71*K71</f>
        <v>-0</v>
      </c>
      <c r="AG71" s="132" t="n">
        <f aca="false">$F71*L71</f>
        <v>0</v>
      </c>
      <c r="AH71" s="132" t="n">
        <f aca="false">$F71*M71</f>
        <v>0</v>
      </c>
      <c r="AI71" s="132" t="n">
        <f aca="false">$F71*N71</f>
        <v>0</v>
      </c>
      <c r="AJ71" s="132" t="n">
        <f aca="false">F71*O71</f>
        <v>0</v>
      </c>
      <c r="AK71" s="137"/>
      <c r="AL71" s="132" t="n">
        <f aca="false">CHOOSE($G$3,AC71-AD71,AD71-AC71)</f>
        <v>0</v>
      </c>
      <c r="AM71" s="132" t="n">
        <f aca="false">CHOOSE($G$3,AF71-AG71,AG71-AF71)</f>
        <v>0</v>
      </c>
      <c r="AN71" s="132" t="n">
        <f aca="false">CHOOSE($G$3,AI71-AJ71,AJ71-AI71)</f>
        <v>0</v>
      </c>
      <c r="AO71" s="148" t="n">
        <f aca="false">SUM(AL71:AN71)</f>
        <v>0</v>
      </c>
      <c r="AQ71" s="132" t="n">
        <f aca="false">CHOOSE($G$3,AB71-AC71,AC71-AB71)</f>
        <v>0</v>
      </c>
      <c r="AR71" s="132" t="n">
        <f aca="false">CHOOSE($G$3,AE71-AF71,AF71-AE71)</f>
        <v>0</v>
      </c>
      <c r="AS71" s="132" t="n">
        <f aca="false">CHOOSE($G$3,AH71-AI71,AI71-AH71)</f>
        <v>0</v>
      </c>
      <c r="AT71" s="148" t="n">
        <f aca="false">AQ71+AR71+AS71</f>
        <v>0</v>
      </c>
      <c r="AU71" s="148"/>
      <c r="AV71" s="133" t="n">
        <f aca="false">AT71+AO71</f>
        <v>0</v>
      </c>
      <c r="AX71" s="133" t="n">
        <f aca="false">AJ71+AG71+AD71</f>
        <v>0</v>
      </c>
      <c r="AY71" s="149"/>
      <c r="AZ71" s="76" t="n">
        <f aca="false">R71*E71</f>
        <v>0</v>
      </c>
    </row>
    <row r="72" customFormat="false" ht="12.75" hidden="false" customHeight="false" outlineLevel="0" collapsed="false">
      <c r="A72" s="138" t="n">
        <f aca="false">EDATE(A71,1)</f>
        <v>38869</v>
      </c>
      <c r="B72" s="139" t="n">
        <f aca="false">VLOOKUP($A72,Table2,MATCH(I$3,Curves2,0))</f>
        <v>0</v>
      </c>
      <c r="C72" s="140"/>
      <c r="D72" s="141" t="n">
        <f aca="false">B72+C72</f>
        <v>0</v>
      </c>
      <c r="E72" s="126" t="n">
        <f aca="false">IF(Y72=0,0,IF(AND(Y72=1,$H$3=1),D72*T72,IF($H$3=2,D72,"N/A")))</f>
        <v>0</v>
      </c>
      <c r="F72" s="126" t="n">
        <f aca="false">E72*X72</f>
        <v>0</v>
      </c>
      <c r="G72" s="142" t="n">
        <f aca="false">VLOOKUP($A72,Table,MATCH(G$4,Curves,0))</f>
        <v>3.987</v>
      </c>
      <c r="H72" s="143" t="n">
        <f aca="false">G72</f>
        <v>3.987</v>
      </c>
      <c r="I72" s="142" t="n">
        <f aca="false">VLOOKUP($A72,Table1,MATCH(I$3,Curves1,0))</f>
        <v>0</v>
      </c>
      <c r="J72" s="142" t="n">
        <f aca="false">VLOOKUP($A72,Table,MATCH(J$4,Curves,0))</f>
        <v>-0.0235</v>
      </c>
      <c r="K72" s="143" t="n">
        <f aca="false">J72</f>
        <v>-0.0235</v>
      </c>
      <c r="L72" s="144" t="n">
        <v>0</v>
      </c>
      <c r="M72" s="142" t="n">
        <f aca="false">VLOOKUP($A72,Table,MATCH(M$4,Curves,0))</f>
        <v>0.0075</v>
      </c>
      <c r="N72" s="143" t="n">
        <f aca="false">M72</f>
        <v>0.0075</v>
      </c>
      <c r="O72" s="144" t="n">
        <v>0</v>
      </c>
      <c r="P72" s="145"/>
      <c r="Q72" s="144" t="n">
        <f aca="false">M72+J72+G72</f>
        <v>3.971</v>
      </c>
      <c r="R72" s="144" t="n">
        <f aca="false">O72+L72+I72</f>
        <v>0</v>
      </c>
      <c r="S72" s="145"/>
      <c r="T72" s="71" t="n">
        <f aca="false">A73-A72</f>
        <v>30</v>
      </c>
      <c r="U72" s="146" t="n">
        <f aca="false">CHOOSE(F$3,A73+24,A72)</f>
        <v>38923</v>
      </c>
      <c r="V72" s="71" t="n">
        <f aca="false">U72-C$3</f>
        <v>2035</v>
      </c>
      <c r="W72" s="142" t="n">
        <f aca="false">VLOOKUP($A72,Table,MATCH(W$4,Curves,0))</f>
        <v>0.058966861357273</v>
      </c>
      <c r="X72" s="147" t="n">
        <f aca="false">1/(1+CHOOSE(F$3,(W73+($K$3/10000))/2,(W72+($K$3/10000))/2))^(2*V72/365.25)</f>
        <v>0.72340547914935</v>
      </c>
      <c r="Y72" s="71" t="n">
        <f aca="false">IF(AND(mthbeg&lt;=A72,mthend&gt;=A72),1,0)</f>
        <v>0</v>
      </c>
      <c r="Z72" s="71" t="n">
        <f aca="false">T72*Y72</f>
        <v>0</v>
      </c>
      <c r="AB72" s="132" t="n">
        <f aca="false">F72*G72</f>
        <v>0</v>
      </c>
      <c r="AC72" s="132" t="n">
        <f aca="false">$F72*H72</f>
        <v>0</v>
      </c>
      <c r="AD72" s="132" t="n">
        <f aca="false">$F72*I72</f>
        <v>0</v>
      </c>
      <c r="AE72" s="132" t="n">
        <f aca="false">$F72*J72</f>
        <v>-0</v>
      </c>
      <c r="AF72" s="132" t="n">
        <f aca="false">$F72*K72</f>
        <v>-0</v>
      </c>
      <c r="AG72" s="132" t="n">
        <f aca="false">$F72*L72</f>
        <v>0</v>
      </c>
      <c r="AH72" s="132" t="n">
        <f aca="false">$F72*M72</f>
        <v>0</v>
      </c>
      <c r="AI72" s="132" t="n">
        <f aca="false">$F72*N72</f>
        <v>0</v>
      </c>
      <c r="AJ72" s="132" t="n">
        <f aca="false">F72*O72</f>
        <v>0</v>
      </c>
      <c r="AK72" s="137"/>
      <c r="AL72" s="132" t="n">
        <f aca="false">CHOOSE($G$3,AC72-AD72,AD72-AC72)</f>
        <v>0</v>
      </c>
      <c r="AM72" s="132" t="n">
        <f aca="false">CHOOSE($G$3,AF72-AG72,AG72-AF72)</f>
        <v>0</v>
      </c>
      <c r="AN72" s="132" t="n">
        <f aca="false">CHOOSE($G$3,AI72-AJ72,AJ72-AI72)</f>
        <v>0</v>
      </c>
      <c r="AO72" s="148" t="n">
        <f aca="false">SUM(AL72:AN72)</f>
        <v>0</v>
      </c>
      <c r="AQ72" s="132" t="n">
        <f aca="false">CHOOSE($G$3,AB72-AC72,AC72-AB72)</f>
        <v>0</v>
      </c>
      <c r="AR72" s="132" t="n">
        <f aca="false">CHOOSE($G$3,AE72-AF72,AF72-AE72)</f>
        <v>0</v>
      </c>
      <c r="AS72" s="132" t="n">
        <f aca="false">CHOOSE($G$3,AH72-AI72,AI72-AH72)</f>
        <v>0</v>
      </c>
      <c r="AT72" s="148" t="n">
        <f aca="false">AQ72+AR72+AS72</f>
        <v>0</v>
      </c>
      <c r="AU72" s="148"/>
      <c r="AV72" s="133" t="n">
        <f aca="false">AT72+AO72</f>
        <v>0</v>
      </c>
      <c r="AX72" s="133" t="n">
        <f aca="false">AJ72+AG72+AD72</f>
        <v>0</v>
      </c>
      <c r="AY72" s="149"/>
      <c r="AZ72" s="76" t="n">
        <f aca="false">R72*E72</f>
        <v>0</v>
      </c>
    </row>
    <row r="73" customFormat="false" ht="12.75" hidden="false" customHeight="false" outlineLevel="0" collapsed="false">
      <c r="A73" s="138" t="n">
        <f aca="false">EDATE(A72,1)</f>
        <v>38899</v>
      </c>
      <c r="B73" s="139" t="n">
        <f aca="false">VLOOKUP($A73,Table2,MATCH(I$3,Curves2,0))</f>
        <v>0</v>
      </c>
      <c r="C73" s="140"/>
      <c r="D73" s="141" t="n">
        <f aca="false">B73+C73</f>
        <v>0</v>
      </c>
      <c r="E73" s="126" t="n">
        <f aca="false">IF(Y73=0,0,IF(AND(Y73=1,$H$3=1),D73*T73,IF($H$3=2,D73,"N/A")))</f>
        <v>0</v>
      </c>
      <c r="F73" s="126" t="n">
        <f aca="false">E73*X73</f>
        <v>0</v>
      </c>
      <c r="G73" s="142" t="n">
        <f aca="false">VLOOKUP($A73,Table,MATCH(G$4,Curves,0))</f>
        <v>3.987</v>
      </c>
      <c r="H73" s="143" t="n">
        <f aca="false">G73</f>
        <v>3.987</v>
      </c>
      <c r="I73" s="142" t="n">
        <f aca="false">VLOOKUP($A73,Table1,MATCH(I$3,Curves1,0))</f>
        <v>0</v>
      </c>
      <c r="J73" s="142" t="n">
        <f aca="false">VLOOKUP($A73,Table,MATCH(J$4,Curves,0))</f>
        <v>-0.0235</v>
      </c>
      <c r="K73" s="143" t="n">
        <f aca="false">J73</f>
        <v>-0.0235</v>
      </c>
      <c r="L73" s="144" t="n">
        <v>0</v>
      </c>
      <c r="M73" s="142" t="n">
        <f aca="false">VLOOKUP($A73,Table,MATCH(M$4,Curves,0))</f>
        <v>0.0075</v>
      </c>
      <c r="N73" s="143" t="n">
        <f aca="false">M73</f>
        <v>0.0075</v>
      </c>
      <c r="O73" s="144" t="n">
        <v>0</v>
      </c>
      <c r="P73" s="145"/>
      <c r="Q73" s="144" t="n">
        <f aca="false">M73+J73+G73</f>
        <v>3.971</v>
      </c>
      <c r="R73" s="144" t="n">
        <f aca="false">O73+L73+I73</f>
        <v>0</v>
      </c>
      <c r="S73" s="145"/>
      <c r="T73" s="71" t="n">
        <f aca="false">A74-A73</f>
        <v>31</v>
      </c>
      <c r="U73" s="146" t="n">
        <f aca="false">CHOOSE(F$3,A74+24,A73)</f>
        <v>38954</v>
      </c>
      <c r="V73" s="71" t="n">
        <f aca="false">U73-C$3</f>
        <v>2066</v>
      </c>
      <c r="W73" s="142" t="n">
        <f aca="false">VLOOKUP($A73,Table,MATCH(W$4,Curves,0))</f>
        <v>0.058966861357273</v>
      </c>
      <c r="X73" s="147" t="n">
        <f aca="false">1/(1+CHOOSE(F$3,(W74+($K$3/10000))/2,(W73+($K$3/10000))/2))^(2*V73/365.25)</f>
        <v>0.719846170018374</v>
      </c>
      <c r="Y73" s="71" t="n">
        <f aca="false">IF(AND(mthbeg&lt;=A73,mthend&gt;=A73),1,0)</f>
        <v>0</v>
      </c>
      <c r="Z73" s="71" t="n">
        <f aca="false">T73*Y73</f>
        <v>0</v>
      </c>
      <c r="AB73" s="132" t="n">
        <f aca="false">F73*G73</f>
        <v>0</v>
      </c>
      <c r="AC73" s="132" t="n">
        <f aca="false">$F73*H73</f>
        <v>0</v>
      </c>
      <c r="AD73" s="132" t="n">
        <f aca="false">$F73*I73</f>
        <v>0</v>
      </c>
      <c r="AE73" s="132" t="n">
        <f aca="false">$F73*J73</f>
        <v>-0</v>
      </c>
      <c r="AF73" s="132" t="n">
        <f aca="false">$F73*K73</f>
        <v>-0</v>
      </c>
      <c r="AG73" s="132" t="n">
        <f aca="false">$F73*L73</f>
        <v>0</v>
      </c>
      <c r="AH73" s="132" t="n">
        <f aca="false">$F73*M73</f>
        <v>0</v>
      </c>
      <c r="AI73" s="132" t="n">
        <f aca="false">$F73*N73</f>
        <v>0</v>
      </c>
      <c r="AJ73" s="132" t="n">
        <f aca="false">F73*O73</f>
        <v>0</v>
      </c>
      <c r="AK73" s="137"/>
      <c r="AL73" s="132" t="n">
        <f aca="false">CHOOSE($G$3,AC73-AD73,AD73-AC73)</f>
        <v>0</v>
      </c>
      <c r="AM73" s="132" t="n">
        <f aca="false">CHOOSE($G$3,AF73-AG73,AG73-AF73)</f>
        <v>0</v>
      </c>
      <c r="AN73" s="132" t="n">
        <f aca="false">CHOOSE($G$3,AI73-AJ73,AJ73-AI73)</f>
        <v>0</v>
      </c>
      <c r="AO73" s="148" t="n">
        <f aca="false">SUM(AL73:AN73)</f>
        <v>0</v>
      </c>
      <c r="AQ73" s="132" t="n">
        <f aca="false">CHOOSE($G$3,AB73-AC73,AC73-AB73)</f>
        <v>0</v>
      </c>
      <c r="AR73" s="132" t="n">
        <f aca="false">CHOOSE($G$3,AE73-AF73,AF73-AE73)</f>
        <v>0</v>
      </c>
      <c r="AS73" s="132" t="n">
        <f aca="false">CHOOSE($G$3,AH73-AI73,AI73-AH73)</f>
        <v>0</v>
      </c>
      <c r="AT73" s="148" t="n">
        <f aca="false">AQ73+AR73+AS73</f>
        <v>0</v>
      </c>
      <c r="AU73" s="148"/>
      <c r="AV73" s="133" t="n">
        <f aca="false">AT73+AO73</f>
        <v>0</v>
      </c>
      <c r="AX73" s="133" t="n">
        <f aca="false">AJ73+AG73+AD73</f>
        <v>0</v>
      </c>
      <c r="AY73" s="149"/>
      <c r="AZ73" s="76" t="n">
        <f aca="false">R73*E73</f>
        <v>0</v>
      </c>
    </row>
    <row r="74" customFormat="false" ht="12.75" hidden="false" customHeight="false" outlineLevel="0" collapsed="false">
      <c r="A74" s="138" t="n">
        <f aca="false">EDATE(A73,1)</f>
        <v>38930</v>
      </c>
      <c r="B74" s="139" t="n">
        <f aca="false">VLOOKUP($A74,Table2,MATCH(I$3,Curves2,0))</f>
        <v>0</v>
      </c>
      <c r="C74" s="140"/>
      <c r="D74" s="141" t="n">
        <f aca="false">B74+C74</f>
        <v>0</v>
      </c>
      <c r="E74" s="126" t="n">
        <f aca="false">IF(Y74=0,0,IF(AND(Y74=1,$H$3=1),D74*T74,IF($H$3=2,D74,"N/A")))</f>
        <v>0</v>
      </c>
      <c r="F74" s="126" t="n">
        <f aca="false">E74*X74</f>
        <v>0</v>
      </c>
      <c r="G74" s="142" t="n">
        <f aca="false">VLOOKUP($A74,Table,MATCH(G$4,Curves,0))</f>
        <v>3.987</v>
      </c>
      <c r="H74" s="143" t="n">
        <f aca="false">G74</f>
        <v>3.987</v>
      </c>
      <c r="I74" s="142" t="n">
        <f aca="false">VLOOKUP($A74,Table1,MATCH(I$3,Curves1,0))</f>
        <v>0</v>
      </c>
      <c r="J74" s="142" t="n">
        <f aca="false">VLOOKUP($A74,Table,MATCH(J$4,Curves,0))</f>
        <v>-0.0235</v>
      </c>
      <c r="K74" s="143" t="n">
        <f aca="false">J74</f>
        <v>-0.0235</v>
      </c>
      <c r="L74" s="144" t="n">
        <v>0</v>
      </c>
      <c r="M74" s="142" t="n">
        <f aca="false">VLOOKUP($A74,Table,MATCH(M$4,Curves,0))</f>
        <v>0.0075</v>
      </c>
      <c r="N74" s="143" t="n">
        <f aca="false">M74</f>
        <v>0.0075</v>
      </c>
      <c r="O74" s="144" t="n">
        <v>0</v>
      </c>
      <c r="P74" s="145"/>
      <c r="Q74" s="144" t="n">
        <f aca="false">M74+J74+G74</f>
        <v>3.971</v>
      </c>
      <c r="R74" s="144" t="n">
        <f aca="false">O74+L74+I74</f>
        <v>0</v>
      </c>
      <c r="S74" s="145"/>
      <c r="T74" s="71" t="n">
        <f aca="false">A75-A74</f>
        <v>31</v>
      </c>
      <c r="U74" s="146" t="n">
        <f aca="false">CHOOSE(F$3,A75+24,A74)</f>
        <v>38985</v>
      </c>
      <c r="V74" s="71" t="n">
        <f aca="false">U74-C$3</f>
        <v>2097</v>
      </c>
      <c r="W74" s="142" t="n">
        <f aca="false">VLOOKUP($A74,Table,MATCH(W$4,Curves,0))</f>
        <v>0.058966861357273</v>
      </c>
      <c r="X74" s="147" t="n">
        <f aca="false">1/(1+CHOOSE(F$3,(W75+($K$3/10000))/2,(W74+($K$3/10000))/2))^(2*V74/365.25)</f>
        <v>0.71630437344689</v>
      </c>
      <c r="Y74" s="71" t="n">
        <f aca="false">IF(AND(mthbeg&lt;=A74,mthend&gt;=A74),1,0)</f>
        <v>0</v>
      </c>
      <c r="Z74" s="71" t="n">
        <f aca="false">T74*Y74</f>
        <v>0</v>
      </c>
      <c r="AB74" s="132" t="n">
        <f aca="false">F74*G74</f>
        <v>0</v>
      </c>
      <c r="AC74" s="132" t="n">
        <f aca="false">$F74*H74</f>
        <v>0</v>
      </c>
      <c r="AD74" s="132" t="n">
        <f aca="false">$F74*I74</f>
        <v>0</v>
      </c>
      <c r="AE74" s="132" t="n">
        <f aca="false">$F74*J74</f>
        <v>-0</v>
      </c>
      <c r="AF74" s="132" t="n">
        <f aca="false">$F74*K74</f>
        <v>-0</v>
      </c>
      <c r="AG74" s="132" t="n">
        <f aca="false">$F74*L74</f>
        <v>0</v>
      </c>
      <c r="AH74" s="132" t="n">
        <f aca="false">$F74*M74</f>
        <v>0</v>
      </c>
      <c r="AI74" s="132" t="n">
        <f aca="false">$F74*N74</f>
        <v>0</v>
      </c>
      <c r="AJ74" s="132" t="n">
        <f aca="false">F74*O74</f>
        <v>0</v>
      </c>
      <c r="AK74" s="137"/>
      <c r="AL74" s="132" t="n">
        <f aca="false">CHOOSE($G$3,AC74-AD74,AD74-AC74)</f>
        <v>0</v>
      </c>
      <c r="AM74" s="132" t="n">
        <f aca="false">CHOOSE($G$3,AF74-AG74,AG74-AF74)</f>
        <v>0</v>
      </c>
      <c r="AN74" s="132" t="n">
        <f aca="false">CHOOSE($G$3,AI74-AJ74,AJ74-AI74)</f>
        <v>0</v>
      </c>
      <c r="AO74" s="148" t="n">
        <f aca="false">SUM(AL74:AN74)</f>
        <v>0</v>
      </c>
      <c r="AQ74" s="132" t="n">
        <f aca="false">CHOOSE($G$3,AB74-AC74,AC74-AB74)</f>
        <v>0</v>
      </c>
      <c r="AR74" s="132" t="n">
        <f aca="false">CHOOSE($G$3,AE74-AF74,AF74-AE74)</f>
        <v>0</v>
      </c>
      <c r="AS74" s="132" t="n">
        <f aca="false">CHOOSE($G$3,AH74-AI74,AI74-AH74)</f>
        <v>0</v>
      </c>
      <c r="AT74" s="148" t="n">
        <f aca="false">AQ74+AR74+AS74</f>
        <v>0</v>
      </c>
      <c r="AU74" s="148"/>
      <c r="AV74" s="133" t="n">
        <f aca="false">AT74+AO74</f>
        <v>0</v>
      </c>
      <c r="AX74" s="133" t="n">
        <f aca="false">AJ74+AG74+AD74</f>
        <v>0</v>
      </c>
      <c r="AY74" s="149"/>
      <c r="AZ74" s="76" t="n">
        <f aca="false">R74*E74</f>
        <v>0</v>
      </c>
    </row>
    <row r="75" customFormat="false" ht="12.75" hidden="false" customHeight="false" outlineLevel="0" collapsed="false">
      <c r="A75" s="138" t="n">
        <f aca="false">EDATE(A74,1)</f>
        <v>38961</v>
      </c>
      <c r="B75" s="139" t="n">
        <f aca="false">VLOOKUP($A75,Table2,MATCH(I$3,Curves2,0))</f>
        <v>0</v>
      </c>
      <c r="C75" s="140"/>
      <c r="D75" s="141" t="n">
        <f aca="false">B75+C75</f>
        <v>0</v>
      </c>
      <c r="E75" s="126" t="n">
        <f aca="false">IF(Y75=0,0,IF(AND(Y75=1,$H$3=1),D75*T75,IF($H$3=2,D75,"N/A")))</f>
        <v>0</v>
      </c>
      <c r="F75" s="126" t="n">
        <f aca="false">E75*X75</f>
        <v>0</v>
      </c>
      <c r="G75" s="142" t="n">
        <f aca="false">VLOOKUP($A75,Table,MATCH(G$4,Curves,0))</f>
        <v>3.987</v>
      </c>
      <c r="H75" s="143" t="n">
        <f aca="false">G75</f>
        <v>3.987</v>
      </c>
      <c r="I75" s="142" t="n">
        <f aca="false">VLOOKUP($A75,Table1,MATCH(I$3,Curves1,0))</f>
        <v>0</v>
      </c>
      <c r="J75" s="142" t="n">
        <f aca="false">VLOOKUP($A75,Table,MATCH(J$4,Curves,0))</f>
        <v>-0.0235</v>
      </c>
      <c r="K75" s="143" t="n">
        <f aca="false">J75</f>
        <v>-0.0235</v>
      </c>
      <c r="L75" s="144" t="n">
        <v>0</v>
      </c>
      <c r="M75" s="142" t="n">
        <f aca="false">VLOOKUP($A75,Table,MATCH(M$4,Curves,0))</f>
        <v>0.0075</v>
      </c>
      <c r="N75" s="143" t="n">
        <f aca="false">M75</f>
        <v>0.0075</v>
      </c>
      <c r="O75" s="144" t="n">
        <v>0</v>
      </c>
      <c r="P75" s="145"/>
      <c r="Q75" s="144" t="n">
        <f aca="false">M75+J75+G75</f>
        <v>3.971</v>
      </c>
      <c r="R75" s="144" t="n">
        <f aca="false">O75+L75+I75</f>
        <v>0</v>
      </c>
      <c r="S75" s="145"/>
      <c r="T75" s="71" t="n">
        <f aca="false">A76-A75</f>
        <v>30</v>
      </c>
      <c r="U75" s="146" t="n">
        <f aca="false">CHOOSE(F$3,A76+24,A75)</f>
        <v>39015</v>
      </c>
      <c r="V75" s="71" t="n">
        <f aca="false">U75-C$3</f>
        <v>2127</v>
      </c>
      <c r="W75" s="142" t="n">
        <f aca="false">VLOOKUP($A75,Table,MATCH(W$4,Curves,0))</f>
        <v>0.058966861357273</v>
      </c>
      <c r="X75" s="147" t="n">
        <f aca="false">1/(1+CHOOSE(F$3,(W76+($K$3/10000))/2,(W75+($K$3/10000))/2))^(2*V75/365.25)</f>
        <v>0.712893421504807</v>
      </c>
      <c r="Y75" s="71" t="n">
        <f aca="false">IF(AND(mthbeg&lt;=A75,mthend&gt;=A75),1,0)</f>
        <v>0</v>
      </c>
      <c r="Z75" s="71" t="n">
        <f aca="false">T75*Y75</f>
        <v>0</v>
      </c>
      <c r="AB75" s="132" t="n">
        <f aca="false">F75*G75</f>
        <v>0</v>
      </c>
      <c r="AC75" s="132" t="n">
        <f aca="false">$F75*H75</f>
        <v>0</v>
      </c>
      <c r="AD75" s="132" t="n">
        <f aca="false">$F75*I75</f>
        <v>0</v>
      </c>
      <c r="AE75" s="132" t="n">
        <f aca="false">$F75*J75</f>
        <v>-0</v>
      </c>
      <c r="AF75" s="132" t="n">
        <f aca="false">$F75*K75</f>
        <v>-0</v>
      </c>
      <c r="AG75" s="132" t="n">
        <f aca="false">$F75*L75</f>
        <v>0</v>
      </c>
      <c r="AH75" s="132" t="n">
        <f aca="false">$F75*M75</f>
        <v>0</v>
      </c>
      <c r="AI75" s="132" t="n">
        <f aca="false">$F75*N75</f>
        <v>0</v>
      </c>
      <c r="AJ75" s="132" t="n">
        <f aca="false">F75*O75</f>
        <v>0</v>
      </c>
      <c r="AK75" s="137"/>
      <c r="AL75" s="132" t="n">
        <f aca="false">CHOOSE($G$3,AC75-AD75,AD75-AC75)</f>
        <v>0</v>
      </c>
      <c r="AM75" s="132" t="n">
        <f aca="false">CHOOSE($G$3,AF75-AG75,AG75-AF75)</f>
        <v>0</v>
      </c>
      <c r="AN75" s="132" t="n">
        <f aca="false">CHOOSE($G$3,AI75-AJ75,AJ75-AI75)</f>
        <v>0</v>
      </c>
      <c r="AO75" s="148" t="n">
        <f aca="false">SUM(AL75:AN75)</f>
        <v>0</v>
      </c>
      <c r="AQ75" s="132" t="n">
        <f aca="false">CHOOSE($G$3,AB75-AC75,AC75-AB75)</f>
        <v>0</v>
      </c>
      <c r="AR75" s="132" t="n">
        <f aca="false">CHOOSE($G$3,AE75-AF75,AF75-AE75)</f>
        <v>0</v>
      </c>
      <c r="AS75" s="132" t="n">
        <f aca="false">CHOOSE($G$3,AH75-AI75,AI75-AH75)</f>
        <v>0</v>
      </c>
      <c r="AT75" s="148" t="n">
        <f aca="false">AQ75+AR75+AS75</f>
        <v>0</v>
      </c>
      <c r="AU75" s="148"/>
      <c r="AV75" s="133" t="n">
        <f aca="false">AT75+AO75</f>
        <v>0</v>
      </c>
      <c r="AX75" s="133" t="n">
        <f aca="false">AJ75+AG75+AD75</f>
        <v>0</v>
      </c>
      <c r="AY75" s="149"/>
      <c r="AZ75" s="76" t="n">
        <f aca="false">R75*E75</f>
        <v>0</v>
      </c>
    </row>
    <row r="76" customFormat="false" ht="12.75" hidden="false" customHeight="false" outlineLevel="0" collapsed="false">
      <c r="A76" s="138" t="n">
        <f aca="false">EDATE(A75,1)</f>
        <v>38991</v>
      </c>
      <c r="B76" s="139" t="n">
        <f aca="false">VLOOKUP($A76,Table2,MATCH(I$3,Curves2,0))</f>
        <v>0</v>
      </c>
      <c r="C76" s="140"/>
      <c r="D76" s="141" t="n">
        <f aca="false">B76+C76</f>
        <v>0</v>
      </c>
      <c r="E76" s="126" t="n">
        <f aca="false">IF(Y76=0,0,IF(AND(Y76=1,$H$3=1),D76*T76,IF($H$3=2,D76,"N/A")))</f>
        <v>0</v>
      </c>
      <c r="F76" s="126" t="n">
        <f aca="false">E76*X76</f>
        <v>0</v>
      </c>
      <c r="G76" s="142" t="n">
        <f aca="false">VLOOKUP($A76,Table,MATCH(G$4,Curves,0))</f>
        <v>3.987</v>
      </c>
      <c r="H76" s="143" t="n">
        <f aca="false">G76</f>
        <v>3.987</v>
      </c>
      <c r="I76" s="142" t="n">
        <f aca="false">VLOOKUP($A76,Table1,MATCH(I$3,Curves1,0))</f>
        <v>0</v>
      </c>
      <c r="J76" s="142" t="n">
        <f aca="false">VLOOKUP($A76,Table,MATCH(J$4,Curves,0))</f>
        <v>-0.0235</v>
      </c>
      <c r="K76" s="143" t="n">
        <f aca="false">J76</f>
        <v>-0.0235</v>
      </c>
      <c r="L76" s="144" t="n">
        <v>0</v>
      </c>
      <c r="M76" s="142" t="n">
        <f aca="false">VLOOKUP($A76,Table,MATCH(M$4,Curves,0))</f>
        <v>0.0075</v>
      </c>
      <c r="N76" s="143" t="n">
        <f aca="false">M76</f>
        <v>0.0075</v>
      </c>
      <c r="O76" s="144" t="n">
        <v>0</v>
      </c>
      <c r="P76" s="145"/>
      <c r="Q76" s="144" t="n">
        <f aca="false">M76+J76+G76</f>
        <v>3.971</v>
      </c>
      <c r="R76" s="144" t="n">
        <f aca="false">O76+L76+I76</f>
        <v>0</v>
      </c>
      <c r="S76" s="145"/>
      <c r="T76" s="71" t="n">
        <f aca="false">A77-A76</f>
        <v>31</v>
      </c>
      <c r="U76" s="146" t="n">
        <f aca="false">CHOOSE(F$3,A77+24,A76)</f>
        <v>39046</v>
      </c>
      <c r="V76" s="71" t="n">
        <f aca="false">U76-C$3</f>
        <v>2158</v>
      </c>
      <c r="W76" s="142" t="n">
        <f aca="false">VLOOKUP($A76,Table,MATCH(W$4,Curves,0))</f>
        <v>0.058966861357273</v>
      </c>
      <c r="X76" s="147" t="n">
        <f aca="false">1/(1+CHOOSE(F$3,(W77+($K$3/10000))/2,(W76+($K$3/10000))/2))^(2*V76/365.25)</f>
        <v>0.709385833937793</v>
      </c>
      <c r="Y76" s="71" t="n">
        <f aca="false">IF(AND(mthbeg&lt;=A76,mthend&gt;=A76),1,0)</f>
        <v>0</v>
      </c>
      <c r="Z76" s="71" t="n">
        <f aca="false">T76*Y76</f>
        <v>0</v>
      </c>
      <c r="AB76" s="132" t="n">
        <f aca="false">F76*G76</f>
        <v>0</v>
      </c>
      <c r="AC76" s="132" t="n">
        <f aca="false">$F76*H76</f>
        <v>0</v>
      </c>
      <c r="AD76" s="132" t="n">
        <f aca="false">$F76*I76</f>
        <v>0</v>
      </c>
      <c r="AE76" s="132" t="n">
        <f aca="false">$F76*J76</f>
        <v>-0</v>
      </c>
      <c r="AF76" s="132" t="n">
        <f aca="false">$F76*K76</f>
        <v>-0</v>
      </c>
      <c r="AG76" s="132" t="n">
        <f aca="false">$F76*L76</f>
        <v>0</v>
      </c>
      <c r="AH76" s="132" t="n">
        <f aca="false">$F76*M76</f>
        <v>0</v>
      </c>
      <c r="AI76" s="132" t="n">
        <f aca="false">$F76*N76</f>
        <v>0</v>
      </c>
      <c r="AJ76" s="132" t="n">
        <f aca="false">F76*O76</f>
        <v>0</v>
      </c>
      <c r="AK76" s="137"/>
      <c r="AL76" s="132" t="n">
        <f aca="false">CHOOSE($G$3,AC76-AD76,AD76-AC76)</f>
        <v>0</v>
      </c>
      <c r="AM76" s="132" t="n">
        <f aca="false">CHOOSE($G$3,AF76-AG76,AG76-AF76)</f>
        <v>0</v>
      </c>
      <c r="AN76" s="132" t="n">
        <f aca="false">CHOOSE($G$3,AI76-AJ76,AJ76-AI76)</f>
        <v>0</v>
      </c>
      <c r="AO76" s="148" t="n">
        <f aca="false">SUM(AL76:AN76)</f>
        <v>0</v>
      </c>
      <c r="AQ76" s="132" t="n">
        <f aca="false">CHOOSE($G$3,AB76-AC76,AC76-AB76)</f>
        <v>0</v>
      </c>
      <c r="AR76" s="132" t="n">
        <f aca="false">CHOOSE($G$3,AE76-AF76,AF76-AE76)</f>
        <v>0</v>
      </c>
      <c r="AS76" s="132" t="n">
        <f aca="false">CHOOSE($G$3,AH76-AI76,AI76-AH76)</f>
        <v>0</v>
      </c>
      <c r="AT76" s="148" t="n">
        <f aca="false">AQ76+AR76+AS76</f>
        <v>0</v>
      </c>
      <c r="AU76" s="148"/>
      <c r="AV76" s="133" t="n">
        <f aca="false">AT76+AO76</f>
        <v>0</v>
      </c>
      <c r="AX76" s="133" t="n">
        <f aca="false">AJ76+AG76+AD76</f>
        <v>0</v>
      </c>
      <c r="AY76" s="149"/>
      <c r="AZ76" s="76" t="n">
        <f aca="false">R76*E76</f>
        <v>0</v>
      </c>
    </row>
    <row r="77" customFormat="false" ht="12.75" hidden="false" customHeight="false" outlineLevel="0" collapsed="false">
      <c r="A77" s="138" t="n">
        <f aca="false">EDATE(A76,1)</f>
        <v>39022</v>
      </c>
      <c r="B77" s="139" t="n">
        <f aca="false">VLOOKUP($A77,Table2,MATCH(I$3,Curves2,0))</f>
        <v>0</v>
      </c>
      <c r="C77" s="140"/>
      <c r="D77" s="141" t="n">
        <f aca="false">B77+C77</f>
        <v>0</v>
      </c>
      <c r="E77" s="126" t="n">
        <f aca="false">IF(Y77=0,0,IF(AND(Y77=1,$H$3=1),D77*T77,IF($H$3=2,D77,"N/A")))</f>
        <v>0</v>
      </c>
      <c r="F77" s="126" t="n">
        <f aca="false">E77*X77</f>
        <v>0</v>
      </c>
      <c r="G77" s="142" t="n">
        <f aca="false">VLOOKUP($A77,Table,MATCH(G$4,Curves,0))</f>
        <v>3.987</v>
      </c>
      <c r="H77" s="143" t="n">
        <f aca="false">G77</f>
        <v>3.987</v>
      </c>
      <c r="I77" s="142" t="n">
        <f aca="false">VLOOKUP($A77,Table1,MATCH(I$3,Curves1,0))</f>
        <v>0</v>
      </c>
      <c r="J77" s="142" t="n">
        <f aca="false">VLOOKUP($A77,Table,MATCH(J$4,Curves,0))</f>
        <v>-0.0235</v>
      </c>
      <c r="K77" s="143" t="n">
        <f aca="false">J77</f>
        <v>-0.0235</v>
      </c>
      <c r="L77" s="144" t="n">
        <v>0</v>
      </c>
      <c r="M77" s="142" t="n">
        <f aca="false">VLOOKUP($A77,Table,MATCH(M$4,Curves,0))</f>
        <v>0.0075</v>
      </c>
      <c r="N77" s="143" t="n">
        <f aca="false">M77</f>
        <v>0.0075</v>
      </c>
      <c r="O77" s="144" t="n">
        <v>0</v>
      </c>
      <c r="P77" s="145"/>
      <c r="Q77" s="144" t="n">
        <f aca="false">M77+J77+G77</f>
        <v>3.971</v>
      </c>
      <c r="R77" s="144" t="n">
        <f aca="false">O77+L77+I77</f>
        <v>0</v>
      </c>
      <c r="S77" s="145"/>
      <c r="T77" s="71" t="n">
        <f aca="false">A78-A77</f>
        <v>30</v>
      </c>
      <c r="U77" s="146" t="n">
        <f aca="false">CHOOSE(F$3,A78+24,A77)</f>
        <v>39076</v>
      </c>
      <c r="V77" s="71" t="n">
        <f aca="false">U77-C$3</f>
        <v>2188</v>
      </c>
      <c r="W77" s="142" t="n">
        <f aca="false">VLOOKUP($A77,Table,MATCH(W$4,Curves,0))</f>
        <v>0.058966861357273</v>
      </c>
      <c r="X77" s="147" t="n">
        <f aca="false">1/(1+CHOOSE(F$3,(W78+($K$3/10000))/2,(W77+($K$3/10000))/2))^(2*V77/365.25)</f>
        <v>0.706007827216554</v>
      </c>
      <c r="Y77" s="71" t="n">
        <f aca="false">IF(AND(mthbeg&lt;=A77,mthend&gt;=A77),1,0)</f>
        <v>0</v>
      </c>
      <c r="Z77" s="71" t="n">
        <f aca="false">T77*Y77</f>
        <v>0</v>
      </c>
      <c r="AB77" s="132" t="n">
        <f aca="false">F77*G77</f>
        <v>0</v>
      </c>
      <c r="AC77" s="132" t="n">
        <f aca="false">$F77*H77</f>
        <v>0</v>
      </c>
      <c r="AD77" s="132" t="n">
        <f aca="false">$F77*I77</f>
        <v>0</v>
      </c>
      <c r="AE77" s="132" t="n">
        <f aca="false">$F77*J77</f>
        <v>-0</v>
      </c>
      <c r="AF77" s="132" t="n">
        <f aca="false">$F77*K77</f>
        <v>-0</v>
      </c>
      <c r="AG77" s="132" t="n">
        <f aca="false">$F77*L77</f>
        <v>0</v>
      </c>
      <c r="AH77" s="132" t="n">
        <f aca="false">$F77*M77</f>
        <v>0</v>
      </c>
      <c r="AI77" s="132" t="n">
        <f aca="false">$F77*N77</f>
        <v>0</v>
      </c>
      <c r="AJ77" s="132" t="n">
        <f aca="false">F77*O77</f>
        <v>0</v>
      </c>
      <c r="AK77" s="137"/>
      <c r="AL77" s="132" t="n">
        <f aca="false">CHOOSE($G$3,AC77-AD77,AD77-AC77)</f>
        <v>0</v>
      </c>
      <c r="AM77" s="132" t="n">
        <f aca="false">CHOOSE($G$3,AF77-AG77,AG77-AF77)</f>
        <v>0</v>
      </c>
      <c r="AN77" s="132" t="n">
        <f aca="false">CHOOSE($G$3,AI77-AJ77,AJ77-AI77)</f>
        <v>0</v>
      </c>
      <c r="AO77" s="148" t="n">
        <f aca="false">SUM(AL77:AN77)</f>
        <v>0</v>
      </c>
      <c r="AQ77" s="132" t="n">
        <f aca="false">CHOOSE($G$3,AB77-AC77,AC77-AB77)</f>
        <v>0</v>
      </c>
      <c r="AR77" s="132" t="n">
        <f aca="false">CHOOSE($G$3,AE77-AF77,AF77-AE77)</f>
        <v>0</v>
      </c>
      <c r="AS77" s="132" t="n">
        <f aca="false">CHOOSE($G$3,AH77-AI77,AI77-AH77)</f>
        <v>0</v>
      </c>
      <c r="AT77" s="148" t="n">
        <f aca="false">AQ77+AR77+AS77</f>
        <v>0</v>
      </c>
      <c r="AU77" s="148"/>
      <c r="AV77" s="133" t="n">
        <f aca="false">AT77+AO77</f>
        <v>0</v>
      </c>
      <c r="AX77" s="133" t="n">
        <f aca="false">AJ77+AG77+AD77</f>
        <v>0</v>
      </c>
      <c r="AY77" s="149"/>
      <c r="AZ77" s="76" t="n">
        <f aca="false">R77*E77</f>
        <v>0</v>
      </c>
    </row>
    <row r="78" customFormat="false" ht="12.75" hidden="false" customHeight="false" outlineLevel="0" collapsed="false">
      <c r="A78" s="138" t="n">
        <f aca="false">EDATE(A77,1)</f>
        <v>39052</v>
      </c>
      <c r="B78" s="139" t="n">
        <f aca="false">VLOOKUP($A78,Table2,MATCH(I$3,Curves2,0))</f>
        <v>0</v>
      </c>
      <c r="C78" s="140"/>
      <c r="D78" s="141" t="n">
        <f aca="false">B78+C78</f>
        <v>0</v>
      </c>
      <c r="E78" s="126" t="n">
        <f aca="false">IF(Y78=0,0,IF(AND(Y78=1,$H$3=1),D78*T78,IF($H$3=2,D78,"N/A")))</f>
        <v>0</v>
      </c>
      <c r="F78" s="126" t="n">
        <f aca="false">E78*X78</f>
        <v>0</v>
      </c>
      <c r="G78" s="142" t="n">
        <f aca="false">VLOOKUP($A78,Table,MATCH(G$4,Curves,0))</f>
        <v>3.987</v>
      </c>
      <c r="H78" s="143" t="n">
        <f aca="false">G78</f>
        <v>3.987</v>
      </c>
      <c r="I78" s="142" t="n">
        <f aca="false">VLOOKUP($A78,Table1,MATCH(I$3,Curves1,0))</f>
        <v>0</v>
      </c>
      <c r="J78" s="142" t="n">
        <f aca="false">VLOOKUP($A78,Table,MATCH(J$4,Curves,0))</f>
        <v>-0.0235</v>
      </c>
      <c r="K78" s="143" t="n">
        <f aca="false">J78</f>
        <v>-0.0235</v>
      </c>
      <c r="L78" s="144" t="n">
        <v>0</v>
      </c>
      <c r="M78" s="142" t="n">
        <f aca="false">VLOOKUP($A78,Table,MATCH(M$4,Curves,0))</f>
        <v>0.0075</v>
      </c>
      <c r="N78" s="143" t="n">
        <f aca="false">M78</f>
        <v>0.0075</v>
      </c>
      <c r="O78" s="144" t="n">
        <v>0</v>
      </c>
      <c r="P78" s="145"/>
      <c r="Q78" s="144" t="n">
        <f aca="false">M78+J78+G78</f>
        <v>3.971</v>
      </c>
      <c r="R78" s="144" t="n">
        <f aca="false">O78+L78+I78</f>
        <v>0</v>
      </c>
      <c r="S78" s="145"/>
      <c r="T78" s="71" t="n">
        <f aca="false">A79-A78</f>
        <v>31</v>
      </c>
      <c r="U78" s="146" t="n">
        <f aca="false">CHOOSE(F$3,A79+24,A78)</f>
        <v>39107</v>
      </c>
      <c r="V78" s="71" t="n">
        <f aca="false">U78-C$3</f>
        <v>2219</v>
      </c>
      <c r="W78" s="142" t="n">
        <f aca="false">VLOOKUP($A78,Table,MATCH(W$4,Curves,0))</f>
        <v>0.058966861357273</v>
      </c>
      <c r="X78" s="147" t="n">
        <f aca="false">1/(1+CHOOSE(F$3,(W79+($K$3/10000))/2,(W78+($K$3/10000))/2))^(2*V78/365.25)</f>
        <v>0.702534118240909</v>
      </c>
      <c r="Y78" s="71" t="n">
        <f aca="false">IF(AND(mthbeg&lt;=A78,mthend&gt;=A78),1,0)</f>
        <v>0</v>
      </c>
      <c r="Z78" s="71" t="n">
        <f aca="false">T78*Y78</f>
        <v>0</v>
      </c>
      <c r="AB78" s="132" t="n">
        <f aca="false">F78*G78</f>
        <v>0</v>
      </c>
      <c r="AC78" s="132" t="n">
        <f aca="false">$F78*H78</f>
        <v>0</v>
      </c>
      <c r="AD78" s="132" t="n">
        <f aca="false">$F78*I78</f>
        <v>0</v>
      </c>
      <c r="AE78" s="132" t="n">
        <f aca="false">$F78*J78</f>
        <v>-0</v>
      </c>
      <c r="AF78" s="132" t="n">
        <f aca="false">$F78*K78</f>
        <v>-0</v>
      </c>
      <c r="AG78" s="132" t="n">
        <f aca="false">$F78*L78</f>
        <v>0</v>
      </c>
      <c r="AH78" s="132" t="n">
        <f aca="false">$F78*M78</f>
        <v>0</v>
      </c>
      <c r="AI78" s="132" t="n">
        <f aca="false">$F78*N78</f>
        <v>0</v>
      </c>
      <c r="AJ78" s="132" t="n">
        <f aca="false">F78*O78</f>
        <v>0</v>
      </c>
      <c r="AK78" s="137"/>
      <c r="AL78" s="132" t="n">
        <f aca="false">CHOOSE($G$3,AC78-AD78,AD78-AC78)</f>
        <v>0</v>
      </c>
      <c r="AM78" s="132" t="n">
        <f aca="false">CHOOSE($G$3,AF78-AG78,AG78-AF78)</f>
        <v>0</v>
      </c>
      <c r="AN78" s="132" t="n">
        <f aca="false">CHOOSE($G$3,AI78-AJ78,AJ78-AI78)</f>
        <v>0</v>
      </c>
      <c r="AO78" s="148" t="n">
        <f aca="false">SUM(AL78:AN78)</f>
        <v>0</v>
      </c>
      <c r="AQ78" s="132" t="n">
        <f aca="false">CHOOSE($G$3,AB78-AC78,AC78-AB78)</f>
        <v>0</v>
      </c>
      <c r="AR78" s="132" t="n">
        <f aca="false">CHOOSE($G$3,AE78-AF78,AF78-AE78)</f>
        <v>0</v>
      </c>
      <c r="AS78" s="132" t="n">
        <f aca="false">CHOOSE($G$3,AH78-AI78,AI78-AH78)</f>
        <v>0</v>
      </c>
      <c r="AT78" s="148" t="n">
        <f aca="false">AQ78+AR78+AS78</f>
        <v>0</v>
      </c>
      <c r="AU78" s="148"/>
      <c r="AV78" s="133" t="n">
        <f aca="false">AT78+AO78</f>
        <v>0</v>
      </c>
      <c r="AX78" s="133" t="n">
        <f aca="false">AJ78+AG78+AD78</f>
        <v>0</v>
      </c>
      <c r="AY78" s="149"/>
      <c r="AZ78" s="76" t="n">
        <f aca="false">R78*E78</f>
        <v>0</v>
      </c>
    </row>
    <row r="79" customFormat="false" ht="12.75" hidden="false" customHeight="false" outlineLevel="0" collapsed="false">
      <c r="A79" s="138" t="n">
        <f aca="false">EDATE(A78,1)</f>
        <v>39083</v>
      </c>
      <c r="B79" s="139" t="n">
        <f aca="false">VLOOKUP($A79,Table2,MATCH(I$3,Curves2,0))</f>
        <v>0</v>
      </c>
      <c r="C79" s="140"/>
      <c r="D79" s="141" t="n">
        <f aca="false">B79+C79</f>
        <v>0</v>
      </c>
      <c r="E79" s="126" t="n">
        <f aca="false">IF(Y79=0,0,IF(AND(Y79=1,$H$3=1),D79*T79,IF($H$3=2,D79,"N/A")))</f>
        <v>0</v>
      </c>
      <c r="F79" s="126" t="n">
        <f aca="false">E79*X79</f>
        <v>0</v>
      </c>
      <c r="G79" s="142" t="n">
        <f aca="false">VLOOKUP($A79,Table,MATCH(G$4,Curves,0))</f>
        <v>3.987</v>
      </c>
      <c r="H79" s="143" t="n">
        <f aca="false">G79</f>
        <v>3.987</v>
      </c>
      <c r="I79" s="142" t="n">
        <f aca="false">VLOOKUP($A79,Table1,MATCH(I$3,Curves1,0))</f>
        <v>0</v>
      </c>
      <c r="J79" s="142" t="n">
        <f aca="false">VLOOKUP($A79,Table,MATCH(J$4,Curves,0))</f>
        <v>-0.0235</v>
      </c>
      <c r="K79" s="143" t="n">
        <f aca="false">J79</f>
        <v>-0.0235</v>
      </c>
      <c r="L79" s="144" t="n">
        <v>0</v>
      </c>
      <c r="M79" s="142" t="n">
        <f aca="false">VLOOKUP($A79,Table,MATCH(M$4,Curves,0))</f>
        <v>0.0075</v>
      </c>
      <c r="N79" s="143" t="n">
        <f aca="false">M79</f>
        <v>0.0075</v>
      </c>
      <c r="O79" s="144" t="n">
        <v>0</v>
      </c>
      <c r="P79" s="145"/>
      <c r="Q79" s="144" t="n">
        <f aca="false">M79+J79+G79</f>
        <v>3.971</v>
      </c>
      <c r="R79" s="144" t="n">
        <f aca="false">O79+L79+I79</f>
        <v>0</v>
      </c>
      <c r="S79" s="145"/>
      <c r="T79" s="71" t="n">
        <f aca="false">A80-A79</f>
        <v>31</v>
      </c>
      <c r="U79" s="146" t="n">
        <f aca="false">CHOOSE(F$3,A80+24,A79)</f>
        <v>39138</v>
      </c>
      <c r="V79" s="71" t="n">
        <f aca="false">U79-C$3</f>
        <v>2250</v>
      </c>
      <c r="W79" s="142" t="n">
        <f aca="false">VLOOKUP($A79,Table,MATCH(W$4,Curves,0))</f>
        <v>0.058966861357273</v>
      </c>
      <c r="X79" s="147" t="n">
        <f aca="false">1/(1+CHOOSE(F$3,(W80+($K$3/10000))/2,(W79+($K$3/10000))/2))^(2*V79/365.25)</f>
        <v>0.699077500653747</v>
      </c>
      <c r="Y79" s="71" t="n">
        <f aca="false">IF(AND(mthbeg&lt;=A79,mthend&gt;=A79),1,0)</f>
        <v>0</v>
      </c>
      <c r="Z79" s="71" t="n">
        <f aca="false">T79*Y79</f>
        <v>0</v>
      </c>
      <c r="AB79" s="132" t="n">
        <f aca="false">F79*G79</f>
        <v>0</v>
      </c>
      <c r="AC79" s="132" t="n">
        <f aca="false">$F79*H79</f>
        <v>0</v>
      </c>
      <c r="AD79" s="132" t="n">
        <f aca="false">$F79*I79</f>
        <v>0</v>
      </c>
      <c r="AE79" s="132" t="n">
        <f aca="false">$F79*J79</f>
        <v>-0</v>
      </c>
      <c r="AF79" s="132" t="n">
        <f aca="false">$F79*K79</f>
        <v>-0</v>
      </c>
      <c r="AG79" s="132" t="n">
        <f aca="false">$F79*L79</f>
        <v>0</v>
      </c>
      <c r="AH79" s="132" t="n">
        <f aca="false">$F79*M79</f>
        <v>0</v>
      </c>
      <c r="AI79" s="132" t="n">
        <f aca="false">$F79*N79</f>
        <v>0</v>
      </c>
      <c r="AJ79" s="132" t="n">
        <f aca="false">F79*O79</f>
        <v>0</v>
      </c>
      <c r="AK79" s="137"/>
      <c r="AL79" s="132" t="n">
        <f aca="false">CHOOSE($G$3,AC79-AD79,AD79-AC79)</f>
        <v>0</v>
      </c>
      <c r="AM79" s="132" t="n">
        <f aca="false">CHOOSE($G$3,AF79-AG79,AG79-AF79)</f>
        <v>0</v>
      </c>
      <c r="AN79" s="132" t="n">
        <f aca="false">CHOOSE($G$3,AI79-AJ79,AJ79-AI79)</f>
        <v>0</v>
      </c>
      <c r="AO79" s="148" t="n">
        <f aca="false">SUM(AL79:AN79)</f>
        <v>0</v>
      </c>
      <c r="AQ79" s="132" t="n">
        <f aca="false">CHOOSE($G$3,AB79-AC79,AC79-AB79)</f>
        <v>0</v>
      </c>
      <c r="AR79" s="132" t="n">
        <f aca="false">CHOOSE($G$3,AE79-AF79,AF79-AE79)</f>
        <v>0</v>
      </c>
      <c r="AS79" s="132" t="n">
        <f aca="false">CHOOSE($G$3,AH79-AI79,AI79-AH79)</f>
        <v>0</v>
      </c>
      <c r="AT79" s="148" t="n">
        <f aca="false">AQ79+AR79+AS79</f>
        <v>0</v>
      </c>
      <c r="AU79" s="148"/>
      <c r="AV79" s="133" t="n">
        <f aca="false">AT79+AO79</f>
        <v>0</v>
      </c>
      <c r="AX79" s="133" t="n">
        <f aca="false">AJ79+AG79+AD79</f>
        <v>0</v>
      </c>
      <c r="AY79" s="149"/>
      <c r="AZ79" s="76" t="n">
        <f aca="false">R79*E79</f>
        <v>0</v>
      </c>
    </row>
    <row r="80" customFormat="false" ht="12.75" hidden="false" customHeight="false" outlineLevel="0" collapsed="false">
      <c r="A80" s="138" t="n">
        <f aca="false">EDATE(A79,1)</f>
        <v>39114</v>
      </c>
      <c r="B80" s="139" t="n">
        <f aca="false">VLOOKUP($A80,Table2,MATCH(I$3,Curves2,0))</f>
        <v>0</v>
      </c>
      <c r="C80" s="140"/>
      <c r="D80" s="141" t="n">
        <f aca="false">B80+C80</f>
        <v>0</v>
      </c>
      <c r="E80" s="126" t="n">
        <f aca="false">IF(Y80=0,0,IF(AND(Y80=1,$H$3=1),D80*T80,IF($H$3=2,D80,"N/A")))</f>
        <v>0</v>
      </c>
      <c r="F80" s="126" t="n">
        <f aca="false">E80*X80</f>
        <v>0</v>
      </c>
      <c r="G80" s="142" t="n">
        <f aca="false">VLOOKUP($A80,Table,MATCH(G$4,Curves,0))</f>
        <v>3.987</v>
      </c>
      <c r="H80" s="143" t="n">
        <f aca="false">G80</f>
        <v>3.987</v>
      </c>
      <c r="I80" s="142" t="n">
        <f aca="false">VLOOKUP($A80,Table1,MATCH(I$3,Curves1,0))</f>
        <v>0</v>
      </c>
      <c r="J80" s="142" t="n">
        <f aca="false">VLOOKUP($A80,Table,MATCH(J$4,Curves,0))</f>
        <v>-0.0235</v>
      </c>
      <c r="K80" s="143" t="n">
        <f aca="false">J80</f>
        <v>-0.0235</v>
      </c>
      <c r="L80" s="144" t="n">
        <v>0</v>
      </c>
      <c r="M80" s="142" t="n">
        <f aca="false">VLOOKUP($A80,Table,MATCH(M$4,Curves,0))</f>
        <v>0.0075</v>
      </c>
      <c r="N80" s="143" t="n">
        <f aca="false">M80</f>
        <v>0.0075</v>
      </c>
      <c r="O80" s="144" t="n">
        <v>0</v>
      </c>
      <c r="P80" s="145"/>
      <c r="Q80" s="144" t="n">
        <f aca="false">M80+J80+G80</f>
        <v>3.971</v>
      </c>
      <c r="R80" s="144" t="n">
        <f aca="false">O80+L80+I80</f>
        <v>0</v>
      </c>
      <c r="S80" s="145"/>
      <c r="T80" s="71" t="n">
        <f aca="false">A81-A80</f>
        <v>28</v>
      </c>
      <c r="U80" s="146" t="n">
        <f aca="false">CHOOSE(F$3,A81+24,A80)</f>
        <v>39166</v>
      </c>
      <c r="V80" s="71" t="n">
        <f aca="false">U80-C$3</f>
        <v>2278</v>
      </c>
      <c r="W80" s="142" t="n">
        <f aca="false">VLOOKUP($A80,Table,MATCH(W$4,Curves,0))</f>
        <v>0.058966861357273</v>
      </c>
      <c r="X80" s="147" t="n">
        <f aca="false">1/(1+CHOOSE(F$3,(W81+($K$3/10000))/2,(W80+($K$3/10000))/2))^(2*V80/365.25)</f>
        <v>0.695970014902296</v>
      </c>
      <c r="Y80" s="71" t="n">
        <f aca="false">IF(AND(mthbeg&lt;=A80,mthend&gt;=A80),1,0)</f>
        <v>0</v>
      </c>
      <c r="Z80" s="71" t="n">
        <f aca="false">T80*Y80</f>
        <v>0</v>
      </c>
      <c r="AB80" s="132" t="n">
        <f aca="false">F80*G80</f>
        <v>0</v>
      </c>
      <c r="AC80" s="132" t="n">
        <f aca="false">$F80*H80</f>
        <v>0</v>
      </c>
      <c r="AD80" s="132" t="n">
        <f aca="false">$F80*I80</f>
        <v>0</v>
      </c>
      <c r="AE80" s="132" t="n">
        <f aca="false">$F80*J80</f>
        <v>-0</v>
      </c>
      <c r="AF80" s="132" t="n">
        <f aca="false">$F80*K80</f>
        <v>-0</v>
      </c>
      <c r="AG80" s="132" t="n">
        <f aca="false">$F80*L80</f>
        <v>0</v>
      </c>
      <c r="AH80" s="132" t="n">
        <f aca="false">$F80*M80</f>
        <v>0</v>
      </c>
      <c r="AI80" s="132" t="n">
        <f aca="false">$F80*N80</f>
        <v>0</v>
      </c>
      <c r="AJ80" s="132" t="n">
        <f aca="false">F80*O80</f>
        <v>0</v>
      </c>
      <c r="AK80" s="137"/>
      <c r="AL80" s="132" t="n">
        <f aca="false">CHOOSE($G$3,AC80-AD80,AD80-AC80)</f>
        <v>0</v>
      </c>
      <c r="AM80" s="132" t="n">
        <f aca="false">CHOOSE($G$3,AF80-AG80,AG80-AF80)</f>
        <v>0</v>
      </c>
      <c r="AN80" s="132" t="n">
        <f aca="false">CHOOSE($G$3,AI80-AJ80,AJ80-AI80)</f>
        <v>0</v>
      </c>
      <c r="AO80" s="148" t="n">
        <f aca="false">SUM(AL80:AN80)</f>
        <v>0</v>
      </c>
      <c r="AQ80" s="132" t="n">
        <f aca="false">CHOOSE($G$3,AB80-AC80,AC80-AB80)</f>
        <v>0</v>
      </c>
      <c r="AR80" s="132" t="n">
        <f aca="false">CHOOSE($G$3,AE80-AF80,AF80-AE80)</f>
        <v>0</v>
      </c>
      <c r="AS80" s="132" t="n">
        <f aca="false">CHOOSE($G$3,AH80-AI80,AI80-AH80)</f>
        <v>0</v>
      </c>
      <c r="AT80" s="148" t="n">
        <f aca="false">AQ80+AR80+AS80</f>
        <v>0</v>
      </c>
      <c r="AU80" s="148"/>
      <c r="AV80" s="133" t="n">
        <f aca="false">AT80+AO80</f>
        <v>0</v>
      </c>
      <c r="AX80" s="133" t="n">
        <f aca="false">AJ80+AG80+AD80</f>
        <v>0</v>
      </c>
      <c r="AY80" s="149"/>
      <c r="AZ80" s="76" t="n">
        <f aca="false">R80*E80</f>
        <v>0</v>
      </c>
    </row>
    <row r="81" customFormat="false" ht="12.75" hidden="false" customHeight="false" outlineLevel="0" collapsed="false">
      <c r="A81" s="138" t="n">
        <f aca="false">EDATE(A80,1)</f>
        <v>39142</v>
      </c>
      <c r="B81" s="139" t="n">
        <f aca="false">VLOOKUP($A81,Table2,MATCH(I$3,Curves2,0))</f>
        <v>0</v>
      </c>
      <c r="C81" s="140"/>
      <c r="D81" s="141" t="n">
        <f aca="false">B81+C81</f>
        <v>0</v>
      </c>
      <c r="E81" s="126" t="n">
        <f aca="false">IF(Y81=0,0,IF(AND(Y81=1,$H$3=1),D81*T81,IF($H$3=2,D81,"N/A")))</f>
        <v>0</v>
      </c>
      <c r="F81" s="126" t="n">
        <f aca="false">E81*X81</f>
        <v>0</v>
      </c>
      <c r="G81" s="142" t="n">
        <f aca="false">VLOOKUP($A81,Table,MATCH(G$4,Curves,0))</f>
        <v>3.987</v>
      </c>
      <c r="H81" s="143" t="n">
        <f aca="false">G81</f>
        <v>3.987</v>
      </c>
      <c r="I81" s="142" t="n">
        <f aca="false">VLOOKUP($A81,Table1,MATCH(I$3,Curves1,0))</f>
        <v>0</v>
      </c>
      <c r="J81" s="142" t="n">
        <f aca="false">VLOOKUP($A81,Table,MATCH(J$4,Curves,0))</f>
        <v>-0.0235</v>
      </c>
      <c r="K81" s="143" t="n">
        <f aca="false">J81</f>
        <v>-0.0235</v>
      </c>
      <c r="L81" s="144" t="n">
        <v>0</v>
      </c>
      <c r="M81" s="142" t="n">
        <f aca="false">VLOOKUP($A81,Table,MATCH(M$4,Curves,0))</f>
        <v>0.0075</v>
      </c>
      <c r="N81" s="143" t="n">
        <f aca="false">M81</f>
        <v>0.0075</v>
      </c>
      <c r="O81" s="144" t="n">
        <v>0</v>
      </c>
      <c r="P81" s="145"/>
      <c r="Q81" s="144" t="n">
        <f aca="false">M81+J81+G81</f>
        <v>3.971</v>
      </c>
      <c r="R81" s="144" t="n">
        <f aca="false">O81+L81+I81</f>
        <v>0</v>
      </c>
      <c r="S81" s="145"/>
      <c r="T81" s="71" t="n">
        <f aca="false">A82-A81</f>
        <v>31</v>
      </c>
      <c r="U81" s="146" t="n">
        <f aca="false">CHOOSE(F$3,A82+24,A81)</f>
        <v>39197</v>
      </c>
      <c r="V81" s="71" t="n">
        <f aca="false">U81-C$3</f>
        <v>2309</v>
      </c>
      <c r="W81" s="142" t="n">
        <f aca="false">VLOOKUP($A81,Table,MATCH(W$4,Curves,0))</f>
        <v>0.058966861357273</v>
      </c>
      <c r="X81" s="147" t="n">
        <f aca="false">1/(1+CHOOSE(F$3,(W82+($K$3/10000))/2,(W81+($K$3/10000))/2))^(2*V81/365.25)</f>
        <v>0.692545694102515</v>
      </c>
      <c r="Y81" s="71" t="n">
        <f aca="false">IF(AND(mthbeg&lt;=A81,mthend&gt;=A81),1,0)</f>
        <v>0</v>
      </c>
      <c r="Z81" s="71" t="n">
        <f aca="false">T81*Y81</f>
        <v>0</v>
      </c>
      <c r="AB81" s="132" t="n">
        <f aca="false">F81*G81</f>
        <v>0</v>
      </c>
      <c r="AC81" s="132" t="n">
        <f aca="false">$F81*H81</f>
        <v>0</v>
      </c>
      <c r="AD81" s="132" t="n">
        <f aca="false">$F81*I81</f>
        <v>0</v>
      </c>
      <c r="AE81" s="132" t="n">
        <f aca="false">$F81*J81</f>
        <v>-0</v>
      </c>
      <c r="AF81" s="132" t="n">
        <f aca="false">$F81*K81</f>
        <v>-0</v>
      </c>
      <c r="AG81" s="132" t="n">
        <f aca="false">$F81*L81</f>
        <v>0</v>
      </c>
      <c r="AH81" s="132" t="n">
        <f aca="false">$F81*M81</f>
        <v>0</v>
      </c>
      <c r="AI81" s="132" t="n">
        <f aca="false">$F81*N81</f>
        <v>0</v>
      </c>
      <c r="AJ81" s="132" t="n">
        <f aca="false">F81*O81</f>
        <v>0</v>
      </c>
      <c r="AK81" s="137"/>
      <c r="AL81" s="132" t="n">
        <f aca="false">CHOOSE($G$3,AC81-AD81,AD81-AC81)</f>
        <v>0</v>
      </c>
      <c r="AM81" s="132" t="n">
        <f aca="false">CHOOSE($G$3,AF81-AG81,AG81-AF81)</f>
        <v>0</v>
      </c>
      <c r="AN81" s="132" t="n">
        <f aca="false">CHOOSE($G$3,AI81-AJ81,AJ81-AI81)</f>
        <v>0</v>
      </c>
      <c r="AO81" s="148" t="n">
        <f aca="false">SUM(AL81:AN81)</f>
        <v>0</v>
      </c>
      <c r="AQ81" s="132" t="n">
        <f aca="false">CHOOSE($G$3,AB81-AC81,AC81-AB81)</f>
        <v>0</v>
      </c>
      <c r="AR81" s="132" t="n">
        <f aca="false">CHOOSE($G$3,AE81-AF81,AF81-AE81)</f>
        <v>0</v>
      </c>
      <c r="AS81" s="132" t="n">
        <f aca="false">CHOOSE($G$3,AH81-AI81,AI81-AH81)</f>
        <v>0</v>
      </c>
      <c r="AT81" s="148" t="n">
        <f aca="false">AQ81+AR81+AS81</f>
        <v>0</v>
      </c>
      <c r="AU81" s="148"/>
      <c r="AV81" s="133" t="n">
        <f aca="false">AT81+AO81</f>
        <v>0</v>
      </c>
      <c r="AX81" s="133" t="n">
        <f aca="false">AJ81+AG81+AD81</f>
        <v>0</v>
      </c>
      <c r="AY81" s="149"/>
      <c r="AZ81" s="76" t="n">
        <f aca="false">R81*E81</f>
        <v>0</v>
      </c>
    </row>
    <row r="82" customFormat="false" ht="12.75" hidden="false" customHeight="false" outlineLevel="0" collapsed="false">
      <c r="A82" s="138" t="n">
        <f aca="false">EDATE(A81,1)</f>
        <v>39173</v>
      </c>
      <c r="B82" s="139" t="n">
        <f aca="false">VLOOKUP($A82,Table2,MATCH(I$3,Curves2,0))</f>
        <v>0</v>
      </c>
      <c r="C82" s="140"/>
      <c r="D82" s="141" t="n">
        <f aca="false">B82+C82</f>
        <v>0</v>
      </c>
      <c r="E82" s="126" t="n">
        <f aca="false">IF(Y82=0,0,IF(AND(Y82=1,$H$3=1),D82*T82,IF($H$3=2,D82,"N/A")))</f>
        <v>0</v>
      </c>
      <c r="F82" s="126" t="n">
        <f aca="false">E82*X82</f>
        <v>0</v>
      </c>
      <c r="G82" s="142" t="n">
        <f aca="false">VLOOKUP($A82,Table,MATCH(G$4,Curves,0))</f>
        <v>3.987</v>
      </c>
      <c r="H82" s="143" t="n">
        <f aca="false">G82</f>
        <v>3.987</v>
      </c>
      <c r="I82" s="142" t="n">
        <f aca="false">VLOOKUP($A82,Table1,MATCH(I$3,Curves1,0))</f>
        <v>0</v>
      </c>
      <c r="J82" s="142" t="n">
        <f aca="false">VLOOKUP($A82,Table,MATCH(J$4,Curves,0))</f>
        <v>-0.0235</v>
      </c>
      <c r="K82" s="143" t="n">
        <f aca="false">J82</f>
        <v>-0.0235</v>
      </c>
      <c r="L82" s="144" t="n">
        <v>0</v>
      </c>
      <c r="M82" s="142" t="n">
        <f aca="false">VLOOKUP($A82,Table,MATCH(M$4,Curves,0))</f>
        <v>0.0075</v>
      </c>
      <c r="N82" s="143" t="n">
        <f aca="false">M82</f>
        <v>0.0075</v>
      </c>
      <c r="O82" s="144" t="n">
        <v>0</v>
      </c>
      <c r="P82" s="145"/>
      <c r="Q82" s="144" t="n">
        <f aca="false">M82+J82+G82</f>
        <v>3.971</v>
      </c>
      <c r="R82" s="144" t="n">
        <f aca="false">O82+L82+I82</f>
        <v>0</v>
      </c>
      <c r="S82" s="145"/>
      <c r="T82" s="71" t="n">
        <f aca="false">A83-A82</f>
        <v>30</v>
      </c>
      <c r="U82" s="146" t="n">
        <f aca="false">CHOOSE(F$3,A83+24,A82)</f>
        <v>39227</v>
      </c>
      <c r="V82" s="71" t="n">
        <f aca="false">U82-C$3</f>
        <v>2339</v>
      </c>
      <c r="W82" s="142" t="n">
        <f aca="false">VLOOKUP($A82,Table,MATCH(W$4,Curves,0))</f>
        <v>0.058966861357273</v>
      </c>
      <c r="X82" s="147" t="n">
        <f aca="false">1/(1+CHOOSE(F$3,(W83+($K$3/10000))/2,(W82+($K$3/10000))/2))^(2*V82/365.25)</f>
        <v>0.689247878023419</v>
      </c>
      <c r="Y82" s="71" t="n">
        <f aca="false">IF(AND(mthbeg&lt;=A82,mthend&gt;=A82),1,0)</f>
        <v>0</v>
      </c>
      <c r="Z82" s="71" t="n">
        <f aca="false">T82*Y82</f>
        <v>0</v>
      </c>
      <c r="AB82" s="132" t="n">
        <f aca="false">F82*G82</f>
        <v>0</v>
      </c>
      <c r="AC82" s="132" t="n">
        <f aca="false">$F82*H82</f>
        <v>0</v>
      </c>
      <c r="AD82" s="132" t="n">
        <f aca="false">$F82*I82</f>
        <v>0</v>
      </c>
      <c r="AE82" s="132" t="n">
        <f aca="false">$F82*J82</f>
        <v>-0</v>
      </c>
      <c r="AF82" s="132" t="n">
        <f aca="false">$F82*K82</f>
        <v>-0</v>
      </c>
      <c r="AG82" s="132" t="n">
        <f aca="false">$F82*L82</f>
        <v>0</v>
      </c>
      <c r="AH82" s="132" t="n">
        <f aca="false">$F82*M82</f>
        <v>0</v>
      </c>
      <c r="AI82" s="132" t="n">
        <f aca="false">$F82*N82</f>
        <v>0</v>
      </c>
      <c r="AJ82" s="132" t="n">
        <f aca="false">F82*O82</f>
        <v>0</v>
      </c>
      <c r="AK82" s="137"/>
      <c r="AL82" s="132" t="n">
        <f aca="false">CHOOSE($G$3,AC82-AD82,AD82-AC82)</f>
        <v>0</v>
      </c>
      <c r="AM82" s="132" t="n">
        <f aca="false">CHOOSE($G$3,AF82-AG82,AG82-AF82)</f>
        <v>0</v>
      </c>
      <c r="AN82" s="132" t="n">
        <f aca="false">CHOOSE($G$3,AI82-AJ82,AJ82-AI82)</f>
        <v>0</v>
      </c>
      <c r="AO82" s="148" t="n">
        <f aca="false">SUM(AL82:AN82)</f>
        <v>0</v>
      </c>
      <c r="AQ82" s="132" t="n">
        <f aca="false">CHOOSE($G$3,AB82-AC82,AC82-AB82)</f>
        <v>0</v>
      </c>
      <c r="AR82" s="132" t="n">
        <f aca="false">CHOOSE($G$3,AE82-AF82,AF82-AE82)</f>
        <v>0</v>
      </c>
      <c r="AS82" s="132" t="n">
        <f aca="false">CHOOSE($G$3,AH82-AI82,AI82-AH82)</f>
        <v>0</v>
      </c>
      <c r="AT82" s="148" t="n">
        <f aca="false">AQ82+AR82+AS82</f>
        <v>0</v>
      </c>
      <c r="AU82" s="148"/>
      <c r="AV82" s="133" t="n">
        <f aca="false">AT82+AO82</f>
        <v>0</v>
      </c>
      <c r="AX82" s="133" t="n">
        <f aca="false">AJ82+AG82+AD82</f>
        <v>0</v>
      </c>
      <c r="AY82" s="149"/>
      <c r="AZ82" s="76" t="n">
        <f aca="false">R82*E82</f>
        <v>0</v>
      </c>
    </row>
    <row r="83" customFormat="false" ht="12.75" hidden="false" customHeight="false" outlineLevel="0" collapsed="false">
      <c r="A83" s="138" t="n">
        <f aca="false">EDATE(A82,1)</f>
        <v>39203</v>
      </c>
      <c r="B83" s="139" t="n">
        <f aca="false">VLOOKUP($A83,Table2,MATCH(I$3,Curves2,0))</f>
        <v>0</v>
      </c>
      <c r="C83" s="140"/>
      <c r="D83" s="141" t="n">
        <f aca="false">B83+C83</f>
        <v>0</v>
      </c>
      <c r="E83" s="126" t="n">
        <f aca="false">IF(Y83=0,0,IF(AND(Y83=1,$H$3=1),D83*T83,IF($H$3=2,D83,"N/A")))</f>
        <v>0</v>
      </c>
      <c r="F83" s="126" t="n">
        <f aca="false">E83*X83</f>
        <v>0</v>
      </c>
      <c r="G83" s="142" t="n">
        <f aca="false">VLOOKUP($A83,Table,MATCH(G$4,Curves,0))</f>
        <v>3.987</v>
      </c>
      <c r="H83" s="143" t="n">
        <f aca="false">G83</f>
        <v>3.987</v>
      </c>
      <c r="I83" s="142" t="n">
        <f aca="false">VLOOKUP($A83,Table1,MATCH(I$3,Curves1,0))</f>
        <v>0</v>
      </c>
      <c r="J83" s="142" t="n">
        <f aca="false">VLOOKUP($A83,Table,MATCH(J$4,Curves,0))</f>
        <v>-0.0235</v>
      </c>
      <c r="K83" s="143" t="n">
        <f aca="false">J83</f>
        <v>-0.0235</v>
      </c>
      <c r="L83" s="144" t="n">
        <v>0</v>
      </c>
      <c r="M83" s="142" t="n">
        <f aca="false">VLOOKUP($A83,Table,MATCH(M$4,Curves,0))</f>
        <v>0.0075</v>
      </c>
      <c r="N83" s="143" t="n">
        <f aca="false">M83</f>
        <v>0.0075</v>
      </c>
      <c r="O83" s="144" t="n">
        <v>0</v>
      </c>
      <c r="P83" s="145"/>
      <c r="Q83" s="144" t="n">
        <f aca="false">M83+J83+G83</f>
        <v>3.971</v>
      </c>
      <c r="R83" s="144" t="n">
        <f aca="false">O83+L83+I83</f>
        <v>0</v>
      </c>
      <c r="S83" s="145"/>
      <c r="T83" s="71" t="n">
        <f aca="false">A84-A83</f>
        <v>31</v>
      </c>
      <c r="U83" s="146" t="n">
        <f aca="false">CHOOSE(F$3,A84+24,A83)</f>
        <v>39258</v>
      </c>
      <c r="V83" s="71" t="n">
        <f aca="false">U83-C$3</f>
        <v>2370</v>
      </c>
      <c r="W83" s="142" t="n">
        <f aca="false">VLOOKUP($A83,Table,MATCH(W$4,Curves,0))</f>
        <v>0.058966861357273</v>
      </c>
      <c r="X83" s="147" t="n">
        <f aca="false">1/(1+CHOOSE(F$3,(W84+($K$3/10000))/2,(W83+($K$3/10000))/2))^(2*V83/365.25)</f>
        <v>0.685856631569716</v>
      </c>
      <c r="Y83" s="71" t="n">
        <f aca="false">IF(AND(mthbeg&lt;=A83,mthend&gt;=A83),1,0)</f>
        <v>0</v>
      </c>
      <c r="Z83" s="71" t="n">
        <f aca="false">T83*Y83</f>
        <v>0</v>
      </c>
      <c r="AB83" s="132" t="n">
        <f aca="false">F83*G83</f>
        <v>0</v>
      </c>
      <c r="AC83" s="132" t="n">
        <f aca="false">$F83*H83</f>
        <v>0</v>
      </c>
      <c r="AD83" s="132" t="n">
        <f aca="false">$F83*I83</f>
        <v>0</v>
      </c>
      <c r="AE83" s="132" t="n">
        <f aca="false">$F83*J83</f>
        <v>-0</v>
      </c>
      <c r="AF83" s="132" t="n">
        <f aca="false">$F83*K83</f>
        <v>-0</v>
      </c>
      <c r="AG83" s="132" t="n">
        <f aca="false">$F83*L83</f>
        <v>0</v>
      </c>
      <c r="AH83" s="132" t="n">
        <f aca="false">$F83*M83</f>
        <v>0</v>
      </c>
      <c r="AI83" s="132" t="n">
        <f aca="false">$F83*N83</f>
        <v>0</v>
      </c>
      <c r="AJ83" s="132" t="n">
        <f aca="false">F83*O83</f>
        <v>0</v>
      </c>
      <c r="AK83" s="137"/>
      <c r="AL83" s="132" t="n">
        <f aca="false">CHOOSE($G$3,AC83-AD83,AD83-AC83)</f>
        <v>0</v>
      </c>
      <c r="AM83" s="132" t="n">
        <f aca="false">CHOOSE($G$3,AF83-AG83,AG83-AF83)</f>
        <v>0</v>
      </c>
      <c r="AN83" s="132" t="n">
        <f aca="false">CHOOSE($G$3,AI83-AJ83,AJ83-AI83)</f>
        <v>0</v>
      </c>
      <c r="AO83" s="148" t="n">
        <f aca="false">SUM(AL83:AN83)</f>
        <v>0</v>
      </c>
      <c r="AQ83" s="132" t="n">
        <f aca="false">CHOOSE($G$3,AB83-AC83,AC83-AB83)</f>
        <v>0</v>
      </c>
      <c r="AR83" s="132" t="n">
        <f aca="false">CHOOSE($G$3,AE83-AF83,AF83-AE83)</f>
        <v>0</v>
      </c>
      <c r="AS83" s="132" t="n">
        <f aca="false">CHOOSE($G$3,AH83-AI83,AI83-AH83)</f>
        <v>0</v>
      </c>
      <c r="AT83" s="148" t="n">
        <f aca="false">AQ83+AR83+AS83</f>
        <v>0</v>
      </c>
      <c r="AU83" s="148"/>
      <c r="AV83" s="133" t="n">
        <f aca="false">AT83+AO83</f>
        <v>0</v>
      </c>
      <c r="AX83" s="133" t="n">
        <f aca="false">AJ83+AG83+AD83</f>
        <v>0</v>
      </c>
      <c r="AY83" s="149"/>
      <c r="AZ83" s="76" t="n">
        <f aca="false">R83*E83</f>
        <v>0</v>
      </c>
    </row>
    <row r="84" customFormat="false" ht="12.75" hidden="false" customHeight="false" outlineLevel="0" collapsed="false">
      <c r="A84" s="138" t="n">
        <f aca="false">EDATE(A83,1)</f>
        <v>39234</v>
      </c>
      <c r="B84" s="139" t="n">
        <f aca="false">VLOOKUP($A84,Table2,MATCH(I$3,Curves2,0))</f>
        <v>0</v>
      </c>
      <c r="C84" s="140"/>
      <c r="D84" s="141" t="n">
        <f aca="false">B84+C84</f>
        <v>0</v>
      </c>
      <c r="E84" s="126" t="n">
        <f aca="false">IF(Y84=0,0,IF(AND(Y84=1,$H$3=1),D84*T84,IF($H$3=2,D84,"N/A")))</f>
        <v>0</v>
      </c>
      <c r="F84" s="126" t="n">
        <f aca="false">E84*X84</f>
        <v>0</v>
      </c>
      <c r="G84" s="142" t="n">
        <f aca="false">VLOOKUP($A84,Table,MATCH(G$4,Curves,0))</f>
        <v>3.987</v>
      </c>
      <c r="H84" s="143" t="n">
        <f aca="false">G84</f>
        <v>3.987</v>
      </c>
      <c r="I84" s="142" t="n">
        <f aca="false">VLOOKUP($A84,Table1,MATCH(I$3,Curves1,0))</f>
        <v>0</v>
      </c>
      <c r="J84" s="142" t="n">
        <f aca="false">VLOOKUP($A84,Table,MATCH(J$4,Curves,0))</f>
        <v>-0.0235</v>
      </c>
      <c r="K84" s="143" t="n">
        <f aca="false">J84</f>
        <v>-0.0235</v>
      </c>
      <c r="L84" s="144" t="n">
        <v>0</v>
      </c>
      <c r="M84" s="142" t="n">
        <f aca="false">VLOOKUP($A84,Table,MATCH(M$4,Curves,0))</f>
        <v>0.0075</v>
      </c>
      <c r="N84" s="143" t="n">
        <f aca="false">M84</f>
        <v>0.0075</v>
      </c>
      <c r="O84" s="144" t="n">
        <v>0</v>
      </c>
      <c r="P84" s="145"/>
      <c r="Q84" s="144" t="n">
        <f aca="false">M84+J84+G84</f>
        <v>3.971</v>
      </c>
      <c r="R84" s="144" t="n">
        <f aca="false">O84+L84+I84</f>
        <v>0</v>
      </c>
      <c r="S84" s="145"/>
      <c r="T84" s="71" t="n">
        <f aca="false">A85-A84</f>
        <v>30</v>
      </c>
      <c r="U84" s="146" t="n">
        <f aca="false">CHOOSE(F$3,A85+24,A84)</f>
        <v>39288</v>
      </c>
      <c r="V84" s="71" t="n">
        <f aca="false">U84-C$3</f>
        <v>2400</v>
      </c>
      <c r="W84" s="142" t="n">
        <f aca="false">VLOOKUP($A84,Table,MATCH(W$4,Curves,0))</f>
        <v>0.058966861357273</v>
      </c>
      <c r="X84" s="147" t="n">
        <f aca="false">1/(1+CHOOSE(F$3,(W85+($K$3/10000))/2,(W84+($K$3/10000))/2))^(2*V84/365.25)</f>
        <v>0.682590667970771</v>
      </c>
      <c r="Y84" s="71" t="n">
        <f aca="false">IF(AND(mthbeg&lt;=A84,mthend&gt;=A84),1,0)</f>
        <v>0</v>
      </c>
      <c r="Z84" s="71" t="n">
        <f aca="false">T84*Y84</f>
        <v>0</v>
      </c>
      <c r="AB84" s="132" t="n">
        <f aca="false">F84*G84</f>
        <v>0</v>
      </c>
      <c r="AC84" s="132" t="n">
        <f aca="false">$F84*H84</f>
        <v>0</v>
      </c>
      <c r="AD84" s="132" t="n">
        <f aca="false">$F84*I84</f>
        <v>0</v>
      </c>
      <c r="AE84" s="132" t="n">
        <f aca="false">$F84*J84</f>
        <v>-0</v>
      </c>
      <c r="AF84" s="132" t="n">
        <f aca="false">$F84*K84</f>
        <v>-0</v>
      </c>
      <c r="AG84" s="132" t="n">
        <f aca="false">$F84*L84</f>
        <v>0</v>
      </c>
      <c r="AH84" s="132" t="n">
        <f aca="false">$F84*M84</f>
        <v>0</v>
      </c>
      <c r="AI84" s="132" t="n">
        <f aca="false">$F84*N84</f>
        <v>0</v>
      </c>
      <c r="AJ84" s="132" t="n">
        <f aca="false">F84*O84</f>
        <v>0</v>
      </c>
      <c r="AK84" s="137"/>
      <c r="AL84" s="132" t="n">
        <f aca="false">CHOOSE($G$3,AC84-AD84,AD84-AC84)</f>
        <v>0</v>
      </c>
      <c r="AM84" s="132" t="n">
        <f aca="false">CHOOSE($G$3,AF84-AG84,AG84-AF84)</f>
        <v>0</v>
      </c>
      <c r="AN84" s="132" t="n">
        <f aca="false">CHOOSE($G$3,AI84-AJ84,AJ84-AI84)</f>
        <v>0</v>
      </c>
      <c r="AO84" s="148" t="n">
        <f aca="false">SUM(AL84:AN84)</f>
        <v>0</v>
      </c>
      <c r="AQ84" s="132" t="n">
        <f aca="false">CHOOSE($G$3,AB84-AC84,AC84-AB84)</f>
        <v>0</v>
      </c>
      <c r="AR84" s="132" t="n">
        <f aca="false">CHOOSE($G$3,AE84-AF84,AF84-AE84)</f>
        <v>0</v>
      </c>
      <c r="AS84" s="132" t="n">
        <f aca="false">CHOOSE($G$3,AH84-AI84,AI84-AH84)</f>
        <v>0</v>
      </c>
      <c r="AT84" s="148" t="n">
        <f aca="false">AQ84+AR84+AS84</f>
        <v>0</v>
      </c>
      <c r="AU84" s="148"/>
      <c r="AV84" s="133" t="n">
        <f aca="false">AT84+AO84</f>
        <v>0</v>
      </c>
      <c r="AX84" s="133" t="n">
        <f aca="false">AJ84+AG84+AD84</f>
        <v>0</v>
      </c>
      <c r="AY84" s="149"/>
      <c r="AZ84" s="76" t="n">
        <f aca="false">R84*E84</f>
        <v>0</v>
      </c>
    </row>
    <row r="85" customFormat="false" ht="12.75" hidden="false" customHeight="false" outlineLevel="0" collapsed="false">
      <c r="A85" s="138" t="n">
        <f aca="false">EDATE(A84,1)</f>
        <v>39264</v>
      </c>
      <c r="B85" s="139" t="n">
        <f aca="false">VLOOKUP($A85,Table2,MATCH(I$3,Curves2,0))</f>
        <v>0</v>
      </c>
      <c r="C85" s="140"/>
      <c r="D85" s="141" t="n">
        <f aca="false">B85+C85</f>
        <v>0</v>
      </c>
      <c r="E85" s="126" t="n">
        <f aca="false">IF(Y85=0,0,IF(AND(Y85=1,$H$3=1),D85*T85,IF($H$3=2,D85,"N/A")))</f>
        <v>0</v>
      </c>
      <c r="F85" s="126" t="n">
        <f aca="false">E85*X85</f>
        <v>0</v>
      </c>
      <c r="G85" s="142" t="n">
        <f aca="false">VLOOKUP($A85,Table,MATCH(G$4,Curves,0))</f>
        <v>3.987</v>
      </c>
      <c r="H85" s="143" t="n">
        <f aca="false">G85</f>
        <v>3.987</v>
      </c>
      <c r="I85" s="142" t="n">
        <f aca="false">VLOOKUP($A85,Table1,MATCH(I$3,Curves1,0))</f>
        <v>0</v>
      </c>
      <c r="J85" s="142" t="n">
        <f aca="false">VLOOKUP($A85,Table,MATCH(J$4,Curves,0))</f>
        <v>-0.0235</v>
      </c>
      <c r="K85" s="143" t="n">
        <f aca="false">J85</f>
        <v>-0.0235</v>
      </c>
      <c r="L85" s="144" t="n">
        <v>0</v>
      </c>
      <c r="M85" s="142" t="n">
        <f aca="false">VLOOKUP($A85,Table,MATCH(M$4,Curves,0))</f>
        <v>0.0075</v>
      </c>
      <c r="N85" s="143" t="n">
        <f aca="false">M85</f>
        <v>0.0075</v>
      </c>
      <c r="O85" s="144" t="n">
        <v>0</v>
      </c>
      <c r="P85" s="145"/>
      <c r="Q85" s="144" t="n">
        <f aca="false">M85+J85+G85</f>
        <v>3.971</v>
      </c>
      <c r="R85" s="144" t="n">
        <f aca="false">O85+L85+I85</f>
        <v>0</v>
      </c>
      <c r="S85" s="145"/>
      <c r="T85" s="71" t="n">
        <f aca="false">A86-A85</f>
        <v>31</v>
      </c>
      <c r="U85" s="146" t="n">
        <f aca="false">CHOOSE(F$3,A86+24,A85)</f>
        <v>39319</v>
      </c>
      <c r="V85" s="71" t="n">
        <f aca="false">U85-C$3</f>
        <v>2431</v>
      </c>
      <c r="W85" s="142" t="n">
        <f aca="false">VLOOKUP($A85,Table,MATCH(W$4,Curves,0))</f>
        <v>0.058966861357273</v>
      </c>
      <c r="X85" s="147" t="n">
        <f aca="false">1/(1+CHOOSE(F$3,(W86+($K$3/10000))/2,(W85+($K$3/10000))/2))^(2*V85/365.25)</f>
        <v>0.679232176409325</v>
      </c>
      <c r="Y85" s="71" t="n">
        <f aca="false">IF(AND(mthbeg&lt;=A85,mthend&gt;=A85),1,0)</f>
        <v>0</v>
      </c>
      <c r="Z85" s="71" t="n">
        <f aca="false">T85*Y85</f>
        <v>0</v>
      </c>
      <c r="AB85" s="132" t="n">
        <f aca="false">F85*G85</f>
        <v>0</v>
      </c>
      <c r="AC85" s="132" t="n">
        <f aca="false">$F85*H85</f>
        <v>0</v>
      </c>
      <c r="AD85" s="132" t="n">
        <f aca="false">$F85*I85</f>
        <v>0</v>
      </c>
      <c r="AE85" s="132" t="n">
        <f aca="false">$F85*J85</f>
        <v>-0</v>
      </c>
      <c r="AF85" s="132" t="n">
        <f aca="false">$F85*K85</f>
        <v>-0</v>
      </c>
      <c r="AG85" s="132" t="n">
        <f aca="false">$F85*L85</f>
        <v>0</v>
      </c>
      <c r="AH85" s="132" t="n">
        <f aca="false">$F85*M85</f>
        <v>0</v>
      </c>
      <c r="AI85" s="132" t="n">
        <f aca="false">$F85*N85</f>
        <v>0</v>
      </c>
      <c r="AJ85" s="132" t="n">
        <f aca="false">F85*O85</f>
        <v>0</v>
      </c>
      <c r="AK85" s="137"/>
      <c r="AL85" s="132" t="n">
        <f aca="false">CHOOSE($G$3,AC85-AD85,AD85-AC85)</f>
        <v>0</v>
      </c>
      <c r="AM85" s="132" t="n">
        <f aca="false">CHOOSE($G$3,AF85-AG85,AG85-AF85)</f>
        <v>0</v>
      </c>
      <c r="AN85" s="132" t="n">
        <f aca="false">CHOOSE($G$3,AI85-AJ85,AJ85-AI85)</f>
        <v>0</v>
      </c>
      <c r="AO85" s="148" t="n">
        <f aca="false">SUM(AL85:AN85)</f>
        <v>0</v>
      </c>
      <c r="AQ85" s="132" t="n">
        <f aca="false">CHOOSE($G$3,AB85-AC85,AC85-AB85)</f>
        <v>0</v>
      </c>
      <c r="AR85" s="132" t="n">
        <f aca="false">CHOOSE($G$3,AE85-AF85,AF85-AE85)</f>
        <v>0</v>
      </c>
      <c r="AS85" s="132" t="n">
        <f aca="false">CHOOSE($G$3,AH85-AI85,AI85-AH85)</f>
        <v>0</v>
      </c>
      <c r="AT85" s="148" t="n">
        <f aca="false">AQ85+AR85+AS85</f>
        <v>0</v>
      </c>
      <c r="AU85" s="148"/>
      <c r="AV85" s="133" t="n">
        <f aca="false">AT85+AO85</f>
        <v>0</v>
      </c>
      <c r="AX85" s="133" t="n">
        <f aca="false">AJ85+AG85+AD85</f>
        <v>0</v>
      </c>
      <c r="AY85" s="149"/>
      <c r="AZ85" s="76" t="n">
        <f aca="false">R85*E85</f>
        <v>0</v>
      </c>
    </row>
    <row r="86" customFormat="false" ht="12.75" hidden="false" customHeight="false" outlineLevel="0" collapsed="false">
      <c r="A86" s="138" t="n">
        <f aca="false">EDATE(A85,1)</f>
        <v>39295</v>
      </c>
      <c r="B86" s="139" t="n">
        <f aca="false">VLOOKUP($A86,Table2,MATCH(I$3,Curves2,0))</f>
        <v>0</v>
      </c>
      <c r="C86" s="140"/>
      <c r="D86" s="141" t="n">
        <f aca="false">B86+C86</f>
        <v>0</v>
      </c>
      <c r="E86" s="126" t="n">
        <f aca="false">IF(Y86=0,0,IF(AND(Y86=1,$H$3=1),D86*T86,IF($H$3=2,D86,"N/A")))</f>
        <v>0</v>
      </c>
      <c r="F86" s="126" t="n">
        <f aca="false">E86*X86</f>
        <v>0</v>
      </c>
      <c r="G86" s="142" t="n">
        <f aca="false">VLOOKUP($A86,Table,MATCH(G$4,Curves,0))</f>
        <v>3.987</v>
      </c>
      <c r="H86" s="143" t="n">
        <f aca="false">G86</f>
        <v>3.987</v>
      </c>
      <c r="I86" s="142" t="n">
        <f aca="false">VLOOKUP($A86,Table1,MATCH(I$3,Curves1,0))</f>
        <v>0</v>
      </c>
      <c r="J86" s="142" t="n">
        <f aca="false">VLOOKUP($A86,Table,MATCH(J$4,Curves,0))</f>
        <v>-0.0235</v>
      </c>
      <c r="K86" s="143" t="n">
        <f aca="false">J86</f>
        <v>-0.0235</v>
      </c>
      <c r="L86" s="144" t="n">
        <v>0</v>
      </c>
      <c r="M86" s="142" t="n">
        <f aca="false">VLOOKUP($A86,Table,MATCH(M$4,Curves,0))</f>
        <v>0.0075</v>
      </c>
      <c r="N86" s="143" t="n">
        <f aca="false">M86</f>
        <v>0.0075</v>
      </c>
      <c r="O86" s="144" t="n">
        <v>0</v>
      </c>
      <c r="P86" s="145"/>
      <c r="Q86" s="144" t="n">
        <f aca="false">M86+J86+G86</f>
        <v>3.971</v>
      </c>
      <c r="R86" s="144" t="n">
        <f aca="false">O86+L86+I86</f>
        <v>0</v>
      </c>
      <c r="S86" s="145"/>
      <c r="T86" s="71" t="n">
        <f aca="false">A87-A86</f>
        <v>31</v>
      </c>
      <c r="U86" s="146" t="n">
        <f aca="false">CHOOSE(F$3,A87+24,A86)</f>
        <v>39350</v>
      </c>
      <c r="V86" s="71" t="n">
        <f aca="false">U86-C$3</f>
        <v>2462</v>
      </c>
      <c r="W86" s="142" t="n">
        <f aca="false">VLOOKUP($A86,Table,MATCH(W$4,Curves,0))</f>
        <v>0.058966861357273</v>
      </c>
      <c r="X86" s="147" t="n">
        <f aca="false">1/(1+CHOOSE(F$3,(W87+($K$3/10000))/2,(W86+($K$3/10000))/2))^(2*V86/365.25)</f>
        <v>0.675890209342129</v>
      </c>
      <c r="Y86" s="71" t="n">
        <f aca="false">IF(AND(mthbeg&lt;=A86,mthend&gt;=A86),1,0)</f>
        <v>0</v>
      </c>
      <c r="Z86" s="71" t="n">
        <f aca="false">T86*Y86</f>
        <v>0</v>
      </c>
      <c r="AB86" s="132" t="n">
        <f aca="false">F86*G86</f>
        <v>0</v>
      </c>
      <c r="AC86" s="132" t="n">
        <f aca="false">$F86*H86</f>
        <v>0</v>
      </c>
      <c r="AD86" s="132" t="n">
        <f aca="false">$F86*I86</f>
        <v>0</v>
      </c>
      <c r="AE86" s="132" t="n">
        <f aca="false">$F86*J86</f>
        <v>-0</v>
      </c>
      <c r="AF86" s="132" t="n">
        <f aca="false">$F86*K86</f>
        <v>-0</v>
      </c>
      <c r="AG86" s="132" t="n">
        <f aca="false">$F86*L86</f>
        <v>0</v>
      </c>
      <c r="AH86" s="132" t="n">
        <f aca="false">$F86*M86</f>
        <v>0</v>
      </c>
      <c r="AI86" s="132" t="n">
        <f aca="false">$F86*N86</f>
        <v>0</v>
      </c>
      <c r="AJ86" s="132" t="n">
        <f aca="false">F86*O86</f>
        <v>0</v>
      </c>
      <c r="AK86" s="137"/>
      <c r="AL86" s="132" t="n">
        <f aca="false">CHOOSE($G$3,AC86-AD86,AD86-AC86)</f>
        <v>0</v>
      </c>
      <c r="AM86" s="132" t="n">
        <f aca="false">CHOOSE($G$3,AF86-AG86,AG86-AF86)</f>
        <v>0</v>
      </c>
      <c r="AN86" s="132" t="n">
        <f aca="false">CHOOSE($G$3,AI86-AJ86,AJ86-AI86)</f>
        <v>0</v>
      </c>
      <c r="AO86" s="148" t="n">
        <f aca="false">SUM(AL86:AN86)</f>
        <v>0</v>
      </c>
      <c r="AQ86" s="132" t="n">
        <f aca="false">CHOOSE($G$3,AB86-AC86,AC86-AB86)</f>
        <v>0</v>
      </c>
      <c r="AR86" s="132" t="n">
        <f aca="false">CHOOSE($G$3,AE86-AF86,AF86-AE86)</f>
        <v>0</v>
      </c>
      <c r="AS86" s="132" t="n">
        <f aca="false">CHOOSE($G$3,AH86-AI86,AI86-AH86)</f>
        <v>0</v>
      </c>
      <c r="AT86" s="148" t="n">
        <f aca="false">AQ86+AR86+AS86</f>
        <v>0</v>
      </c>
      <c r="AU86" s="148"/>
      <c r="AV86" s="133" t="n">
        <f aca="false">AT86+AO86</f>
        <v>0</v>
      </c>
      <c r="AX86" s="133" t="n">
        <f aca="false">AJ86+AG86+AD86</f>
        <v>0</v>
      </c>
      <c r="AY86" s="149"/>
      <c r="AZ86" s="76" t="n">
        <f aca="false">R86*E86</f>
        <v>0</v>
      </c>
    </row>
    <row r="87" customFormat="false" ht="12.75" hidden="false" customHeight="false" outlineLevel="0" collapsed="false">
      <c r="A87" s="138" t="n">
        <f aca="false">EDATE(A86,1)</f>
        <v>39326</v>
      </c>
      <c r="B87" s="139" t="n">
        <f aca="false">VLOOKUP($A87,Table2,MATCH(I$3,Curves2,0))</f>
        <v>0</v>
      </c>
      <c r="C87" s="140"/>
      <c r="D87" s="141" t="n">
        <f aca="false">B87+C87</f>
        <v>0</v>
      </c>
      <c r="E87" s="126" t="n">
        <f aca="false">IF(Y87=0,0,IF(AND(Y87=1,$H$3=1),D87*T87,IF($H$3=2,D87,"N/A")))</f>
        <v>0</v>
      </c>
      <c r="F87" s="126" t="n">
        <f aca="false">E87*X87</f>
        <v>0</v>
      </c>
      <c r="G87" s="142" t="n">
        <f aca="false">VLOOKUP($A87,Table,MATCH(G$4,Curves,0))</f>
        <v>3.987</v>
      </c>
      <c r="H87" s="143" t="n">
        <f aca="false">G87</f>
        <v>3.987</v>
      </c>
      <c r="I87" s="142" t="n">
        <f aca="false">VLOOKUP($A87,Table1,MATCH(I$3,Curves1,0))</f>
        <v>0</v>
      </c>
      <c r="J87" s="142" t="n">
        <f aca="false">VLOOKUP($A87,Table,MATCH(J$4,Curves,0))</f>
        <v>-0.0235</v>
      </c>
      <c r="K87" s="143" t="n">
        <f aca="false">J87</f>
        <v>-0.0235</v>
      </c>
      <c r="L87" s="144" t="n">
        <v>0</v>
      </c>
      <c r="M87" s="142" t="n">
        <f aca="false">VLOOKUP($A87,Table,MATCH(M$4,Curves,0))</f>
        <v>0.0075</v>
      </c>
      <c r="N87" s="143" t="n">
        <f aca="false">M87</f>
        <v>0.0075</v>
      </c>
      <c r="O87" s="144" t="n">
        <v>0</v>
      </c>
      <c r="P87" s="145"/>
      <c r="Q87" s="144" t="n">
        <f aca="false">M87+J87+G87</f>
        <v>3.971</v>
      </c>
      <c r="R87" s="144" t="n">
        <f aca="false">O87+L87+I87</f>
        <v>0</v>
      </c>
      <c r="S87" s="145"/>
      <c r="T87" s="71" t="n">
        <f aca="false">A88-A87</f>
        <v>30</v>
      </c>
      <c r="U87" s="146" t="n">
        <f aca="false">CHOOSE(F$3,A88+24,A87)</f>
        <v>39380</v>
      </c>
      <c r="V87" s="71" t="n">
        <f aca="false">U87-C$3</f>
        <v>2492</v>
      </c>
      <c r="W87" s="142" t="n">
        <f aca="false">VLOOKUP($A87,Table,MATCH(W$4,Curves,0))</f>
        <v>0.058966861357273</v>
      </c>
      <c r="X87" s="147" t="n">
        <f aca="false">1/(1+CHOOSE(F$3,(W88+($K$3/10000))/2,(W87+($K$3/10000))/2))^(2*V87/365.25)</f>
        <v>0.672671704600776</v>
      </c>
      <c r="Y87" s="71" t="n">
        <f aca="false">IF(AND(mthbeg&lt;=A87,mthend&gt;=A87),1,0)</f>
        <v>0</v>
      </c>
      <c r="Z87" s="71" t="n">
        <f aca="false">T87*Y87</f>
        <v>0</v>
      </c>
      <c r="AB87" s="132" t="n">
        <f aca="false">F87*G87</f>
        <v>0</v>
      </c>
      <c r="AC87" s="132" t="n">
        <f aca="false">$F87*H87</f>
        <v>0</v>
      </c>
      <c r="AD87" s="132" t="n">
        <f aca="false">$F87*I87</f>
        <v>0</v>
      </c>
      <c r="AE87" s="132" t="n">
        <f aca="false">$F87*J87</f>
        <v>-0</v>
      </c>
      <c r="AF87" s="132" t="n">
        <f aca="false">$F87*K87</f>
        <v>-0</v>
      </c>
      <c r="AG87" s="132" t="n">
        <f aca="false">$F87*L87</f>
        <v>0</v>
      </c>
      <c r="AH87" s="132" t="n">
        <f aca="false">$F87*M87</f>
        <v>0</v>
      </c>
      <c r="AI87" s="132" t="n">
        <f aca="false">$F87*N87</f>
        <v>0</v>
      </c>
      <c r="AJ87" s="132" t="n">
        <f aca="false">F87*O87</f>
        <v>0</v>
      </c>
      <c r="AK87" s="137"/>
      <c r="AL87" s="132" t="n">
        <f aca="false">CHOOSE($G$3,AC87-AD87,AD87-AC87)</f>
        <v>0</v>
      </c>
      <c r="AM87" s="132" t="n">
        <f aca="false">CHOOSE($G$3,AF87-AG87,AG87-AF87)</f>
        <v>0</v>
      </c>
      <c r="AN87" s="132" t="n">
        <f aca="false">CHOOSE($G$3,AI87-AJ87,AJ87-AI87)</f>
        <v>0</v>
      </c>
      <c r="AO87" s="148" t="n">
        <f aca="false">SUM(AL87:AN87)</f>
        <v>0</v>
      </c>
      <c r="AQ87" s="132" t="n">
        <f aca="false">CHOOSE($G$3,AB87-AC87,AC87-AB87)</f>
        <v>0</v>
      </c>
      <c r="AR87" s="132" t="n">
        <f aca="false">CHOOSE($G$3,AE87-AF87,AF87-AE87)</f>
        <v>0</v>
      </c>
      <c r="AS87" s="132" t="n">
        <f aca="false">CHOOSE($G$3,AH87-AI87,AI87-AH87)</f>
        <v>0</v>
      </c>
      <c r="AT87" s="148" t="n">
        <f aca="false">AQ87+AR87+AS87</f>
        <v>0</v>
      </c>
      <c r="AU87" s="148"/>
      <c r="AV87" s="133" t="n">
        <f aca="false">AT87+AO87</f>
        <v>0</v>
      </c>
      <c r="AX87" s="133" t="n">
        <f aca="false">AJ87+AG87+AD87</f>
        <v>0</v>
      </c>
      <c r="AY87" s="149"/>
      <c r="AZ87" s="76" t="n">
        <f aca="false">R87*E87</f>
        <v>0</v>
      </c>
    </row>
    <row r="88" customFormat="false" ht="12.75" hidden="false" customHeight="false" outlineLevel="0" collapsed="false">
      <c r="A88" s="138" t="n">
        <f aca="false">EDATE(A87,1)</f>
        <v>39356</v>
      </c>
      <c r="B88" s="139" t="n">
        <f aca="false">VLOOKUP($A88,Table2,MATCH(I$3,Curves2,0))</f>
        <v>0</v>
      </c>
      <c r="C88" s="140"/>
      <c r="D88" s="141" t="n">
        <f aca="false">B88+C88</f>
        <v>0</v>
      </c>
      <c r="E88" s="126" t="n">
        <f aca="false">IF(Y88=0,0,IF(AND(Y88=1,$H$3=1),D88*T88,IF($H$3=2,D88,"N/A")))</f>
        <v>0</v>
      </c>
      <c r="F88" s="126" t="n">
        <f aca="false">E88*X88</f>
        <v>0</v>
      </c>
      <c r="G88" s="142" t="n">
        <f aca="false">VLOOKUP($A88,Table,MATCH(G$4,Curves,0))</f>
        <v>3.987</v>
      </c>
      <c r="H88" s="143" t="n">
        <f aca="false">G88</f>
        <v>3.987</v>
      </c>
      <c r="I88" s="142" t="n">
        <f aca="false">VLOOKUP($A88,Table1,MATCH(I$3,Curves1,0))</f>
        <v>0</v>
      </c>
      <c r="J88" s="142" t="n">
        <f aca="false">VLOOKUP($A88,Table,MATCH(J$4,Curves,0))</f>
        <v>-0.0235</v>
      </c>
      <c r="K88" s="143" t="n">
        <f aca="false">J88</f>
        <v>-0.0235</v>
      </c>
      <c r="L88" s="144" t="n">
        <v>0</v>
      </c>
      <c r="M88" s="142" t="n">
        <f aca="false">VLOOKUP($A88,Table,MATCH(M$4,Curves,0))</f>
        <v>0.0075</v>
      </c>
      <c r="N88" s="143" t="n">
        <f aca="false">M88</f>
        <v>0.0075</v>
      </c>
      <c r="O88" s="144" t="n">
        <v>0</v>
      </c>
      <c r="P88" s="145"/>
      <c r="Q88" s="144" t="n">
        <f aca="false">M88+J88+G88</f>
        <v>3.971</v>
      </c>
      <c r="R88" s="144" t="n">
        <f aca="false">O88+L88+I88</f>
        <v>0</v>
      </c>
      <c r="S88" s="145"/>
      <c r="T88" s="71" t="n">
        <f aca="false">A89-A88</f>
        <v>31</v>
      </c>
      <c r="U88" s="146" t="n">
        <f aca="false">CHOOSE(F$3,A89+24,A88)</f>
        <v>39411</v>
      </c>
      <c r="V88" s="71" t="n">
        <f aca="false">U88-C$3</f>
        <v>2523</v>
      </c>
      <c r="W88" s="142" t="n">
        <f aca="false">VLOOKUP($A88,Table,MATCH(W$4,Curves,0))</f>
        <v>0.058966861357273</v>
      </c>
      <c r="X88" s="147" t="n">
        <f aca="false">1/(1+CHOOSE(F$3,(W89+($K$3/10000))/2,(W88+($K$3/10000))/2))^(2*V88/365.25)</f>
        <v>0.669362016453059</v>
      </c>
      <c r="Y88" s="71" t="n">
        <f aca="false">IF(AND(mthbeg&lt;=A88,mthend&gt;=A88),1,0)</f>
        <v>0</v>
      </c>
      <c r="Z88" s="71" t="n">
        <f aca="false">T88*Y88</f>
        <v>0</v>
      </c>
      <c r="AB88" s="132" t="n">
        <f aca="false">F88*G88</f>
        <v>0</v>
      </c>
      <c r="AC88" s="132" t="n">
        <f aca="false">$F88*H88</f>
        <v>0</v>
      </c>
      <c r="AD88" s="132" t="n">
        <f aca="false">$F88*I88</f>
        <v>0</v>
      </c>
      <c r="AE88" s="132" t="n">
        <f aca="false">$F88*J88</f>
        <v>-0</v>
      </c>
      <c r="AF88" s="132" t="n">
        <f aca="false">$F88*K88</f>
        <v>-0</v>
      </c>
      <c r="AG88" s="132" t="n">
        <f aca="false">$F88*L88</f>
        <v>0</v>
      </c>
      <c r="AH88" s="132" t="n">
        <f aca="false">$F88*M88</f>
        <v>0</v>
      </c>
      <c r="AI88" s="132" t="n">
        <f aca="false">$F88*N88</f>
        <v>0</v>
      </c>
      <c r="AJ88" s="132" t="n">
        <f aca="false">F88*O88</f>
        <v>0</v>
      </c>
      <c r="AK88" s="137"/>
      <c r="AL88" s="132" t="n">
        <f aca="false">CHOOSE($G$3,AC88-AD88,AD88-AC88)</f>
        <v>0</v>
      </c>
      <c r="AM88" s="132" t="n">
        <f aca="false">CHOOSE($G$3,AF88-AG88,AG88-AF88)</f>
        <v>0</v>
      </c>
      <c r="AN88" s="132" t="n">
        <f aca="false">CHOOSE($G$3,AI88-AJ88,AJ88-AI88)</f>
        <v>0</v>
      </c>
      <c r="AO88" s="148" t="n">
        <f aca="false">SUM(AL88:AN88)</f>
        <v>0</v>
      </c>
      <c r="AQ88" s="132" t="n">
        <f aca="false">CHOOSE($G$3,AB88-AC88,AC88-AB88)</f>
        <v>0</v>
      </c>
      <c r="AR88" s="132" t="n">
        <f aca="false">CHOOSE($G$3,AE88-AF88,AF88-AE88)</f>
        <v>0</v>
      </c>
      <c r="AS88" s="132" t="n">
        <f aca="false">CHOOSE($G$3,AH88-AI88,AI88-AH88)</f>
        <v>0</v>
      </c>
      <c r="AT88" s="148" t="n">
        <f aca="false">AQ88+AR88+AS88</f>
        <v>0</v>
      </c>
      <c r="AU88" s="148"/>
      <c r="AV88" s="133" t="n">
        <f aca="false">AT88+AO88</f>
        <v>0</v>
      </c>
      <c r="AX88" s="133" t="n">
        <f aca="false">AJ88+AG88+AD88</f>
        <v>0</v>
      </c>
      <c r="AY88" s="149"/>
      <c r="AZ88" s="76" t="n">
        <f aca="false">R88*E88</f>
        <v>0</v>
      </c>
    </row>
    <row r="89" customFormat="false" ht="12.75" hidden="false" customHeight="false" outlineLevel="0" collapsed="false">
      <c r="A89" s="138" t="n">
        <f aca="false">EDATE(A88,1)</f>
        <v>39387</v>
      </c>
      <c r="B89" s="139" t="n">
        <f aca="false">VLOOKUP($A89,Table2,MATCH(I$3,Curves2,0))</f>
        <v>0</v>
      </c>
      <c r="C89" s="140"/>
      <c r="D89" s="141" t="n">
        <f aca="false">B89+C89</f>
        <v>0</v>
      </c>
      <c r="E89" s="126" t="n">
        <f aca="false">IF(Y89=0,0,IF(AND(Y89=1,$H$3=1),D89*T89,IF($H$3=2,D89,"N/A")))</f>
        <v>0</v>
      </c>
      <c r="F89" s="126" t="n">
        <f aca="false">E89*X89</f>
        <v>0</v>
      </c>
      <c r="G89" s="142" t="n">
        <f aca="false">VLOOKUP($A89,Table,MATCH(G$4,Curves,0))</f>
        <v>3.987</v>
      </c>
      <c r="H89" s="143" t="n">
        <f aca="false">G89</f>
        <v>3.987</v>
      </c>
      <c r="I89" s="142" t="n">
        <f aca="false">VLOOKUP($A89,Table1,MATCH(I$3,Curves1,0))</f>
        <v>0</v>
      </c>
      <c r="J89" s="142" t="n">
        <f aca="false">VLOOKUP($A89,Table,MATCH(J$4,Curves,0))</f>
        <v>-0.0235</v>
      </c>
      <c r="K89" s="143" t="n">
        <f aca="false">J89</f>
        <v>-0.0235</v>
      </c>
      <c r="L89" s="144" t="n">
        <v>0</v>
      </c>
      <c r="M89" s="142" t="n">
        <f aca="false">VLOOKUP($A89,Table,MATCH(M$4,Curves,0))</f>
        <v>0.0075</v>
      </c>
      <c r="N89" s="143" t="n">
        <f aca="false">M89</f>
        <v>0.0075</v>
      </c>
      <c r="O89" s="144" t="n">
        <v>0</v>
      </c>
      <c r="P89" s="145"/>
      <c r="Q89" s="144" t="n">
        <f aca="false">M89+J89+G89</f>
        <v>3.971</v>
      </c>
      <c r="R89" s="144" t="n">
        <f aca="false">O89+L89+I89</f>
        <v>0</v>
      </c>
      <c r="S89" s="145"/>
      <c r="T89" s="71" t="n">
        <f aca="false">A90-A89</f>
        <v>30</v>
      </c>
      <c r="U89" s="146" t="n">
        <f aca="false">CHOOSE(F$3,A90+24,A89)</f>
        <v>39441</v>
      </c>
      <c r="V89" s="71" t="n">
        <f aca="false">U89-C$3</f>
        <v>2553</v>
      </c>
      <c r="W89" s="142" t="n">
        <f aca="false">VLOOKUP($A89,Table,MATCH(W$4,Curves,0))</f>
        <v>0.058966861357273</v>
      </c>
      <c r="X89" s="147" t="n">
        <f aca="false">1/(1+CHOOSE(F$3,(W90+($K$3/10000))/2,(W89+($K$3/10000))/2))^(2*V89/365.25)</f>
        <v>0.66617459815071</v>
      </c>
      <c r="Y89" s="71" t="n">
        <f aca="false">IF(AND(mthbeg&lt;=A89,mthend&gt;=A89),1,0)</f>
        <v>0</v>
      </c>
      <c r="Z89" s="71" t="n">
        <f aca="false">T89*Y89</f>
        <v>0</v>
      </c>
      <c r="AB89" s="132" t="n">
        <f aca="false">F89*G89</f>
        <v>0</v>
      </c>
      <c r="AC89" s="132" t="n">
        <f aca="false">$F89*H89</f>
        <v>0</v>
      </c>
      <c r="AD89" s="132" t="n">
        <f aca="false">$F89*I89</f>
        <v>0</v>
      </c>
      <c r="AE89" s="132" t="n">
        <f aca="false">$F89*J89</f>
        <v>-0</v>
      </c>
      <c r="AF89" s="132" t="n">
        <f aca="false">$F89*K89</f>
        <v>-0</v>
      </c>
      <c r="AG89" s="132" t="n">
        <f aca="false">$F89*L89</f>
        <v>0</v>
      </c>
      <c r="AH89" s="132" t="n">
        <f aca="false">$F89*M89</f>
        <v>0</v>
      </c>
      <c r="AI89" s="132" t="n">
        <f aca="false">$F89*N89</f>
        <v>0</v>
      </c>
      <c r="AJ89" s="132" t="n">
        <f aca="false">F89*O89</f>
        <v>0</v>
      </c>
      <c r="AK89" s="137"/>
      <c r="AL89" s="132" t="n">
        <f aca="false">CHOOSE($G$3,AC89-AD89,AD89-AC89)</f>
        <v>0</v>
      </c>
      <c r="AM89" s="132" t="n">
        <f aca="false">CHOOSE($G$3,AF89-AG89,AG89-AF89)</f>
        <v>0</v>
      </c>
      <c r="AN89" s="132" t="n">
        <f aca="false">CHOOSE($G$3,AI89-AJ89,AJ89-AI89)</f>
        <v>0</v>
      </c>
      <c r="AO89" s="148" t="n">
        <f aca="false">SUM(AL89:AN89)</f>
        <v>0</v>
      </c>
      <c r="AQ89" s="132" t="n">
        <f aca="false">CHOOSE($G$3,AB89-AC89,AC89-AB89)</f>
        <v>0</v>
      </c>
      <c r="AR89" s="132" t="n">
        <f aca="false">CHOOSE($G$3,AE89-AF89,AF89-AE89)</f>
        <v>0</v>
      </c>
      <c r="AS89" s="132" t="n">
        <f aca="false">CHOOSE($G$3,AH89-AI89,AI89-AH89)</f>
        <v>0</v>
      </c>
      <c r="AT89" s="148" t="n">
        <f aca="false">AQ89+AR89+AS89</f>
        <v>0</v>
      </c>
      <c r="AU89" s="148"/>
      <c r="AV89" s="133" t="n">
        <f aca="false">AT89+AO89</f>
        <v>0</v>
      </c>
      <c r="AX89" s="133" t="n">
        <f aca="false">AJ89+AG89+AD89</f>
        <v>0</v>
      </c>
      <c r="AY89" s="149"/>
      <c r="AZ89" s="76" t="n">
        <f aca="false">R89*E89</f>
        <v>0</v>
      </c>
    </row>
    <row r="90" customFormat="false" ht="12.75" hidden="false" customHeight="false" outlineLevel="0" collapsed="false">
      <c r="A90" s="138" t="n">
        <f aca="false">EDATE(A89,1)</f>
        <v>39417</v>
      </c>
      <c r="B90" s="139" t="n">
        <f aca="false">VLOOKUP($A90,Table2,MATCH(I$3,Curves2,0))</f>
        <v>0</v>
      </c>
      <c r="C90" s="140"/>
      <c r="D90" s="141" t="n">
        <f aca="false">B90+C90</f>
        <v>0</v>
      </c>
      <c r="E90" s="126" t="n">
        <f aca="false">IF(Y90=0,0,IF(AND(Y90=1,$H$3=1),D90*T90,IF($H$3=2,D90,"N/A")))</f>
        <v>0</v>
      </c>
      <c r="F90" s="126" t="n">
        <f aca="false">E90*X90</f>
        <v>0</v>
      </c>
      <c r="G90" s="142" t="n">
        <f aca="false">VLOOKUP($A90,Table,MATCH(G$4,Curves,0))</f>
        <v>3.987</v>
      </c>
      <c r="H90" s="143" t="n">
        <f aca="false">G90</f>
        <v>3.987</v>
      </c>
      <c r="I90" s="142" t="n">
        <f aca="false">VLOOKUP($A90,Table1,MATCH(I$3,Curves1,0))</f>
        <v>0</v>
      </c>
      <c r="J90" s="142" t="n">
        <f aca="false">VLOOKUP($A90,Table,MATCH(J$4,Curves,0))</f>
        <v>-0.0235</v>
      </c>
      <c r="K90" s="143" t="n">
        <f aca="false">J90</f>
        <v>-0.0235</v>
      </c>
      <c r="L90" s="144" t="n">
        <v>0</v>
      </c>
      <c r="M90" s="142" t="n">
        <f aca="false">VLOOKUP($A90,Table,MATCH(M$4,Curves,0))</f>
        <v>0.0075</v>
      </c>
      <c r="N90" s="143" t="n">
        <f aca="false">M90</f>
        <v>0.0075</v>
      </c>
      <c r="O90" s="144" t="n">
        <v>0</v>
      </c>
      <c r="P90" s="145"/>
      <c r="Q90" s="144" t="n">
        <f aca="false">M90+J90+G90</f>
        <v>3.971</v>
      </c>
      <c r="R90" s="144" t="n">
        <f aca="false">O90+L90+I90</f>
        <v>0</v>
      </c>
      <c r="S90" s="145"/>
      <c r="T90" s="71" t="n">
        <f aca="false">A91-A90</f>
        <v>31</v>
      </c>
      <c r="U90" s="146" t="n">
        <f aca="false">CHOOSE(F$3,A91+24,A90)</f>
        <v>39472</v>
      </c>
      <c r="V90" s="71" t="n">
        <f aca="false">U90-C$3</f>
        <v>2584</v>
      </c>
      <c r="W90" s="142" t="n">
        <f aca="false">VLOOKUP($A90,Table,MATCH(W$4,Curves,0))</f>
        <v>0.058966861357273</v>
      </c>
      <c r="X90" s="147" t="n">
        <f aca="false">1/(1+CHOOSE(F$3,(W91+($K$3/10000))/2,(W90+($K$3/10000))/2))^(2*V90/365.25)</f>
        <v>0.662896877151403</v>
      </c>
      <c r="Y90" s="71" t="n">
        <f aca="false">IF(AND(mthbeg&lt;=A90,mthend&gt;=A90),1,0)</f>
        <v>0</v>
      </c>
      <c r="Z90" s="71" t="n">
        <f aca="false">T90*Y90</f>
        <v>0</v>
      </c>
      <c r="AB90" s="132" t="n">
        <f aca="false">F90*G90</f>
        <v>0</v>
      </c>
      <c r="AC90" s="132" t="n">
        <f aca="false">$F90*H90</f>
        <v>0</v>
      </c>
      <c r="AD90" s="132" t="n">
        <f aca="false">$F90*I90</f>
        <v>0</v>
      </c>
      <c r="AE90" s="132" t="n">
        <f aca="false">$F90*J90</f>
        <v>-0</v>
      </c>
      <c r="AF90" s="132" t="n">
        <f aca="false">$F90*K90</f>
        <v>-0</v>
      </c>
      <c r="AG90" s="132" t="n">
        <f aca="false">$F90*L90</f>
        <v>0</v>
      </c>
      <c r="AH90" s="132" t="n">
        <f aca="false">$F90*M90</f>
        <v>0</v>
      </c>
      <c r="AI90" s="132" t="n">
        <f aca="false">$F90*N90</f>
        <v>0</v>
      </c>
      <c r="AJ90" s="132" t="n">
        <f aca="false">F90*O90</f>
        <v>0</v>
      </c>
      <c r="AK90" s="137"/>
      <c r="AL90" s="132" t="n">
        <f aca="false">CHOOSE($G$3,AC90-AD90,AD90-AC90)</f>
        <v>0</v>
      </c>
      <c r="AM90" s="132" t="n">
        <f aca="false">CHOOSE($G$3,AF90-AG90,AG90-AF90)</f>
        <v>0</v>
      </c>
      <c r="AN90" s="132" t="n">
        <f aca="false">CHOOSE($G$3,AI90-AJ90,AJ90-AI90)</f>
        <v>0</v>
      </c>
      <c r="AO90" s="148" t="n">
        <f aca="false">SUM(AL90:AN90)</f>
        <v>0</v>
      </c>
      <c r="AQ90" s="132" t="n">
        <f aca="false">CHOOSE($G$3,AB90-AC90,AC90-AB90)</f>
        <v>0</v>
      </c>
      <c r="AR90" s="132" t="n">
        <f aca="false">CHOOSE($G$3,AE90-AF90,AF90-AE90)</f>
        <v>0</v>
      </c>
      <c r="AS90" s="132" t="n">
        <f aca="false">CHOOSE($G$3,AH90-AI90,AI90-AH90)</f>
        <v>0</v>
      </c>
      <c r="AT90" s="148" t="n">
        <f aca="false">AQ90+AR90+AS90</f>
        <v>0</v>
      </c>
      <c r="AU90" s="148"/>
      <c r="AV90" s="133" t="n">
        <f aca="false">AT90+AO90</f>
        <v>0</v>
      </c>
      <c r="AX90" s="133" t="n">
        <f aca="false">AJ90+AG90+AD90</f>
        <v>0</v>
      </c>
      <c r="AY90" s="149"/>
      <c r="AZ90" s="76" t="n">
        <f aca="false">R90*E90</f>
        <v>0</v>
      </c>
    </row>
    <row r="91" customFormat="false" ht="12.75" hidden="false" customHeight="false" outlineLevel="0" collapsed="false">
      <c r="A91" s="138" t="n">
        <f aca="false">EDATE(A90,1)</f>
        <v>39448</v>
      </c>
      <c r="B91" s="139" t="n">
        <f aca="false">VLOOKUP($A91,Table2,MATCH(I$3,Curves2,0))</f>
        <v>0</v>
      </c>
      <c r="C91" s="140"/>
      <c r="D91" s="141" t="n">
        <f aca="false">B91+C91</f>
        <v>0</v>
      </c>
      <c r="E91" s="126" t="n">
        <f aca="false">IF(Y91=0,0,IF(AND(Y91=1,$H$3=1),D91*T91,IF($H$3=2,D91,"N/A")))</f>
        <v>0</v>
      </c>
      <c r="F91" s="126" t="n">
        <f aca="false">E91*X91</f>
        <v>0</v>
      </c>
      <c r="G91" s="142" t="n">
        <f aca="false">VLOOKUP($A91,Table,MATCH(G$4,Curves,0))</f>
        <v>3.987</v>
      </c>
      <c r="H91" s="143" t="n">
        <f aca="false">G91</f>
        <v>3.987</v>
      </c>
      <c r="I91" s="142" t="n">
        <f aca="false">VLOOKUP($A91,Table1,MATCH(I$3,Curves1,0))</f>
        <v>0</v>
      </c>
      <c r="J91" s="142" t="n">
        <f aca="false">VLOOKUP($A91,Table,MATCH(J$4,Curves,0))</f>
        <v>-0.0235</v>
      </c>
      <c r="K91" s="143" t="n">
        <f aca="false">J91</f>
        <v>-0.0235</v>
      </c>
      <c r="L91" s="144" t="n">
        <v>0</v>
      </c>
      <c r="M91" s="142" t="n">
        <f aca="false">VLOOKUP($A91,Table,MATCH(M$4,Curves,0))</f>
        <v>0.0075</v>
      </c>
      <c r="N91" s="143" t="n">
        <f aca="false">M91</f>
        <v>0.0075</v>
      </c>
      <c r="O91" s="144" t="n">
        <v>0</v>
      </c>
      <c r="P91" s="145"/>
      <c r="Q91" s="144" t="n">
        <f aca="false">M91+J91+G91</f>
        <v>3.971</v>
      </c>
      <c r="R91" s="144" t="n">
        <f aca="false">O91+L91+I91</f>
        <v>0</v>
      </c>
      <c r="S91" s="145"/>
      <c r="T91" s="71" t="n">
        <f aca="false">A92-A91</f>
        <v>31</v>
      </c>
      <c r="U91" s="146" t="n">
        <f aca="false">CHOOSE(F$3,A92+24,A91)</f>
        <v>39503</v>
      </c>
      <c r="V91" s="71" t="n">
        <f aca="false">U91-C$3</f>
        <v>2615</v>
      </c>
      <c r="W91" s="142" t="n">
        <f aca="false">VLOOKUP($A91,Table,MATCH(W$4,Curves,0))</f>
        <v>0.058966861357273</v>
      </c>
      <c r="X91" s="147" t="n">
        <f aca="false">1/(1+CHOOSE(F$3,(W92+($K$3/10000))/2,(W91+($K$3/10000))/2))^(2*V91/365.25)</f>
        <v>0.659635283237967</v>
      </c>
      <c r="Y91" s="71" t="n">
        <f aca="false">IF(AND(mthbeg&lt;=A91,mthend&gt;=A91),1,0)</f>
        <v>0</v>
      </c>
      <c r="Z91" s="71" t="n">
        <f aca="false">T91*Y91</f>
        <v>0</v>
      </c>
      <c r="AB91" s="132" t="n">
        <f aca="false">F91*G91</f>
        <v>0</v>
      </c>
      <c r="AC91" s="132" t="n">
        <f aca="false">$F91*H91</f>
        <v>0</v>
      </c>
      <c r="AD91" s="132" t="n">
        <f aca="false">$F91*I91</f>
        <v>0</v>
      </c>
      <c r="AE91" s="132" t="n">
        <f aca="false">$F91*J91</f>
        <v>-0</v>
      </c>
      <c r="AF91" s="132" t="n">
        <f aca="false">$F91*K91</f>
        <v>-0</v>
      </c>
      <c r="AG91" s="132" t="n">
        <f aca="false">$F91*L91</f>
        <v>0</v>
      </c>
      <c r="AH91" s="132" t="n">
        <f aca="false">$F91*M91</f>
        <v>0</v>
      </c>
      <c r="AI91" s="132" t="n">
        <f aca="false">$F91*N91</f>
        <v>0</v>
      </c>
      <c r="AJ91" s="132" t="n">
        <f aca="false">F91*O91</f>
        <v>0</v>
      </c>
      <c r="AK91" s="137"/>
      <c r="AL91" s="132" t="n">
        <f aca="false">CHOOSE($G$3,AC91-AD91,AD91-AC91)</f>
        <v>0</v>
      </c>
      <c r="AM91" s="132" t="n">
        <f aca="false">CHOOSE($G$3,AF91-AG91,AG91-AF91)</f>
        <v>0</v>
      </c>
      <c r="AN91" s="132" t="n">
        <f aca="false">CHOOSE($G$3,AI91-AJ91,AJ91-AI91)</f>
        <v>0</v>
      </c>
      <c r="AO91" s="148" t="n">
        <f aca="false">SUM(AL91:AN91)</f>
        <v>0</v>
      </c>
      <c r="AQ91" s="132" t="n">
        <f aca="false">CHOOSE($G$3,AB91-AC91,AC91-AB91)</f>
        <v>0</v>
      </c>
      <c r="AR91" s="132" t="n">
        <f aca="false">CHOOSE($G$3,AE91-AF91,AF91-AE91)</f>
        <v>0</v>
      </c>
      <c r="AS91" s="132" t="n">
        <f aca="false">CHOOSE($G$3,AH91-AI91,AI91-AH91)</f>
        <v>0</v>
      </c>
      <c r="AT91" s="148" t="n">
        <f aca="false">AQ91+AR91+AS91</f>
        <v>0</v>
      </c>
      <c r="AU91" s="148"/>
      <c r="AV91" s="133" t="n">
        <f aca="false">AT91+AO91</f>
        <v>0</v>
      </c>
      <c r="AX91" s="133" t="n">
        <f aca="false">AJ91+AG91+AD91</f>
        <v>0</v>
      </c>
      <c r="AY91" s="149"/>
      <c r="AZ91" s="76" t="n">
        <f aca="false">R91*E91</f>
        <v>0</v>
      </c>
    </row>
    <row r="92" customFormat="false" ht="12.75" hidden="false" customHeight="false" outlineLevel="0" collapsed="false">
      <c r="A92" s="138" t="n">
        <f aca="false">EDATE(A91,1)</f>
        <v>39479</v>
      </c>
      <c r="B92" s="139" t="n">
        <f aca="false">VLOOKUP($A92,Table2,MATCH(I$3,Curves2,0))</f>
        <v>0</v>
      </c>
      <c r="C92" s="140"/>
      <c r="D92" s="141" t="n">
        <f aca="false">B92+C92</f>
        <v>0</v>
      </c>
      <c r="E92" s="126" t="n">
        <f aca="false">IF(Y92=0,0,IF(AND(Y92=1,$H$3=1),D92*T92,IF($H$3=2,D92,"N/A")))</f>
        <v>0</v>
      </c>
      <c r="F92" s="126" t="n">
        <f aca="false">E92*X92</f>
        <v>0</v>
      </c>
      <c r="G92" s="142" t="n">
        <f aca="false">VLOOKUP($A92,Table,MATCH(G$4,Curves,0))</f>
        <v>3.987</v>
      </c>
      <c r="H92" s="143" t="n">
        <f aca="false">G92</f>
        <v>3.987</v>
      </c>
      <c r="I92" s="142" t="n">
        <f aca="false">VLOOKUP($A92,Table1,MATCH(I$3,Curves1,0))</f>
        <v>0</v>
      </c>
      <c r="J92" s="142" t="n">
        <f aca="false">VLOOKUP($A92,Table,MATCH(J$4,Curves,0))</f>
        <v>-0.0235</v>
      </c>
      <c r="K92" s="143" t="n">
        <f aca="false">J92</f>
        <v>-0.0235</v>
      </c>
      <c r="L92" s="144" t="n">
        <v>0</v>
      </c>
      <c r="M92" s="142" t="n">
        <f aca="false">VLOOKUP($A92,Table,MATCH(M$4,Curves,0))</f>
        <v>0.0075</v>
      </c>
      <c r="N92" s="143" t="n">
        <f aca="false">M92</f>
        <v>0.0075</v>
      </c>
      <c r="O92" s="144" t="n">
        <v>0</v>
      </c>
      <c r="P92" s="145"/>
      <c r="Q92" s="144" t="n">
        <f aca="false">M92+J92+G92</f>
        <v>3.971</v>
      </c>
      <c r="R92" s="144" t="n">
        <f aca="false">O92+L92+I92</f>
        <v>0</v>
      </c>
      <c r="S92" s="145"/>
      <c r="T92" s="71" t="n">
        <f aca="false">A93-A92</f>
        <v>29</v>
      </c>
      <c r="U92" s="146" t="n">
        <f aca="false">CHOOSE(F$3,A93+24,A92)</f>
        <v>39532</v>
      </c>
      <c r="V92" s="71" t="n">
        <f aca="false">U92-C$3</f>
        <v>2644</v>
      </c>
      <c r="W92" s="142" t="n">
        <f aca="false">VLOOKUP($A92,Table,MATCH(W$4,Curves,0))</f>
        <v>0.058966861357273</v>
      </c>
      <c r="X92" s="147" t="n">
        <f aca="false">1/(1+CHOOSE(F$3,(W93+($K$3/10000))/2,(W92+($K$3/10000))/2))^(2*V92/365.25)</f>
        <v>0.656598644405898</v>
      </c>
      <c r="Y92" s="71" t="n">
        <f aca="false">IF(AND(mthbeg&lt;=A92,mthend&gt;=A92),1,0)</f>
        <v>0</v>
      </c>
      <c r="Z92" s="71" t="n">
        <f aca="false">T92*Y92</f>
        <v>0</v>
      </c>
      <c r="AB92" s="132" t="n">
        <f aca="false">F92*G92</f>
        <v>0</v>
      </c>
      <c r="AC92" s="132" t="n">
        <f aca="false">$F92*H92</f>
        <v>0</v>
      </c>
      <c r="AD92" s="132" t="n">
        <f aca="false">$F92*I92</f>
        <v>0</v>
      </c>
      <c r="AE92" s="132" t="n">
        <f aca="false">$F92*J92</f>
        <v>-0</v>
      </c>
      <c r="AF92" s="132" t="n">
        <f aca="false">$F92*K92</f>
        <v>-0</v>
      </c>
      <c r="AG92" s="132" t="n">
        <f aca="false">$F92*L92</f>
        <v>0</v>
      </c>
      <c r="AH92" s="132" t="n">
        <f aca="false">$F92*M92</f>
        <v>0</v>
      </c>
      <c r="AI92" s="132" t="n">
        <f aca="false">$F92*N92</f>
        <v>0</v>
      </c>
      <c r="AJ92" s="132" t="n">
        <f aca="false">F92*O92</f>
        <v>0</v>
      </c>
      <c r="AK92" s="137"/>
      <c r="AL92" s="132" t="n">
        <f aca="false">CHOOSE($G$3,AC92-AD92,AD92-AC92)</f>
        <v>0</v>
      </c>
      <c r="AM92" s="132" t="n">
        <f aca="false">CHOOSE($G$3,AF92-AG92,AG92-AF92)</f>
        <v>0</v>
      </c>
      <c r="AN92" s="132" t="n">
        <f aca="false">CHOOSE($G$3,AI92-AJ92,AJ92-AI92)</f>
        <v>0</v>
      </c>
      <c r="AO92" s="148" t="n">
        <f aca="false">SUM(AL92:AN92)</f>
        <v>0</v>
      </c>
      <c r="AQ92" s="132" t="n">
        <f aca="false">CHOOSE($G$3,AB92-AC92,AC92-AB92)</f>
        <v>0</v>
      </c>
      <c r="AR92" s="132" t="n">
        <f aca="false">CHOOSE($G$3,AE92-AF92,AF92-AE92)</f>
        <v>0</v>
      </c>
      <c r="AS92" s="132" t="n">
        <f aca="false">CHOOSE($G$3,AH92-AI92,AI92-AH92)</f>
        <v>0</v>
      </c>
      <c r="AT92" s="148" t="n">
        <f aca="false">AQ92+AR92+AS92</f>
        <v>0</v>
      </c>
      <c r="AU92" s="148"/>
      <c r="AV92" s="133" t="n">
        <f aca="false">AT92+AO92</f>
        <v>0</v>
      </c>
      <c r="AX92" s="133" t="n">
        <f aca="false">AJ92+AG92+AD92</f>
        <v>0</v>
      </c>
      <c r="AY92" s="149"/>
      <c r="AZ92" s="76" t="n">
        <f aca="false">R92*E92</f>
        <v>0</v>
      </c>
    </row>
    <row r="93" customFormat="false" ht="12.75" hidden="false" customHeight="false" outlineLevel="0" collapsed="false">
      <c r="A93" s="138" t="n">
        <f aca="false">EDATE(A92,1)</f>
        <v>39508</v>
      </c>
      <c r="B93" s="139" t="n">
        <f aca="false">VLOOKUP($A93,Table2,MATCH(I$3,Curves2,0))</f>
        <v>0</v>
      </c>
      <c r="C93" s="140"/>
      <c r="D93" s="141" t="n">
        <f aca="false">B93+C93</f>
        <v>0</v>
      </c>
      <c r="E93" s="126" t="n">
        <f aca="false">IF(Y93=0,0,IF(AND(Y93=1,$H$3=1),D93*T93,IF($H$3=2,D93,"N/A")))</f>
        <v>0</v>
      </c>
      <c r="F93" s="126" t="n">
        <f aca="false">E93*X93</f>
        <v>0</v>
      </c>
      <c r="G93" s="142" t="n">
        <f aca="false">VLOOKUP($A93,Table,MATCH(G$4,Curves,0))</f>
        <v>3.987</v>
      </c>
      <c r="H93" s="143" t="n">
        <f aca="false">G93</f>
        <v>3.987</v>
      </c>
      <c r="I93" s="142" t="n">
        <f aca="false">VLOOKUP($A93,Table1,MATCH(I$3,Curves1,0))</f>
        <v>0</v>
      </c>
      <c r="J93" s="142" t="n">
        <f aca="false">VLOOKUP($A93,Table,MATCH(J$4,Curves,0))</f>
        <v>-0.0235</v>
      </c>
      <c r="K93" s="143" t="n">
        <f aca="false">J93</f>
        <v>-0.0235</v>
      </c>
      <c r="L93" s="144" t="n">
        <v>0</v>
      </c>
      <c r="M93" s="142" t="n">
        <f aca="false">VLOOKUP($A93,Table,MATCH(M$4,Curves,0))</f>
        <v>0.0075</v>
      </c>
      <c r="N93" s="143" t="n">
        <f aca="false">M93</f>
        <v>0.0075</v>
      </c>
      <c r="O93" s="144" t="n">
        <v>0</v>
      </c>
      <c r="P93" s="145"/>
      <c r="Q93" s="144" t="n">
        <f aca="false">M93+J93+G93</f>
        <v>3.971</v>
      </c>
      <c r="R93" s="144" t="n">
        <f aca="false">O93+L93+I93</f>
        <v>0</v>
      </c>
      <c r="S93" s="145"/>
      <c r="T93" s="71" t="n">
        <f aca="false">A94-A93</f>
        <v>31</v>
      </c>
      <c r="U93" s="146" t="n">
        <f aca="false">CHOOSE(F$3,A94+24,A93)</f>
        <v>39563</v>
      </c>
      <c r="V93" s="71" t="n">
        <f aca="false">U93-C$3</f>
        <v>2675</v>
      </c>
      <c r="W93" s="142" t="n">
        <f aca="false">VLOOKUP($A93,Table,MATCH(W$4,Curves,0))</f>
        <v>0.058966861357273</v>
      </c>
      <c r="X93" s="147" t="n">
        <f aca="false">1/(1+CHOOSE(F$3,(W94+($K$3/10000))/2,(W93+($K$3/10000))/2))^(2*V93/365.25)</f>
        <v>0.653368039139861</v>
      </c>
      <c r="Y93" s="71" t="n">
        <f aca="false">IF(AND(mthbeg&lt;=A93,mthend&gt;=A93),1,0)</f>
        <v>0</v>
      </c>
      <c r="Z93" s="71" t="n">
        <f aca="false">T93*Y93</f>
        <v>0</v>
      </c>
      <c r="AB93" s="132" t="n">
        <f aca="false">F93*G93</f>
        <v>0</v>
      </c>
      <c r="AC93" s="132" t="n">
        <f aca="false">$F93*H93</f>
        <v>0</v>
      </c>
      <c r="AD93" s="132" t="n">
        <f aca="false">$F93*I93</f>
        <v>0</v>
      </c>
      <c r="AE93" s="132" t="n">
        <f aca="false">$F93*J93</f>
        <v>-0</v>
      </c>
      <c r="AF93" s="132" t="n">
        <f aca="false">$F93*K93</f>
        <v>-0</v>
      </c>
      <c r="AG93" s="132" t="n">
        <f aca="false">$F93*L93</f>
        <v>0</v>
      </c>
      <c r="AH93" s="132" t="n">
        <f aca="false">$F93*M93</f>
        <v>0</v>
      </c>
      <c r="AI93" s="132" t="n">
        <f aca="false">$F93*N93</f>
        <v>0</v>
      </c>
      <c r="AJ93" s="132" t="n">
        <f aca="false">F93*O93</f>
        <v>0</v>
      </c>
      <c r="AK93" s="137"/>
      <c r="AL93" s="132" t="n">
        <f aca="false">CHOOSE($G$3,AC93-AD93,AD93-AC93)</f>
        <v>0</v>
      </c>
      <c r="AM93" s="132" t="n">
        <f aca="false">CHOOSE($G$3,AF93-AG93,AG93-AF93)</f>
        <v>0</v>
      </c>
      <c r="AN93" s="132" t="n">
        <f aca="false">CHOOSE($G$3,AI93-AJ93,AJ93-AI93)</f>
        <v>0</v>
      </c>
      <c r="AO93" s="148" t="n">
        <f aca="false">SUM(AL93:AN93)</f>
        <v>0</v>
      </c>
      <c r="AQ93" s="132" t="n">
        <f aca="false">CHOOSE($G$3,AB93-AC93,AC93-AB93)</f>
        <v>0</v>
      </c>
      <c r="AR93" s="132" t="n">
        <f aca="false">CHOOSE($G$3,AE93-AF93,AF93-AE93)</f>
        <v>0</v>
      </c>
      <c r="AS93" s="132" t="n">
        <f aca="false">CHOOSE($G$3,AH93-AI93,AI93-AH93)</f>
        <v>0</v>
      </c>
      <c r="AT93" s="148" t="n">
        <f aca="false">AQ93+AR93+AS93</f>
        <v>0</v>
      </c>
      <c r="AU93" s="148"/>
      <c r="AV93" s="133" t="n">
        <f aca="false">AT93+AO93</f>
        <v>0</v>
      </c>
      <c r="AX93" s="133" t="n">
        <f aca="false">AJ93+AG93+AD93</f>
        <v>0</v>
      </c>
      <c r="AY93" s="149"/>
      <c r="AZ93" s="76" t="n">
        <f aca="false">R93*E93</f>
        <v>0</v>
      </c>
    </row>
    <row r="94" customFormat="false" ht="12.75" hidden="false" customHeight="false" outlineLevel="0" collapsed="false">
      <c r="A94" s="138" t="n">
        <f aca="false">EDATE(A93,1)</f>
        <v>39539</v>
      </c>
      <c r="B94" s="139" t="n">
        <f aca="false">VLOOKUP($A94,Table2,MATCH(I$3,Curves2,0))</f>
        <v>0</v>
      </c>
      <c r="C94" s="140"/>
      <c r="D94" s="141" t="n">
        <f aca="false">B94+C94</f>
        <v>0</v>
      </c>
      <c r="E94" s="126" t="n">
        <f aca="false">IF(Y94=0,0,IF(AND(Y94=1,$H$3=1),D94*T94,IF($H$3=2,D94,"N/A")))</f>
        <v>0</v>
      </c>
      <c r="F94" s="126" t="n">
        <f aca="false">E94*X94</f>
        <v>0</v>
      </c>
      <c r="G94" s="142" t="n">
        <f aca="false">VLOOKUP($A94,Table,MATCH(G$4,Curves,0))</f>
        <v>3.987</v>
      </c>
      <c r="H94" s="143" t="n">
        <f aca="false">G94</f>
        <v>3.987</v>
      </c>
      <c r="I94" s="142" t="n">
        <f aca="false">VLOOKUP($A94,Table1,MATCH(I$3,Curves1,0))</f>
        <v>0</v>
      </c>
      <c r="J94" s="142" t="n">
        <f aca="false">VLOOKUP($A94,Table,MATCH(J$4,Curves,0))</f>
        <v>-0.0235</v>
      </c>
      <c r="K94" s="143" t="n">
        <f aca="false">J94</f>
        <v>-0.0235</v>
      </c>
      <c r="L94" s="144" t="n">
        <v>0</v>
      </c>
      <c r="M94" s="142" t="n">
        <f aca="false">VLOOKUP($A94,Table,MATCH(M$4,Curves,0))</f>
        <v>0.0075</v>
      </c>
      <c r="N94" s="143" t="n">
        <f aca="false">M94</f>
        <v>0.0075</v>
      </c>
      <c r="O94" s="144" t="n">
        <v>0</v>
      </c>
      <c r="P94" s="145"/>
      <c r="Q94" s="144" t="n">
        <f aca="false">M94+J94+G94</f>
        <v>3.971</v>
      </c>
      <c r="R94" s="144" t="n">
        <f aca="false">O94+L94+I94</f>
        <v>0</v>
      </c>
      <c r="S94" s="145"/>
      <c r="T94" s="71" t="n">
        <f aca="false">A95-A94</f>
        <v>30</v>
      </c>
      <c r="U94" s="146" t="n">
        <f aca="false">CHOOSE(F$3,A95+24,A94)</f>
        <v>39593</v>
      </c>
      <c r="V94" s="71" t="n">
        <f aca="false">U94-C$3</f>
        <v>2705</v>
      </c>
      <c r="W94" s="142" t="n">
        <f aca="false">VLOOKUP($A94,Table,MATCH(W$4,Curves,0))</f>
        <v>0.058966861357273</v>
      </c>
      <c r="X94" s="147" t="n">
        <f aca="false">1/(1+CHOOSE(F$3,(W95+($K$3/10000))/2,(W94+($K$3/10000))/2))^(2*V94/365.25)</f>
        <v>0.650256782159431</v>
      </c>
      <c r="Y94" s="71" t="n">
        <f aca="false">IF(AND(mthbeg&lt;=A94,mthend&gt;=A94),1,0)</f>
        <v>0</v>
      </c>
      <c r="Z94" s="71" t="n">
        <f aca="false">T94*Y94</f>
        <v>0</v>
      </c>
      <c r="AB94" s="132" t="n">
        <f aca="false">F94*G94</f>
        <v>0</v>
      </c>
      <c r="AC94" s="132" t="n">
        <f aca="false">$F94*H94</f>
        <v>0</v>
      </c>
      <c r="AD94" s="132" t="n">
        <f aca="false">$F94*I94</f>
        <v>0</v>
      </c>
      <c r="AE94" s="132" t="n">
        <f aca="false">$F94*J94</f>
        <v>-0</v>
      </c>
      <c r="AF94" s="132" t="n">
        <f aca="false">$F94*K94</f>
        <v>-0</v>
      </c>
      <c r="AG94" s="132" t="n">
        <f aca="false">$F94*L94</f>
        <v>0</v>
      </c>
      <c r="AH94" s="132" t="n">
        <f aca="false">$F94*M94</f>
        <v>0</v>
      </c>
      <c r="AI94" s="132" t="n">
        <f aca="false">$F94*N94</f>
        <v>0</v>
      </c>
      <c r="AJ94" s="132" t="n">
        <f aca="false">F94*O94</f>
        <v>0</v>
      </c>
      <c r="AK94" s="137"/>
      <c r="AL94" s="132" t="n">
        <f aca="false">CHOOSE($G$3,AC94-AD94,AD94-AC94)</f>
        <v>0</v>
      </c>
      <c r="AM94" s="132" t="n">
        <f aca="false">CHOOSE($G$3,AF94-AG94,AG94-AF94)</f>
        <v>0</v>
      </c>
      <c r="AN94" s="132" t="n">
        <f aca="false">CHOOSE($G$3,AI94-AJ94,AJ94-AI94)</f>
        <v>0</v>
      </c>
      <c r="AO94" s="148" t="n">
        <f aca="false">SUM(AL94:AN94)</f>
        <v>0</v>
      </c>
      <c r="AQ94" s="132" t="n">
        <f aca="false">CHOOSE($G$3,AB94-AC94,AC94-AB94)</f>
        <v>0</v>
      </c>
      <c r="AR94" s="132" t="n">
        <f aca="false">CHOOSE($G$3,AE94-AF94,AF94-AE94)</f>
        <v>0</v>
      </c>
      <c r="AS94" s="132" t="n">
        <f aca="false">CHOOSE($G$3,AH94-AI94,AI94-AH94)</f>
        <v>0</v>
      </c>
      <c r="AT94" s="148" t="n">
        <f aca="false">AQ94+AR94+AS94</f>
        <v>0</v>
      </c>
      <c r="AU94" s="148"/>
      <c r="AV94" s="133" t="n">
        <f aca="false">AT94+AO94</f>
        <v>0</v>
      </c>
      <c r="AX94" s="133" t="n">
        <f aca="false">AJ94+AG94+AD94</f>
        <v>0</v>
      </c>
      <c r="AY94" s="149"/>
      <c r="AZ94" s="76" t="n">
        <f aca="false">R94*E94</f>
        <v>0</v>
      </c>
    </row>
    <row r="95" customFormat="false" ht="12.75" hidden="false" customHeight="false" outlineLevel="0" collapsed="false">
      <c r="A95" s="138" t="n">
        <f aca="false">EDATE(A94,1)</f>
        <v>39569</v>
      </c>
      <c r="B95" s="139" t="n">
        <f aca="false">VLOOKUP($A95,Table2,MATCH(I$3,Curves2,0))</f>
        <v>0</v>
      </c>
      <c r="C95" s="140"/>
      <c r="D95" s="141" t="n">
        <f aca="false">B95+C95</f>
        <v>0</v>
      </c>
      <c r="E95" s="126" t="n">
        <f aca="false">IF(Y95=0,0,IF(AND(Y95=1,$H$3=1),D95*T95,IF($H$3=2,D95,"N/A")))</f>
        <v>0</v>
      </c>
      <c r="F95" s="126" t="n">
        <f aca="false">E95*X95</f>
        <v>0</v>
      </c>
      <c r="G95" s="142" t="n">
        <f aca="false">VLOOKUP($A95,Table,MATCH(G$4,Curves,0))</f>
        <v>3.987</v>
      </c>
      <c r="H95" s="143" t="n">
        <f aca="false">G95</f>
        <v>3.987</v>
      </c>
      <c r="I95" s="142" t="n">
        <f aca="false">VLOOKUP($A95,Table1,MATCH(I$3,Curves1,0))</f>
        <v>0</v>
      </c>
      <c r="J95" s="142" t="n">
        <f aca="false">VLOOKUP($A95,Table,MATCH(J$4,Curves,0))</f>
        <v>-0.0235</v>
      </c>
      <c r="K95" s="143" t="n">
        <f aca="false">J95</f>
        <v>-0.0235</v>
      </c>
      <c r="L95" s="144" t="n">
        <v>0</v>
      </c>
      <c r="M95" s="142" t="n">
        <f aca="false">VLOOKUP($A95,Table,MATCH(M$4,Curves,0))</f>
        <v>0.0075</v>
      </c>
      <c r="N95" s="143" t="n">
        <f aca="false">M95</f>
        <v>0.0075</v>
      </c>
      <c r="O95" s="144" t="n">
        <v>0</v>
      </c>
      <c r="P95" s="145"/>
      <c r="Q95" s="144" t="n">
        <f aca="false">M95+J95+G95</f>
        <v>3.971</v>
      </c>
      <c r="R95" s="144" t="n">
        <f aca="false">O95+L95+I95</f>
        <v>0</v>
      </c>
      <c r="S95" s="145"/>
      <c r="T95" s="71" t="n">
        <f aca="false">A96-A95</f>
        <v>31</v>
      </c>
      <c r="U95" s="146" t="n">
        <f aca="false">CHOOSE(F$3,A96+24,A95)</f>
        <v>39624</v>
      </c>
      <c r="V95" s="71" t="n">
        <f aca="false">U95-C$3</f>
        <v>2736</v>
      </c>
      <c r="W95" s="142" t="n">
        <f aca="false">VLOOKUP($A95,Table,MATCH(W$4,Curves,0))</f>
        <v>0.058966861357273</v>
      </c>
      <c r="X95" s="147" t="n">
        <f aca="false">1/(1+CHOOSE(F$3,(W96+($K$3/10000))/2,(W95+($K$3/10000))/2))^(2*V95/365.25)</f>
        <v>0.647057380207237</v>
      </c>
      <c r="Y95" s="71" t="n">
        <f aca="false">IF(AND(mthbeg&lt;=A95,mthend&gt;=A95),1,0)</f>
        <v>0</v>
      </c>
      <c r="Z95" s="71" t="n">
        <f aca="false">T95*Y95</f>
        <v>0</v>
      </c>
      <c r="AB95" s="132" t="n">
        <f aca="false">F95*G95</f>
        <v>0</v>
      </c>
      <c r="AC95" s="132" t="n">
        <f aca="false">$F95*H95</f>
        <v>0</v>
      </c>
      <c r="AD95" s="132" t="n">
        <f aca="false">$F95*I95</f>
        <v>0</v>
      </c>
      <c r="AE95" s="132" t="n">
        <f aca="false">$F95*J95</f>
        <v>-0</v>
      </c>
      <c r="AF95" s="132" t="n">
        <f aca="false">$F95*K95</f>
        <v>-0</v>
      </c>
      <c r="AG95" s="132" t="n">
        <f aca="false">$F95*L95</f>
        <v>0</v>
      </c>
      <c r="AH95" s="132" t="n">
        <f aca="false">$F95*M95</f>
        <v>0</v>
      </c>
      <c r="AI95" s="132" t="n">
        <f aca="false">$F95*N95</f>
        <v>0</v>
      </c>
      <c r="AJ95" s="132" t="n">
        <f aca="false">F95*O95</f>
        <v>0</v>
      </c>
      <c r="AK95" s="137"/>
      <c r="AL95" s="132" t="n">
        <f aca="false">CHOOSE($G$3,AC95-AD95,AD95-AC95)</f>
        <v>0</v>
      </c>
      <c r="AM95" s="132" t="n">
        <f aca="false">CHOOSE($G$3,AF95-AG95,AG95-AF95)</f>
        <v>0</v>
      </c>
      <c r="AN95" s="132" t="n">
        <f aca="false">CHOOSE($G$3,AI95-AJ95,AJ95-AI95)</f>
        <v>0</v>
      </c>
      <c r="AO95" s="148" t="n">
        <f aca="false">SUM(AL95:AN95)</f>
        <v>0</v>
      </c>
      <c r="AQ95" s="132" t="n">
        <f aca="false">CHOOSE($G$3,AB95-AC95,AC95-AB95)</f>
        <v>0</v>
      </c>
      <c r="AR95" s="132" t="n">
        <f aca="false">CHOOSE($G$3,AE95-AF95,AF95-AE95)</f>
        <v>0</v>
      </c>
      <c r="AS95" s="132" t="n">
        <f aca="false">CHOOSE($G$3,AH95-AI95,AI95-AH95)</f>
        <v>0</v>
      </c>
      <c r="AT95" s="148" t="n">
        <f aca="false">AQ95+AR95+AS95</f>
        <v>0</v>
      </c>
      <c r="AU95" s="148"/>
      <c r="AV95" s="133" t="n">
        <f aca="false">AT95+AO95</f>
        <v>0</v>
      </c>
      <c r="AX95" s="133" t="n">
        <f aca="false">AJ95+AG95+AD95</f>
        <v>0</v>
      </c>
      <c r="AY95" s="149"/>
      <c r="AZ95" s="76" t="n">
        <f aca="false">R95*E95</f>
        <v>0</v>
      </c>
    </row>
    <row r="96" customFormat="false" ht="12.75" hidden="false" customHeight="false" outlineLevel="0" collapsed="false">
      <c r="A96" s="138" t="n">
        <f aca="false">EDATE(A95,1)</f>
        <v>39600</v>
      </c>
      <c r="B96" s="139" t="n">
        <f aca="false">VLOOKUP($A96,Table2,MATCH(I$3,Curves2,0))</f>
        <v>0</v>
      </c>
      <c r="C96" s="140"/>
      <c r="D96" s="141" t="n">
        <f aca="false">B96+C96</f>
        <v>0</v>
      </c>
      <c r="E96" s="126" t="n">
        <f aca="false">IF(Y96=0,0,IF(AND(Y96=1,$H$3=1),D96*T96,IF($H$3=2,D96,"N/A")))</f>
        <v>0</v>
      </c>
      <c r="F96" s="126" t="n">
        <f aca="false">E96*X96</f>
        <v>0</v>
      </c>
      <c r="G96" s="142" t="n">
        <f aca="false">VLOOKUP($A96,Table,MATCH(G$4,Curves,0))</f>
        <v>3.987</v>
      </c>
      <c r="H96" s="143" t="n">
        <f aca="false">G96</f>
        <v>3.987</v>
      </c>
      <c r="I96" s="142" t="n">
        <f aca="false">VLOOKUP($A96,Table1,MATCH(I$3,Curves1,0))</f>
        <v>0</v>
      </c>
      <c r="J96" s="142" t="n">
        <f aca="false">VLOOKUP($A96,Table,MATCH(J$4,Curves,0))</f>
        <v>-0.0235</v>
      </c>
      <c r="K96" s="143" t="n">
        <f aca="false">J96</f>
        <v>-0.0235</v>
      </c>
      <c r="L96" s="144" t="n">
        <v>0</v>
      </c>
      <c r="M96" s="142" t="n">
        <f aca="false">VLOOKUP($A96,Table,MATCH(M$4,Curves,0))</f>
        <v>0.0075</v>
      </c>
      <c r="N96" s="143" t="n">
        <f aca="false">M96</f>
        <v>0.0075</v>
      </c>
      <c r="O96" s="144" t="n">
        <v>0</v>
      </c>
      <c r="P96" s="145"/>
      <c r="Q96" s="144" t="n">
        <f aca="false">M96+J96+G96</f>
        <v>3.971</v>
      </c>
      <c r="R96" s="144" t="n">
        <f aca="false">O96+L96+I96</f>
        <v>0</v>
      </c>
      <c r="S96" s="145"/>
      <c r="T96" s="71" t="n">
        <f aca="false">A97-A96</f>
        <v>30</v>
      </c>
      <c r="U96" s="146" t="n">
        <f aca="false">CHOOSE(F$3,A97+24,A96)</f>
        <v>39654</v>
      </c>
      <c r="V96" s="71" t="n">
        <f aca="false">U96-C$3</f>
        <v>2766</v>
      </c>
      <c r="W96" s="142" t="n">
        <f aca="false">VLOOKUP($A96,Table,MATCH(W$4,Curves,0))</f>
        <v>0.058966861357273</v>
      </c>
      <c r="X96" s="147" t="n">
        <f aca="false">1/(1+CHOOSE(F$3,(W97+($K$3/10000))/2,(W96+($K$3/10000))/2))^(2*V96/365.25)</f>
        <v>0.643976173796286</v>
      </c>
      <c r="Y96" s="71" t="n">
        <f aca="false">IF(AND(mthbeg&lt;=A96,mthend&gt;=A96),1,0)</f>
        <v>0</v>
      </c>
      <c r="Z96" s="71" t="n">
        <f aca="false">T96*Y96</f>
        <v>0</v>
      </c>
      <c r="AB96" s="132" t="n">
        <f aca="false">F96*G96</f>
        <v>0</v>
      </c>
      <c r="AC96" s="132" t="n">
        <f aca="false">$F96*H96</f>
        <v>0</v>
      </c>
      <c r="AD96" s="132" t="n">
        <f aca="false">$F96*I96</f>
        <v>0</v>
      </c>
      <c r="AE96" s="132" t="n">
        <f aca="false">$F96*J96</f>
        <v>-0</v>
      </c>
      <c r="AF96" s="132" t="n">
        <f aca="false">$F96*K96</f>
        <v>-0</v>
      </c>
      <c r="AG96" s="132" t="n">
        <f aca="false">$F96*L96</f>
        <v>0</v>
      </c>
      <c r="AH96" s="132" t="n">
        <f aca="false">$F96*M96</f>
        <v>0</v>
      </c>
      <c r="AI96" s="132" t="n">
        <f aca="false">$F96*N96</f>
        <v>0</v>
      </c>
      <c r="AJ96" s="132" t="n">
        <f aca="false">F96*O96</f>
        <v>0</v>
      </c>
      <c r="AK96" s="137"/>
      <c r="AL96" s="132" t="n">
        <f aca="false">CHOOSE($G$3,AC96-AD96,AD96-AC96)</f>
        <v>0</v>
      </c>
      <c r="AM96" s="132" t="n">
        <f aca="false">CHOOSE($G$3,AF96-AG96,AG96-AF96)</f>
        <v>0</v>
      </c>
      <c r="AN96" s="132" t="n">
        <f aca="false">CHOOSE($G$3,AI96-AJ96,AJ96-AI96)</f>
        <v>0</v>
      </c>
      <c r="AO96" s="148" t="n">
        <f aca="false">SUM(AL96:AN96)</f>
        <v>0</v>
      </c>
      <c r="AQ96" s="132" t="n">
        <f aca="false">CHOOSE($G$3,AB96-AC96,AC96-AB96)</f>
        <v>0</v>
      </c>
      <c r="AR96" s="132" t="n">
        <f aca="false">CHOOSE($G$3,AE96-AF96,AF96-AE96)</f>
        <v>0</v>
      </c>
      <c r="AS96" s="132" t="n">
        <f aca="false">CHOOSE($G$3,AH96-AI96,AI96-AH96)</f>
        <v>0</v>
      </c>
      <c r="AT96" s="148" t="n">
        <f aca="false">AQ96+AR96+AS96</f>
        <v>0</v>
      </c>
      <c r="AU96" s="148"/>
      <c r="AV96" s="133" t="n">
        <f aca="false">AT96+AO96</f>
        <v>0</v>
      </c>
      <c r="AX96" s="133" t="n">
        <f aca="false">AJ96+AG96+AD96</f>
        <v>0</v>
      </c>
      <c r="AY96" s="149"/>
      <c r="AZ96" s="76" t="n">
        <f aca="false">R96*E96</f>
        <v>0</v>
      </c>
    </row>
    <row r="97" customFormat="false" ht="12.75" hidden="false" customHeight="false" outlineLevel="0" collapsed="false">
      <c r="A97" s="138" t="n">
        <f aca="false">EDATE(A96,1)</f>
        <v>39630</v>
      </c>
      <c r="B97" s="139" t="n">
        <f aca="false">VLOOKUP($A97,Table2,MATCH(I$3,Curves2,0))</f>
        <v>0</v>
      </c>
      <c r="C97" s="140"/>
      <c r="D97" s="141" t="n">
        <f aca="false">B97+C97</f>
        <v>0</v>
      </c>
      <c r="E97" s="126" t="n">
        <f aca="false">IF(Y97=0,0,IF(AND(Y97=1,$H$3=1),D97*T97,IF($H$3=2,D97,"N/A")))</f>
        <v>0</v>
      </c>
      <c r="F97" s="126" t="n">
        <f aca="false">E97*X97</f>
        <v>0</v>
      </c>
      <c r="G97" s="142" t="n">
        <f aca="false">VLOOKUP($A97,Table,MATCH(G$4,Curves,0))</f>
        <v>3.987</v>
      </c>
      <c r="H97" s="143" t="n">
        <f aca="false">G97</f>
        <v>3.987</v>
      </c>
      <c r="I97" s="142" t="n">
        <f aca="false">VLOOKUP($A97,Table1,MATCH(I$3,Curves1,0))</f>
        <v>0</v>
      </c>
      <c r="J97" s="142" t="n">
        <f aca="false">VLOOKUP($A97,Table,MATCH(J$4,Curves,0))</f>
        <v>-0.0235</v>
      </c>
      <c r="K97" s="143" t="n">
        <f aca="false">J97</f>
        <v>-0.0235</v>
      </c>
      <c r="L97" s="144" t="n">
        <v>0</v>
      </c>
      <c r="M97" s="142" t="n">
        <f aca="false">VLOOKUP($A97,Table,MATCH(M$4,Curves,0))</f>
        <v>0.0075</v>
      </c>
      <c r="N97" s="143" t="n">
        <f aca="false">M97</f>
        <v>0.0075</v>
      </c>
      <c r="O97" s="144" t="n">
        <v>0</v>
      </c>
      <c r="P97" s="145"/>
      <c r="Q97" s="144" t="n">
        <f aca="false">M97+J97+G97</f>
        <v>3.971</v>
      </c>
      <c r="R97" s="144" t="n">
        <f aca="false">O97+L97+I97</f>
        <v>0</v>
      </c>
      <c r="S97" s="145"/>
      <c r="T97" s="71" t="n">
        <f aca="false">A98-A97</f>
        <v>31</v>
      </c>
      <c r="U97" s="146" t="n">
        <f aca="false">CHOOSE(F$3,A98+24,A97)</f>
        <v>39685</v>
      </c>
      <c r="V97" s="71" t="n">
        <f aca="false">U97-C$3</f>
        <v>2797</v>
      </c>
      <c r="W97" s="142" t="n">
        <f aca="false">VLOOKUP($A97,Table,MATCH(W$4,Curves,0))</f>
        <v>0.058966861357273</v>
      </c>
      <c r="X97" s="147" t="n">
        <f aca="false">1/(1+CHOOSE(F$3,(W98+($K$3/10000))/2,(W97+($K$3/10000))/2))^(2*V97/365.25)</f>
        <v>0.640807673775773</v>
      </c>
      <c r="Y97" s="71" t="n">
        <f aca="false">IF(AND(mthbeg&lt;=A97,mthend&gt;=A97),1,0)</f>
        <v>0</v>
      </c>
      <c r="Z97" s="71" t="n">
        <f aca="false">T97*Y97</f>
        <v>0</v>
      </c>
      <c r="AB97" s="132" t="n">
        <f aca="false">F97*G97</f>
        <v>0</v>
      </c>
      <c r="AC97" s="132" t="n">
        <f aca="false">$F97*H97</f>
        <v>0</v>
      </c>
      <c r="AD97" s="132" t="n">
        <f aca="false">$F97*I97</f>
        <v>0</v>
      </c>
      <c r="AE97" s="132" t="n">
        <f aca="false">$F97*J97</f>
        <v>-0</v>
      </c>
      <c r="AF97" s="132" t="n">
        <f aca="false">$F97*K97</f>
        <v>-0</v>
      </c>
      <c r="AG97" s="132" t="n">
        <f aca="false">$F97*L97</f>
        <v>0</v>
      </c>
      <c r="AH97" s="132" t="n">
        <f aca="false">$F97*M97</f>
        <v>0</v>
      </c>
      <c r="AI97" s="132" t="n">
        <f aca="false">$F97*N97</f>
        <v>0</v>
      </c>
      <c r="AJ97" s="132" t="n">
        <f aca="false">F97*O97</f>
        <v>0</v>
      </c>
      <c r="AK97" s="137"/>
      <c r="AL97" s="132" t="n">
        <f aca="false">CHOOSE($G$3,AC97-AD97,AD97-AC97)</f>
        <v>0</v>
      </c>
      <c r="AM97" s="132" t="n">
        <f aca="false">CHOOSE($G$3,AF97-AG97,AG97-AF97)</f>
        <v>0</v>
      </c>
      <c r="AN97" s="132" t="n">
        <f aca="false">CHOOSE($G$3,AI97-AJ97,AJ97-AI97)</f>
        <v>0</v>
      </c>
      <c r="AO97" s="148" t="n">
        <f aca="false">SUM(AL97:AN97)</f>
        <v>0</v>
      </c>
      <c r="AQ97" s="132" t="n">
        <f aca="false">CHOOSE($G$3,AB97-AC97,AC97-AB97)</f>
        <v>0</v>
      </c>
      <c r="AR97" s="132" t="n">
        <f aca="false">CHOOSE($G$3,AE97-AF97,AF97-AE97)</f>
        <v>0</v>
      </c>
      <c r="AS97" s="132" t="n">
        <f aca="false">CHOOSE($G$3,AH97-AI97,AI97-AH97)</f>
        <v>0</v>
      </c>
      <c r="AT97" s="148" t="n">
        <f aca="false">AQ97+AR97+AS97</f>
        <v>0</v>
      </c>
      <c r="AU97" s="148"/>
      <c r="AV97" s="133" t="n">
        <f aca="false">AT97+AO97</f>
        <v>0</v>
      </c>
      <c r="AX97" s="133" t="n">
        <f aca="false">AJ97+AG97+AD97</f>
        <v>0</v>
      </c>
      <c r="AY97" s="149"/>
      <c r="AZ97" s="76" t="n">
        <f aca="false">R97*E97</f>
        <v>0</v>
      </c>
    </row>
    <row r="98" customFormat="false" ht="12.75" hidden="false" customHeight="false" outlineLevel="0" collapsed="false">
      <c r="A98" s="138" t="n">
        <f aca="false">EDATE(A97,1)</f>
        <v>39661</v>
      </c>
      <c r="B98" s="139" t="n">
        <f aca="false">VLOOKUP($A98,Table2,MATCH(I$3,Curves2,0))</f>
        <v>0</v>
      </c>
      <c r="C98" s="140"/>
      <c r="D98" s="141" t="n">
        <f aca="false">B98+C98</f>
        <v>0</v>
      </c>
      <c r="E98" s="126" t="n">
        <f aca="false">IF(Y98=0,0,IF(AND(Y98=1,$H$3=1),D98*T98,IF($H$3=2,D98,"N/A")))</f>
        <v>0</v>
      </c>
      <c r="F98" s="126" t="n">
        <f aca="false">E98*X98</f>
        <v>0</v>
      </c>
      <c r="G98" s="142" t="n">
        <f aca="false">VLOOKUP($A98,Table,MATCH(G$4,Curves,0))</f>
        <v>3.987</v>
      </c>
      <c r="H98" s="143" t="n">
        <f aca="false">G98</f>
        <v>3.987</v>
      </c>
      <c r="I98" s="142" t="n">
        <f aca="false">VLOOKUP($A98,Table1,MATCH(I$3,Curves1,0))</f>
        <v>0</v>
      </c>
      <c r="J98" s="142" t="n">
        <f aca="false">VLOOKUP($A98,Table,MATCH(J$4,Curves,0))</f>
        <v>-0.0235</v>
      </c>
      <c r="K98" s="143" t="n">
        <f aca="false">J98</f>
        <v>-0.0235</v>
      </c>
      <c r="L98" s="144" t="n">
        <v>0</v>
      </c>
      <c r="M98" s="142" t="n">
        <f aca="false">VLOOKUP($A98,Table,MATCH(M$4,Curves,0))</f>
        <v>0.0075</v>
      </c>
      <c r="N98" s="143" t="n">
        <f aca="false">M98</f>
        <v>0.0075</v>
      </c>
      <c r="O98" s="144" t="n">
        <v>0</v>
      </c>
      <c r="P98" s="145"/>
      <c r="Q98" s="144" t="n">
        <f aca="false">M98+J98+G98</f>
        <v>3.971</v>
      </c>
      <c r="R98" s="144" t="n">
        <f aca="false">O98+L98+I98</f>
        <v>0</v>
      </c>
      <c r="S98" s="145"/>
      <c r="T98" s="71" t="n">
        <f aca="false">A99-A98</f>
        <v>31</v>
      </c>
      <c r="U98" s="146" t="n">
        <f aca="false">CHOOSE(F$3,A99+24,A98)</f>
        <v>39716</v>
      </c>
      <c r="V98" s="71" t="n">
        <f aca="false">U98-C$3</f>
        <v>2828</v>
      </c>
      <c r="W98" s="142" t="n">
        <f aca="false">VLOOKUP($A98,Table,MATCH(W$4,Curves,0))</f>
        <v>0.058966861357273</v>
      </c>
      <c r="X98" s="147" t="n">
        <f aca="false">1/(1+CHOOSE(F$3,(W99+($K$3/10000))/2,(W98+($K$3/10000))/2))^(2*V98/365.25)</f>
        <v>0.637654763450638</v>
      </c>
      <c r="Y98" s="71" t="n">
        <f aca="false">IF(AND(mthbeg&lt;=A98,mthend&gt;=A98),1,0)</f>
        <v>0</v>
      </c>
      <c r="Z98" s="71" t="n">
        <f aca="false">T98*Y98</f>
        <v>0</v>
      </c>
      <c r="AB98" s="132" t="n">
        <f aca="false">F98*G98</f>
        <v>0</v>
      </c>
      <c r="AC98" s="132" t="n">
        <f aca="false">$F98*H98</f>
        <v>0</v>
      </c>
      <c r="AD98" s="132" t="n">
        <f aca="false">$F98*I98</f>
        <v>0</v>
      </c>
      <c r="AE98" s="132" t="n">
        <f aca="false">$F98*J98</f>
        <v>-0</v>
      </c>
      <c r="AF98" s="132" t="n">
        <f aca="false">$F98*K98</f>
        <v>-0</v>
      </c>
      <c r="AG98" s="132" t="n">
        <f aca="false">$F98*L98</f>
        <v>0</v>
      </c>
      <c r="AH98" s="132" t="n">
        <f aca="false">$F98*M98</f>
        <v>0</v>
      </c>
      <c r="AI98" s="132" t="n">
        <f aca="false">$F98*N98</f>
        <v>0</v>
      </c>
      <c r="AJ98" s="132" t="n">
        <f aca="false">F98*O98</f>
        <v>0</v>
      </c>
      <c r="AK98" s="137"/>
      <c r="AL98" s="132" t="n">
        <f aca="false">CHOOSE($G$3,AC98-AD98,AD98-AC98)</f>
        <v>0</v>
      </c>
      <c r="AM98" s="132" t="n">
        <f aca="false">CHOOSE($G$3,AF98-AG98,AG98-AF98)</f>
        <v>0</v>
      </c>
      <c r="AN98" s="132" t="n">
        <f aca="false">CHOOSE($G$3,AI98-AJ98,AJ98-AI98)</f>
        <v>0</v>
      </c>
      <c r="AO98" s="148" t="n">
        <f aca="false">SUM(AL98:AN98)</f>
        <v>0</v>
      </c>
      <c r="AQ98" s="132" t="n">
        <f aca="false">CHOOSE($G$3,AB98-AC98,AC98-AB98)</f>
        <v>0</v>
      </c>
      <c r="AR98" s="132" t="n">
        <f aca="false">CHOOSE($G$3,AE98-AF98,AF98-AE98)</f>
        <v>0</v>
      </c>
      <c r="AS98" s="132" t="n">
        <f aca="false">CHOOSE($G$3,AH98-AI98,AI98-AH98)</f>
        <v>0</v>
      </c>
      <c r="AT98" s="148" t="n">
        <f aca="false">AQ98+AR98+AS98</f>
        <v>0</v>
      </c>
      <c r="AU98" s="148"/>
      <c r="AV98" s="133" t="n">
        <f aca="false">AT98+AO98</f>
        <v>0</v>
      </c>
      <c r="AX98" s="133" t="n">
        <f aca="false">AJ98+AG98+AD98</f>
        <v>0</v>
      </c>
      <c r="AY98" s="149"/>
      <c r="AZ98" s="76" t="n">
        <f aca="false">R98*E98</f>
        <v>0</v>
      </c>
    </row>
    <row r="99" customFormat="false" ht="12.75" hidden="false" customHeight="false" outlineLevel="0" collapsed="false">
      <c r="A99" s="138" t="n">
        <f aca="false">EDATE(A98,1)</f>
        <v>39692</v>
      </c>
      <c r="B99" s="139" t="n">
        <f aca="false">VLOOKUP($A99,Table2,MATCH(I$3,Curves2,0))</f>
        <v>0</v>
      </c>
      <c r="C99" s="140"/>
      <c r="D99" s="141" t="n">
        <f aca="false">B99+C99</f>
        <v>0</v>
      </c>
      <c r="E99" s="126" t="n">
        <f aca="false">IF(Y99=0,0,IF(AND(Y99=1,$H$3=1),D99*T99,IF($H$3=2,D99,"N/A")))</f>
        <v>0</v>
      </c>
      <c r="F99" s="126" t="n">
        <f aca="false">E99*X99</f>
        <v>0</v>
      </c>
      <c r="G99" s="142" t="n">
        <f aca="false">VLOOKUP($A99,Table,MATCH(G$4,Curves,0))</f>
        <v>3.987</v>
      </c>
      <c r="H99" s="143" t="n">
        <f aca="false">G99</f>
        <v>3.987</v>
      </c>
      <c r="I99" s="142" t="n">
        <f aca="false">VLOOKUP($A99,Table1,MATCH(I$3,Curves1,0))</f>
        <v>0</v>
      </c>
      <c r="J99" s="142" t="n">
        <f aca="false">VLOOKUP($A99,Table,MATCH(J$4,Curves,0))</f>
        <v>-0.0235</v>
      </c>
      <c r="K99" s="143" t="n">
        <f aca="false">J99</f>
        <v>-0.0235</v>
      </c>
      <c r="L99" s="144" t="n">
        <v>0</v>
      </c>
      <c r="M99" s="142" t="n">
        <f aca="false">VLOOKUP($A99,Table,MATCH(M$4,Curves,0))</f>
        <v>0.0075</v>
      </c>
      <c r="N99" s="143" t="n">
        <f aca="false">M99</f>
        <v>0.0075</v>
      </c>
      <c r="O99" s="144" t="n">
        <v>0</v>
      </c>
      <c r="P99" s="145"/>
      <c r="Q99" s="144" t="n">
        <f aca="false">M99+J99+G99</f>
        <v>3.971</v>
      </c>
      <c r="R99" s="144" t="n">
        <f aca="false">O99+L99+I99</f>
        <v>0</v>
      </c>
      <c r="S99" s="145"/>
      <c r="T99" s="71" t="n">
        <f aca="false">A100-A99</f>
        <v>30</v>
      </c>
      <c r="U99" s="146" t="n">
        <f aca="false">CHOOSE(F$3,A100+24,A99)</f>
        <v>39746</v>
      </c>
      <c r="V99" s="71" t="n">
        <f aca="false">U99-C$3</f>
        <v>2858</v>
      </c>
      <c r="W99" s="142" t="n">
        <f aca="false">VLOOKUP($A99,Table,MATCH(W$4,Curves,0))</f>
        <v>0.058966861357273</v>
      </c>
      <c r="X99" s="147" t="n">
        <f aca="false">1/(1+CHOOSE(F$3,(W100+($K$3/10000))/2,(W99+($K$3/10000))/2))^(2*V99/365.25)</f>
        <v>0.63461833112606</v>
      </c>
      <c r="Y99" s="71" t="n">
        <f aca="false">IF(AND(mthbeg&lt;=A99,mthend&gt;=A99),1,0)</f>
        <v>0</v>
      </c>
      <c r="Z99" s="71" t="n">
        <f aca="false">T99*Y99</f>
        <v>0</v>
      </c>
      <c r="AB99" s="132" t="n">
        <f aca="false">F99*G99</f>
        <v>0</v>
      </c>
      <c r="AC99" s="132" t="n">
        <f aca="false">$F99*H99</f>
        <v>0</v>
      </c>
      <c r="AD99" s="132" t="n">
        <f aca="false">$F99*I99</f>
        <v>0</v>
      </c>
      <c r="AE99" s="132" t="n">
        <f aca="false">$F99*J99</f>
        <v>-0</v>
      </c>
      <c r="AF99" s="132" t="n">
        <f aca="false">$F99*K99</f>
        <v>-0</v>
      </c>
      <c r="AG99" s="132" t="n">
        <f aca="false">$F99*L99</f>
        <v>0</v>
      </c>
      <c r="AH99" s="132" t="n">
        <f aca="false">$F99*M99</f>
        <v>0</v>
      </c>
      <c r="AI99" s="132" t="n">
        <f aca="false">$F99*N99</f>
        <v>0</v>
      </c>
      <c r="AJ99" s="132" t="n">
        <f aca="false">F99*O99</f>
        <v>0</v>
      </c>
      <c r="AK99" s="137"/>
      <c r="AL99" s="132" t="n">
        <f aca="false">CHOOSE($G$3,AC99-AD99,AD99-AC99)</f>
        <v>0</v>
      </c>
      <c r="AM99" s="132" t="n">
        <f aca="false">CHOOSE($G$3,AF99-AG99,AG99-AF99)</f>
        <v>0</v>
      </c>
      <c r="AN99" s="132" t="n">
        <f aca="false">CHOOSE($G$3,AI99-AJ99,AJ99-AI99)</f>
        <v>0</v>
      </c>
      <c r="AO99" s="148" t="n">
        <f aca="false">SUM(AL99:AN99)</f>
        <v>0</v>
      </c>
      <c r="AQ99" s="132" t="n">
        <f aca="false">CHOOSE($G$3,AB99-AC99,AC99-AB99)</f>
        <v>0</v>
      </c>
      <c r="AR99" s="132" t="n">
        <f aca="false">CHOOSE($G$3,AE99-AF99,AF99-AE99)</f>
        <v>0</v>
      </c>
      <c r="AS99" s="132" t="n">
        <f aca="false">CHOOSE($G$3,AH99-AI99,AI99-AH99)</f>
        <v>0</v>
      </c>
      <c r="AT99" s="148" t="n">
        <f aca="false">AQ99+AR99+AS99</f>
        <v>0</v>
      </c>
      <c r="AU99" s="148"/>
      <c r="AV99" s="133" t="n">
        <f aca="false">AT99+AO99</f>
        <v>0</v>
      </c>
      <c r="AX99" s="133" t="n">
        <f aca="false">AJ99+AG99+AD99</f>
        <v>0</v>
      </c>
      <c r="AY99" s="149"/>
      <c r="AZ99" s="76" t="n">
        <f aca="false">R99*E99</f>
        <v>0</v>
      </c>
    </row>
    <row r="100" customFormat="false" ht="12.75" hidden="false" customHeight="false" outlineLevel="0" collapsed="false">
      <c r="A100" s="138" t="n">
        <f aca="false">EDATE(A99,1)</f>
        <v>39722</v>
      </c>
      <c r="B100" s="139" t="n">
        <f aca="false">VLOOKUP($A100,Table2,MATCH(I$3,Curves2,0))</f>
        <v>0</v>
      </c>
      <c r="C100" s="140"/>
      <c r="D100" s="141" t="n">
        <f aca="false">B100+C100</f>
        <v>0</v>
      </c>
      <c r="E100" s="126" t="n">
        <f aca="false">IF(Y100=0,0,IF(AND(Y100=1,$H$3=1),D100*T100,IF($H$3=2,D100,"N/A")))</f>
        <v>0</v>
      </c>
      <c r="F100" s="126" t="n">
        <f aca="false">E100*X100</f>
        <v>0</v>
      </c>
      <c r="G100" s="142" t="n">
        <f aca="false">VLOOKUP($A100,Table,MATCH(G$4,Curves,0))</f>
        <v>3.987</v>
      </c>
      <c r="H100" s="143" t="n">
        <f aca="false">G100</f>
        <v>3.987</v>
      </c>
      <c r="I100" s="142" t="n">
        <f aca="false">VLOOKUP($A100,Table1,MATCH(I$3,Curves1,0))</f>
        <v>0</v>
      </c>
      <c r="J100" s="142" t="n">
        <f aca="false">VLOOKUP($A100,Table,MATCH(J$4,Curves,0))</f>
        <v>-0.0235</v>
      </c>
      <c r="K100" s="143" t="n">
        <f aca="false">J100</f>
        <v>-0.0235</v>
      </c>
      <c r="L100" s="144" t="n">
        <v>0</v>
      </c>
      <c r="M100" s="142" t="n">
        <f aca="false">VLOOKUP($A100,Table,MATCH(M$4,Curves,0))</f>
        <v>0.0075</v>
      </c>
      <c r="N100" s="143" t="n">
        <f aca="false">M100</f>
        <v>0.0075</v>
      </c>
      <c r="O100" s="144" t="n">
        <v>0</v>
      </c>
      <c r="P100" s="145"/>
      <c r="Q100" s="144" t="n">
        <f aca="false">M100+J100+G100</f>
        <v>3.971</v>
      </c>
      <c r="R100" s="144" t="n">
        <f aca="false">O100+L100+I100</f>
        <v>0</v>
      </c>
      <c r="S100" s="145"/>
      <c r="T100" s="71" t="n">
        <f aca="false">A101-A100</f>
        <v>31</v>
      </c>
      <c r="U100" s="146" t="n">
        <f aca="false">CHOOSE(F$3,A101+24,A100)</f>
        <v>39777</v>
      </c>
      <c r="V100" s="71" t="n">
        <f aca="false">U100-C$3</f>
        <v>2889</v>
      </c>
      <c r="W100" s="142" t="n">
        <f aca="false">VLOOKUP($A100,Table,MATCH(W$4,Curves,0))</f>
        <v>0.058966861357273</v>
      </c>
      <c r="X100" s="147" t="n">
        <f aca="false">1/(1+CHOOSE(F$3,(W101+($K$3/10000))/2,(W100+($K$3/10000))/2))^(2*V100/365.25)</f>
        <v>0.631495873685846</v>
      </c>
      <c r="Y100" s="71" t="n">
        <f aca="false">IF(AND(mthbeg&lt;=A100,mthend&gt;=A100),1,0)</f>
        <v>0</v>
      </c>
      <c r="Z100" s="71" t="n">
        <f aca="false">T100*Y100</f>
        <v>0</v>
      </c>
      <c r="AB100" s="132" t="n">
        <f aca="false">F100*G100</f>
        <v>0</v>
      </c>
      <c r="AC100" s="132" t="n">
        <f aca="false">$F100*H100</f>
        <v>0</v>
      </c>
      <c r="AD100" s="132" t="n">
        <f aca="false">$F100*I100</f>
        <v>0</v>
      </c>
      <c r="AE100" s="132" t="n">
        <f aca="false">$F100*J100</f>
        <v>-0</v>
      </c>
      <c r="AF100" s="132" t="n">
        <f aca="false">$F100*K100</f>
        <v>-0</v>
      </c>
      <c r="AG100" s="132" t="n">
        <f aca="false">$F100*L100</f>
        <v>0</v>
      </c>
      <c r="AH100" s="132" t="n">
        <f aca="false">$F100*M100</f>
        <v>0</v>
      </c>
      <c r="AI100" s="132" t="n">
        <f aca="false">$F100*N100</f>
        <v>0</v>
      </c>
      <c r="AJ100" s="132" t="n">
        <f aca="false">F100*O100</f>
        <v>0</v>
      </c>
      <c r="AK100" s="137"/>
      <c r="AL100" s="132" t="n">
        <f aca="false">CHOOSE($G$3,AC100-AD100,AD100-AC100)</f>
        <v>0</v>
      </c>
      <c r="AM100" s="132" t="n">
        <f aca="false">CHOOSE($G$3,AF100-AG100,AG100-AF100)</f>
        <v>0</v>
      </c>
      <c r="AN100" s="132" t="n">
        <f aca="false">CHOOSE($G$3,AI100-AJ100,AJ100-AI100)</f>
        <v>0</v>
      </c>
      <c r="AO100" s="148" t="n">
        <f aca="false">SUM(AL100:AN100)</f>
        <v>0</v>
      </c>
      <c r="AQ100" s="132" t="n">
        <f aca="false">CHOOSE($G$3,AB100-AC100,AC100-AB100)</f>
        <v>0</v>
      </c>
      <c r="AR100" s="132" t="n">
        <f aca="false">CHOOSE($G$3,AE100-AF100,AF100-AE100)</f>
        <v>0</v>
      </c>
      <c r="AS100" s="132" t="n">
        <f aca="false">CHOOSE($G$3,AH100-AI100,AI100-AH100)</f>
        <v>0</v>
      </c>
      <c r="AT100" s="148" t="n">
        <f aca="false">AQ100+AR100+AS100</f>
        <v>0</v>
      </c>
      <c r="AU100" s="148"/>
      <c r="AV100" s="133" t="n">
        <f aca="false">AT100+AO100</f>
        <v>0</v>
      </c>
      <c r="AX100" s="133" t="n">
        <f aca="false">AJ100+AG100+AD100</f>
        <v>0</v>
      </c>
      <c r="AY100" s="149"/>
      <c r="AZ100" s="76" t="n">
        <f aca="false">R100*E100</f>
        <v>0</v>
      </c>
    </row>
    <row r="101" customFormat="false" ht="12.75" hidden="false" customHeight="false" outlineLevel="0" collapsed="false">
      <c r="A101" s="138" t="n">
        <f aca="false">EDATE(A100,1)</f>
        <v>39753</v>
      </c>
      <c r="B101" s="139" t="n">
        <f aca="false">VLOOKUP($A101,Table2,MATCH(I$3,Curves2,0))</f>
        <v>0</v>
      </c>
      <c r="C101" s="140"/>
      <c r="D101" s="141" t="n">
        <f aca="false">B101+C101</f>
        <v>0</v>
      </c>
      <c r="E101" s="126" t="n">
        <f aca="false">IF(Y101=0,0,IF(AND(Y101=1,$H$3=1),D101*T101,IF($H$3=2,D101,"N/A")))</f>
        <v>0</v>
      </c>
      <c r="F101" s="126" t="n">
        <f aca="false">E101*X101</f>
        <v>0</v>
      </c>
      <c r="G101" s="142" t="n">
        <f aca="false">VLOOKUP($A101,Table,MATCH(G$4,Curves,0))</f>
        <v>3.987</v>
      </c>
      <c r="H101" s="143" t="n">
        <f aca="false">G101</f>
        <v>3.987</v>
      </c>
      <c r="I101" s="142" t="n">
        <f aca="false">VLOOKUP($A101,Table1,MATCH(I$3,Curves1,0))</f>
        <v>0</v>
      </c>
      <c r="J101" s="142" t="n">
        <f aca="false">VLOOKUP($A101,Table,MATCH(J$4,Curves,0))</f>
        <v>-0.0235</v>
      </c>
      <c r="K101" s="143" t="n">
        <f aca="false">J101</f>
        <v>-0.0235</v>
      </c>
      <c r="L101" s="144" t="n">
        <v>0</v>
      </c>
      <c r="M101" s="142" t="n">
        <f aca="false">VLOOKUP($A101,Table,MATCH(M$4,Curves,0))</f>
        <v>0.0075</v>
      </c>
      <c r="N101" s="143" t="n">
        <f aca="false">M101</f>
        <v>0.0075</v>
      </c>
      <c r="O101" s="144" t="n">
        <v>0</v>
      </c>
      <c r="P101" s="145"/>
      <c r="Q101" s="144" t="n">
        <f aca="false">M101+J101+G101</f>
        <v>3.971</v>
      </c>
      <c r="R101" s="144" t="n">
        <f aca="false">O101+L101+I101</f>
        <v>0</v>
      </c>
      <c r="S101" s="145"/>
      <c r="T101" s="71" t="n">
        <f aca="false">A102-A101</f>
        <v>30</v>
      </c>
      <c r="U101" s="146" t="n">
        <f aca="false">CHOOSE(F$3,A102+24,A101)</f>
        <v>39807</v>
      </c>
      <c r="V101" s="71" t="n">
        <f aca="false">U101-C$3</f>
        <v>2919</v>
      </c>
      <c r="W101" s="142" t="n">
        <f aca="false">VLOOKUP($A101,Table,MATCH(W$4,Curves,0))</f>
        <v>0.058966861357273</v>
      </c>
      <c r="X101" s="147" t="n">
        <f aca="false">1/(1+CHOOSE(F$3,(W102+($K$3/10000))/2,(W101+($K$3/10000))/2))^(2*V101/365.25)</f>
        <v>0.62848876922493</v>
      </c>
      <c r="Y101" s="71" t="n">
        <f aca="false">IF(AND(mthbeg&lt;=A101,mthend&gt;=A101),1,0)</f>
        <v>0</v>
      </c>
      <c r="Z101" s="71" t="n">
        <f aca="false">T101*Y101</f>
        <v>0</v>
      </c>
      <c r="AB101" s="132" t="n">
        <f aca="false">F101*G101</f>
        <v>0</v>
      </c>
      <c r="AC101" s="132" t="n">
        <f aca="false">$F101*H101</f>
        <v>0</v>
      </c>
      <c r="AD101" s="132" t="n">
        <f aca="false">$F101*I101</f>
        <v>0</v>
      </c>
      <c r="AE101" s="132" t="n">
        <f aca="false">$F101*J101</f>
        <v>-0</v>
      </c>
      <c r="AF101" s="132" t="n">
        <f aca="false">$F101*K101</f>
        <v>-0</v>
      </c>
      <c r="AG101" s="132" t="n">
        <f aca="false">$F101*L101</f>
        <v>0</v>
      </c>
      <c r="AH101" s="132" t="n">
        <f aca="false">$F101*M101</f>
        <v>0</v>
      </c>
      <c r="AI101" s="132" t="n">
        <f aca="false">$F101*N101</f>
        <v>0</v>
      </c>
      <c r="AJ101" s="132" t="n">
        <f aca="false">F101*O101</f>
        <v>0</v>
      </c>
      <c r="AK101" s="137"/>
      <c r="AL101" s="132" t="n">
        <f aca="false">CHOOSE($G$3,AC101-AD101,AD101-AC101)</f>
        <v>0</v>
      </c>
      <c r="AM101" s="132" t="n">
        <f aca="false">CHOOSE($G$3,AF101-AG101,AG101-AF101)</f>
        <v>0</v>
      </c>
      <c r="AN101" s="132" t="n">
        <f aca="false">CHOOSE($G$3,AI101-AJ101,AJ101-AI101)</f>
        <v>0</v>
      </c>
      <c r="AO101" s="148" t="n">
        <f aca="false">SUM(AL101:AN101)</f>
        <v>0</v>
      </c>
      <c r="AQ101" s="132" t="n">
        <f aca="false">CHOOSE($G$3,AB101-AC101,AC101-AB101)</f>
        <v>0</v>
      </c>
      <c r="AR101" s="132" t="n">
        <f aca="false">CHOOSE($G$3,AE101-AF101,AF101-AE101)</f>
        <v>0</v>
      </c>
      <c r="AS101" s="132" t="n">
        <f aca="false">CHOOSE($G$3,AH101-AI101,AI101-AH101)</f>
        <v>0</v>
      </c>
      <c r="AT101" s="148" t="n">
        <f aca="false">AQ101+AR101+AS101</f>
        <v>0</v>
      </c>
      <c r="AU101" s="148"/>
      <c r="AV101" s="133" t="n">
        <f aca="false">AT101+AO101</f>
        <v>0</v>
      </c>
      <c r="AX101" s="133" t="n">
        <f aca="false">AJ101+AG101+AD101</f>
        <v>0</v>
      </c>
      <c r="AY101" s="149"/>
      <c r="AZ101" s="76" t="n">
        <f aca="false">R101*E101</f>
        <v>0</v>
      </c>
    </row>
    <row r="102" customFormat="false" ht="12.75" hidden="false" customHeight="false" outlineLevel="0" collapsed="false">
      <c r="A102" s="138" t="n">
        <f aca="false">EDATE(A101,1)</f>
        <v>39783</v>
      </c>
      <c r="B102" s="139" t="n">
        <f aca="false">VLOOKUP($A102,Table2,MATCH(I$3,Curves2,0))</f>
        <v>0</v>
      </c>
      <c r="C102" s="140"/>
      <c r="D102" s="141" t="n">
        <f aca="false">B102+C102</f>
        <v>0</v>
      </c>
      <c r="E102" s="126" t="n">
        <f aca="false">IF(Y102=0,0,IF(AND(Y102=1,$H$3=1),D102*T102,IF($H$3=2,D102,"N/A")))</f>
        <v>0</v>
      </c>
      <c r="F102" s="126" t="n">
        <f aca="false">E102*X102</f>
        <v>0</v>
      </c>
      <c r="G102" s="142" t="n">
        <f aca="false">VLOOKUP($A102,Table,MATCH(G$4,Curves,0))</f>
        <v>3.987</v>
      </c>
      <c r="H102" s="143" t="n">
        <f aca="false">G102</f>
        <v>3.987</v>
      </c>
      <c r="I102" s="142" t="n">
        <f aca="false">VLOOKUP($A102,Table1,MATCH(I$3,Curves1,0))</f>
        <v>0</v>
      </c>
      <c r="J102" s="142" t="n">
        <f aca="false">VLOOKUP($A102,Table,MATCH(J$4,Curves,0))</f>
        <v>-0.0235</v>
      </c>
      <c r="K102" s="143" t="n">
        <f aca="false">J102</f>
        <v>-0.0235</v>
      </c>
      <c r="L102" s="144" t="n">
        <v>0</v>
      </c>
      <c r="M102" s="142" t="n">
        <f aca="false">VLOOKUP($A102,Table,MATCH(M$4,Curves,0))</f>
        <v>0.0075</v>
      </c>
      <c r="N102" s="143" t="n">
        <f aca="false">M102</f>
        <v>0.0075</v>
      </c>
      <c r="O102" s="144" t="n">
        <v>0</v>
      </c>
      <c r="P102" s="145"/>
      <c r="Q102" s="144" t="n">
        <f aca="false">M102+J102+G102</f>
        <v>3.971</v>
      </c>
      <c r="R102" s="144" t="n">
        <f aca="false">O102+L102+I102</f>
        <v>0</v>
      </c>
      <c r="S102" s="145"/>
      <c r="T102" s="71" t="n">
        <f aca="false">A103-A102</f>
        <v>31</v>
      </c>
      <c r="U102" s="146" t="n">
        <f aca="false">CHOOSE(F$3,A103+24,A102)</f>
        <v>39838</v>
      </c>
      <c r="V102" s="71" t="n">
        <f aca="false">U102-C$3</f>
        <v>2950</v>
      </c>
      <c r="W102" s="142" t="n">
        <f aca="false">VLOOKUP($A102,Table,MATCH(W$4,Curves,0))</f>
        <v>0.058966861357273</v>
      </c>
      <c r="X102" s="147" t="n">
        <f aca="false">1/(1+CHOOSE(F$3,(W103+($K$3/10000))/2,(W102+($K$3/10000))/2))^(2*V102/365.25)</f>
        <v>0.625396470535614</v>
      </c>
      <c r="Y102" s="71" t="n">
        <f aca="false">IF(AND(mthbeg&lt;=A102,mthend&gt;=A102),1,0)</f>
        <v>0</v>
      </c>
      <c r="Z102" s="71" t="n">
        <f aca="false">T102*Y102</f>
        <v>0</v>
      </c>
      <c r="AB102" s="132" t="n">
        <f aca="false">F102*G102</f>
        <v>0</v>
      </c>
      <c r="AC102" s="132" t="n">
        <f aca="false">$F102*H102</f>
        <v>0</v>
      </c>
      <c r="AD102" s="132" t="n">
        <f aca="false">$F102*I102</f>
        <v>0</v>
      </c>
      <c r="AE102" s="132" t="n">
        <f aca="false">$F102*J102</f>
        <v>-0</v>
      </c>
      <c r="AF102" s="132" t="n">
        <f aca="false">$F102*K102</f>
        <v>-0</v>
      </c>
      <c r="AG102" s="132" t="n">
        <f aca="false">$F102*L102</f>
        <v>0</v>
      </c>
      <c r="AH102" s="132" t="n">
        <f aca="false">$F102*M102</f>
        <v>0</v>
      </c>
      <c r="AI102" s="132" t="n">
        <f aca="false">$F102*N102</f>
        <v>0</v>
      </c>
      <c r="AJ102" s="132" t="n">
        <f aca="false">F102*O102</f>
        <v>0</v>
      </c>
      <c r="AK102" s="137"/>
      <c r="AL102" s="132" t="n">
        <f aca="false">CHOOSE($G$3,AC102-AD102,AD102-AC102)</f>
        <v>0</v>
      </c>
      <c r="AM102" s="132" t="n">
        <f aca="false">CHOOSE($G$3,AF102-AG102,AG102-AF102)</f>
        <v>0</v>
      </c>
      <c r="AN102" s="132" t="n">
        <f aca="false">CHOOSE($G$3,AI102-AJ102,AJ102-AI102)</f>
        <v>0</v>
      </c>
      <c r="AO102" s="148" t="n">
        <f aca="false">SUM(AL102:AN102)</f>
        <v>0</v>
      </c>
      <c r="AQ102" s="132" t="n">
        <f aca="false">CHOOSE($G$3,AB102-AC102,AC102-AB102)</f>
        <v>0</v>
      </c>
      <c r="AR102" s="132" t="n">
        <f aca="false">CHOOSE($G$3,AE102-AF102,AF102-AE102)</f>
        <v>0</v>
      </c>
      <c r="AS102" s="132" t="n">
        <f aca="false">CHOOSE($G$3,AH102-AI102,AI102-AH102)</f>
        <v>0</v>
      </c>
      <c r="AT102" s="148" t="n">
        <f aca="false">AQ102+AR102+AS102</f>
        <v>0</v>
      </c>
      <c r="AU102" s="148"/>
      <c r="AV102" s="133" t="n">
        <f aca="false">AT102+AO102</f>
        <v>0</v>
      </c>
      <c r="AX102" s="133" t="n">
        <f aca="false">AJ102+AG102+AD102</f>
        <v>0</v>
      </c>
      <c r="AY102" s="149"/>
      <c r="AZ102" s="76" t="n">
        <f aca="false">R102*E102</f>
        <v>0</v>
      </c>
    </row>
    <row r="103" customFormat="false" ht="12.75" hidden="false" customHeight="false" outlineLevel="0" collapsed="false">
      <c r="A103" s="138" t="n">
        <f aca="false">EDATE(A102,1)</f>
        <v>39814</v>
      </c>
      <c r="B103" s="139" t="n">
        <f aca="false">VLOOKUP($A103,Table2,MATCH(I$3,Curves2,0))</f>
        <v>0</v>
      </c>
      <c r="C103" s="140"/>
      <c r="D103" s="141" t="n">
        <f aca="false">B103+C103</f>
        <v>0</v>
      </c>
      <c r="E103" s="126" t="n">
        <f aca="false">IF(Y103=0,0,IF(AND(Y103=1,$H$3=1),D103*T103,IF($H$3=2,D103,"N/A")))</f>
        <v>0</v>
      </c>
      <c r="F103" s="126" t="n">
        <f aca="false">E103*X103</f>
        <v>0</v>
      </c>
      <c r="G103" s="142" t="n">
        <f aca="false">VLOOKUP($A103,Table,MATCH(G$4,Curves,0))</f>
        <v>3.987</v>
      </c>
      <c r="H103" s="143" t="n">
        <f aca="false">G103</f>
        <v>3.987</v>
      </c>
      <c r="I103" s="142" t="n">
        <f aca="false">VLOOKUP($A103,Table1,MATCH(I$3,Curves1,0))</f>
        <v>0</v>
      </c>
      <c r="J103" s="142" t="n">
        <f aca="false">VLOOKUP($A103,Table,MATCH(J$4,Curves,0))</f>
        <v>-0.0235</v>
      </c>
      <c r="K103" s="143" t="n">
        <f aca="false">J103</f>
        <v>-0.0235</v>
      </c>
      <c r="L103" s="144" t="n">
        <v>0</v>
      </c>
      <c r="M103" s="142" t="n">
        <f aca="false">VLOOKUP($A103,Table,MATCH(M$4,Curves,0))</f>
        <v>0.0075</v>
      </c>
      <c r="N103" s="143" t="n">
        <f aca="false">M103</f>
        <v>0.0075</v>
      </c>
      <c r="O103" s="144" t="n">
        <v>0</v>
      </c>
      <c r="P103" s="145"/>
      <c r="Q103" s="144" t="n">
        <f aca="false">M103+J103+G103</f>
        <v>3.971</v>
      </c>
      <c r="R103" s="144" t="n">
        <f aca="false">O103+L103+I103</f>
        <v>0</v>
      </c>
      <c r="S103" s="145"/>
      <c r="T103" s="71" t="n">
        <f aca="false">A104-A103</f>
        <v>31</v>
      </c>
      <c r="U103" s="146" t="n">
        <f aca="false">CHOOSE(F$3,A104+24,A103)</f>
        <v>39869</v>
      </c>
      <c r="V103" s="71" t="n">
        <f aca="false">U103-C$3</f>
        <v>2981</v>
      </c>
      <c r="W103" s="142" t="n">
        <f aca="false">VLOOKUP($A103,Table,MATCH(W$4,Curves,0))</f>
        <v>0.058966861357273</v>
      </c>
      <c r="X103" s="147" t="n">
        <f aca="false">1/(1+CHOOSE(F$3,(W104+($K$3/10000))/2,(W103+($K$3/10000))/2))^(2*V103/365.25)</f>
        <v>0.622319386614885</v>
      </c>
      <c r="Y103" s="71" t="n">
        <f aca="false">IF(AND(mthbeg&lt;=A103,mthend&gt;=A103),1,0)</f>
        <v>0</v>
      </c>
      <c r="Z103" s="71" t="n">
        <f aca="false">T103*Y103</f>
        <v>0</v>
      </c>
      <c r="AB103" s="132" t="n">
        <f aca="false">F103*G103</f>
        <v>0</v>
      </c>
      <c r="AC103" s="132" t="n">
        <f aca="false">$F103*H103</f>
        <v>0</v>
      </c>
      <c r="AD103" s="132" t="n">
        <f aca="false">$F103*I103</f>
        <v>0</v>
      </c>
      <c r="AE103" s="132" t="n">
        <f aca="false">$F103*J103</f>
        <v>-0</v>
      </c>
      <c r="AF103" s="132" t="n">
        <f aca="false">$F103*K103</f>
        <v>-0</v>
      </c>
      <c r="AG103" s="132" t="n">
        <f aca="false">$F103*L103</f>
        <v>0</v>
      </c>
      <c r="AH103" s="132" t="n">
        <f aca="false">$F103*M103</f>
        <v>0</v>
      </c>
      <c r="AI103" s="132" t="n">
        <f aca="false">$F103*N103</f>
        <v>0</v>
      </c>
      <c r="AJ103" s="132" t="n">
        <f aca="false">F103*O103</f>
        <v>0</v>
      </c>
      <c r="AK103" s="137"/>
      <c r="AL103" s="132" t="n">
        <f aca="false">CHOOSE($G$3,AC103-AD103,AD103-AC103)</f>
        <v>0</v>
      </c>
      <c r="AM103" s="132" t="n">
        <f aca="false">CHOOSE($G$3,AF103-AG103,AG103-AF103)</f>
        <v>0</v>
      </c>
      <c r="AN103" s="132" t="n">
        <f aca="false">CHOOSE($G$3,AI103-AJ103,AJ103-AI103)</f>
        <v>0</v>
      </c>
      <c r="AO103" s="148" t="n">
        <f aca="false">SUM(AL103:AN103)</f>
        <v>0</v>
      </c>
      <c r="AQ103" s="132" t="n">
        <f aca="false">CHOOSE($G$3,AB103-AC103,AC103-AB103)</f>
        <v>0</v>
      </c>
      <c r="AR103" s="132" t="n">
        <f aca="false">CHOOSE($G$3,AE103-AF103,AF103-AE103)</f>
        <v>0</v>
      </c>
      <c r="AS103" s="132" t="n">
        <f aca="false">CHOOSE($G$3,AH103-AI103,AI103-AH103)</f>
        <v>0</v>
      </c>
      <c r="AT103" s="148" t="n">
        <f aca="false">AQ103+AR103+AS103</f>
        <v>0</v>
      </c>
      <c r="AU103" s="148"/>
      <c r="AV103" s="133" t="n">
        <f aca="false">AT103+AO103</f>
        <v>0</v>
      </c>
      <c r="AX103" s="133" t="n">
        <f aca="false">AJ103+AG103+AD103</f>
        <v>0</v>
      </c>
      <c r="AY103" s="149"/>
      <c r="AZ103" s="76" t="n">
        <f aca="false">R103*E103</f>
        <v>0</v>
      </c>
    </row>
    <row r="104" customFormat="false" ht="12.75" hidden="false" customHeight="false" outlineLevel="0" collapsed="false">
      <c r="A104" s="138" t="n">
        <f aca="false">EDATE(A103,1)</f>
        <v>39845</v>
      </c>
      <c r="B104" s="139" t="n">
        <f aca="false">VLOOKUP($A104,Table2,MATCH(I$3,Curves2,0))</f>
        <v>0</v>
      </c>
      <c r="C104" s="140"/>
      <c r="D104" s="141" t="n">
        <f aca="false">B104+C104</f>
        <v>0</v>
      </c>
      <c r="E104" s="126" t="n">
        <f aca="false">IF(Y104=0,0,IF(AND(Y104=1,$H$3=1),D104*T104,IF($H$3=2,D104,"N/A")))</f>
        <v>0</v>
      </c>
      <c r="F104" s="126" t="n">
        <f aca="false">E104*X104</f>
        <v>0</v>
      </c>
      <c r="G104" s="142" t="n">
        <f aca="false">VLOOKUP($A104,Table,MATCH(G$4,Curves,0))</f>
        <v>3.987</v>
      </c>
      <c r="H104" s="143" t="n">
        <f aca="false">G104</f>
        <v>3.987</v>
      </c>
      <c r="I104" s="142" t="n">
        <f aca="false">VLOOKUP($A104,Table1,MATCH(I$3,Curves1,0))</f>
        <v>0</v>
      </c>
      <c r="J104" s="142" t="n">
        <f aca="false">VLOOKUP($A104,Table,MATCH(J$4,Curves,0))</f>
        <v>-0.0235</v>
      </c>
      <c r="K104" s="143" t="n">
        <f aca="false">J104</f>
        <v>-0.0235</v>
      </c>
      <c r="L104" s="144" t="n">
        <v>0</v>
      </c>
      <c r="M104" s="142" t="n">
        <f aca="false">VLOOKUP($A104,Table,MATCH(M$4,Curves,0))</f>
        <v>0.0075</v>
      </c>
      <c r="N104" s="143" t="n">
        <f aca="false">M104</f>
        <v>0.0075</v>
      </c>
      <c r="O104" s="144" t="n">
        <v>0</v>
      </c>
      <c r="P104" s="145"/>
      <c r="Q104" s="144" t="n">
        <f aca="false">M104+J104+G104</f>
        <v>3.971</v>
      </c>
      <c r="R104" s="144" t="n">
        <f aca="false">O104+L104+I104</f>
        <v>0</v>
      </c>
      <c r="S104" s="145"/>
      <c r="T104" s="71" t="n">
        <f aca="false">A105-A104</f>
        <v>28</v>
      </c>
      <c r="U104" s="146" t="n">
        <f aca="false">CHOOSE(F$3,A105+24,A104)</f>
        <v>39897</v>
      </c>
      <c r="V104" s="71" t="n">
        <f aca="false">U104-C$3</f>
        <v>3009</v>
      </c>
      <c r="W104" s="142" t="n">
        <f aca="false">VLOOKUP($A104,Table,MATCH(W$4,Curves,0))</f>
        <v>0.058966861357273</v>
      </c>
      <c r="X104" s="147" t="n">
        <f aca="false">1/(1+CHOOSE(F$3,(W105+($K$3/10000))/2,(W104+($K$3/10000))/2))^(2*V104/365.25)</f>
        <v>0.619553100151726</v>
      </c>
      <c r="Y104" s="71" t="n">
        <f aca="false">IF(AND(mthbeg&lt;=A104,mthend&gt;=A104),1,0)</f>
        <v>0</v>
      </c>
      <c r="Z104" s="71" t="n">
        <f aca="false">T104*Y104</f>
        <v>0</v>
      </c>
      <c r="AB104" s="132" t="n">
        <f aca="false">F104*G104</f>
        <v>0</v>
      </c>
      <c r="AC104" s="132" t="n">
        <f aca="false">$F104*H104</f>
        <v>0</v>
      </c>
      <c r="AD104" s="132" t="n">
        <f aca="false">$F104*I104</f>
        <v>0</v>
      </c>
      <c r="AE104" s="132" t="n">
        <f aca="false">$F104*J104</f>
        <v>-0</v>
      </c>
      <c r="AF104" s="132" t="n">
        <f aca="false">$F104*K104</f>
        <v>-0</v>
      </c>
      <c r="AG104" s="132" t="n">
        <f aca="false">$F104*L104</f>
        <v>0</v>
      </c>
      <c r="AH104" s="132" t="n">
        <f aca="false">$F104*M104</f>
        <v>0</v>
      </c>
      <c r="AI104" s="132" t="n">
        <f aca="false">$F104*N104</f>
        <v>0</v>
      </c>
      <c r="AJ104" s="132" t="n">
        <f aca="false">F104*O104</f>
        <v>0</v>
      </c>
      <c r="AK104" s="137"/>
      <c r="AL104" s="132" t="n">
        <f aca="false">CHOOSE($G$3,AC104-AD104,AD104-AC104)</f>
        <v>0</v>
      </c>
      <c r="AM104" s="132" t="n">
        <f aca="false">CHOOSE($G$3,AF104-AG104,AG104-AF104)</f>
        <v>0</v>
      </c>
      <c r="AN104" s="132" t="n">
        <f aca="false">CHOOSE($G$3,AI104-AJ104,AJ104-AI104)</f>
        <v>0</v>
      </c>
      <c r="AO104" s="148" t="n">
        <f aca="false">SUM(AL104:AN104)</f>
        <v>0</v>
      </c>
      <c r="AQ104" s="132" t="n">
        <f aca="false">CHOOSE($G$3,AB104-AC104,AC104-AB104)</f>
        <v>0</v>
      </c>
      <c r="AR104" s="132" t="n">
        <f aca="false">CHOOSE($G$3,AE104-AF104,AF104-AE104)</f>
        <v>0</v>
      </c>
      <c r="AS104" s="132" t="n">
        <f aca="false">CHOOSE($G$3,AH104-AI104,AI104-AH104)</f>
        <v>0</v>
      </c>
      <c r="AT104" s="148" t="n">
        <f aca="false">AQ104+AR104+AS104</f>
        <v>0</v>
      </c>
      <c r="AU104" s="148"/>
      <c r="AV104" s="133" t="n">
        <f aca="false">AT104+AO104</f>
        <v>0</v>
      </c>
      <c r="AX104" s="133" t="n">
        <f aca="false">AJ104+AG104+AD104</f>
        <v>0</v>
      </c>
      <c r="AY104" s="149"/>
      <c r="AZ104" s="76" t="n">
        <f aca="false">R104*E104</f>
        <v>0</v>
      </c>
    </row>
    <row r="105" customFormat="false" ht="12.75" hidden="false" customHeight="false" outlineLevel="0" collapsed="false">
      <c r="A105" s="138" t="n">
        <f aca="false">EDATE(A104,1)</f>
        <v>39873</v>
      </c>
      <c r="B105" s="139" t="n">
        <f aca="false">VLOOKUP($A105,Table2,MATCH(I$3,Curves2,0))</f>
        <v>0</v>
      </c>
      <c r="C105" s="140"/>
      <c r="D105" s="141" t="n">
        <f aca="false">B105+C105</f>
        <v>0</v>
      </c>
      <c r="E105" s="126" t="n">
        <f aca="false">IF(Y105=0,0,IF(AND(Y105=1,$H$3=1),D105*T105,IF($H$3=2,D105,"N/A")))</f>
        <v>0</v>
      </c>
      <c r="F105" s="126" t="n">
        <f aca="false">E105*X105</f>
        <v>0</v>
      </c>
      <c r="G105" s="142" t="n">
        <f aca="false">VLOOKUP($A105,Table,MATCH(G$4,Curves,0))</f>
        <v>3.987</v>
      </c>
      <c r="H105" s="143" t="n">
        <f aca="false">G105</f>
        <v>3.987</v>
      </c>
      <c r="I105" s="142" t="n">
        <f aca="false">VLOOKUP($A105,Table1,MATCH(I$3,Curves1,0))</f>
        <v>0</v>
      </c>
      <c r="J105" s="142" t="n">
        <f aca="false">VLOOKUP($A105,Table,MATCH(J$4,Curves,0))</f>
        <v>-0.0235</v>
      </c>
      <c r="K105" s="143" t="n">
        <f aca="false">J105</f>
        <v>-0.0235</v>
      </c>
      <c r="L105" s="144" t="n">
        <v>0</v>
      </c>
      <c r="M105" s="142" t="n">
        <f aca="false">VLOOKUP($A105,Table,MATCH(M$4,Curves,0))</f>
        <v>0.0075</v>
      </c>
      <c r="N105" s="143" t="n">
        <f aca="false">M105</f>
        <v>0.0075</v>
      </c>
      <c r="O105" s="144" t="n">
        <v>0</v>
      </c>
      <c r="P105" s="145"/>
      <c r="Q105" s="144" t="n">
        <f aca="false">M105+J105+G105</f>
        <v>3.971</v>
      </c>
      <c r="R105" s="144" t="n">
        <f aca="false">O105+L105+I105</f>
        <v>0</v>
      </c>
      <c r="S105" s="145"/>
      <c r="T105" s="71" t="n">
        <f aca="false">A106-A105</f>
        <v>31</v>
      </c>
      <c r="U105" s="146" t="n">
        <f aca="false">CHOOSE(F$3,A106+24,A105)</f>
        <v>39928</v>
      </c>
      <c r="V105" s="71" t="n">
        <f aca="false">U105-C$3</f>
        <v>3040</v>
      </c>
      <c r="W105" s="142" t="n">
        <f aca="false">VLOOKUP($A105,Table,MATCH(W$4,Curves,0))</f>
        <v>0.058966861357273</v>
      </c>
      <c r="X105" s="147" t="n">
        <f aca="false">1/(1+CHOOSE(F$3,(W106+($K$3/10000))/2,(W105+($K$3/10000))/2))^(2*V105/365.25)</f>
        <v>0.616504766858637</v>
      </c>
      <c r="Y105" s="71" t="n">
        <f aca="false">IF(AND(mthbeg&lt;=A105,mthend&gt;=A105),1,0)</f>
        <v>0</v>
      </c>
      <c r="Z105" s="71" t="n">
        <f aca="false">T105*Y105</f>
        <v>0</v>
      </c>
      <c r="AB105" s="132" t="n">
        <f aca="false">F105*G105</f>
        <v>0</v>
      </c>
      <c r="AC105" s="132" t="n">
        <f aca="false">$F105*H105</f>
        <v>0</v>
      </c>
      <c r="AD105" s="132" t="n">
        <f aca="false">$F105*I105</f>
        <v>0</v>
      </c>
      <c r="AE105" s="132" t="n">
        <f aca="false">$F105*J105</f>
        <v>-0</v>
      </c>
      <c r="AF105" s="132" t="n">
        <f aca="false">$F105*K105</f>
        <v>-0</v>
      </c>
      <c r="AG105" s="132" t="n">
        <f aca="false">$F105*L105</f>
        <v>0</v>
      </c>
      <c r="AH105" s="132" t="n">
        <f aca="false">$F105*M105</f>
        <v>0</v>
      </c>
      <c r="AI105" s="132" t="n">
        <f aca="false">$F105*N105</f>
        <v>0</v>
      </c>
      <c r="AJ105" s="132" t="n">
        <f aca="false">F105*O105</f>
        <v>0</v>
      </c>
      <c r="AK105" s="137"/>
      <c r="AL105" s="132" t="n">
        <f aca="false">CHOOSE($G$3,AC105-AD105,AD105-AC105)</f>
        <v>0</v>
      </c>
      <c r="AM105" s="132" t="n">
        <f aca="false">CHOOSE($G$3,AF105-AG105,AG105-AF105)</f>
        <v>0</v>
      </c>
      <c r="AN105" s="132" t="n">
        <f aca="false">CHOOSE($G$3,AI105-AJ105,AJ105-AI105)</f>
        <v>0</v>
      </c>
      <c r="AO105" s="148" t="n">
        <f aca="false">SUM(AL105:AN105)</f>
        <v>0</v>
      </c>
      <c r="AQ105" s="132" t="n">
        <f aca="false">CHOOSE($G$3,AB105-AC105,AC105-AB105)</f>
        <v>0</v>
      </c>
      <c r="AR105" s="132" t="n">
        <f aca="false">CHOOSE($G$3,AE105-AF105,AF105-AE105)</f>
        <v>0</v>
      </c>
      <c r="AS105" s="132" t="n">
        <f aca="false">CHOOSE($G$3,AH105-AI105,AI105-AH105)</f>
        <v>0</v>
      </c>
      <c r="AT105" s="148" t="n">
        <f aca="false">AQ105+AR105+AS105</f>
        <v>0</v>
      </c>
      <c r="AU105" s="148"/>
      <c r="AV105" s="133" t="n">
        <f aca="false">AT105+AO105</f>
        <v>0</v>
      </c>
      <c r="AX105" s="133" t="n">
        <f aca="false">AJ105+AG105+AD105</f>
        <v>0</v>
      </c>
      <c r="AY105" s="149"/>
      <c r="AZ105" s="76" t="n">
        <f aca="false">R105*E105</f>
        <v>0</v>
      </c>
    </row>
    <row r="106" customFormat="false" ht="12.75" hidden="false" customHeight="false" outlineLevel="0" collapsed="false">
      <c r="A106" s="138" t="n">
        <f aca="false">EDATE(A105,1)</f>
        <v>39904</v>
      </c>
      <c r="B106" s="139" t="n">
        <f aca="false">VLOOKUP($A106,Table2,MATCH(I$3,Curves2,0))</f>
        <v>0</v>
      </c>
      <c r="C106" s="140"/>
      <c r="D106" s="141" t="n">
        <f aca="false">B106+C106</f>
        <v>0</v>
      </c>
      <c r="E106" s="126" t="n">
        <f aca="false">IF(Y106=0,0,IF(AND(Y106=1,$H$3=1),D106*T106,IF($H$3=2,D106,"N/A")))</f>
        <v>0</v>
      </c>
      <c r="F106" s="126" t="n">
        <f aca="false">E106*X106</f>
        <v>0</v>
      </c>
      <c r="G106" s="142" t="n">
        <f aca="false">VLOOKUP($A106,Table,MATCH(G$4,Curves,0))</f>
        <v>3.987</v>
      </c>
      <c r="H106" s="143" t="n">
        <f aca="false">G106</f>
        <v>3.987</v>
      </c>
      <c r="I106" s="142" t="n">
        <f aca="false">VLOOKUP($A106,Table1,MATCH(I$3,Curves1,0))</f>
        <v>0</v>
      </c>
      <c r="J106" s="142" t="n">
        <f aca="false">VLOOKUP($A106,Table,MATCH(J$4,Curves,0))</f>
        <v>-0.0235</v>
      </c>
      <c r="K106" s="143" t="n">
        <f aca="false">J106</f>
        <v>-0.0235</v>
      </c>
      <c r="L106" s="144" t="n">
        <v>0</v>
      </c>
      <c r="M106" s="142" t="n">
        <f aca="false">VLOOKUP($A106,Table,MATCH(M$4,Curves,0))</f>
        <v>0.0075</v>
      </c>
      <c r="N106" s="143" t="n">
        <f aca="false">M106</f>
        <v>0.0075</v>
      </c>
      <c r="O106" s="144" t="n">
        <v>0</v>
      </c>
      <c r="P106" s="145"/>
      <c r="Q106" s="144" t="n">
        <f aca="false">M106+J106+G106</f>
        <v>3.971</v>
      </c>
      <c r="R106" s="144" t="n">
        <f aca="false">O106+L106+I106</f>
        <v>0</v>
      </c>
      <c r="S106" s="145"/>
      <c r="T106" s="71" t="n">
        <f aca="false">A107-A106</f>
        <v>30</v>
      </c>
      <c r="U106" s="146" t="n">
        <f aca="false">CHOOSE(F$3,A107+24,A106)</f>
        <v>39958</v>
      </c>
      <c r="V106" s="71" t="n">
        <f aca="false">U106-C$3</f>
        <v>3070</v>
      </c>
      <c r="W106" s="142" t="n">
        <f aca="false">VLOOKUP($A106,Table,MATCH(W$4,Curves,0))</f>
        <v>0.058966861357273</v>
      </c>
      <c r="X106" s="147" t="n">
        <f aca="false">1/(1+CHOOSE(F$3,(W107+($K$3/10000))/2,(W106+($K$3/10000))/2))^(2*V106/365.25)</f>
        <v>0.613569048175669</v>
      </c>
      <c r="Y106" s="71" t="n">
        <f aca="false">IF(AND(mthbeg&lt;=A106,mthend&gt;=A106),1,0)</f>
        <v>0</v>
      </c>
      <c r="Z106" s="71" t="n">
        <f aca="false">T106*Y106</f>
        <v>0</v>
      </c>
      <c r="AB106" s="132" t="n">
        <f aca="false">F106*G106</f>
        <v>0</v>
      </c>
      <c r="AC106" s="132" t="n">
        <f aca="false">$F106*H106</f>
        <v>0</v>
      </c>
      <c r="AD106" s="132" t="n">
        <f aca="false">$F106*I106</f>
        <v>0</v>
      </c>
      <c r="AE106" s="132" t="n">
        <f aca="false">$F106*J106</f>
        <v>-0</v>
      </c>
      <c r="AF106" s="132" t="n">
        <f aca="false">$F106*K106</f>
        <v>-0</v>
      </c>
      <c r="AG106" s="132" t="n">
        <f aca="false">$F106*L106</f>
        <v>0</v>
      </c>
      <c r="AH106" s="132" t="n">
        <f aca="false">$F106*M106</f>
        <v>0</v>
      </c>
      <c r="AI106" s="132" t="n">
        <f aca="false">$F106*N106</f>
        <v>0</v>
      </c>
      <c r="AJ106" s="132" t="n">
        <f aca="false">F106*O106</f>
        <v>0</v>
      </c>
      <c r="AK106" s="137"/>
      <c r="AL106" s="132" t="n">
        <f aca="false">CHOOSE($G$3,AC106-AD106,AD106-AC106)</f>
        <v>0</v>
      </c>
      <c r="AM106" s="132" t="n">
        <f aca="false">CHOOSE($G$3,AF106-AG106,AG106-AF106)</f>
        <v>0</v>
      </c>
      <c r="AN106" s="132" t="n">
        <f aca="false">CHOOSE($G$3,AI106-AJ106,AJ106-AI106)</f>
        <v>0</v>
      </c>
      <c r="AO106" s="148" t="n">
        <f aca="false">SUM(AL106:AN106)</f>
        <v>0</v>
      </c>
      <c r="AQ106" s="132" t="n">
        <f aca="false">CHOOSE($G$3,AB106-AC106,AC106-AB106)</f>
        <v>0</v>
      </c>
      <c r="AR106" s="132" t="n">
        <f aca="false">CHOOSE($G$3,AE106-AF106,AF106-AE106)</f>
        <v>0</v>
      </c>
      <c r="AS106" s="132" t="n">
        <f aca="false">CHOOSE($G$3,AH106-AI106,AI106-AH106)</f>
        <v>0</v>
      </c>
      <c r="AT106" s="148" t="n">
        <f aca="false">AQ106+AR106+AS106</f>
        <v>0</v>
      </c>
      <c r="AU106" s="148"/>
      <c r="AV106" s="133" t="n">
        <f aca="false">AT106+AO106</f>
        <v>0</v>
      </c>
      <c r="AX106" s="133" t="n">
        <f aca="false">AJ106+AG106+AD106</f>
        <v>0</v>
      </c>
      <c r="AY106" s="149"/>
      <c r="AZ106" s="76" t="n">
        <f aca="false">R106*E106</f>
        <v>0</v>
      </c>
    </row>
    <row r="107" customFormat="false" ht="12.75" hidden="false" customHeight="false" outlineLevel="0" collapsed="false">
      <c r="A107" s="138" t="n">
        <f aca="false">EDATE(A106,1)</f>
        <v>39934</v>
      </c>
      <c r="B107" s="139" t="n">
        <f aca="false">VLOOKUP($A107,Table2,MATCH(I$3,Curves2,0))</f>
        <v>0</v>
      </c>
      <c r="C107" s="140"/>
      <c r="D107" s="141" t="n">
        <f aca="false">B107+C107</f>
        <v>0</v>
      </c>
      <c r="E107" s="126" t="n">
        <f aca="false">IF(Y107=0,0,IF(AND(Y107=1,$H$3=1),D107*T107,IF($H$3=2,D107,"N/A")))</f>
        <v>0</v>
      </c>
      <c r="F107" s="126" t="n">
        <f aca="false">E107*X107</f>
        <v>0</v>
      </c>
      <c r="G107" s="142" t="n">
        <f aca="false">VLOOKUP($A107,Table,MATCH(G$4,Curves,0))</f>
        <v>3.987</v>
      </c>
      <c r="H107" s="143" t="n">
        <f aca="false">G107</f>
        <v>3.987</v>
      </c>
      <c r="I107" s="142" t="n">
        <f aca="false">VLOOKUP($A107,Table1,MATCH(I$3,Curves1,0))</f>
        <v>0</v>
      </c>
      <c r="J107" s="142" t="n">
        <f aca="false">VLOOKUP($A107,Table,MATCH(J$4,Curves,0))</f>
        <v>-0.0235</v>
      </c>
      <c r="K107" s="143" t="n">
        <f aca="false">J107</f>
        <v>-0.0235</v>
      </c>
      <c r="L107" s="144" t="n">
        <v>0</v>
      </c>
      <c r="M107" s="142" t="n">
        <f aca="false">VLOOKUP($A107,Table,MATCH(M$4,Curves,0))</f>
        <v>0.0075</v>
      </c>
      <c r="N107" s="143" t="n">
        <f aca="false">M107</f>
        <v>0.0075</v>
      </c>
      <c r="O107" s="144" t="n">
        <v>0</v>
      </c>
      <c r="P107" s="145"/>
      <c r="Q107" s="144" t="n">
        <f aca="false">M107+J107+G107</f>
        <v>3.971</v>
      </c>
      <c r="R107" s="144" t="n">
        <f aca="false">O107+L107+I107</f>
        <v>0</v>
      </c>
      <c r="S107" s="145"/>
      <c r="T107" s="71" t="n">
        <f aca="false">A108-A107</f>
        <v>31</v>
      </c>
      <c r="U107" s="146" t="n">
        <f aca="false">CHOOSE(F$3,A108+24,A107)</f>
        <v>39989</v>
      </c>
      <c r="V107" s="71" t="n">
        <f aca="false">U107-C$3</f>
        <v>3101</v>
      </c>
      <c r="W107" s="142" t="n">
        <f aca="false">VLOOKUP($A107,Table,MATCH(W$4,Curves,0))</f>
        <v>0.058966861357273</v>
      </c>
      <c r="X107" s="147" t="n">
        <f aca="false">1/(1+CHOOSE(F$3,(W108+($K$3/10000))/2,(W107+($K$3/10000))/2))^(2*V107/365.25)</f>
        <v>0.610550157693634</v>
      </c>
      <c r="Y107" s="71" t="n">
        <f aca="false">IF(AND(mthbeg&lt;=A107,mthend&gt;=A107),1,0)</f>
        <v>0</v>
      </c>
      <c r="Z107" s="71" t="n">
        <f aca="false">T107*Y107</f>
        <v>0</v>
      </c>
      <c r="AB107" s="132" t="n">
        <f aca="false">F107*G107</f>
        <v>0</v>
      </c>
      <c r="AC107" s="132" t="n">
        <f aca="false">$F107*H107</f>
        <v>0</v>
      </c>
      <c r="AD107" s="132" t="n">
        <f aca="false">$F107*I107</f>
        <v>0</v>
      </c>
      <c r="AE107" s="132" t="n">
        <f aca="false">$F107*J107</f>
        <v>-0</v>
      </c>
      <c r="AF107" s="132" t="n">
        <f aca="false">$F107*K107</f>
        <v>-0</v>
      </c>
      <c r="AG107" s="132" t="n">
        <f aca="false">$F107*L107</f>
        <v>0</v>
      </c>
      <c r="AH107" s="132" t="n">
        <f aca="false">$F107*M107</f>
        <v>0</v>
      </c>
      <c r="AI107" s="132" t="n">
        <f aca="false">$F107*N107</f>
        <v>0</v>
      </c>
      <c r="AJ107" s="132" t="n">
        <f aca="false">F107*O107</f>
        <v>0</v>
      </c>
      <c r="AK107" s="137"/>
      <c r="AL107" s="132" t="n">
        <f aca="false">CHOOSE($G$3,AC107-AD107,AD107-AC107)</f>
        <v>0</v>
      </c>
      <c r="AM107" s="132" t="n">
        <f aca="false">CHOOSE($G$3,AF107-AG107,AG107-AF107)</f>
        <v>0</v>
      </c>
      <c r="AN107" s="132" t="n">
        <f aca="false">CHOOSE($G$3,AI107-AJ107,AJ107-AI107)</f>
        <v>0</v>
      </c>
      <c r="AO107" s="148" t="n">
        <f aca="false">SUM(AL107:AN107)</f>
        <v>0</v>
      </c>
      <c r="AQ107" s="132" t="n">
        <f aca="false">CHOOSE($G$3,AB107-AC107,AC107-AB107)</f>
        <v>0</v>
      </c>
      <c r="AR107" s="132" t="n">
        <f aca="false">CHOOSE($G$3,AE107-AF107,AF107-AE107)</f>
        <v>0</v>
      </c>
      <c r="AS107" s="132" t="n">
        <f aca="false">CHOOSE($G$3,AH107-AI107,AI107-AH107)</f>
        <v>0</v>
      </c>
      <c r="AT107" s="148" t="n">
        <f aca="false">AQ107+AR107+AS107</f>
        <v>0</v>
      </c>
      <c r="AU107" s="148"/>
      <c r="AV107" s="133" t="n">
        <f aca="false">AT107+AO107</f>
        <v>0</v>
      </c>
      <c r="AX107" s="133" t="n">
        <f aca="false">AJ107+AG107+AD107</f>
        <v>0</v>
      </c>
      <c r="AY107" s="149"/>
      <c r="AZ107" s="76" t="n">
        <f aca="false">R107*E107</f>
        <v>0</v>
      </c>
    </row>
    <row r="108" customFormat="false" ht="12.75" hidden="false" customHeight="false" outlineLevel="0" collapsed="false">
      <c r="A108" s="138" t="n">
        <f aca="false">EDATE(A107,1)</f>
        <v>39965</v>
      </c>
      <c r="B108" s="139" t="n">
        <f aca="false">VLOOKUP($A108,Table2,MATCH(I$3,Curves2,0))</f>
        <v>0</v>
      </c>
      <c r="C108" s="140"/>
      <c r="D108" s="141" t="n">
        <f aca="false">B108+C108</f>
        <v>0</v>
      </c>
      <c r="E108" s="126" t="n">
        <f aca="false">IF(Y108=0,0,IF(AND(Y108=1,$H$3=1),D108*T108,IF($H$3=2,D108,"N/A")))</f>
        <v>0</v>
      </c>
      <c r="F108" s="126" t="n">
        <f aca="false">E108*X108</f>
        <v>0</v>
      </c>
      <c r="G108" s="142" t="n">
        <f aca="false">VLOOKUP($A108,Table,MATCH(G$4,Curves,0))</f>
        <v>3.987</v>
      </c>
      <c r="H108" s="143" t="n">
        <f aca="false">G108</f>
        <v>3.987</v>
      </c>
      <c r="I108" s="142" t="n">
        <f aca="false">VLOOKUP($A108,Table1,MATCH(I$3,Curves1,0))</f>
        <v>0</v>
      </c>
      <c r="J108" s="142" t="n">
        <f aca="false">VLOOKUP($A108,Table,MATCH(J$4,Curves,0))</f>
        <v>-0.0235</v>
      </c>
      <c r="K108" s="143" t="n">
        <f aca="false">J108</f>
        <v>-0.0235</v>
      </c>
      <c r="L108" s="144" t="n">
        <v>0</v>
      </c>
      <c r="M108" s="142" t="n">
        <f aca="false">VLOOKUP($A108,Table,MATCH(M$4,Curves,0))</f>
        <v>0.0075</v>
      </c>
      <c r="N108" s="143" t="n">
        <f aca="false">M108</f>
        <v>0.0075</v>
      </c>
      <c r="O108" s="144" t="n">
        <v>0</v>
      </c>
      <c r="P108" s="145"/>
      <c r="Q108" s="144" t="n">
        <f aca="false">M108+J108+G108</f>
        <v>3.971</v>
      </c>
      <c r="R108" s="144" t="n">
        <f aca="false">O108+L108+I108</f>
        <v>0</v>
      </c>
      <c r="S108" s="145"/>
      <c r="T108" s="71" t="n">
        <f aca="false">A109-A108</f>
        <v>30</v>
      </c>
      <c r="U108" s="146" t="n">
        <f aca="false">CHOOSE(F$3,A109+24,A108)</f>
        <v>40019</v>
      </c>
      <c r="V108" s="71" t="n">
        <f aca="false">U108-C$3</f>
        <v>3131</v>
      </c>
      <c r="W108" s="142" t="n">
        <f aca="false">VLOOKUP($A108,Table,MATCH(W$4,Curves,0))</f>
        <v>0.058966861357273</v>
      </c>
      <c r="X108" s="147" t="n">
        <f aca="false">1/(1+CHOOSE(F$3,(W109+($K$3/10000))/2,(W108+($K$3/10000))/2))^(2*V108/365.25)</f>
        <v>0.607642794115631</v>
      </c>
      <c r="Y108" s="71" t="n">
        <f aca="false">IF(AND(mthbeg&lt;=A108,mthend&gt;=A108),1,0)</f>
        <v>0</v>
      </c>
      <c r="Z108" s="71" t="n">
        <f aca="false">T108*Y108</f>
        <v>0</v>
      </c>
      <c r="AB108" s="132" t="n">
        <f aca="false">F108*G108</f>
        <v>0</v>
      </c>
      <c r="AC108" s="132" t="n">
        <f aca="false">$F108*H108</f>
        <v>0</v>
      </c>
      <c r="AD108" s="132" t="n">
        <f aca="false">$F108*I108</f>
        <v>0</v>
      </c>
      <c r="AE108" s="132" t="n">
        <f aca="false">$F108*J108</f>
        <v>-0</v>
      </c>
      <c r="AF108" s="132" t="n">
        <f aca="false">$F108*K108</f>
        <v>-0</v>
      </c>
      <c r="AG108" s="132" t="n">
        <f aca="false">$F108*L108</f>
        <v>0</v>
      </c>
      <c r="AH108" s="132" t="n">
        <f aca="false">$F108*M108</f>
        <v>0</v>
      </c>
      <c r="AI108" s="132" t="n">
        <f aca="false">$F108*N108</f>
        <v>0</v>
      </c>
      <c r="AJ108" s="132" t="n">
        <f aca="false">F108*O108</f>
        <v>0</v>
      </c>
      <c r="AK108" s="137"/>
      <c r="AL108" s="132" t="n">
        <f aca="false">CHOOSE($G$3,AC108-AD108,AD108-AC108)</f>
        <v>0</v>
      </c>
      <c r="AM108" s="132" t="n">
        <f aca="false">CHOOSE($G$3,AF108-AG108,AG108-AF108)</f>
        <v>0</v>
      </c>
      <c r="AN108" s="132" t="n">
        <f aca="false">CHOOSE($G$3,AI108-AJ108,AJ108-AI108)</f>
        <v>0</v>
      </c>
      <c r="AO108" s="148" t="n">
        <f aca="false">SUM(AL108:AN108)</f>
        <v>0</v>
      </c>
      <c r="AQ108" s="132" t="n">
        <f aca="false">CHOOSE($G$3,AB108-AC108,AC108-AB108)</f>
        <v>0</v>
      </c>
      <c r="AR108" s="132" t="n">
        <f aca="false">CHOOSE($G$3,AE108-AF108,AF108-AE108)</f>
        <v>0</v>
      </c>
      <c r="AS108" s="132" t="n">
        <f aca="false">CHOOSE($G$3,AH108-AI108,AI108-AH108)</f>
        <v>0</v>
      </c>
      <c r="AT108" s="148" t="n">
        <f aca="false">AQ108+AR108+AS108</f>
        <v>0</v>
      </c>
      <c r="AU108" s="148"/>
      <c r="AV108" s="133" t="n">
        <f aca="false">AT108+AO108</f>
        <v>0</v>
      </c>
      <c r="AX108" s="133" t="n">
        <f aca="false">AJ108+AG108+AD108</f>
        <v>0</v>
      </c>
      <c r="AY108" s="149"/>
      <c r="AZ108" s="76" t="n">
        <f aca="false">R108*E108</f>
        <v>0</v>
      </c>
    </row>
    <row r="109" customFormat="false" ht="12.75" hidden="false" customHeight="false" outlineLevel="0" collapsed="false">
      <c r="A109" s="138" t="n">
        <f aca="false">EDATE(A108,1)</f>
        <v>39995</v>
      </c>
      <c r="B109" s="139" t="n">
        <f aca="false">VLOOKUP($A109,Table2,MATCH(I$3,Curves2,0))</f>
        <v>0</v>
      </c>
      <c r="C109" s="140"/>
      <c r="D109" s="141" t="n">
        <f aca="false">B109+C109</f>
        <v>0</v>
      </c>
      <c r="E109" s="126" t="n">
        <f aca="false">IF(Y109=0,0,IF(AND(Y109=1,$H$3=1),D109*T109,IF($H$3=2,D109,"N/A")))</f>
        <v>0</v>
      </c>
      <c r="F109" s="126" t="n">
        <f aca="false">E109*X109</f>
        <v>0</v>
      </c>
      <c r="G109" s="142" t="n">
        <f aca="false">VLOOKUP($A109,Table,MATCH(G$4,Curves,0))</f>
        <v>3.987</v>
      </c>
      <c r="H109" s="143" t="n">
        <f aca="false">G109</f>
        <v>3.987</v>
      </c>
      <c r="I109" s="142" t="n">
        <f aca="false">VLOOKUP($A109,Table1,MATCH(I$3,Curves1,0))</f>
        <v>0</v>
      </c>
      <c r="J109" s="142" t="n">
        <f aca="false">VLOOKUP($A109,Table,MATCH(J$4,Curves,0))</f>
        <v>-0.0235</v>
      </c>
      <c r="K109" s="143" t="n">
        <f aca="false">J109</f>
        <v>-0.0235</v>
      </c>
      <c r="L109" s="144" t="n">
        <v>0</v>
      </c>
      <c r="M109" s="142" t="n">
        <f aca="false">VLOOKUP($A109,Table,MATCH(M$4,Curves,0))</f>
        <v>0.0075</v>
      </c>
      <c r="N109" s="143" t="n">
        <f aca="false">M109</f>
        <v>0.0075</v>
      </c>
      <c r="O109" s="144" t="n">
        <v>0</v>
      </c>
      <c r="P109" s="145"/>
      <c r="Q109" s="144" t="n">
        <f aca="false">M109+J109+G109</f>
        <v>3.971</v>
      </c>
      <c r="R109" s="144" t="n">
        <f aca="false">O109+L109+I109</f>
        <v>0</v>
      </c>
      <c r="S109" s="145"/>
      <c r="T109" s="71" t="n">
        <f aca="false">A110-A109</f>
        <v>31</v>
      </c>
      <c r="U109" s="146" t="n">
        <f aca="false">CHOOSE(F$3,A110+24,A109)</f>
        <v>40050</v>
      </c>
      <c r="V109" s="71" t="n">
        <f aca="false">U109-C$3</f>
        <v>3162</v>
      </c>
      <c r="W109" s="142" t="n">
        <f aca="false">VLOOKUP($A109,Table,MATCH(W$4,Curves,0))</f>
        <v>0.058966861357273</v>
      </c>
      <c r="X109" s="147" t="n">
        <f aca="false">1/(1+CHOOSE(F$3,(W110+($K$3/10000))/2,(W109+($K$3/10000))/2))^(2*V109/365.25)</f>
        <v>0.604653062066586</v>
      </c>
      <c r="Y109" s="71" t="n">
        <f aca="false">IF(AND(mthbeg&lt;=A109,mthend&gt;=A109),1,0)</f>
        <v>0</v>
      </c>
      <c r="Z109" s="71" t="n">
        <f aca="false">T109*Y109</f>
        <v>0</v>
      </c>
      <c r="AB109" s="132" t="n">
        <f aca="false">F109*G109</f>
        <v>0</v>
      </c>
      <c r="AC109" s="132" t="n">
        <f aca="false">$F109*H109</f>
        <v>0</v>
      </c>
      <c r="AD109" s="132" t="n">
        <f aca="false">$F109*I109</f>
        <v>0</v>
      </c>
      <c r="AE109" s="132" t="n">
        <f aca="false">$F109*J109</f>
        <v>-0</v>
      </c>
      <c r="AF109" s="132" t="n">
        <f aca="false">$F109*K109</f>
        <v>-0</v>
      </c>
      <c r="AG109" s="132" t="n">
        <f aca="false">$F109*L109</f>
        <v>0</v>
      </c>
      <c r="AH109" s="132" t="n">
        <f aca="false">$F109*M109</f>
        <v>0</v>
      </c>
      <c r="AI109" s="132" t="n">
        <f aca="false">$F109*N109</f>
        <v>0</v>
      </c>
      <c r="AJ109" s="132" t="n">
        <f aca="false">F109*O109</f>
        <v>0</v>
      </c>
      <c r="AK109" s="137"/>
      <c r="AL109" s="132" t="n">
        <f aca="false">CHOOSE($G$3,AC109-AD109,AD109-AC109)</f>
        <v>0</v>
      </c>
      <c r="AM109" s="132" t="n">
        <f aca="false">CHOOSE($G$3,AF109-AG109,AG109-AF109)</f>
        <v>0</v>
      </c>
      <c r="AN109" s="132" t="n">
        <f aca="false">CHOOSE($G$3,AI109-AJ109,AJ109-AI109)</f>
        <v>0</v>
      </c>
      <c r="AO109" s="148" t="n">
        <f aca="false">SUM(AL109:AN109)</f>
        <v>0</v>
      </c>
      <c r="AQ109" s="132" t="n">
        <f aca="false">CHOOSE($G$3,AB109-AC109,AC109-AB109)</f>
        <v>0</v>
      </c>
      <c r="AR109" s="132" t="n">
        <f aca="false">CHOOSE($G$3,AE109-AF109,AF109-AE109)</f>
        <v>0</v>
      </c>
      <c r="AS109" s="132" t="n">
        <f aca="false">CHOOSE($G$3,AH109-AI109,AI109-AH109)</f>
        <v>0</v>
      </c>
      <c r="AT109" s="148" t="n">
        <f aca="false">AQ109+AR109+AS109</f>
        <v>0</v>
      </c>
      <c r="AU109" s="148"/>
      <c r="AV109" s="133" t="n">
        <f aca="false">AT109+AO109</f>
        <v>0</v>
      </c>
      <c r="AX109" s="133" t="n">
        <f aca="false">AJ109+AG109+AD109</f>
        <v>0</v>
      </c>
      <c r="AY109" s="149"/>
      <c r="AZ109" s="76" t="n">
        <f aca="false">R109*E109</f>
        <v>0</v>
      </c>
    </row>
    <row r="110" customFormat="false" ht="12.75" hidden="false" customHeight="false" outlineLevel="0" collapsed="false">
      <c r="A110" s="138" t="n">
        <f aca="false">EDATE(A109,1)</f>
        <v>40026</v>
      </c>
      <c r="B110" s="139" t="n">
        <f aca="false">VLOOKUP($A110,Table2,MATCH(I$3,Curves2,0))</f>
        <v>0</v>
      </c>
      <c r="C110" s="140"/>
      <c r="D110" s="141" t="n">
        <f aca="false">B110+C110</f>
        <v>0</v>
      </c>
      <c r="E110" s="126" t="n">
        <f aca="false">IF(Y110=0,0,IF(AND(Y110=1,$H$3=1),D110*T110,IF($H$3=2,D110,"N/A")))</f>
        <v>0</v>
      </c>
      <c r="F110" s="126" t="n">
        <f aca="false">E110*X110</f>
        <v>0</v>
      </c>
      <c r="G110" s="142" t="n">
        <f aca="false">VLOOKUP($A110,Table,MATCH(G$4,Curves,0))</f>
        <v>3.987</v>
      </c>
      <c r="H110" s="143" t="n">
        <f aca="false">G110</f>
        <v>3.987</v>
      </c>
      <c r="I110" s="142" t="n">
        <f aca="false">VLOOKUP($A110,Table1,MATCH(I$3,Curves1,0))</f>
        <v>0</v>
      </c>
      <c r="J110" s="142" t="n">
        <f aca="false">VLOOKUP($A110,Table,MATCH(J$4,Curves,0))</f>
        <v>-0.0235</v>
      </c>
      <c r="K110" s="143" t="n">
        <f aca="false">J110</f>
        <v>-0.0235</v>
      </c>
      <c r="L110" s="144" t="n">
        <v>0</v>
      </c>
      <c r="M110" s="142" t="n">
        <f aca="false">VLOOKUP($A110,Table,MATCH(M$4,Curves,0))</f>
        <v>0.0075</v>
      </c>
      <c r="N110" s="143" t="n">
        <f aca="false">M110</f>
        <v>0.0075</v>
      </c>
      <c r="O110" s="144" t="n">
        <v>0</v>
      </c>
      <c r="P110" s="145"/>
      <c r="Q110" s="144" t="n">
        <f aca="false">M110+J110+G110</f>
        <v>3.971</v>
      </c>
      <c r="R110" s="144" t="n">
        <f aca="false">O110+L110+I110</f>
        <v>0</v>
      </c>
      <c r="S110" s="145"/>
      <c r="T110" s="71" t="n">
        <f aca="false">A111-A110</f>
        <v>31</v>
      </c>
      <c r="U110" s="146" t="n">
        <f aca="false">CHOOSE(F$3,A111+24,A110)</f>
        <v>40081</v>
      </c>
      <c r="V110" s="71" t="n">
        <f aca="false">U110-C$3</f>
        <v>3193</v>
      </c>
      <c r="W110" s="142" t="n">
        <f aca="false">VLOOKUP($A110,Table,MATCH(W$4,Curves,0))</f>
        <v>0.058966861357273</v>
      </c>
      <c r="X110" s="147" t="n">
        <f aca="false">1/(1+CHOOSE(F$3,(W111+($K$3/10000))/2,(W110+($K$3/10000))/2))^(2*V110/365.25)</f>
        <v>0.601678040136401</v>
      </c>
      <c r="Y110" s="71" t="n">
        <f aca="false">IF(AND(mthbeg&lt;=A110,mthend&gt;=A110),1,0)</f>
        <v>0</v>
      </c>
      <c r="Z110" s="71" t="n">
        <f aca="false">T110*Y110</f>
        <v>0</v>
      </c>
      <c r="AB110" s="132" t="n">
        <f aca="false">F110*G110</f>
        <v>0</v>
      </c>
      <c r="AC110" s="132" t="n">
        <f aca="false">$F110*H110</f>
        <v>0</v>
      </c>
      <c r="AD110" s="132" t="n">
        <f aca="false">$F110*I110</f>
        <v>0</v>
      </c>
      <c r="AE110" s="132" t="n">
        <f aca="false">$F110*J110</f>
        <v>-0</v>
      </c>
      <c r="AF110" s="132" t="n">
        <f aca="false">$F110*K110</f>
        <v>-0</v>
      </c>
      <c r="AG110" s="132" t="n">
        <f aca="false">$F110*L110</f>
        <v>0</v>
      </c>
      <c r="AH110" s="132" t="n">
        <f aca="false">$F110*M110</f>
        <v>0</v>
      </c>
      <c r="AI110" s="132" t="n">
        <f aca="false">$F110*N110</f>
        <v>0</v>
      </c>
      <c r="AJ110" s="132" t="n">
        <f aca="false">F110*O110</f>
        <v>0</v>
      </c>
      <c r="AK110" s="137"/>
      <c r="AL110" s="132" t="n">
        <f aca="false">CHOOSE($G$3,AC110-AD110,AD110-AC110)</f>
        <v>0</v>
      </c>
      <c r="AM110" s="132" t="n">
        <f aca="false">CHOOSE($G$3,AF110-AG110,AG110-AF110)</f>
        <v>0</v>
      </c>
      <c r="AN110" s="132" t="n">
        <f aca="false">CHOOSE($G$3,AI110-AJ110,AJ110-AI110)</f>
        <v>0</v>
      </c>
      <c r="AO110" s="148" t="n">
        <f aca="false">SUM(AL110:AN110)</f>
        <v>0</v>
      </c>
      <c r="AQ110" s="132" t="n">
        <f aca="false">CHOOSE($G$3,AB110-AC110,AC110-AB110)</f>
        <v>0</v>
      </c>
      <c r="AR110" s="132" t="n">
        <f aca="false">CHOOSE($G$3,AE110-AF110,AF110-AE110)</f>
        <v>0</v>
      </c>
      <c r="AS110" s="132" t="n">
        <f aca="false">CHOOSE($G$3,AH110-AI110,AI110-AH110)</f>
        <v>0</v>
      </c>
      <c r="AT110" s="148" t="n">
        <f aca="false">AQ110+AR110+AS110</f>
        <v>0</v>
      </c>
      <c r="AU110" s="148"/>
      <c r="AV110" s="133" t="n">
        <f aca="false">AT110+AO110</f>
        <v>0</v>
      </c>
      <c r="AX110" s="133" t="n">
        <f aca="false">AJ110+AG110+AD110</f>
        <v>0</v>
      </c>
      <c r="AY110" s="149"/>
      <c r="AZ110" s="76" t="n">
        <f aca="false">R110*E110</f>
        <v>0</v>
      </c>
    </row>
    <row r="111" customFormat="false" ht="12.75" hidden="false" customHeight="false" outlineLevel="0" collapsed="false">
      <c r="A111" s="138" t="n">
        <f aca="false">EDATE(A110,1)</f>
        <v>40057</v>
      </c>
      <c r="B111" s="139" t="n">
        <f aca="false">VLOOKUP($A111,Table2,MATCH(I$3,Curves2,0))</f>
        <v>0</v>
      </c>
      <c r="C111" s="140"/>
      <c r="D111" s="141" t="n">
        <f aca="false">B111+C111</f>
        <v>0</v>
      </c>
      <c r="E111" s="126" t="n">
        <f aca="false">IF(Y111=0,0,IF(AND(Y111=1,$H$3=1),D111*T111,IF($H$3=2,D111,"N/A")))</f>
        <v>0</v>
      </c>
      <c r="F111" s="126" t="n">
        <f aca="false">E111*X111</f>
        <v>0</v>
      </c>
      <c r="G111" s="142" t="n">
        <f aca="false">VLOOKUP($A111,Table,MATCH(G$4,Curves,0))</f>
        <v>3.987</v>
      </c>
      <c r="H111" s="143" t="n">
        <f aca="false">G111</f>
        <v>3.987</v>
      </c>
      <c r="I111" s="142" t="n">
        <f aca="false">VLOOKUP($A111,Table1,MATCH(I$3,Curves1,0))</f>
        <v>0</v>
      </c>
      <c r="J111" s="142" t="n">
        <f aca="false">VLOOKUP($A111,Table,MATCH(J$4,Curves,0))</f>
        <v>-0.0235</v>
      </c>
      <c r="K111" s="143" t="n">
        <f aca="false">J111</f>
        <v>-0.0235</v>
      </c>
      <c r="L111" s="144" t="n">
        <v>0</v>
      </c>
      <c r="M111" s="142" t="n">
        <f aca="false">VLOOKUP($A111,Table,MATCH(M$4,Curves,0))</f>
        <v>0.0075</v>
      </c>
      <c r="N111" s="143" t="n">
        <f aca="false">M111</f>
        <v>0.0075</v>
      </c>
      <c r="O111" s="144" t="n">
        <v>0</v>
      </c>
      <c r="P111" s="145"/>
      <c r="Q111" s="144" t="n">
        <f aca="false">M111+J111+G111</f>
        <v>3.971</v>
      </c>
      <c r="R111" s="144" t="n">
        <f aca="false">O111+L111+I111</f>
        <v>0</v>
      </c>
      <c r="S111" s="145"/>
      <c r="T111" s="71" t="n">
        <f aca="false">A112-A111</f>
        <v>30</v>
      </c>
      <c r="U111" s="146" t="n">
        <f aca="false">CHOOSE(F$3,A112+24,A111)</f>
        <v>40111</v>
      </c>
      <c r="V111" s="71" t="n">
        <f aca="false">U111-C$3</f>
        <v>3223</v>
      </c>
      <c r="W111" s="142" t="n">
        <f aca="false">VLOOKUP($A111,Table,MATCH(W$4,Curves,0))</f>
        <v>0.058966861357273</v>
      </c>
      <c r="X111" s="147" t="n">
        <f aca="false">1/(1+CHOOSE(F$3,(W112+($K$3/10000))/2,(W111+($K$3/10000))/2))^(2*V111/365.25)</f>
        <v>0.598812924473856</v>
      </c>
      <c r="Y111" s="71" t="n">
        <f aca="false">IF(AND(mthbeg&lt;=A111,mthend&gt;=A111),1,0)</f>
        <v>0</v>
      </c>
      <c r="Z111" s="71" t="n">
        <f aca="false">T111*Y111</f>
        <v>0</v>
      </c>
      <c r="AB111" s="132" t="n">
        <f aca="false">F111*G111</f>
        <v>0</v>
      </c>
      <c r="AC111" s="132" t="n">
        <f aca="false">$F111*H111</f>
        <v>0</v>
      </c>
      <c r="AD111" s="132" t="n">
        <f aca="false">$F111*I111</f>
        <v>0</v>
      </c>
      <c r="AE111" s="132" t="n">
        <f aca="false">$F111*J111</f>
        <v>-0</v>
      </c>
      <c r="AF111" s="132" t="n">
        <f aca="false">$F111*K111</f>
        <v>-0</v>
      </c>
      <c r="AG111" s="132" t="n">
        <f aca="false">$F111*L111</f>
        <v>0</v>
      </c>
      <c r="AH111" s="132" t="n">
        <f aca="false">$F111*M111</f>
        <v>0</v>
      </c>
      <c r="AI111" s="132" t="n">
        <f aca="false">$F111*N111</f>
        <v>0</v>
      </c>
      <c r="AJ111" s="132" t="n">
        <f aca="false">F111*O111</f>
        <v>0</v>
      </c>
      <c r="AK111" s="137"/>
      <c r="AL111" s="132" t="n">
        <f aca="false">CHOOSE($G$3,AC111-AD111,AD111-AC111)</f>
        <v>0</v>
      </c>
      <c r="AM111" s="132" t="n">
        <f aca="false">CHOOSE($G$3,AF111-AG111,AG111-AF111)</f>
        <v>0</v>
      </c>
      <c r="AN111" s="132" t="n">
        <f aca="false">CHOOSE($G$3,AI111-AJ111,AJ111-AI111)</f>
        <v>0</v>
      </c>
      <c r="AO111" s="148" t="n">
        <f aca="false">SUM(AL111:AN111)</f>
        <v>0</v>
      </c>
      <c r="AQ111" s="132" t="n">
        <f aca="false">CHOOSE($G$3,AB111-AC111,AC111-AB111)</f>
        <v>0</v>
      </c>
      <c r="AR111" s="132" t="n">
        <f aca="false">CHOOSE($G$3,AE111-AF111,AF111-AE111)</f>
        <v>0</v>
      </c>
      <c r="AS111" s="132" t="n">
        <f aca="false">CHOOSE($G$3,AH111-AI111,AI111-AH111)</f>
        <v>0</v>
      </c>
      <c r="AT111" s="148" t="n">
        <f aca="false">AQ111+AR111+AS111</f>
        <v>0</v>
      </c>
      <c r="AU111" s="148"/>
      <c r="AV111" s="133" t="n">
        <f aca="false">AT111+AO111</f>
        <v>0</v>
      </c>
      <c r="AX111" s="133" t="n">
        <f aca="false">AJ111+AG111+AD111</f>
        <v>0</v>
      </c>
      <c r="AY111" s="149"/>
      <c r="AZ111" s="76" t="n">
        <f aca="false">R111*E111</f>
        <v>0</v>
      </c>
    </row>
    <row r="112" customFormat="false" ht="12.75" hidden="false" customHeight="false" outlineLevel="0" collapsed="false">
      <c r="A112" s="138" t="n">
        <f aca="false">EDATE(A111,1)</f>
        <v>40087</v>
      </c>
      <c r="B112" s="139" t="n">
        <f aca="false">VLOOKUP($A112,Table2,MATCH(I$3,Curves2,0))</f>
        <v>0</v>
      </c>
      <c r="C112" s="140"/>
      <c r="D112" s="141" t="n">
        <f aca="false">B112+C112</f>
        <v>0</v>
      </c>
      <c r="E112" s="126" t="n">
        <f aca="false">IF(Y112=0,0,IF(AND(Y112=1,$H$3=1),D112*T112,IF($H$3=2,D112,"N/A")))</f>
        <v>0</v>
      </c>
      <c r="F112" s="126" t="n">
        <f aca="false">E112*X112</f>
        <v>0</v>
      </c>
      <c r="G112" s="142" t="n">
        <f aca="false">VLOOKUP($A112,Table,MATCH(G$4,Curves,0))</f>
        <v>3.987</v>
      </c>
      <c r="H112" s="143" t="n">
        <f aca="false">G112</f>
        <v>3.987</v>
      </c>
      <c r="I112" s="142" t="n">
        <f aca="false">VLOOKUP($A112,Table1,MATCH(I$3,Curves1,0))</f>
        <v>0</v>
      </c>
      <c r="J112" s="142" t="n">
        <f aca="false">VLOOKUP($A112,Table,MATCH(J$4,Curves,0))</f>
        <v>-0.0235</v>
      </c>
      <c r="K112" s="143" t="n">
        <f aca="false">J112</f>
        <v>-0.0235</v>
      </c>
      <c r="L112" s="144" t="n">
        <v>0</v>
      </c>
      <c r="M112" s="142" t="n">
        <f aca="false">VLOOKUP($A112,Table,MATCH(M$4,Curves,0))</f>
        <v>0.0075</v>
      </c>
      <c r="N112" s="143" t="n">
        <f aca="false">M112</f>
        <v>0.0075</v>
      </c>
      <c r="O112" s="144" t="n">
        <v>0</v>
      </c>
      <c r="P112" s="145"/>
      <c r="Q112" s="144" t="n">
        <f aca="false">M112+J112+G112</f>
        <v>3.971</v>
      </c>
      <c r="R112" s="144" t="n">
        <f aca="false">O112+L112+I112</f>
        <v>0</v>
      </c>
      <c r="S112" s="145"/>
      <c r="T112" s="71" t="n">
        <f aca="false">A113-A112</f>
        <v>31</v>
      </c>
      <c r="U112" s="146" t="n">
        <f aca="false">CHOOSE(F$3,A113+24,A112)</f>
        <v>40142</v>
      </c>
      <c r="V112" s="71" t="n">
        <f aca="false">U112-C$3</f>
        <v>3254</v>
      </c>
      <c r="W112" s="142" t="n">
        <f aca="false">VLOOKUP($A112,Table,MATCH(W$4,Curves,0))</f>
        <v>0.058966861357273</v>
      </c>
      <c r="X112" s="147" t="n">
        <f aca="false">1/(1+CHOOSE(F$3,(W113+($K$3/10000))/2,(W112+($K$3/10000))/2))^(2*V112/365.25)</f>
        <v>0.595866637265288</v>
      </c>
      <c r="Y112" s="71" t="n">
        <f aca="false">IF(AND(mthbeg&lt;=A112,mthend&gt;=A112),1,0)</f>
        <v>0</v>
      </c>
      <c r="Z112" s="71" t="n">
        <f aca="false">T112*Y112</f>
        <v>0</v>
      </c>
      <c r="AB112" s="132" t="n">
        <f aca="false">F112*G112</f>
        <v>0</v>
      </c>
      <c r="AC112" s="132" t="n">
        <f aca="false">$F112*H112</f>
        <v>0</v>
      </c>
      <c r="AD112" s="132" t="n">
        <f aca="false">$F112*I112</f>
        <v>0</v>
      </c>
      <c r="AE112" s="132" t="n">
        <f aca="false">$F112*J112</f>
        <v>-0</v>
      </c>
      <c r="AF112" s="132" t="n">
        <f aca="false">$F112*K112</f>
        <v>-0</v>
      </c>
      <c r="AG112" s="132" t="n">
        <f aca="false">$F112*L112</f>
        <v>0</v>
      </c>
      <c r="AH112" s="132" t="n">
        <f aca="false">$F112*M112</f>
        <v>0</v>
      </c>
      <c r="AI112" s="132" t="n">
        <f aca="false">$F112*N112</f>
        <v>0</v>
      </c>
      <c r="AJ112" s="132" t="n">
        <f aca="false">F112*O112</f>
        <v>0</v>
      </c>
      <c r="AK112" s="137"/>
      <c r="AL112" s="132" t="n">
        <f aca="false">CHOOSE($G$3,AC112-AD112,AD112-AC112)</f>
        <v>0</v>
      </c>
      <c r="AM112" s="132" t="n">
        <f aca="false">CHOOSE($G$3,AF112-AG112,AG112-AF112)</f>
        <v>0</v>
      </c>
      <c r="AN112" s="132" t="n">
        <f aca="false">CHOOSE($G$3,AI112-AJ112,AJ112-AI112)</f>
        <v>0</v>
      </c>
      <c r="AO112" s="148" t="n">
        <f aca="false">SUM(AL112:AN112)</f>
        <v>0</v>
      </c>
      <c r="AQ112" s="132" t="n">
        <f aca="false">CHOOSE($G$3,AB112-AC112,AC112-AB112)</f>
        <v>0</v>
      </c>
      <c r="AR112" s="132" t="n">
        <f aca="false">CHOOSE($G$3,AE112-AF112,AF112-AE112)</f>
        <v>0</v>
      </c>
      <c r="AS112" s="132" t="n">
        <f aca="false">CHOOSE($G$3,AH112-AI112,AI112-AH112)</f>
        <v>0</v>
      </c>
      <c r="AT112" s="148" t="n">
        <f aca="false">AQ112+AR112+AS112</f>
        <v>0</v>
      </c>
      <c r="AU112" s="148"/>
      <c r="AV112" s="133" t="n">
        <f aca="false">AT112+AO112</f>
        <v>0</v>
      </c>
      <c r="AX112" s="133" t="n">
        <f aca="false">AJ112+AG112+AD112</f>
        <v>0</v>
      </c>
      <c r="AY112" s="149"/>
      <c r="AZ112" s="76" t="n">
        <f aca="false">R112*E112</f>
        <v>0</v>
      </c>
    </row>
    <row r="113" customFormat="false" ht="12.75" hidden="false" customHeight="false" outlineLevel="0" collapsed="false">
      <c r="A113" s="138" t="n">
        <f aca="false">EDATE(A112,1)</f>
        <v>40118</v>
      </c>
      <c r="B113" s="139" t="n">
        <f aca="false">VLOOKUP($A113,Table2,MATCH(I$3,Curves2,0))</f>
        <v>0</v>
      </c>
      <c r="C113" s="140"/>
      <c r="D113" s="141" t="n">
        <f aca="false">B113+C113</f>
        <v>0</v>
      </c>
      <c r="E113" s="126" t="n">
        <f aca="false">IF(Y113=0,0,IF(AND(Y113=1,$H$3=1),D113*T113,IF($H$3=2,D113,"N/A")))</f>
        <v>0</v>
      </c>
      <c r="F113" s="126" t="n">
        <f aca="false">E113*X113</f>
        <v>0</v>
      </c>
      <c r="G113" s="142" t="n">
        <f aca="false">VLOOKUP($A113,Table,MATCH(G$4,Curves,0))</f>
        <v>3.987</v>
      </c>
      <c r="H113" s="143" t="n">
        <f aca="false">G113</f>
        <v>3.987</v>
      </c>
      <c r="I113" s="142" t="n">
        <f aca="false">VLOOKUP($A113,Table1,MATCH(I$3,Curves1,0))</f>
        <v>0</v>
      </c>
      <c r="J113" s="142" t="n">
        <f aca="false">VLOOKUP($A113,Table,MATCH(J$4,Curves,0))</f>
        <v>-0.0235</v>
      </c>
      <c r="K113" s="143" t="n">
        <f aca="false">J113</f>
        <v>-0.0235</v>
      </c>
      <c r="L113" s="144" t="n">
        <v>0</v>
      </c>
      <c r="M113" s="142" t="n">
        <f aca="false">VLOOKUP($A113,Table,MATCH(M$4,Curves,0))</f>
        <v>0.0075</v>
      </c>
      <c r="N113" s="143" t="n">
        <f aca="false">M113</f>
        <v>0.0075</v>
      </c>
      <c r="O113" s="144" t="n">
        <v>0</v>
      </c>
      <c r="P113" s="145"/>
      <c r="Q113" s="144" t="n">
        <f aca="false">M113+J113+G113</f>
        <v>3.971</v>
      </c>
      <c r="R113" s="144" t="n">
        <f aca="false">O113+L113+I113</f>
        <v>0</v>
      </c>
      <c r="S113" s="145"/>
      <c r="T113" s="71" t="n">
        <f aca="false">A114-A113</f>
        <v>30</v>
      </c>
      <c r="U113" s="146" t="n">
        <f aca="false">CHOOSE(F$3,A114+24,A113)</f>
        <v>40172</v>
      </c>
      <c r="V113" s="71" t="n">
        <f aca="false">U113-C$3</f>
        <v>3284</v>
      </c>
      <c r="W113" s="142" t="n">
        <f aca="false">VLOOKUP($A113,Table,MATCH(W$4,Curves,0))</f>
        <v>0.058966861357273</v>
      </c>
      <c r="X113" s="147" t="n">
        <f aca="false">1/(1+CHOOSE(F$3,(W114+($K$3/10000))/2,(W113+($K$3/10000))/2))^(2*V113/365.25)</f>
        <v>0.593029194777227</v>
      </c>
      <c r="Y113" s="71" t="n">
        <f aca="false">IF(AND(mthbeg&lt;=A113,mthend&gt;=A113),1,0)</f>
        <v>0</v>
      </c>
      <c r="Z113" s="71" t="n">
        <f aca="false">T113*Y113</f>
        <v>0</v>
      </c>
      <c r="AB113" s="132" t="n">
        <f aca="false">F113*G113</f>
        <v>0</v>
      </c>
      <c r="AC113" s="132" t="n">
        <f aca="false">$F113*H113</f>
        <v>0</v>
      </c>
      <c r="AD113" s="132" t="n">
        <f aca="false">$F113*I113</f>
        <v>0</v>
      </c>
      <c r="AE113" s="132" t="n">
        <f aca="false">$F113*J113</f>
        <v>-0</v>
      </c>
      <c r="AF113" s="132" t="n">
        <f aca="false">$F113*K113</f>
        <v>-0</v>
      </c>
      <c r="AG113" s="132" t="n">
        <f aca="false">$F113*L113</f>
        <v>0</v>
      </c>
      <c r="AH113" s="132" t="n">
        <f aca="false">$F113*M113</f>
        <v>0</v>
      </c>
      <c r="AI113" s="132" t="n">
        <f aca="false">$F113*N113</f>
        <v>0</v>
      </c>
      <c r="AJ113" s="132" t="n">
        <f aca="false">F113*O113</f>
        <v>0</v>
      </c>
      <c r="AK113" s="137"/>
      <c r="AL113" s="132" t="n">
        <f aca="false">CHOOSE($G$3,AC113-AD113,AD113-AC113)</f>
        <v>0</v>
      </c>
      <c r="AM113" s="132" t="n">
        <f aca="false">CHOOSE($G$3,AF113-AG113,AG113-AF113)</f>
        <v>0</v>
      </c>
      <c r="AN113" s="132" t="n">
        <f aca="false">CHOOSE($G$3,AI113-AJ113,AJ113-AI113)</f>
        <v>0</v>
      </c>
      <c r="AO113" s="148" t="n">
        <f aca="false">SUM(AL113:AN113)</f>
        <v>0</v>
      </c>
      <c r="AQ113" s="132" t="n">
        <f aca="false">CHOOSE($G$3,AB113-AC113,AC113-AB113)</f>
        <v>0</v>
      </c>
      <c r="AR113" s="132" t="n">
        <f aca="false">CHOOSE($G$3,AE113-AF113,AF113-AE113)</f>
        <v>0</v>
      </c>
      <c r="AS113" s="132" t="n">
        <f aca="false">CHOOSE($G$3,AH113-AI113,AI113-AH113)</f>
        <v>0</v>
      </c>
      <c r="AT113" s="148" t="n">
        <f aca="false">AQ113+AR113+AS113</f>
        <v>0</v>
      </c>
      <c r="AU113" s="148"/>
      <c r="AV113" s="133" t="n">
        <f aca="false">AT113+AO113</f>
        <v>0</v>
      </c>
      <c r="AX113" s="133" t="n">
        <f aca="false">AJ113+AG113+AD113</f>
        <v>0</v>
      </c>
      <c r="AY113" s="149"/>
      <c r="AZ113" s="76" t="n">
        <f aca="false">R113*E113</f>
        <v>0</v>
      </c>
    </row>
    <row r="114" customFormat="false" ht="12.75" hidden="false" customHeight="false" outlineLevel="0" collapsed="false">
      <c r="A114" s="138" t="n">
        <f aca="false">EDATE(A113,1)</f>
        <v>40148</v>
      </c>
      <c r="B114" s="139" t="n">
        <f aca="false">VLOOKUP($A114,Table2,MATCH(I$3,Curves2,0))</f>
        <v>0</v>
      </c>
      <c r="C114" s="140"/>
      <c r="D114" s="141" t="n">
        <f aca="false">B114+C114</f>
        <v>0</v>
      </c>
      <c r="E114" s="126" t="n">
        <f aca="false">IF(Y114=0,0,IF(AND(Y114=1,$H$3=1),D114*T114,IF($H$3=2,D114,"N/A")))</f>
        <v>0</v>
      </c>
      <c r="F114" s="126" t="n">
        <f aca="false">E114*X114</f>
        <v>0</v>
      </c>
      <c r="G114" s="142" t="n">
        <f aca="false">VLOOKUP($A114,Table,MATCH(G$4,Curves,0))</f>
        <v>3.987</v>
      </c>
      <c r="H114" s="143" t="n">
        <f aca="false">G114</f>
        <v>3.987</v>
      </c>
      <c r="I114" s="142" t="n">
        <f aca="false">VLOOKUP($A114,Table1,MATCH(I$3,Curves1,0))</f>
        <v>0</v>
      </c>
      <c r="J114" s="142" t="n">
        <f aca="false">VLOOKUP($A114,Table,MATCH(J$4,Curves,0))</f>
        <v>-0.0235</v>
      </c>
      <c r="K114" s="143" t="n">
        <f aca="false">J114</f>
        <v>-0.0235</v>
      </c>
      <c r="L114" s="144" t="n">
        <v>0</v>
      </c>
      <c r="M114" s="142" t="n">
        <f aca="false">VLOOKUP($A114,Table,MATCH(M$4,Curves,0))</f>
        <v>0.0075</v>
      </c>
      <c r="N114" s="143" t="n">
        <f aca="false">M114</f>
        <v>0.0075</v>
      </c>
      <c r="O114" s="144" t="n">
        <v>0</v>
      </c>
      <c r="P114" s="145"/>
      <c r="Q114" s="144" t="n">
        <f aca="false">M114+J114+G114</f>
        <v>3.971</v>
      </c>
      <c r="R114" s="144" t="n">
        <f aca="false">O114+L114+I114</f>
        <v>0</v>
      </c>
      <c r="S114" s="145"/>
      <c r="T114" s="71" t="n">
        <f aca="false">A115-A114</f>
        <v>31</v>
      </c>
      <c r="U114" s="146" t="n">
        <f aca="false">CHOOSE(F$3,A115+24,A114)</f>
        <v>40203</v>
      </c>
      <c r="V114" s="71" t="n">
        <f aca="false">U114-C$3</f>
        <v>3315</v>
      </c>
      <c r="W114" s="142" t="n">
        <f aca="false">VLOOKUP($A114,Table,MATCH(W$4,Curves,0))</f>
        <v>0.058966861357273</v>
      </c>
      <c r="X114" s="147" t="n">
        <f aca="false">1/(1+CHOOSE(F$3,(W115+($K$3/10000))/2,(W114+($K$3/10000))/2))^(2*V114/365.25)</f>
        <v>0.590111364751405</v>
      </c>
      <c r="Y114" s="71" t="n">
        <f aca="false">IF(AND(mthbeg&lt;=A114,mthend&gt;=A114),1,0)</f>
        <v>0</v>
      </c>
      <c r="Z114" s="71" t="n">
        <f aca="false">T114*Y114</f>
        <v>0</v>
      </c>
      <c r="AB114" s="132" t="n">
        <f aca="false">F114*G114</f>
        <v>0</v>
      </c>
      <c r="AC114" s="132" t="n">
        <f aca="false">$F114*H114</f>
        <v>0</v>
      </c>
      <c r="AD114" s="132" t="n">
        <f aca="false">$F114*I114</f>
        <v>0</v>
      </c>
      <c r="AE114" s="132" t="n">
        <f aca="false">$F114*J114</f>
        <v>-0</v>
      </c>
      <c r="AF114" s="132" t="n">
        <f aca="false">$F114*K114</f>
        <v>-0</v>
      </c>
      <c r="AG114" s="132" t="n">
        <f aca="false">$F114*L114</f>
        <v>0</v>
      </c>
      <c r="AH114" s="132" t="n">
        <f aca="false">$F114*M114</f>
        <v>0</v>
      </c>
      <c r="AI114" s="132" t="n">
        <f aca="false">$F114*N114</f>
        <v>0</v>
      </c>
      <c r="AJ114" s="132" t="n">
        <f aca="false">F114*O114</f>
        <v>0</v>
      </c>
      <c r="AK114" s="137"/>
      <c r="AL114" s="132" t="n">
        <f aca="false">CHOOSE($G$3,AC114-AD114,AD114-AC114)</f>
        <v>0</v>
      </c>
      <c r="AM114" s="132" t="n">
        <f aca="false">CHOOSE($G$3,AF114-AG114,AG114-AF114)</f>
        <v>0</v>
      </c>
      <c r="AN114" s="132" t="n">
        <f aca="false">CHOOSE($G$3,AI114-AJ114,AJ114-AI114)</f>
        <v>0</v>
      </c>
      <c r="AO114" s="148" t="n">
        <f aca="false">SUM(AL114:AN114)</f>
        <v>0</v>
      </c>
      <c r="AQ114" s="132" t="n">
        <f aca="false">CHOOSE($G$3,AB114-AC114,AC114-AB114)</f>
        <v>0</v>
      </c>
      <c r="AR114" s="132" t="n">
        <f aca="false">CHOOSE($G$3,AE114-AF114,AF114-AE114)</f>
        <v>0</v>
      </c>
      <c r="AS114" s="132" t="n">
        <f aca="false">CHOOSE($G$3,AH114-AI114,AI114-AH114)</f>
        <v>0</v>
      </c>
      <c r="AT114" s="148" t="n">
        <f aca="false">AQ114+AR114+AS114</f>
        <v>0</v>
      </c>
      <c r="AU114" s="148"/>
      <c r="AV114" s="133" t="n">
        <f aca="false">AT114+AO114</f>
        <v>0</v>
      </c>
      <c r="AX114" s="133" t="n">
        <f aca="false">AJ114+AG114+AD114</f>
        <v>0</v>
      </c>
      <c r="AY114" s="149"/>
      <c r="AZ114" s="76" t="n">
        <f aca="false">R114*E114</f>
        <v>0</v>
      </c>
    </row>
    <row r="115" customFormat="false" ht="12.75" hidden="false" customHeight="false" outlineLevel="0" collapsed="false">
      <c r="A115" s="138" t="n">
        <f aca="false">EDATE(A114,1)</f>
        <v>40179</v>
      </c>
      <c r="B115" s="139" t="n">
        <f aca="false">VLOOKUP($A115,Table2,MATCH(I$3,Curves2,0))</f>
        <v>0</v>
      </c>
      <c r="C115" s="140"/>
      <c r="D115" s="141" t="n">
        <f aca="false">B115+C115</f>
        <v>0</v>
      </c>
      <c r="E115" s="126" t="n">
        <f aca="false">IF(Y115=0,0,IF(AND(Y115=1,$H$3=1),D115*T115,IF($H$3=2,D115,"N/A")))</f>
        <v>0</v>
      </c>
      <c r="F115" s="126" t="n">
        <f aca="false">E115*X115</f>
        <v>0</v>
      </c>
      <c r="G115" s="142" t="n">
        <f aca="false">VLOOKUP($A115,Table,MATCH(G$4,Curves,0))</f>
        <v>3.987</v>
      </c>
      <c r="H115" s="143" t="n">
        <f aca="false">G115</f>
        <v>3.987</v>
      </c>
      <c r="I115" s="142" t="n">
        <f aca="false">VLOOKUP($A115,Table1,MATCH(I$3,Curves1,0))</f>
        <v>0</v>
      </c>
      <c r="J115" s="142" t="n">
        <f aca="false">VLOOKUP($A115,Table,MATCH(J$4,Curves,0))</f>
        <v>-0.0235</v>
      </c>
      <c r="K115" s="143" t="n">
        <f aca="false">J115</f>
        <v>-0.0235</v>
      </c>
      <c r="L115" s="144" t="n">
        <v>0</v>
      </c>
      <c r="M115" s="142" t="n">
        <f aca="false">VLOOKUP($A115,Table,MATCH(M$4,Curves,0))</f>
        <v>0.0075</v>
      </c>
      <c r="N115" s="143" t="n">
        <f aca="false">M115</f>
        <v>0.0075</v>
      </c>
      <c r="O115" s="144" t="n">
        <v>0</v>
      </c>
      <c r="P115" s="145"/>
      <c r="Q115" s="144" t="n">
        <f aca="false">M115+J115+G115</f>
        <v>3.971</v>
      </c>
      <c r="R115" s="144" t="n">
        <f aca="false">O115+L115+I115</f>
        <v>0</v>
      </c>
      <c r="S115" s="145"/>
      <c r="T115" s="71" t="n">
        <f aca="false">A116-A115</f>
        <v>31</v>
      </c>
      <c r="U115" s="146" t="n">
        <f aca="false">CHOOSE(F$3,A116+24,A115)</f>
        <v>40234</v>
      </c>
      <c r="V115" s="71" t="n">
        <f aca="false">U115-C$3</f>
        <v>3346</v>
      </c>
      <c r="W115" s="142" t="n">
        <f aca="false">VLOOKUP($A115,Table,MATCH(W$4,Curves,0))</f>
        <v>0.058966861357273</v>
      </c>
      <c r="X115" s="147" t="n">
        <f aca="false">1/(1+CHOOSE(F$3,(W116+($K$3/10000))/2,(W115+($K$3/10000))/2))^(2*V115/365.25)</f>
        <v>0.587207891071165</v>
      </c>
      <c r="Y115" s="71" t="n">
        <f aca="false">IF(AND(mthbeg&lt;=A115,mthend&gt;=A115),1,0)</f>
        <v>0</v>
      </c>
      <c r="Z115" s="71" t="n">
        <f aca="false">T115*Y115</f>
        <v>0</v>
      </c>
      <c r="AB115" s="132" t="n">
        <f aca="false">F115*G115</f>
        <v>0</v>
      </c>
      <c r="AC115" s="132" t="n">
        <f aca="false">$F115*H115</f>
        <v>0</v>
      </c>
      <c r="AD115" s="132" t="n">
        <f aca="false">$F115*I115</f>
        <v>0</v>
      </c>
      <c r="AE115" s="132" t="n">
        <f aca="false">$F115*J115</f>
        <v>-0</v>
      </c>
      <c r="AF115" s="132" t="n">
        <f aca="false">$F115*K115</f>
        <v>-0</v>
      </c>
      <c r="AG115" s="132" t="n">
        <f aca="false">$F115*L115</f>
        <v>0</v>
      </c>
      <c r="AH115" s="132" t="n">
        <f aca="false">$F115*M115</f>
        <v>0</v>
      </c>
      <c r="AI115" s="132" t="n">
        <f aca="false">$F115*N115</f>
        <v>0</v>
      </c>
      <c r="AJ115" s="132" t="n">
        <f aca="false">F115*O115</f>
        <v>0</v>
      </c>
      <c r="AK115" s="137"/>
      <c r="AL115" s="132" t="n">
        <f aca="false">CHOOSE($G$3,AC115-AD115,AD115-AC115)</f>
        <v>0</v>
      </c>
      <c r="AM115" s="132" t="n">
        <f aca="false">CHOOSE($G$3,AF115-AG115,AG115-AF115)</f>
        <v>0</v>
      </c>
      <c r="AN115" s="132" t="n">
        <f aca="false">CHOOSE($G$3,AI115-AJ115,AJ115-AI115)</f>
        <v>0</v>
      </c>
      <c r="AO115" s="148" t="n">
        <f aca="false">SUM(AL115:AN115)</f>
        <v>0</v>
      </c>
      <c r="AQ115" s="132" t="n">
        <f aca="false">CHOOSE($G$3,AB115-AC115,AC115-AB115)</f>
        <v>0</v>
      </c>
      <c r="AR115" s="132" t="n">
        <f aca="false">CHOOSE($G$3,AE115-AF115,AF115-AE115)</f>
        <v>0</v>
      </c>
      <c r="AS115" s="132" t="n">
        <f aca="false">CHOOSE($G$3,AH115-AI115,AI115-AH115)</f>
        <v>0</v>
      </c>
      <c r="AT115" s="148" t="n">
        <f aca="false">AQ115+AR115+AS115</f>
        <v>0</v>
      </c>
      <c r="AU115" s="148"/>
      <c r="AV115" s="133" t="n">
        <f aca="false">AT115+AO115</f>
        <v>0</v>
      </c>
      <c r="AX115" s="133" t="n">
        <f aca="false">AJ115+AG115+AD115</f>
        <v>0</v>
      </c>
      <c r="AY115" s="149"/>
      <c r="AZ115" s="76" t="n">
        <f aca="false">R115*E115</f>
        <v>0</v>
      </c>
    </row>
    <row r="116" customFormat="false" ht="12.75" hidden="false" customHeight="false" outlineLevel="0" collapsed="false">
      <c r="A116" s="138" t="n">
        <f aca="false">EDATE(A115,1)</f>
        <v>40210</v>
      </c>
      <c r="B116" s="139" t="n">
        <f aca="false">VLOOKUP($A116,Table2,MATCH(I$3,Curves2,0))</f>
        <v>0</v>
      </c>
      <c r="C116" s="140"/>
      <c r="D116" s="141" t="n">
        <f aca="false">B116+C116</f>
        <v>0</v>
      </c>
      <c r="E116" s="126" t="n">
        <f aca="false">IF(Y116=0,0,IF(AND(Y116=1,$H$3=1),D116*T116,IF($H$3=2,D116,"N/A")))</f>
        <v>0</v>
      </c>
      <c r="F116" s="126" t="n">
        <f aca="false">E116*X116</f>
        <v>0</v>
      </c>
      <c r="G116" s="142" t="n">
        <f aca="false">VLOOKUP($A116,Table,MATCH(G$4,Curves,0))</f>
        <v>3.987</v>
      </c>
      <c r="H116" s="143" t="n">
        <f aca="false">G116</f>
        <v>3.987</v>
      </c>
      <c r="I116" s="142" t="n">
        <f aca="false">VLOOKUP($A116,Table1,MATCH(I$3,Curves1,0))</f>
        <v>0</v>
      </c>
      <c r="J116" s="142" t="n">
        <f aca="false">VLOOKUP($A116,Table,MATCH(J$4,Curves,0))</f>
        <v>-0.0235</v>
      </c>
      <c r="K116" s="143" t="n">
        <f aca="false">J116</f>
        <v>-0.0235</v>
      </c>
      <c r="L116" s="144" t="n">
        <v>0</v>
      </c>
      <c r="M116" s="142" t="n">
        <f aca="false">VLOOKUP($A116,Table,MATCH(M$4,Curves,0))</f>
        <v>0.0075</v>
      </c>
      <c r="N116" s="143" t="n">
        <f aca="false">M116</f>
        <v>0.0075</v>
      </c>
      <c r="O116" s="144" t="n">
        <v>0</v>
      </c>
      <c r="P116" s="145"/>
      <c r="Q116" s="144" t="n">
        <f aca="false">M116+J116+G116</f>
        <v>3.971</v>
      </c>
      <c r="R116" s="144" t="n">
        <f aca="false">O116+L116+I116</f>
        <v>0</v>
      </c>
      <c r="S116" s="145"/>
      <c r="T116" s="71" t="n">
        <f aca="false">A117-A116</f>
        <v>28</v>
      </c>
      <c r="U116" s="146" t="n">
        <f aca="false">CHOOSE(F$3,A117+24,A116)</f>
        <v>40262</v>
      </c>
      <c r="V116" s="71" t="n">
        <f aca="false">U116-C$3</f>
        <v>3374</v>
      </c>
      <c r="W116" s="142" t="n">
        <f aca="false">VLOOKUP($A116,Table,MATCH(W$4,Curves,0))</f>
        <v>0.058966861357273</v>
      </c>
      <c r="X116" s="147" t="n">
        <f aca="false">1/(1+CHOOSE(F$3,(W117+($K$3/10000))/2,(W116+($K$3/10000))/2))^(2*V116/365.25)</f>
        <v>0.584597679538199</v>
      </c>
      <c r="Y116" s="71" t="n">
        <f aca="false">IF(AND(mthbeg&lt;=A116,mthend&gt;=A116),1,0)</f>
        <v>0</v>
      </c>
      <c r="Z116" s="71" t="n">
        <f aca="false">T116*Y116</f>
        <v>0</v>
      </c>
      <c r="AB116" s="132" t="n">
        <f aca="false">F116*G116</f>
        <v>0</v>
      </c>
      <c r="AC116" s="132" t="n">
        <f aca="false">$F116*H116</f>
        <v>0</v>
      </c>
      <c r="AD116" s="132" t="n">
        <f aca="false">$F116*I116</f>
        <v>0</v>
      </c>
      <c r="AE116" s="132" t="n">
        <f aca="false">$F116*J116</f>
        <v>-0</v>
      </c>
      <c r="AF116" s="132" t="n">
        <f aca="false">$F116*K116</f>
        <v>-0</v>
      </c>
      <c r="AG116" s="132" t="n">
        <f aca="false">$F116*L116</f>
        <v>0</v>
      </c>
      <c r="AH116" s="132" t="n">
        <f aca="false">$F116*M116</f>
        <v>0</v>
      </c>
      <c r="AI116" s="132" t="n">
        <f aca="false">$F116*N116</f>
        <v>0</v>
      </c>
      <c r="AJ116" s="132" t="n">
        <f aca="false">F116*O116</f>
        <v>0</v>
      </c>
      <c r="AK116" s="137"/>
      <c r="AL116" s="132" t="n">
        <f aca="false">CHOOSE($G$3,AC116-AD116,AD116-AC116)</f>
        <v>0</v>
      </c>
      <c r="AM116" s="132" t="n">
        <f aca="false">CHOOSE($G$3,AF116-AG116,AG116-AF116)</f>
        <v>0</v>
      </c>
      <c r="AN116" s="132" t="n">
        <f aca="false">CHOOSE($G$3,AI116-AJ116,AJ116-AI116)</f>
        <v>0</v>
      </c>
      <c r="AO116" s="148" t="n">
        <f aca="false">SUM(AL116:AN116)</f>
        <v>0</v>
      </c>
      <c r="AQ116" s="132" t="n">
        <f aca="false">CHOOSE($G$3,AB116-AC116,AC116-AB116)</f>
        <v>0</v>
      </c>
      <c r="AR116" s="132" t="n">
        <f aca="false">CHOOSE($G$3,AE116-AF116,AF116-AE116)</f>
        <v>0</v>
      </c>
      <c r="AS116" s="132" t="n">
        <f aca="false">CHOOSE($G$3,AH116-AI116,AI116-AH116)</f>
        <v>0</v>
      </c>
      <c r="AT116" s="148" t="n">
        <f aca="false">AQ116+AR116+AS116</f>
        <v>0</v>
      </c>
      <c r="AU116" s="148"/>
      <c r="AV116" s="133" t="n">
        <f aca="false">AT116+AO116</f>
        <v>0</v>
      </c>
      <c r="AX116" s="133" t="n">
        <f aca="false">AJ116+AG116+AD116</f>
        <v>0</v>
      </c>
      <c r="AY116" s="149"/>
      <c r="AZ116" s="76" t="n">
        <f aca="false">R116*E116</f>
        <v>0</v>
      </c>
    </row>
    <row r="117" customFormat="false" ht="12.75" hidden="false" customHeight="false" outlineLevel="0" collapsed="false">
      <c r="A117" s="138" t="n">
        <f aca="false">EDATE(A116,1)</f>
        <v>40238</v>
      </c>
      <c r="B117" s="139" t="n">
        <f aca="false">VLOOKUP($A117,Table2,MATCH(I$3,Curves2,0))</f>
        <v>0</v>
      </c>
      <c r="C117" s="140"/>
      <c r="D117" s="141" t="n">
        <f aca="false">B117+C117</f>
        <v>0</v>
      </c>
      <c r="E117" s="126" t="n">
        <f aca="false">IF(Y117=0,0,IF(AND(Y117=1,$H$3=1),D117*T117,IF($H$3=2,D117,"N/A")))</f>
        <v>0</v>
      </c>
      <c r="F117" s="126" t="n">
        <f aca="false">E117*X117</f>
        <v>0</v>
      </c>
      <c r="G117" s="142" t="n">
        <f aca="false">VLOOKUP($A117,Table,MATCH(G$4,Curves,0))</f>
        <v>3.987</v>
      </c>
      <c r="H117" s="143" t="n">
        <f aca="false">G117</f>
        <v>3.987</v>
      </c>
      <c r="I117" s="142" t="n">
        <f aca="false">VLOOKUP($A117,Table1,MATCH(I$3,Curves1,0))</f>
        <v>0</v>
      </c>
      <c r="J117" s="142" t="n">
        <f aca="false">VLOOKUP($A117,Table,MATCH(J$4,Curves,0))</f>
        <v>-0.0235</v>
      </c>
      <c r="K117" s="143" t="n">
        <f aca="false">J117</f>
        <v>-0.0235</v>
      </c>
      <c r="L117" s="144" t="n">
        <v>0</v>
      </c>
      <c r="M117" s="142" t="n">
        <f aca="false">VLOOKUP($A117,Table,MATCH(M$4,Curves,0))</f>
        <v>0.0075</v>
      </c>
      <c r="N117" s="143" t="n">
        <f aca="false">M117</f>
        <v>0.0075</v>
      </c>
      <c r="O117" s="144" t="n">
        <v>0</v>
      </c>
      <c r="P117" s="145"/>
      <c r="Q117" s="144" t="n">
        <f aca="false">M117+J117+G117</f>
        <v>3.971</v>
      </c>
      <c r="R117" s="144" t="n">
        <f aca="false">O117+L117+I117</f>
        <v>0</v>
      </c>
      <c r="S117" s="145"/>
      <c r="T117" s="71" t="n">
        <f aca="false">A118-A117</f>
        <v>31</v>
      </c>
      <c r="U117" s="146" t="n">
        <f aca="false">CHOOSE(F$3,A118+24,A117)</f>
        <v>40293</v>
      </c>
      <c r="V117" s="71" t="n">
        <f aca="false">U117-C$3</f>
        <v>3405</v>
      </c>
      <c r="W117" s="142" t="n">
        <f aca="false">VLOOKUP($A117,Table,MATCH(W$4,Curves,0))</f>
        <v>0.058966861357273</v>
      </c>
      <c r="X117" s="147" t="n">
        <f aca="false">1/(1+CHOOSE(F$3,(W118+($K$3/10000))/2,(W117+($K$3/10000))/2))^(2*V117/365.25)</f>
        <v>0.581721334364294</v>
      </c>
      <c r="Y117" s="71" t="n">
        <f aca="false">IF(AND(mthbeg&lt;=A117,mthend&gt;=A117),1,0)</f>
        <v>0</v>
      </c>
      <c r="Z117" s="71" t="n">
        <f aca="false">T117*Y117</f>
        <v>0</v>
      </c>
      <c r="AB117" s="132" t="n">
        <f aca="false">F117*G117</f>
        <v>0</v>
      </c>
      <c r="AC117" s="132" t="n">
        <f aca="false">$F117*H117</f>
        <v>0</v>
      </c>
      <c r="AD117" s="132" t="n">
        <f aca="false">$F117*I117</f>
        <v>0</v>
      </c>
      <c r="AE117" s="132" t="n">
        <f aca="false">$F117*J117</f>
        <v>-0</v>
      </c>
      <c r="AF117" s="132" t="n">
        <f aca="false">$F117*K117</f>
        <v>-0</v>
      </c>
      <c r="AG117" s="132" t="n">
        <f aca="false">$F117*L117</f>
        <v>0</v>
      </c>
      <c r="AH117" s="132" t="n">
        <f aca="false">$F117*M117</f>
        <v>0</v>
      </c>
      <c r="AI117" s="132" t="n">
        <f aca="false">$F117*N117</f>
        <v>0</v>
      </c>
      <c r="AJ117" s="132" t="n">
        <f aca="false">F117*O117</f>
        <v>0</v>
      </c>
      <c r="AK117" s="137"/>
      <c r="AL117" s="132" t="n">
        <f aca="false">CHOOSE($G$3,AC117-AD117,AD117-AC117)</f>
        <v>0</v>
      </c>
      <c r="AM117" s="132" t="n">
        <f aca="false">CHOOSE($G$3,AF117-AG117,AG117-AF117)</f>
        <v>0</v>
      </c>
      <c r="AN117" s="132" t="n">
        <f aca="false">CHOOSE($G$3,AI117-AJ117,AJ117-AI117)</f>
        <v>0</v>
      </c>
      <c r="AO117" s="148" t="n">
        <f aca="false">SUM(AL117:AN117)</f>
        <v>0</v>
      </c>
      <c r="AQ117" s="132" t="n">
        <f aca="false">CHOOSE($G$3,AB117-AC117,AC117-AB117)</f>
        <v>0</v>
      </c>
      <c r="AR117" s="132" t="n">
        <f aca="false">CHOOSE($G$3,AE117-AF117,AF117-AE117)</f>
        <v>0</v>
      </c>
      <c r="AS117" s="132" t="n">
        <f aca="false">CHOOSE($G$3,AH117-AI117,AI117-AH117)</f>
        <v>0</v>
      </c>
      <c r="AT117" s="148" t="n">
        <f aca="false">AQ117+AR117+AS117</f>
        <v>0</v>
      </c>
      <c r="AU117" s="148"/>
      <c r="AV117" s="133" t="n">
        <f aca="false">AT117+AO117</f>
        <v>0</v>
      </c>
      <c r="AX117" s="133" t="n">
        <f aca="false">AJ117+AG117+AD117</f>
        <v>0</v>
      </c>
      <c r="AY117" s="149"/>
      <c r="AZ117" s="76" t="n">
        <f aca="false">R117*E117</f>
        <v>0</v>
      </c>
    </row>
    <row r="118" customFormat="false" ht="12.75" hidden="false" customHeight="false" outlineLevel="0" collapsed="false">
      <c r="A118" s="138" t="n">
        <f aca="false">EDATE(A117,1)</f>
        <v>40269</v>
      </c>
      <c r="B118" s="139" t="n">
        <f aca="false">VLOOKUP($A118,Table2,MATCH(I$3,Curves2,0))</f>
        <v>0</v>
      </c>
      <c r="C118" s="140"/>
      <c r="D118" s="141" t="n">
        <f aca="false">B118+C118</f>
        <v>0</v>
      </c>
      <c r="E118" s="126" t="n">
        <f aca="false">IF(Y118=0,0,IF(AND(Y118=1,$H$3=1),D118*T118,IF($H$3=2,D118,"N/A")))</f>
        <v>0</v>
      </c>
      <c r="F118" s="126" t="n">
        <f aca="false">E118*X118</f>
        <v>0</v>
      </c>
      <c r="G118" s="142" t="n">
        <f aca="false">VLOOKUP($A118,Table,MATCH(G$4,Curves,0))</f>
        <v>3.987</v>
      </c>
      <c r="H118" s="143" t="n">
        <f aca="false">G118</f>
        <v>3.987</v>
      </c>
      <c r="I118" s="142" t="n">
        <f aca="false">VLOOKUP($A118,Table1,MATCH(I$3,Curves1,0))</f>
        <v>0</v>
      </c>
      <c r="J118" s="142" t="n">
        <f aca="false">VLOOKUP($A118,Table,MATCH(J$4,Curves,0))</f>
        <v>-0.0235</v>
      </c>
      <c r="K118" s="143" t="n">
        <f aca="false">J118</f>
        <v>-0.0235</v>
      </c>
      <c r="L118" s="144" t="n">
        <v>0</v>
      </c>
      <c r="M118" s="142" t="n">
        <f aca="false">VLOOKUP($A118,Table,MATCH(M$4,Curves,0))</f>
        <v>0.0075</v>
      </c>
      <c r="N118" s="143" t="n">
        <f aca="false">M118</f>
        <v>0.0075</v>
      </c>
      <c r="O118" s="144" t="n">
        <v>0</v>
      </c>
      <c r="P118" s="145"/>
      <c r="Q118" s="144" t="n">
        <f aca="false">M118+J118+G118</f>
        <v>3.971</v>
      </c>
      <c r="R118" s="144" t="n">
        <f aca="false">O118+L118+I118</f>
        <v>0</v>
      </c>
      <c r="S118" s="145"/>
      <c r="T118" s="71" t="n">
        <f aca="false">A119-A118</f>
        <v>30</v>
      </c>
      <c r="U118" s="146" t="n">
        <f aca="false">CHOOSE(F$3,A119+24,A118)</f>
        <v>40323</v>
      </c>
      <c r="V118" s="71" t="n">
        <f aca="false">U118-C$3</f>
        <v>3435</v>
      </c>
      <c r="W118" s="142" t="n">
        <f aca="false">VLOOKUP($A118,Table,MATCH(W$4,Curves,0))</f>
        <v>0.058966861357273</v>
      </c>
      <c r="X118" s="147" t="n">
        <f aca="false">1/(1+CHOOSE(F$3,(W119+($K$3/10000))/2,(W118+($K$3/10000))/2))^(2*V118/365.25)</f>
        <v>0.578951250041547</v>
      </c>
      <c r="Y118" s="71" t="n">
        <f aca="false">IF(AND(mthbeg&lt;=A118,mthend&gt;=A118),1,0)</f>
        <v>0</v>
      </c>
      <c r="Z118" s="71" t="n">
        <f aca="false">T118*Y118</f>
        <v>0</v>
      </c>
      <c r="AB118" s="132" t="n">
        <f aca="false">F118*G118</f>
        <v>0</v>
      </c>
      <c r="AC118" s="132" t="n">
        <f aca="false">$F118*H118</f>
        <v>0</v>
      </c>
      <c r="AD118" s="132" t="n">
        <f aca="false">$F118*I118</f>
        <v>0</v>
      </c>
      <c r="AE118" s="132" t="n">
        <f aca="false">$F118*J118</f>
        <v>-0</v>
      </c>
      <c r="AF118" s="132" t="n">
        <f aca="false">$F118*K118</f>
        <v>-0</v>
      </c>
      <c r="AG118" s="132" t="n">
        <f aca="false">$F118*L118</f>
        <v>0</v>
      </c>
      <c r="AH118" s="132" t="n">
        <f aca="false">$F118*M118</f>
        <v>0</v>
      </c>
      <c r="AI118" s="132" t="n">
        <f aca="false">$F118*N118</f>
        <v>0</v>
      </c>
      <c r="AJ118" s="132" t="n">
        <f aca="false">F118*O118</f>
        <v>0</v>
      </c>
      <c r="AK118" s="137"/>
      <c r="AL118" s="132" t="n">
        <f aca="false">CHOOSE($G$3,AC118-AD118,AD118-AC118)</f>
        <v>0</v>
      </c>
      <c r="AM118" s="132" t="n">
        <f aca="false">CHOOSE($G$3,AF118-AG118,AG118-AF118)</f>
        <v>0</v>
      </c>
      <c r="AN118" s="132" t="n">
        <f aca="false">CHOOSE($G$3,AI118-AJ118,AJ118-AI118)</f>
        <v>0</v>
      </c>
      <c r="AO118" s="148" t="n">
        <f aca="false">SUM(AL118:AN118)</f>
        <v>0</v>
      </c>
      <c r="AQ118" s="132" t="n">
        <f aca="false">CHOOSE($G$3,AB118-AC118,AC118-AB118)</f>
        <v>0</v>
      </c>
      <c r="AR118" s="132" t="n">
        <f aca="false">CHOOSE($G$3,AE118-AF118,AF118-AE118)</f>
        <v>0</v>
      </c>
      <c r="AS118" s="132" t="n">
        <f aca="false">CHOOSE($G$3,AH118-AI118,AI118-AH118)</f>
        <v>0</v>
      </c>
      <c r="AT118" s="148" t="n">
        <f aca="false">AQ118+AR118+AS118</f>
        <v>0</v>
      </c>
      <c r="AU118" s="148"/>
      <c r="AV118" s="133" t="n">
        <f aca="false">AT118+AO118</f>
        <v>0</v>
      </c>
      <c r="AX118" s="133" t="n">
        <f aca="false">AJ118+AG118+AD118</f>
        <v>0</v>
      </c>
      <c r="AY118" s="149"/>
      <c r="AZ118" s="76" t="n">
        <f aca="false">R118*E118</f>
        <v>0</v>
      </c>
    </row>
    <row r="119" customFormat="false" ht="12.75" hidden="false" customHeight="false" outlineLevel="0" collapsed="false">
      <c r="A119" s="138" t="n">
        <f aca="false">EDATE(A118,1)</f>
        <v>40299</v>
      </c>
      <c r="B119" s="139" t="n">
        <f aca="false">VLOOKUP($A119,Table2,MATCH(I$3,Curves2,0))</f>
        <v>0</v>
      </c>
      <c r="C119" s="140"/>
      <c r="D119" s="141" t="n">
        <f aca="false">B119+C119</f>
        <v>0</v>
      </c>
      <c r="E119" s="126" t="n">
        <f aca="false">IF(Y119=0,0,IF(AND(Y119=1,$H$3=1),D119*T119,IF($H$3=2,D119,"N/A")))</f>
        <v>0</v>
      </c>
      <c r="F119" s="126" t="n">
        <f aca="false">E119*X119</f>
        <v>0</v>
      </c>
      <c r="G119" s="142" t="n">
        <f aca="false">VLOOKUP($A119,Table,MATCH(G$4,Curves,0))</f>
        <v>3.987</v>
      </c>
      <c r="H119" s="143" t="n">
        <f aca="false">G119</f>
        <v>3.987</v>
      </c>
      <c r="I119" s="142" t="n">
        <f aca="false">VLOOKUP($A119,Table1,MATCH(I$3,Curves1,0))</f>
        <v>0</v>
      </c>
      <c r="J119" s="142" t="n">
        <f aca="false">VLOOKUP($A119,Table,MATCH(J$4,Curves,0))</f>
        <v>-0.0235</v>
      </c>
      <c r="K119" s="143" t="n">
        <f aca="false">J119</f>
        <v>-0.0235</v>
      </c>
      <c r="L119" s="144" t="n">
        <v>0</v>
      </c>
      <c r="M119" s="142" t="n">
        <f aca="false">VLOOKUP($A119,Table,MATCH(M$4,Curves,0))</f>
        <v>0.0075</v>
      </c>
      <c r="N119" s="143" t="n">
        <f aca="false">M119</f>
        <v>0.0075</v>
      </c>
      <c r="O119" s="144" t="n">
        <v>0</v>
      </c>
      <c r="P119" s="145"/>
      <c r="Q119" s="144" t="n">
        <f aca="false">M119+J119+G119</f>
        <v>3.971</v>
      </c>
      <c r="R119" s="144" t="n">
        <f aca="false">O119+L119+I119</f>
        <v>0</v>
      </c>
      <c r="S119" s="145"/>
      <c r="T119" s="71" t="n">
        <f aca="false">A120-A119</f>
        <v>31</v>
      </c>
      <c r="U119" s="146" t="n">
        <f aca="false">CHOOSE(F$3,A120+24,A119)</f>
        <v>40354</v>
      </c>
      <c r="V119" s="71" t="n">
        <f aca="false">U119-C$3</f>
        <v>3466</v>
      </c>
      <c r="W119" s="142" t="n">
        <f aca="false">VLOOKUP($A119,Table,MATCH(W$4,Curves,0))</f>
        <v>0.058966861357273</v>
      </c>
      <c r="X119" s="147" t="n">
        <f aca="false">1/(1+CHOOSE(F$3,(W120+($K$3/10000))/2,(W119+($K$3/10000))/2))^(2*V119/365.25)</f>
        <v>0.576102686504143</v>
      </c>
      <c r="Y119" s="71" t="n">
        <f aca="false">IF(AND(mthbeg&lt;=A119,mthend&gt;=A119),1,0)</f>
        <v>0</v>
      </c>
      <c r="Z119" s="71" t="n">
        <f aca="false">T119*Y119</f>
        <v>0</v>
      </c>
      <c r="AB119" s="132" t="n">
        <f aca="false">F119*G119</f>
        <v>0</v>
      </c>
      <c r="AC119" s="132" t="n">
        <f aca="false">$F119*H119</f>
        <v>0</v>
      </c>
      <c r="AD119" s="132" t="n">
        <f aca="false">$F119*I119</f>
        <v>0</v>
      </c>
      <c r="AE119" s="132" t="n">
        <f aca="false">$F119*J119</f>
        <v>-0</v>
      </c>
      <c r="AF119" s="132" t="n">
        <f aca="false">$F119*K119</f>
        <v>-0</v>
      </c>
      <c r="AG119" s="132" t="n">
        <f aca="false">$F119*L119</f>
        <v>0</v>
      </c>
      <c r="AH119" s="132" t="n">
        <f aca="false">$F119*M119</f>
        <v>0</v>
      </c>
      <c r="AI119" s="132" t="n">
        <f aca="false">$F119*N119</f>
        <v>0</v>
      </c>
      <c r="AJ119" s="132" t="n">
        <f aca="false">F119*O119</f>
        <v>0</v>
      </c>
      <c r="AK119" s="137"/>
      <c r="AL119" s="132" t="n">
        <f aca="false">CHOOSE($G$3,AC119-AD119,AD119-AC119)</f>
        <v>0</v>
      </c>
      <c r="AM119" s="132" t="n">
        <f aca="false">CHOOSE($G$3,AF119-AG119,AG119-AF119)</f>
        <v>0</v>
      </c>
      <c r="AN119" s="132" t="n">
        <f aca="false">CHOOSE($G$3,AI119-AJ119,AJ119-AI119)</f>
        <v>0</v>
      </c>
      <c r="AO119" s="148" t="n">
        <f aca="false">SUM(AL119:AN119)</f>
        <v>0</v>
      </c>
      <c r="AQ119" s="132" t="n">
        <f aca="false">CHOOSE($G$3,AB119-AC119,AC119-AB119)</f>
        <v>0</v>
      </c>
      <c r="AR119" s="132" t="n">
        <f aca="false">CHOOSE($G$3,AE119-AF119,AF119-AE119)</f>
        <v>0</v>
      </c>
      <c r="AS119" s="132" t="n">
        <f aca="false">CHOOSE($G$3,AH119-AI119,AI119-AH119)</f>
        <v>0</v>
      </c>
      <c r="AT119" s="148" t="n">
        <f aca="false">AQ119+AR119+AS119</f>
        <v>0</v>
      </c>
      <c r="AU119" s="148"/>
      <c r="AV119" s="133" t="n">
        <f aca="false">AT119+AO119</f>
        <v>0</v>
      </c>
      <c r="AX119" s="133" t="n">
        <f aca="false">AJ119+AG119+AD119</f>
        <v>0</v>
      </c>
      <c r="AY119" s="149"/>
      <c r="AZ119" s="76" t="n">
        <f aca="false">R119*E119</f>
        <v>0</v>
      </c>
    </row>
    <row r="120" customFormat="false" ht="12.75" hidden="false" customHeight="false" outlineLevel="0" collapsed="false">
      <c r="A120" s="138" t="n">
        <f aca="false">EDATE(A119,1)</f>
        <v>40330</v>
      </c>
      <c r="B120" s="139" t="n">
        <f aca="false">VLOOKUP($A120,Table2,MATCH(I$3,Curves2,0))</f>
        <v>0</v>
      </c>
      <c r="C120" s="140"/>
      <c r="D120" s="141" t="n">
        <f aca="false">B120+C120</f>
        <v>0</v>
      </c>
      <c r="E120" s="126" t="n">
        <f aca="false">IF(Y120=0,0,IF(AND(Y120=1,$H$3=1),D120*T120,IF($H$3=2,D120,"N/A")))</f>
        <v>0</v>
      </c>
      <c r="F120" s="126" t="n">
        <f aca="false">E120*X120</f>
        <v>0</v>
      </c>
      <c r="G120" s="142" t="n">
        <f aca="false">VLOOKUP($A120,Table,MATCH(G$4,Curves,0))</f>
        <v>3.987</v>
      </c>
      <c r="H120" s="143" t="n">
        <f aca="false">G120</f>
        <v>3.987</v>
      </c>
      <c r="I120" s="142" t="n">
        <f aca="false">VLOOKUP($A120,Table1,MATCH(I$3,Curves1,0))</f>
        <v>0</v>
      </c>
      <c r="J120" s="142" t="n">
        <f aca="false">VLOOKUP($A120,Table,MATCH(J$4,Curves,0))</f>
        <v>-0.0235</v>
      </c>
      <c r="K120" s="143" t="n">
        <f aca="false">J120</f>
        <v>-0.0235</v>
      </c>
      <c r="L120" s="144" t="n">
        <v>0</v>
      </c>
      <c r="M120" s="142" t="n">
        <f aca="false">VLOOKUP($A120,Table,MATCH(M$4,Curves,0))</f>
        <v>0.0075</v>
      </c>
      <c r="N120" s="143" t="n">
        <f aca="false">M120</f>
        <v>0.0075</v>
      </c>
      <c r="O120" s="144" t="n">
        <v>0</v>
      </c>
      <c r="P120" s="145"/>
      <c r="Q120" s="144" t="n">
        <f aca="false">M120+J120+G120</f>
        <v>3.971</v>
      </c>
      <c r="R120" s="144" t="n">
        <f aca="false">O120+L120+I120</f>
        <v>0</v>
      </c>
      <c r="S120" s="145"/>
      <c r="T120" s="71" t="n">
        <f aca="false">A121-A120</f>
        <v>30</v>
      </c>
      <c r="U120" s="146" t="n">
        <f aca="false">CHOOSE(F$3,A121+24,A120)</f>
        <v>40384</v>
      </c>
      <c r="V120" s="71" t="n">
        <f aca="false">U120-C$3</f>
        <v>3496</v>
      </c>
      <c r="W120" s="142" t="n">
        <f aca="false">VLOOKUP($A120,Table,MATCH(W$4,Curves,0))</f>
        <v>0.058966861357273</v>
      </c>
      <c r="X120" s="147" t="n">
        <f aca="false">1/(1+CHOOSE(F$3,(W121+($K$3/10000))/2,(W120+($K$3/10000))/2))^(2*V120/365.25)</f>
        <v>0.573359357480596</v>
      </c>
      <c r="Y120" s="71" t="n">
        <f aca="false">IF(AND(mthbeg&lt;=A120,mthend&gt;=A120),1,0)</f>
        <v>0</v>
      </c>
      <c r="Z120" s="71" t="n">
        <f aca="false">T120*Y120</f>
        <v>0</v>
      </c>
      <c r="AB120" s="132" t="n">
        <f aca="false">F120*G120</f>
        <v>0</v>
      </c>
      <c r="AC120" s="132" t="n">
        <f aca="false">$F120*H120</f>
        <v>0</v>
      </c>
      <c r="AD120" s="132" t="n">
        <f aca="false">$F120*I120</f>
        <v>0</v>
      </c>
      <c r="AE120" s="132" t="n">
        <f aca="false">$F120*J120</f>
        <v>-0</v>
      </c>
      <c r="AF120" s="132" t="n">
        <f aca="false">$F120*K120</f>
        <v>-0</v>
      </c>
      <c r="AG120" s="132" t="n">
        <f aca="false">$F120*L120</f>
        <v>0</v>
      </c>
      <c r="AH120" s="132" t="n">
        <f aca="false">$F120*M120</f>
        <v>0</v>
      </c>
      <c r="AI120" s="132" t="n">
        <f aca="false">$F120*N120</f>
        <v>0</v>
      </c>
      <c r="AJ120" s="132" t="n">
        <f aca="false">F120*O120</f>
        <v>0</v>
      </c>
      <c r="AK120" s="137"/>
      <c r="AL120" s="132" t="n">
        <f aca="false">CHOOSE($G$3,AC120-AD120,AD120-AC120)</f>
        <v>0</v>
      </c>
      <c r="AM120" s="132" t="n">
        <f aca="false">CHOOSE($G$3,AF120-AG120,AG120-AF120)</f>
        <v>0</v>
      </c>
      <c r="AN120" s="132" t="n">
        <f aca="false">CHOOSE($G$3,AI120-AJ120,AJ120-AI120)</f>
        <v>0</v>
      </c>
      <c r="AO120" s="148" t="n">
        <f aca="false">SUM(AL120:AN120)</f>
        <v>0</v>
      </c>
      <c r="AQ120" s="132" t="n">
        <f aca="false">CHOOSE($G$3,AB120-AC120,AC120-AB120)</f>
        <v>0</v>
      </c>
      <c r="AR120" s="132" t="n">
        <f aca="false">CHOOSE($G$3,AE120-AF120,AF120-AE120)</f>
        <v>0</v>
      </c>
      <c r="AS120" s="132" t="n">
        <f aca="false">CHOOSE($G$3,AH120-AI120,AI120-AH120)</f>
        <v>0</v>
      </c>
      <c r="AT120" s="148" t="n">
        <f aca="false">AQ120+AR120+AS120</f>
        <v>0</v>
      </c>
      <c r="AU120" s="148"/>
      <c r="AV120" s="133" t="n">
        <f aca="false">AT120+AO120</f>
        <v>0</v>
      </c>
      <c r="AX120" s="133" t="n">
        <f aca="false">AJ120+AG120+AD120</f>
        <v>0</v>
      </c>
      <c r="AY120" s="149"/>
      <c r="AZ120" s="76" t="n">
        <f aca="false">R120*E120</f>
        <v>0</v>
      </c>
    </row>
    <row r="121" customFormat="false" ht="12.75" hidden="false" customHeight="false" outlineLevel="0" collapsed="false">
      <c r="A121" s="138" t="n">
        <f aca="false">EDATE(A120,1)</f>
        <v>40360</v>
      </c>
      <c r="B121" s="139" t="n">
        <f aca="false">VLOOKUP($A121,Table2,MATCH(I$3,Curves2,0))</f>
        <v>0</v>
      </c>
      <c r="C121" s="140"/>
      <c r="D121" s="141" t="n">
        <f aca="false">B121+C121</f>
        <v>0</v>
      </c>
      <c r="E121" s="126" t="n">
        <f aca="false">IF(Y121=0,0,IF(AND(Y121=1,$H$3=1),D121*T121,IF($H$3=2,D121,"N/A")))</f>
        <v>0</v>
      </c>
      <c r="F121" s="126" t="n">
        <f aca="false">E121*X121</f>
        <v>0</v>
      </c>
      <c r="G121" s="142" t="n">
        <f aca="false">VLOOKUP($A121,Table,MATCH(G$4,Curves,0))</f>
        <v>3.987</v>
      </c>
      <c r="H121" s="143" t="n">
        <f aca="false">G121</f>
        <v>3.987</v>
      </c>
      <c r="I121" s="142" t="n">
        <f aca="false">VLOOKUP($A121,Table1,MATCH(I$3,Curves1,0))</f>
        <v>0</v>
      </c>
      <c r="J121" s="142" t="n">
        <f aca="false">VLOOKUP($A121,Table,MATCH(J$4,Curves,0))</f>
        <v>-0.0235</v>
      </c>
      <c r="K121" s="143" t="n">
        <f aca="false">J121</f>
        <v>-0.0235</v>
      </c>
      <c r="L121" s="144" t="n">
        <v>0</v>
      </c>
      <c r="M121" s="142" t="n">
        <f aca="false">VLOOKUP($A121,Table,MATCH(M$4,Curves,0))</f>
        <v>0.0075</v>
      </c>
      <c r="N121" s="143" t="n">
        <f aca="false">M121</f>
        <v>0.0075</v>
      </c>
      <c r="O121" s="144" t="n">
        <v>0</v>
      </c>
      <c r="P121" s="145"/>
      <c r="Q121" s="144" t="n">
        <f aca="false">M121+J121+G121</f>
        <v>3.971</v>
      </c>
      <c r="R121" s="144" t="n">
        <f aca="false">O121+L121+I121</f>
        <v>0</v>
      </c>
      <c r="S121" s="145"/>
      <c r="T121" s="71" t="n">
        <f aca="false">A122-A121</f>
        <v>31</v>
      </c>
      <c r="U121" s="146" t="n">
        <f aca="false">CHOOSE(F$3,A122+24,A121)</f>
        <v>40415</v>
      </c>
      <c r="V121" s="71" t="n">
        <f aca="false">U121-C$3</f>
        <v>3527</v>
      </c>
      <c r="W121" s="142" t="n">
        <f aca="false">VLOOKUP($A121,Table,MATCH(W$4,Curves,0))</f>
        <v>0.058966861357273</v>
      </c>
      <c r="X121" s="147" t="n">
        <f aca="false">1/(1+CHOOSE(F$3,(W122+($K$3/10000))/2,(W121+($K$3/10000))/2))^(2*V121/365.25)</f>
        <v>0.570538307246348</v>
      </c>
      <c r="Y121" s="71" t="n">
        <f aca="false">IF(AND(mthbeg&lt;=A121,mthend&gt;=A121),1,0)</f>
        <v>0</v>
      </c>
      <c r="Z121" s="71" t="n">
        <f aca="false">T121*Y121</f>
        <v>0</v>
      </c>
      <c r="AB121" s="132" t="n">
        <f aca="false">F121*G121</f>
        <v>0</v>
      </c>
      <c r="AC121" s="132" t="n">
        <f aca="false">$F121*H121</f>
        <v>0</v>
      </c>
      <c r="AD121" s="132" t="n">
        <f aca="false">$F121*I121</f>
        <v>0</v>
      </c>
      <c r="AE121" s="132" t="n">
        <f aca="false">$F121*J121</f>
        <v>-0</v>
      </c>
      <c r="AF121" s="132" t="n">
        <f aca="false">$F121*K121</f>
        <v>-0</v>
      </c>
      <c r="AG121" s="132" t="n">
        <f aca="false">$F121*L121</f>
        <v>0</v>
      </c>
      <c r="AH121" s="132" t="n">
        <f aca="false">$F121*M121</f>
        <v>0</v>
      </c>
      <c r="AI121" s="132" t="n">
        <f aca="false">$F121*N121</f>
        <v>0</v>
      </c>
      <c r="AJ121" s="132" t="n">
        <f aca="false">F121*O121</f>
        <v>0</v>
      </c>
      <c r="AK121" s="137"/>
      <c r="AL121" s="132" t="n">
        <f aca="false">CHOOSE($G$3,AC121-AD121,AD121-AC121)</f>
        <v>0</v>
      </c>
      <c r="AM121" s="132" t="n">
        <f aca="false">CHOOSE($G$3,AF121-AG121,AG121-AF121)</f>
        <v>0</v>
      </c>
      <c r="AN121" s="132" t="n">
        <f aca="false">CHOOSE($G$3,AI121-AJ121,AJ121-AI121)</f>
        <v>0</v>
      </c>
      <c r="AO121" s="148" t="n">
        <f aca="false">SUM(AL121:AN121)</f>
        <v>0</v>
      </c>
      <c r="AQ121" s="132" t="n">
        <f aca="false">CHOOSE($G$3,AB121-AC121,AC121-AB121)</f>
        <v>0</v>
      </c>
      <c r="AR121" s="132" t="n">
        <f aca="false">CHOOSE($G$3,AE121-AF121,AF121-AE121)</f>
        <v>0</v>
      </c>
      <c r="AS121" s="132" t="n">
        <f aca="false">CHOOSE($G$3,AH121-AI121,AI121-AH121)</f>
        <v>0</v>
      </c>
      <c r="AT121" s="148" t="n">
        <f aca="false">AQ121+AR121+AS121</f>
        <v>0</v>
      </c>
      <c r="AU121" s="148"/>
      <c r="AV121" s="133" t="n">
        <f aca="false">AT121+AO121</f>
        <v>0</v>
      </c>
      <c r="AX121" s="133" t="n">
        <f aca="false">AJ121+AG121+AD121</f>
        <v>0</v>
      </c>
      <c r="AY121" s="149"/>
      <c r="AZ121" s="76" t="n">
        <f aca="false">R121*E121</f>
        <v>0</v>
      </c>
    </row>
    <row r="122" customFormat="false" ht="12.75" hidden="false" customHeight="false" outlineLevel="0" collapsed="false">
      <c r="A122" s="138" t="n">
        <f aca="false">EDATE(A121,1)</f>
        <v>40391</v>
      </c>
      <c r="B122" s="139" t="n">
        <f aca="false">VLOOKUP($A122,Table2,MATCH(I$3,Curves2,0))</f>
        <v>0</v>
      </c>
      <c r="C122" s="140"/>
      <c r="D122" s="141" t="n">
        <f aca="false">B122+C122</f>
        <v>0</v>
      </c>
      <c r="E122" s="126" t="n">
        <f aca="false">IF(Y122=0,0,IF(AND(Y122=1,$H$3=1),D122*T122,IF($H$3=2,D122,"N/A")))</f>
        <v>0</v>
      </c>
      <c r="F122" s="126" t="n">
        <f aca="false">E122*X122</f>
        <v>0</v>
      </c>
      <c r="G122" s="142" t="n">
        <f aca="false">VLOOKUP($A122,Table,MATCH(G$4,Curves,0))</f>
        <v>3.987</v>
      </c>
      <c r="H122" s="143" t="n">
        <f aca="false">G122</f>
        <v>3.987</v>
      </c>
      <c r="I122" s="142" t="n">
        <f aca="false">VLOOKUP($A122,Table1,MATCH(I$3,Curves1,0))</f>
        <v>0</v>
      </c>
      <c r="J122" s="142" t="n">
        <f aca="false">VLOOKUP($A122,Table,MATCH(J$4,Curves,0))</f>
        <v>-0.0235</v>
      </c>
      <c r="K122" s="143" t="n">
        <f aca="false">J122</f>
        <v>-0.0235</v>
      </c>
      <c r="L122" s="144" t="n">
        <v>0</v>
      </c>
      <c r="M122" s="142" t="n">
        <f aca="false">VLOOKUP($A122,Table,MATCH(M$4,Curves,0))</f>
        <v>0.0075</v>
      </c>
      <c r="N122" s="143" t="n">
        <f aca="false">M122</f>
        <v>0.0075</v>
      </c>
      <c r="O122" s="144" t="n">
        <v>0</v>
      </c>
      <c r="P122" s="145"/>
      <c r="Q122" s="144" t="n">
        <f aca="false">M122+J122+G122</f>
        <v>3.971</v>
      </c>
      <c r="R122" s="144" t="n">
        <f aca="false">O122+L122+I122</f>
        <v>0</v>
      </c>
      <c r="S122" s="145"/>
      <c r="T122" s="71" t="n">
        <f aca="false">A123-A122</f>
        <v>31</v>
      </c>
      <c r="U122" s="146" t="n">
        <f aca="false">CHOOSE(F$3,A123+24,A122)</f>
        <v>40446</v>
      </c>
      <c r="V122" s="71" t="n">
        <f aca="false">U122-C$3</f>
        <v>3558</v>
      </c>
      <c r="W122" s="142" t="n">
        <f aca="false">VLOOKUP($A122,Table,MATCH(W$4,Curves,0))</f>
        <v>0.058966861357273</v>
      </c>
      <c r="X122" s="147" t="n">
        <f aca="false">1/(1+CHOOSE(F$3,(W123+($K$3/10000))/2,(W122+($K$3/10000))/2))^(2*V122/365.25)</f>
        <v>0.56773113718048</v>
      </c>
      <c r="Y122" s="71" t="n">
        <f aca="false">IF(AND(mthbeg&lt;=A122,mthend&gt;=A122),1,0)</f>
        <v>0</v>
      </c>
      <c r="Z122" s="71" t="n">
        <f aca="false">T122*Y122</f>
        <v>0</v>
      </c>
      <c r="AB122" s="132" t="n">
        <f aca="false">F122*G122</f>
        <v>0</v>
      </c>
      <c r="AC122" s="132" t="n">
        <f aca="false">$F122*H122</f>
        <v>0</v>
      </c>
      <c r="AD122" s="132" t="n">
        <f aca="false">$F122*I122</f>
        <v>0</v>
      </c>
      <c r="AE122" s="132" t="n">
        <f aca="false">$F122*J122</f>
        <v>-0</v>
      </c>
      <c r="AF122" s="132" t="n">
        <f aca="false">$F122*K122</f>
        <v>-0</v>
      </c>
      <c r="AG122" s="132" t="n">
        <f aca="false">$F122*L122</f>
        <v>0</v>
      </c>
      <c r="AH122" s="132" t="n">
        <f aca="false">$F122*M122</f>
        <v>0</v>
      </c>
      <c r="AI122" s="132" t="n">
        <f aca="false">$F122*N122</f>
        <v>0</v>
      </c>
      <c r="AJ122" s="132" t="n">
        <f aca="false">F122*O122</f>
        <v>0</v>
      </c>
      <c r="AK122" s="137"/>
      <c r="AL122" s="132" t="n">
        <f aca="false">CHOOSE($G$3,AC122-AD122,AD122-AC122)</f>
        <v>0</v>
      </c>
      <c r="AM122" s="132" t="n">
        <f aca="false">CHOOSE($G$3,AF122-AG122,AG122-AF122)</f>
        <v>0</v>
      </c>
      <c r="AN122" s="132" t="n">
        <f aca="false">CHOOSE($G$3,AI122-AJ122,AJ122-AI122)</f>
        <v>0</v>
      </c>
      <c r="AO122" s="148" t="n">
        <f aca="false">SUM(AL122:AN122)</f>
        <v>0</v>
      </c>
      <c r="AQ122" s="132" t="n">
        <f aca="false">CHOOSE($G$3,AB122-AC122,AC122-AB122)</f>
        <v>0</v>
      </c>
      <c r="AR122" s="132" t="n">
        <f aca="false">CHOOSE($G$3,AE122-AF122,AF122-AE122)</f>
        <v>0</v>
      </c>
      <c r="AS122" s="132" t="n">
        <f aca="false">CHOOSE($G$3,AH122-AI122,AI122-AH122)</f>
        <v>0</v>
      </c>
      <c r="AT122" s="148" t="n">
        <f aca="false">AQ122+AR122+AS122</f>
        <v>0</v>
      </c>
      <c r="AU122" s="148"/>
      <c r="AV122" s="133" t="n">
        <f aca="false">AT122+AO122</f>
        <v>0</v>
      </c>
      <c r="AX122" s="133" t="n">
        <f aca="false">AJ122+AG122+AD122</f>
        <v>0</v>
      </c>
      <c r="AY122" s="149"/>
      <c r="AZ122" s="76" t="n">
        <f aca="false">R122*E122</f>
        <v>0</v>
      </c>
    </row>
    <row r="123" customFormat="false" ht="12.75" hidden="false" customHeight="false" outlineLevel="0" collapsed="false">
      <c r="A123" s="138" t="n">
        <f aca="false">EDATE(A122,1)</f>
        <v>40422</v>
      </c>
      <c r="B123" s="139" t="n">
        <f aca="false">VLOOKUP($A123,Table2,MATCH(I$3,Curves2,0))</f>
        <v>0</v>
      </c>
      <c r="C123" s="140"/>
      <c r="D123" s="141" t="n">
        <f aca="false">B123+C123</f>
        <v>0</v>
      </c>
      <c r="E123" s="126" t="n">
        <f aca="false">IF(Y123=0,0,IF(AND(Y123=1,$H$3=1),D123*T123,IF($H$3=2,D123,"N/A")))</f>
        <v>0</v>
      </c>
      <c r="F123" s="126" t="n">
        <f aca="false">E123*X123</f>
        <v>0</v>
      </c>
      <c r="G123" s="142" t="n">
        <f aca="false">VLOOKUP($A123,Table,MATCH(G$4,Curves,0))</f>
        <v>3.987</v>
      </c>
      <c r="H123" s="143" t="n">
        <f aca="false">G123</f>
        <v>3.987</v>
      </c>
      <c r="I123" s="142" t="n">
        <f aca="false">VLOOKUP($A123,Table1,MATCH(I$3,Curves1,0))</f>
        <v>0</v>
      </c>
      <c r="J123" s="142" t="n">
        <f aca="false">VLOOKUP($A123,Table,MATCH(J$4,Curves,0))</f>
        <v>-0.0235</v>
      </c>
      <c r="K123" s="143" t="n">
        <f aca="false">J123</f>
        <v>-0.0235</v>
      </c>
      <c r="L123" s="144" t="n">
        <v>0</v>
      </c>
      <c r="M123" s="142" t="n">
        <f aca="false">VLOOKUP($A123,Table,MATCH(M$4,Curves,0))</f>
        <v>0.0075</v>
      </c>
      <c r="N123" s="143" t="n">
        <f aca="false">M123</f>
        <v>0.0075</v>
      </c>
      <c r="O123" s="144" t="n">
        <v>0</v>
      </c>
      <c r="P123" s="145"/>
      <c r="Q123" s="144" t="n">
        <f aca="false">M123+J123+G123</f>
        <v>3.971</v>
      </c>
      <c r="R123" s="144" t="n">
        <f aca="false">O123+L123+I123</f>
        <v>0</v>
      </c>
      <c r="S123" s="145"/>
      <c r="T123" s="71" t="n">
        <f aca="false">A124-A123</f>
        <v>30</v>
      </c>
      <c r="U123" s="146" t="n">
        <f aca="false">CHOOSE(F$3,A124+24,A123)</f>
        <v>40476</v>
      </c>
      <c r="V123" s="71" t="n">
        <f aca="false">U123-C$3</f>
        <v>3588</v>
      </c>
      <c r="W123" s="142" t="n">
        <f aca="false">VLOOKUP($A123,Table,MATCH(W$4,Curves,0))</f>
        <v>0.058966861357273</v>
      </c>
      <c r="X123" s="147" t="n">
        <f aca="false">1/(1+CHOOSE(F$3,(W124+($K$3/10000))/2,(W123+($K$3/10000))/2))^(2*V123/365.25)</f>
        <v>0.565027672428997</v>
      </c>
      <c r="Y123" s="71" t="n">
        <f aca="false">IF(AND(mthbeg&lt;=A123,mthend&gt;=A123),1,0)</f>
        <v>0</v>
      </c>
      <c r="Z123" s="71" t="n">
        <f aca="false">T123*Y123</f>
        <v>0</v>
      </c>
      <c r="AB123" s="132" t="n">
        <f aca="false">F123*G123</f>
        <v>0</v>
      </c>
      <c r="AC123" s="132" t="n">
        <f aca="false">$F123*H123</f>
        <v>0</v>
      </c>
      <c r="AD123" s="132" t="n">
        <f aca="false">$F123*I123</f>
        <v>0</v>
      </c>
      <c r="AE123" s="132" t="n">
        <f aca="false">$F123*J123</f>
        <v>-0</v>
      </c>
      <c r="AF123" s="132" t="n">
        <f aca="false">$F123*K123</f>
        <v>-0</v>
      </c>
      <c r="AG123" s="132" t="n">
        <f aca="false">$F123*L123</f>
        <v>0</v>
      </c>
      <c r="AH123" s="132" t="n">
        <f aca="false">$F123*M123</f>
        <v>0</v>
      </c>
      <c r="AI123" s="132" t="n">
        <f aca="false">$F123*N123</f>
        <v>0</v>
      </c>
      <c r="AJ123" s="132" t="n">
        <f aca="false">F123*O123</f>
        <v>0</v>
      </c>
      <c r="AK123" s="137"/>
      <c r="AL123" s="132" t="n">
        <f aca="false">CHOOSE($G$3,AC123-AD123,AD123-AC123)</f>
        <v>0</v>
      </c>
      <c r="AM123" s="132" t="n">
        <f aca="false">CHOOSE($G$3,AF123-AG123,AG123-AF123)</f>
        <v>0</v>
      </c>
      <c r="AN123" s="132" t="n">
        <f aca="false">CHOOSE($G$3,AI123-AJ123,AJ123-AI123)</f>
        <v>0</v>
      </c>
      <c r="AO123" s="148" t="n">
        <f aca="false">SUM(AL123:AN123)</f>
        <v>0</v>
      </c>
      <c r="AQ123" s="132" t="n">
        <f aca="false">CHOOSE($G$3,AB123-AC123,AC123-AB123)</f>
        <v>0</v>
      </c>
      <c r="AR123" s="132" t="n">
        <f aca="false">CHOOSE($G$3,AE123-AF123,AF123-AE123)</f>
        <v>0</v>
      </c>
      <c r="AS123" s="132" t="n">
        <f aca="false">CHOOSE($G$3,AH123-AI123,AI123-AH123)</f>
        <v>0</v>
      </c>
      <c r="AT123" s="148" t="n">
        <f aca="false">AQ123+AR123+AS123</f>
        <v>0</v>
      </c>
      <c r="AU123" s="148"/>
      <c r="AV123" s="133" t="n">
        <f aca="false">AT123+AO123</f>
        <v>0</v>
      </c>
      <c r="AX123" s="133" t="n">
        <f aca="false">AJ123+AG123+AD123</f>
        <v>0</v>
      </c>
      <c r="AY123" s="149"/>
      <c r="AZ123" s="76" t="n">
        <f aca="false">R123*E123</f>
        <v>0</v>
      </c>
    </row>
    <row r="124" customFormat="false" ht="12.75" hidden="false" customHeight="false" outlineLevel="0" collapsed="false">
      <c r="A124" s="138" t="n">
        <f aca="false">EDATE(A123,1)</f>
        <v>40452</v>
      </c>
      <c r="B124" s="139" t="n">
        <f aca="false">VLOOKUP($A124,Table2,MATCH(I$3,Curves2,0))</f>
        <v>0</v>
      </c>
      <c r="C124" s="140"/>
      <c r="D124" s="141" t="n">
        <f aca="false">B124+C124</f>
        <v>0</v>
      </c>
      <c r="E124" s="126" t="n">
        <f aca="false">IF(Y124=0,0,IF(AND(Y124=1,$H$3=1),D124*T124,IF($H$3=2,D124,"N/A")))</f>
        <v>0</v>
      </c>
      <c r="F124" s="126" t="n">
        <f aca="false">E124*X124</f>
        <v>0</v>
      </c>
      <c r="G124" s="142" t="n">
        <f aca="false">VLOOKUP($A124,Table,MATCH(G$4,Curves,0))</f>
        <v>3.987</v>
      </c>
      <c r="H124" s="143" t="n">
        <f aca="false">G124</f>
        <v>3.987</v>
      </c>
      <c r="I124" s="142" t="n">
        <f aca="false">VLOOKUP($A124,Table1,MATCH(I$3,Curves1,0))</f>
        <v>0</v>
      </c>
      <c r="J124" s="142" t="n">
        <f aca="false">VLOOKUP($A124,Table,MATCH(J$4,Curves,0))</f>
        <v>-0.0235</v>
      </c>
      <c r="K124" s="143" t="n">
        <f aca="false">J124</f>
        <v>-0.0235</v>
      </c>
      <c r="L124" s="144" t="n">
        <v>0</v>
      </c>
      <c r="M124" s="142" t="n">
        <f aca="false">VLOOKUP($A124,Table,MATCH(M$4,Curves,0))</f>
        <v>0.0075</v>
      </c>
      <c r="N124" s="143" t="n">
        <f aca="false">M124</f>
        <v>0.0075</v>
      </c>
      <c r="O124" s="144" t="n">
        <v>0</v>
      </c>
      <c r="P124" s="145"/>
      <c r="Q124" s="144" t="n">
        <f aca="false">M124+J124+G124</f>
        <v>3.971</v>
      </c>
      <c r="R124" s="144" t="n">
        <f aca="false">O124+L124+I124</f>
        <v>0</v>
      </c>
      <c r="S124" s="145"/>
      <c r="T124" s="71" t="n">
        <f aca="false">A125-A124</f>
        <v>31</v>
      </c>
      <c r="U124" s="146" t="n">
        <f aca="false">CHOOSE(F$3,A125+24,A124)</f>
        <v>40507</v>
      </c>
      <c r="V124" s="71" t="n">
        <f aca="false">U124-C$3</f>
        <v>3619</v>
      </c>
      <c r="W124" s="142" t="n">
        <f aca="false">VLOOKUP($A124,Table,MATCH(W$4,Curves,0))</f>
        <v>0.058966861357273</v>
      </c>
      <c r="X124" s="147" t="n">
        <f aca="false">1/(1+CHOOSE(F$3,(W125+($K$3/10000))/2,(W124+($K$3/10000))/2))^(2*V124/365.25)</f>
        <v>0.562247615860867</v>
      </c>
      <c r="Y124" s="71" t="n">
        <f aca="false">IF(AND(mthbeg&lt;=A124,mthend&gt;=A124),1,0)</f>
        <v>0</v>
      </c>
      <c r="Z124" s="71" t="n">
        <f aca="false">T124*Y124</f>
        <v>0</v>
      </c>
      <c r="AB124" s="132" t="n">
        <f aca="false">F124*G124</f>
        <v>0</v>
      </c>
      <c r="AC124" s="132" t="n">
        <f aca="false">$F124*H124</f>
        <v>0</v>
      </c>
      <c r="AD124" s="132" t="n">
        <f aca="false">$F124*I124</f>
        <v>0</v>
      </c>
      <c r="AE124" s="132" t="n">
        <f aca="false">$F124*J124</f>
        <v>-0</v>
      </c>
      <c r="AF124" s="132" t="n">
        <f aca="false">$F124*K124</f>
        <v>-0</v>
      </c>
      <c r="AG124" s="132" t="n">
        <f aca="false">$F124*L124</f>
        <v>0</v>
      </c>
      <c r="AH124" s="132" t="n">
        <f aca="false">$F124*M124</f>
        <v>0</v>
      </c>
      <c r="AI124" s="132" t="n">
        <f aca="false">$F124*N124</f>
        <v>0</v>
      </c>
      <c r="AJ124" s="132" t="n">
        <f aca="false">F124*O124</f>
        <v>0</v>
      </c>
      <c r="AK124" s="137"/>
      <c r="AL124" s="132" t="n">
        <f aca="false">CHOOSE($G$3,AC124-AD124,AD124-AC124)</f>
        <v>0</v>
      </c>
      <c r="AM124" s="132" t="n">
        <f aca="false">CHOOSE($G$3,AF124-AG124,AG124-AF124)</f>
        <v>0</v>
      </c>
      <c r="AN124" s="132" t="n">
        <f aca="false">CHOOSE($G$3,AI124-AJ124,AJ124-AI124)</f>
        <v>0</v>
      </c>
      <c r="AO124" s="148" t="n">
        <f aca="false">SUM(AL124:AN124)</f>
        <v>0</v>
      </c>
      <c r="AQ124" s="132" t="n">
        <f aca="false">CHOOSE($G$3,AB124-AC124,AC124-AB124)</f>
        <v>0</v>
      </c>
      <c r="AR124" s="132" t="n">
        <f aca="false">CHOOSE($G$3,AE124-AF124,AF124-AE124)</f>
        <v>0</v>
      </c>
      <c r="AS124" s="132" t="n">
        <f aca="false">CHOOSE($G$3,AH124-AI124,AI124-AH124)</f>
        <v>0</v>
      </c>
      <c r="AT124" s="148" t="n">
        <f aca="false">AQ124+AR124+AS124</f>
        <v>0</v>
      </c>
      <c r="AU124" s="148"/>
      <c r="AV124" s="133" t="n">
        <f aca="false">AT124+AO124</f>
        <v>0</v>
      </c>
      <c r="AX124" s="133" t="n">
        <f aca="false">AJ124+AG124+AD124</f>
        <v>0</v>
      </c>
      <c r="AY124" s="149"/>
      <c r="AZ124" s="76" t="n">
        <f aca="false">R124*E124</f>
        <v>0</v>
      </c>
    </row>
    <row r="125" customFormat="false" ht="12.75" hidden="false" customHeight="false" outlineLevel="0" collapsed="false">
      <c r="A125" s="138" t="n">
        <f aca="false">EDATE(A124,1)</f>
        <v>40483</v>
      </c>
      <c r="B125" s="139" t="n">
        <f aca="false">VLOOKUP($A125,Table2,MATCH(I$3,Curves2,0))</f>
        <v>0</v>
      </c>
      <c r="C125" s="140"/>
      <c r="D125" s="141" t="n">
        <f aca="false">B125+C125</f>
        <v>0</v>
      </c>
      <c r="E125" s="126" t="n">
        <f aca="false">IF(Y125=0,0,IF(AND(Y125=1,$H$3=1),D125*T125,IF($H$3=2,D125,"N/A")))</f>
        <v>0</v>
      </c>
      <c r="F125" s="126" t="n">
        <f aca="false">E125*X125</f>
        <v>0</v>
      </c>
      <c r="G125" s="142" t="n">
        <f aca="false">VLOOKUP($A125,Table,MATCH(G$4,Curves,0))</f>
        <v>3.987</v>
      </c>
      <c r="H125" s="143" t="n">
        <f aca="false">G125</f>
        <v>3.987</v>
      </c>
      <c r="I125" s="142" t="n">
        <f aca="false">VLOOKUP($A125,Table1,MATCH(I$3,Curves1,0))</f>
        <v>0</v>
      </c>
      <c r="J125" s="142" t="n">
        <f aca="false">VLOOKUP($A125,Table,MATCH(J$4,Curves,0))</f>
        <v>-0.0235</v>
      </c>
      <c r="K125" s="143" t="n">
        <f aca="false">J125</f>
        <v>-0.0235</v>
      </c>
      <c r="L125" s="144" t="n">
        <v>0</v>
      </c>
      <c r="M125" s="142" t="n">
        <f aca="false">VLOOKUP($A125,Table,MATCH(M$4,Curves,0))</f>
        <v>0.0075</v>
      </c>
      <c r="N125" s="143" t="n">
        <f aca="false">M125</f>
        <v>0.0075</v>
      </c>
      <c r="O125" s="144" t="n">
        <v>0</v>
      </c>
      <c r="P125" s="145"/>
      <c r="Q125" s="144" t="n">
        <f aca="false">M125+J125+G125</f>
        <v>3.971</v>
      </c>
      <c r="R125" s="144" t="n">
        <f aca="false">O125+L125+I125</f>
        <v>0</v>
      </c>
      <c r="S125" s="145"/>
      <c r="T125" s="71" t="n">
        <f aca="false">A126-A125</f>
        <v>30</v>
      </c>
      <c r="U125" s="146" t="n">
        <f aca="false">CHOOSE(F$3,A126+24,A125)</f>
        <v>40537</v>
      </c>
      <c r="V125" s="71" t="n">
        <f aca="false">U125-C$3</f>
        <v>3649</v>
      </c>
      <c r="W125" s="142" t="n">
        <f aca="false">VLOOKUP($A125,Table,MATCH(W$4,Curves,0))</f>
        <v>0.058966861357273</v>
      </c>
      <c r="X125" s="147" t="n">
        <f aca="false">1/(1+CHOOSE(F$3,(W126+($K$3/10000))/2,(W125+($K$3/10000))/2))^(2*V125/365.25)</f>
        <v>0.55957026295288</v>
      </c>
      <c r="Y125" s="71" t="n">
        <f aca="false">IF(AND(mthbeg&lt;=A125,mthend&gt;=A125),1,0)</f>
        <v>0</v>
      </c>
      <c r="Z125" s="71" t="n">
        <f aca="false">T125*Y125</f>
        <v>0</v>
      </c>
      <c r="AB125" s="132" t="n">
        <f aca="false">F125*G125</f>
        <v>0</v>
      </c>
      <c r="AC125" s="132" t="n">
        <f aca="false">$F125*H125</f>
        <v>0</v>
      </c>
      <c r="AD125" s="132" t="n">
        <f aca="false">$F125*I125</f>
        <v>0</v>
      </c>
      <c r="AE125" s="132" t="n">
        <f aca="false">$F125*J125</f>
        <v>-0</v>
      </c>
      <c r="AF125" s="132" t="n">
        <f aca="false">$F125*K125</f>
        <v>-0</v>
      </c>
      <c r="AG125" s="132" t="n">
        <f aca="false">$F125*L125</f>
        <v>0</v>
      </c>
      <c r="AH125" s="132" t="n">
        <f aca="false">$F125*M125</f>
        <v>0</v>
      </c>
      <c r="AI125" s="132" t="n">
        <f aca="false">$F125*N125</f>
        <v>0</v>
      </c>
      <c r="AJ125" s="132" t="n">
        <f aca="false">F125*O125</f>
        <v>0</v>
      </c>
      <c r="AK125" s="137"/>
      <c r="AL125" s="132" t="n">
        <f aca="false">CHOOSE($G$3,AC125-AD125,AD125-AC125)</f>
        <v>0</v>
      </c>
      <c r="AM125" s="132" t="n">
        <f aca="false">CHOOSE($G$3,AF125-AG125,AG125-AF125)</f>
        <v>0</v>
      </c>
      <c r="AN125" s="132" t="n">
        <f aca="false">CHOOSE($G$3,AI125-AJ125,AJ125-AI125)</f>
        <v>0</v>
      </c>
      <c r="AO125" s="148" t="n">
        <f aca="false">SUM(AL125:AN125)</f>
        <v>0</v>
      </c>
      <c r="AQ125" s="132" t="n">
        <f aca="false">CHOOSE($G$3,AB125-AC125,AC125-AB125)</f>
        <v>0</v>
      </c>
      <c r="AR125" s="132" t="n">
        <f aca="false">CHOOSE($G$3,AE125-AF125,AF125-AE125)</f>
        <v>0</v>
      </c>
      <c r="AS125" s="132" t="n">
        <f aca="false">CHOOSE($G$3,AH125-AI125,AI125-AH125)</f>
        <v>0</v>
      </c>
      <c r="AT125" s="148" t="n">
        <f aca="false">AQ125+AR125+AS125</f>
        <v>0</v>
      </c>
      <c r="AU125" s="148"/>
      <c r="AV125" s="133" t="n">
        <f aca="false">AT125+AO125</f>
        <v>0</v>
      </c>
      <c r="AX125" s="133" t="n">
        <f aca="false">AJ125+AG125+AD125</f>
        <v>0</v>
      </c>
      <c r="AY125" s="149"/>
      <c r="AZ125" s="76" t="n">
        <f aca="false">R125*E125</f>
        <v>0</v>
      </c>
    </row>
    <row r="126" customFormat="false" ht="12.75" hidden="false" customHeight="false" outlineLevel="0" collapsed="false">
      <c r="A126" s="138" t="n">
        <f aca="false">EDATE(A125,1)</f>
        <v>40513</v>
      </c>
      <c r="B126" s="139" t="n">
        <f aca="false">VLOOKUP($A126,Table2,MATCH(I$3,Curves2,0))</f>
        <v>0</v>
      </c>
      <c r="C126" s="140"/>
      <c r="D126" s="141" t="n">
        <f aca="false">B126+C126</f>
        <v>0</v>
      </c>
      <c r="E126" s="126" t="n">
        <f aca="false">IF(Y126=0,0,IF(AND(Y126=1,$H$3=1),D126*T126,IF($H$3=2,D126,"N/A")))</f>
        <v>0</v>
      </c>
      <c r="F126" s="126" t="n">
        <f aca="false">E126*X126</f>
        <v>0</v>
      </c>
      <c r="G126" s="142" t="n">
        <f aca="false">VLOOKUP($A126,Table,MATCH(G$4,Curves,0))</f>
        <v>3.987</v>
      </c>
      <c r="H126" s="143" t="n">
        <f aca="false">G126</f>
        <v>3.987</v>
      </c>
      <c r="I126" s="142" t="n">
        <f aca="false">VLOOKUP($A126,Table1,MATCH(I$3,Curves1,0))</f>
        <v>0</v>
      </c>
      <c r="J126" s="142" t="n">
        <f aca="false">VLOOKUP($A126,Table,MATCH(J$4,Curves,0))</f>
        <v>-0.0235</v>
      </c>
      <c r="K126" s="143" t="n">
        <f aca="false">J126</f>
        <v>-0.0235</v>
      </c>
      <c r="L126" s="144" t="n">
        <v>0</v>
      </c>
      <c r="M126" s="142" t="n">
        <f aca="false">VLOOKUP($A126,Table,MATCH(M$4,Curves,0))</f>
        <v>0.0075</v>
      </c>
      <c r="N126" s="143" t="n">
        <f aca="false">M126</f>
        <v>0.0075</v>
      </c>
      <c r="O126" s="144" t="n">
        <v>0</v>
      </c>
      <c r="P126" s="145"/>
      <c r="Q126" s="144" t="n">
        <f aca="false">M126+J126+G126</f>
        <v>3.971</v>
      </c>
      <c r="R126" s="144" t="n">
        <f aca="false">O126+L126+I126</f>
        <v>0</v>
      </c>
      <c r="S126" s="145"/>
      <c r="T126" s="71" t="n">
        <f aca="false">A127-A126</f>
        <v>31</v>
      </c>
      <c r="U126" s="146" t="n">
        <f aca="false">CHOOSE(F$3,A127+24,A126)</f>
        <v>40568</v>
      </c>
      <c r="V126" s="71" t="n">
        <f aca="false">U126-C$3</f>
        <v>3680</v>
      </c>
      <c r="W126" s="142" t="n">
        <f aca="false">VLOOKUP($A126,Table,MATCH(W$4,Curves,0))</f>
        <v>0.058966861357273</v>
      </c>
      <c r="X126" s="147" t="n">
        <f aca="false">1/(1+CHOOSE(F$3,(W127+($K$3/10000))/2,(W126+($K$3/10000))/2))^(2*V126/365.25)</f>
        <v>0.556817058002466</v>
      </c>
      <c r="Y126" s="71" t="n">
        <f aca="false">IF(AND(mthbeg&lt;=A126,mthend&gt;=A126),1,0)</f>
        <v>0</v>
      </c>
      <c r="Z126" s="71" t="n">
        <f aca="false">T126*Y126</f>
        <v>0</v>
      </c>
      <c r="AB126" s="132" t="n">
        <f aca="false">F126*G126</f>
        <v>0</v>
      </c>
      <c r="AC126" s="132" t="n">
        <f aca="false">$F126*H126</f>
        <v>0</v>
      </c>
      <c r="AD126" s="132" t="n">
        <f aca="false">$F126*I126</f>
        <v>0</v>
      </c>
      <c r="AE126" s="132" t="n">
        <f aca="false">$F126*J126</f>
        <v>-0</v>
      </c>
      <c r="AF126" s="132" t="n">
        <f aca="false">$F126*K126</f>
        <v>-0</v>
      </c>
      <c r="AG126" s="132" t="n">
        <f aca="false">$F126*L126</f>
        <v>0</v>
      </c>
      <c r="AH126" s="132" t="n">
        <f aca="false">$F126*M126</f>
        <v>0</v>
      </c>
      <c r="AI126" s="132" t="n">
        <f aca="false">$F126*N126</f>
        <v>0</v>
      </c>
      <c r="AJ126" s="132" t="n">
        <f aca="false">F126*O126</f>
        <v>0</v>
      </c>
      <c r="AK126" s="137"/>
      <c r="AL126" s="132" t="n">
        <f aca="false">CHOOSE($G$3,AC126-AD126,AD126-AC126)</f>
        <v>0</v>
      </c>
      <c r="AM126" s="132" t="n">
        <f aca="false">CHOOSE($G$3,AF126-AG126,AG126-AF126)</f>
        <v>0</v>
      </c>
      <c r="AN126" s="132" t="n">
        <f aca="false">CHOOSE($G$3,AI126-AJ126,AJ126-AI126)</f>
        <v>0</v>
      </c>
      <c r="AO126" s="148" t="n">
        <f aca="false">SUM(AL126:AN126)</f>
        <v>0</v>
      </c>
      <c r="AQ126" s="132" t="n">
        <f aca="false">CHOOSE($G$3,AB126-AC126,AC126-AB126)</f>
        <v>0</v>
      </c>
      <c r="AR126" s="132" t="n">
        <f aca="false">CHOOSE($G$3,AE126-AF126,AF126-AE126)</f>
        <v>0</v>
      </c>
      <c r="AS126" s="132" t="n">
        <f aca="false">CHOOSE($G$3,AH126-AI126,AI126-AH126)</f>
        <v>0</v>
      </c>
      <c r="AT126" s="148" t="n">
        <f aca="false">AQ126+AR126+AS126</f>
        <v>0</v>
      </c>
      <c r="AU126" s="148"/>
      <c r="AV126" s="133" t="n">
        <f aca="false">AT126+AO126</f>
        <v>0</v>
      </c>
      <c r="AX126" s="133" t="n">
        <f aca="false">AJ126+AG126+AD126</f>
        <v>0</v>
      </c>
      <c r="AY126" s="149"/>
      <c r="AZ126" s="76" t="n">
        <f aca="false">R126*E126</f>
        <v>0</v>
      </c>
    </row>
    <row r="127" customFormat="false" ht="12.75" hidden="false" customHeight="false" outlineLevel="0" collapsed="false">
      <c r="A127" s="138" t="n">
        <f aca="false">EDATE(A126,1)</f>
        <v>40544</v>
      </c>
      <c r="B127" s="139" t="n">
        <f aca="false">VLOOKUP($A127,Table2,MATCH(I$3,Curves2,0))</f>
        <v>0</v>
      </c>
      <c r="C127" s="140"/>
      <c r="D127" s="141" t="n">
        <f aca="false">B127+C127</f>
        <v>0</v>
      </c>
      <c r="E127" s="126" t="n">
        <f aca="false">IF(Y127=0,0,IF(AND(Y127=1,$H$3=1),D127*T127,IF($H$3=2,D127,"N/A")))</f>
        <v>0</v>
      </c>
      <c r="F127" s="126" t="n">
        <f aca="false">E127*X127</f>
        <v>0</v>
      </c>
      <c r="G127" s="142" t="n">
        <f aca="false">VLOOKUP($A127,Table,MATCH(G$4,Curves,0))</f>
        <v>3.987</v>
      </c>
      <c r="H127" s="143" t="n">
        <f aca="false">G127</f>
        <v>3.987</v>
      </c>
      <c r="I127" s="142" t="n">
        <f aca="false">VLOOKUP($A127,Table1,MATCH(I$3,Curves1,0))</f>
        <v>0</v>
      </c>
      <c r="J127" s="142" t="n">
        <f aca="false">VLOOKUP($A127,Table,MATCH(J$4,Curves,0))</f>
        <v>-0.0235</v>
      </c>
      <c r="K127" s="143" t="n">
        <f aca="false">J127</f>
        <v>-0.0235</v>
      </c>
      <c r="L127" s="144" t="n">
        <v>0</v>
      </c>
      <c r="M127" s="142" t="n">
        <f aca="false">VLOOKUP($A127,Table,MATCH(M$4,Curves,0))</f>
        <v>0.0075</v>
      </c>
      <c r="N127" s="143" t="n">
        <f aca="false">M127</f>
        <v>0.0075</v>
      </c>
      <c r="O127" s="144" t="n">
        <v>0</v>
      </c>
      <c r="P127" s="145"/>
      <c r="Q127" s="144" t="n">
        <f aca="false">M127+J127+G127</f>
        <v>3.971</v>
      </c>
      <c r="R127" s="144" t="n">
        <f aca="false">O127+L127+I127</f>
        <v>0</v>
      </c>
      <c r="S127" s="145"/>
      <c r="T127" s="71" t="n">
        <f aca="false">A128-A127</f>
        <v>31</v>
      </c>
      <c r="U127" s="146" t="n">
        <f aca="false">CHOOSE(F$3,A128+24,A127)</f>
        <v>40599</v>
      </c>
      <c r="V127" s="71" t="n">
        <f aca="false">U127-C$3</f>
        <v>3711</v>
      </c>
      <c r="W127" s="142" t="n">
        <f aca="false">VLOOKUP($A127,Table,MATCH(W$4,Curves,0))</f>
        <v>0.058966861357273</v>
      </c>
      <c r="X127" s="147" t="n">
        <f aca="false">1/(1+CHOOSE(F$3,(W128+($K$3/10000))/2,(W127+($K$3/10000))/2))^(2*V127/365.25)</f>
        <v>0.554077399407176</v>
      </c>
      <c r="Y127" s="71" t="n">
        <f aca="false">IF(AND(mthbeg&lt;=A127,mthend&gt;=A127),1,0)</f>
        <v>0</v>
      </c>
      <c r="Z127" s="71" t="n">
        <f aca="false">T127*Y127</f>
        <v>0</v>
      </c>
      <c r="AB127" s="132" t="n">
        <f aca="false">F127*G127</f>
        <v>0</v>
      </c>
      <c r="AC127" s="132" t="n">
        <f aca="false">$F127*H127</f>
        <v>0</v>
      </c>
      <c r="AD127" s="132" t="n">
        <f aca="false">$F127*I127</f>
        <v>0</v>
      </c>
      <c r="AE127" s="132" t="n">
        <f aca="false">$F127*J127</f>
        <v>-0</v>
      </c>
      <c r="AF127" s="132" t="n">
        <f aca="false">$F127*K127</f>
        <v>-0</v>
      </c>
      <c r="AG127" s="132" t="n">
        <f aca="false">$F127*L127</f>
        <v>0</v>
      </c>
      <c r="AH127" s="132" t="n">
        <f aca="false">$F127*M127</f>
        <v>0</v>
      </c>
      <c r="AI127" s="132" t="n">
        <f aca="false">$F127*N127</f>
        <v>0</v>
      </c>
      <c r="AJ127" s="132" t="n">
        <f aca="false">F127*O127</f>
        <v>0</v>
      </c>
      <c r="AK127" s="137"/>
      <c r="AL127" s="132" t="n">
        <f aca="false">CHOOSE($G$3,AC127-AD127,AD127-AC127)</f>
        <v>0</v>
      </c>
      <c r="AM127" s="132" t="n">
        <f aca="false">CHOOSE($G$3,AF127-AG127,AG127-AF127)</f>
        <v>0</v>
      </c>
      <c r="AN127" s="132" t="n">
        <f aca="false">CHOOSE($G$3,AI127-AJ127,AJ127-AI127)</f>
        <v>0</v>
      </c>
      <c r="AO127" s="148" t="n">
        <f aca="false">SUM(AL127:AN127)</f>
        <v>0</v>
      </c>
      <c r="AQ127" s="132" t="n">
        <f aca="false">CHOOSE($G$3,AB127-AC127,AC127-AB127)</f>
        <v>0</v>
      </c>
      <c r="AR127" s="132" t="n">
        <f aca="false">CHOOSE($G$3,AE127-AF127,AF127-AE127)</f>
        <v>0</v>
      </c>
      <c r="AS127" s="132" t="n">
        <f aca="false">CHOOSE($G$3,AH127-AI127,AI127-AH127)</f>
        <v>0</v>
      </c>
      <c r="AT127" s="148" t="n">
        <f aca="false">AQ127+AR127+AS127</f>
        <v>0</v>
      </c>
      <c r="AU127" s="148"/>
      <c r="AV127" s="133" t="n">
        <f aca="false">AT127+AO127</f>
        <v>0</v>
      </c>
      <c r="AX127" s="133" t="n">
        <f aca="false">AJ127+AG127+AD127</f>
        <v>0</v>
      </c>
      <c r="AY127" s="149"/>
      <c r="AZ127" s="76" t="n">
        <f aca="false">R127*E127</f>
        <v>0</v>
      </c>
    </row>
    <row r="128" customFormat="false" ht="12.75" hidden="false" customHeight="false" outlineLevel="0" collapsed="false">
      <c r="A128" s="138" t="n">
        <f aca="false">EDATE(A127,1)</f>
        <v>40575</v>
      </c>
      <c r="B128" s="139" t="n">
        <f aca="false">VLOOKUP($A128,Table2,MATCH(I$3,Curves2,0))</f>
        <v>0</v>
      </c>
      <c r="C128" s="140"/>
      <c r="D128" s="141" t="n">
        <f aca="false">B128+C128</f>
        <v>0</v>
      </c>
      <c r="E128" s="126" t="n">
        <f aca="false">IF(Y128=0,0,IF(AND(Y128=1,$H$3=1),D128*T128,IF($H$3=2,D128,"N/A")))</f>
        <v>0</v>
      </c>
      <c r="F128" s="126" t="n">
        <f aca="false">E128*X128</f>
        <v>0</v>
      </c>
      <c r="G128" s="142" t="n">
        <f aca="false">VLOOKUP($A128,Table,MATCH(G$4,Curves,0))</f>
        <v>3.987</v>
      </c>
      <c r="H128" s="143" t="n">
        <f aca="false">G128</f>
        <v>3.987</v>
      </c>
      <c r="I128" s="142" t="n">
        <f aca="false">VLOOKUP($A128,Table1,MATCH(I$3,Curves1,0))</f>
        <v>0</v>
      </c>
      <c r="J128" s="142" t="n">
        <f aca="false">VLOOKUP($A128,Table,MATCH(J$4,Curves,0))</f>
        <v>-0.0235</v>
      </c>
      <c r="K128" s="143" t="n">
        <f aca="false">J128</f>
        <v>-0.0235</v>
      </c>
      <c r="L128" s="144" t="n">
        <v>0</v>
      </c>
      <c r="M128" s="142" t="n">
        <f aca="false">VLOOKUP($A128,Table,MATCH(M$4,Curves,0))</f>
        <v>0.0075</v>
      </c>
      <c r="N128" s="143" t="n">
        <f aca="false">M128</f>
        <v>0.0075</v>
      </c>
      <c r="O128" s="144" t="n">
        <v>0</v>
      </c>
      <c r="P128" s="145"/>
      <c r="Q128" s="144" t="n">
        <f aca="false">M128+J128+G128</f>
        <v>3.971</v>
      </c>
      <c r="R128" s="144" t="n">
        <f aca="false">O128+L128+I128</f>
        <v>0</v>
      </c>
      <c r="S128" s="145"/>
      <c r="T128" s="71" t="n">
        <f aca="false">A129-A128</f>
        <v>28</v>
      </c>
      <c r="U128" s="146" t="n">
        <f aca="false">CHOOSE(F$3,A129+24,A128)</f>
        <v>40627</v>
      </c>
      <c r="V128" s="71" t="n">
        <f aca="false">U128-C$3</f>
        <v>3739</v>
      </c>
      <c r="W128" s="142" t="n">
        <f aca="false">VLOOKUP($A128,Table,MATCH(W$4,Curves,0))</f>
        <v>0.058966861357273</v>
      </c>
      <c r="X128" s="147" t="n">
        <f aca="false">1/(1+CHOOSE(F$3,(W129+($K$3/10000))/2,(W128+($K$3/10000))/2))^(2*V128/365.25)</f>
        <v>0.551614456997717</v>
      </c>
      <c r="Y128" s="71" t="n">
        <f aca="false">IF(AND(mthbeg&lt;=A128,mthend&gt;=A128),1,0)</f>
        <v>0</v>
      </c>
      <c r="Z128" s="71" t="n">
        <f aca="false">T128*Y128</f>
        <v>0</v>
      </c>
      <c r="AB128" s="132" t="n">
        <f aca="false">F128*G128</f>
        <v>0</v>
      </c>
      <c r="AC128" s="132" t="n">
        <f aca="false">$F128*H128</f>
        <v>0</v>
      </c>
      <c r="AD128" s="132" t="n">
        <f aca="false">$F128*I128</f>
        <v>0</v>
      </c>
      <c r="AE128" s="132" t="n">
        <f aca="false">$F128*J128</f>
        <v>-0</v>
      </c>
      <c r="AF128" s="132" t="n">
        <f aca="false">$F128*K128</f>
        <v>-0</v>
      </c>
      <c r="AG128" s="132" t="n">
        <f aca="false">$F128*L128</f>
        <v>0</v>
      </c>
      <c r="AH128" s="132" t="n">
        <f aca="false">$F128*M128</f>
        <v>0</v>
      </c>
      <c r="AI128" s="132" t="n">
        <f aca="false">$F128*N128</f>
        <v>0</v>
      </c>
      <c r="AJ128" s="132" t="n">
        <f aca="false">F128*O128</f>
        <v>0</v>
      </c>
      <c r="AK128" s="137"/>
      <c r="AL128" s="132" t="n">
        <f aca="false">CHOOSE($G$3,AC128-AD128,AD128-AC128)</f>
        <v>0</v>
      </c>
      <c r="AM128" s="132" t="n">
        <f aca="false">CHOOSE($G$3,AF128-AG128,AG128-AF128)</f>
        <v>0</v>
      </c>
      <c r="AN128" s="132" t="n">
        <f aca="false">CHOOSE($G$3,AI128-AJ128,AJ128-AI128)</f>
        <v>0</v>
      </c>
      <c r="AO128" s="148" t="n">
        <f aca="false">SUM(AL128:AN128)</f>
        <v>0</v>
      </c>
      <c r="AQ128" s="132" t="n">
        <f aca="false">CHOOSE($G$3,AB128-AC128,AC128-AB128)</f>
        <v>0</v>
      </c>
      <c r="AR128" s="132" t="n">
        <f aca="false">CHOOSE($G$3,AE128-AF128,AF128-AE128)</f>
        <v>0</v>
      </c>
      <c r="AS128" s="132" t="n">
        <f aca="false">CHOOSE($G$3,AH128-AI128,AI128-AH128)</f>
        <v>0</v>
      </c>
      <c r="AT128" s="148" t="n">
        <f aca="false">AQ128+AR128+AS128</f>
        <v>0</v>
      </c>
      <c r="AU128" s="148"/>
      <c r="AV128" s="133" t="n">
        <f aca="false">AT128+AO128</f>
        <v>0</v>
      </c>
      <c r="AX128" s="133" t="n">
        <f aca="false">AJ128+AG128+AD128</f>
        <v>0</v>
      </c>
      <c r="AY128" s="149"/>
      <c r="AZ128" s="76" t="n">
        <f aca="false">R128*E128</f>
        <v>0</v>
      </c>
    </row>
    <row r="129" customFormat="false" ht="12.75" hidden="false" customHeight="false" outlineLevel="0" collapsed="false">
      <c r="A129" s="138" t="n">
        <f aca="false">EDATE(A128,1)</f>
        <v>40603</v>
      </c>
      <c r="B129" s="139" t="n">
        <f aca="false">VLOOKUP($A129,Table2,MATCH(I$3,Curves2,0))</f>
        <v>0</v>
      </c>
      <c r="C129" s="140"/>
      <c r="D129" s="141" t="n">
        <f aca="false">B129+C129</f>
        <v>0</v>
      </c>
      <c r="E129" s="126" t="n">
        <f aca="false">IF(Y129=0,0,IF(AND(Y129=1,$H$3=1),D129*T129,IF($H$3=2,D129,"N/A")))</f>
        <v>0</v>
      </c>
      <c r="F129" s="126" t="n">
        <f aca="false">E129*X129</f>
        <v>0</v>
      </c>
      <c r="G129" s="142" t="n">
        <f aca="false">VLOOKUP($A129,Table,MATCH(G$4,Curves,0))</f>
        <v>3.987</v>
      </c>
      <c r="H129" s="143" t="n">
        <f aca="false">G129</f>
        <v>3.987</v>
      </c>
      <c r="I129" s="142" t="n">
        <f aca="false">VLOOKUP($A129,Table1,MATCH(I$3,Curves1,0))</f>
        <v>0</v>
      </c>
      <c r="J129" s="142" t="n">
        <f aca="false">VLOOKUP($A129,Table,MATCH(J$4,Curves,0))</f>
        <v>-0.0235</v>
      </c>
      <c r="K129" s="143" t="n">
        <f aca="false">J129</f>
        <v>-0.0235</v>
      </c>
      <c r="L129" s="144" t="n">
        <v>0</v>
      </c>
      <c r="M129" s="142" t="n">
        <f aca="false">VLOOKUP($A129,Table,MATCH(M$4,Curves,0))</f>
        <v>0.0075</v>
      </c>
      <c r="N129" s="143" t="n">
        <f aca="false">M129</f>
        <v>0.0075</v>
      </c>
      <c r="O129" s="144" t="n">
        <v>0</v>
      </c>
      <c r="P129" s="145"/>
      <c r="Q129" s="144" t="n">
        <f aca="false">M129+J129+G129</f>
        <v>3.971</v>
      </c>
      <c r="R129" s="144" t="n">
        <f aca="false">O129+L129+I129</f>
        <v>0</v>
      </c>
      <c r="S129" s="145"/>
      <c r="T129" s="71" t="n">
        <f aca="false">A130-A129</f>
        <v>31</v>
      </c>
      <c r="U129" s="146" t="n">
        <f aca="false">CHOOSE(F$3,A130+24,A129)</f>
        <v>40658</v>
      </c>
      <c r="V129" s="71" t="n">
        <f aca="false">U129-C$3</f>
        <v>3770</v>
      </c>
      <c r="W129" s="142" t="n">
        <f aca="false">VLOOKUP($A129,Table,MATCH(W$4,Curves,0))</f>
        <v>0.058966861357273</v>
      </c>
      <c r="X129" s="147" t="n">
        <f aca="false">1/(1+CHOOSE(F$3,(W130+($K$3/10000))/2,(W129+($K$3/10000))/2))^(2*V129/365.25)</f>
        <v>0.548900396308159</v>
      </c>
      <c r="Y129" s="71" t="n">
        <f aca="false">IF(AND(mthbeg&lt;=A129,mthend&gt;=A129),1,0)</f>
        <v>0</v>
      </c>
      <c r="Z129" s="71" t="n">
        <f aca="false">T129*Y129</f>
        <v>0</v>
      </c>
      <c r="AB129" s="132" t="n">
        <f aca="false">F129*G129</f>
        <v>0</v>
      </c>
      <c r="AC129" s="132" t="n">
        <f aca="false">$F129*H129</f>
        <v>0</v>
      </c>
      <c r="AD129" s="132" t="n">
        <f aca="false">$F129*I129</f>
        <v>0</v>
      </c>
      <c r="AE129" s="132" t="n">
        <f aca="false">$F129*J129</f>
        <v>-0</v>
      </c>
      <c r="AF129" s="132" t="n">
        <f aca="false">$F129*K129</f>
        <v>-0</v>
      </c>
      <c r="AG129" s="132" t="n">
        <f aca="false">$F129*L129</f>
        <v>0</v>
      </c>
      <c r="AH129" s="132" t="n">
        <f aca="false">$F129*M129</f>
        <v>0</v>
      </c>
      <c r="AI129" s="132" t="n">
        <f aca="false">$F129*N129</f>
        <v>0</v>
      </c>
      <c r="AJ129" s="132" t="n">
        <f aca="false">F129*O129</f>
        <v>0</v>
      </c>
      <c r="AK129" s="137"/>
      <c r="AL129" s="132" t="n">
        <f aca="false">CHOOSE($G$3,AC129-AD129,AD129-AC129)</f>
        <v>0</v>
      </c>
      <c r="AM129" s="132" t="n">
        <f aca="false">CHOOSE($G$3,AF129-AG129,AG129-AF129)</f>
        <v>0</v>
      </c>
      <c r="AN129" s="132" t="n">
        <f aca="false">CHOOSE($G$3,AI129-AJ129,AJ129-AI129)</f>
        <v>0</v>
      </c>
      <c r="AO129" s="148" t="n">
        <f aca="false">SUM(AL129:AN129)</f>
        <v>0</v>
      </c>
      <c r="AQ129" s="132" t="n">
        <f aca="false">CHOOSE($G$3,AB129-AC129,AC129-AB129)</f>
        <v>0</v>
      </c>
      <c r="AR129" s="132" t="n">
        <f aca="false">CHOOSE($G$3,AE129-AF129,AF129-AE129)</f>
        <v>0</v>
      </c>
      <c r="AS129" s="132" t="n">
        <f aca="false">CHOOSE($G$3,AH129-AI129,AI129-AH129)</f>
        <v>0</v>
      </c>
      <c r="AT129" s="148" t="n">
        <f aca="false">AQ129+AR129+AS129</f>
        <v>0</v>
      </c>
      <c r="AU129" s="148"/>
      <c r="AV129" s="133" t="n">
        <f aca="false">AT129+AO129</f>
        <v>0</v>
      </c>
      <c r="AX129" s="133" t="n">
        <f aca="false">AJ129+AG129+AD129</f>
        <v>0</v>
      </c>
      <c r="AY129" s="149"/>
      <c r="AZ129" s="76" t="n">
        <f aca="false">R129*E129</f>
        <v>0</v>
      </c>
    </row>
    <row r="130" customFormat="false" ht="12.75" hidden="false" customHeight="false" outlineLevel="0" collapsed="false">
      <c r="A130" s="138" t="n">
        <f aca="false">EDATE(A129,1)</f>
        <v>40634</v>
      </c>
      <c r="B130" s="139" t="n">
        <f aca="false">VLOOKUP($A130,Table2,MATCH(I$3,Curves2,0))</f>
        <v>0</v>
      </c>
      <c r="C130" s="140"/>
      <c r="D130" s="141" t="n">
        <f aca="false">B130+C130</f>
        <v>0</v>
      </c>
      <c r="E130" s="126" t="n">
        <f aca="false">IF(Y130=0,0,IF(AND(Y130=1,$H$3=1),D130*T130,IF($H$3=2,D130,"N/A")))</f>
        <v>0</v>
      </c>
      <c r="F130" s="126" t="n">
        <f aca="false">E130*X130</f>
        <v>0</v>
      </c>
      <c r="G130" s="142" t="n">
        <f aca="false">VLOOKUP($A130,Table,MATCH(G$4,Curves,0))</f>
        <v>3.987</v>
      </c>
      <c r="H130" s="143" t="n">
        <f aca="false">G130</f>
        <v>3.987</v>
      </c>
      <c r="I130" s="142" t="n">
        <f aca="false">VLOOKUP($A130,Table1,MATCH(I$3,Curves1,0))</f>
        <v>0</v>
      </c>
      <c r="J130" s="142" t="n">
        <f aca="false">VLOOKUP($A130,Table,MATCH(J$4,Curves,0))</f>
        <v>-0.0235</v>
      </c>
      <c r="K130" s="143" t="n">
        <f aca="false">J130</f>
        <v>-0.0235</v>
      </c>
      <c r="L130" s="144" t="n">
        <v>0</v>
      </c>
      <c r="M130" s="142" t="n">
        <f aca="false">VLOOKUP($A130,Table,MATCH(M$4,Curves,0))</f>
        <v>0.0075</v>
      </c>
      <c r="N130" s="143" t="n">
        <f aca="false">M130</f>
        <v>0.0075</v>
      </c>
      <c r="O130" s="144" t="n">
        <v>0</v>
      </c>
      <c r="P130" s="145"/>
      <c r="Q130" s="144" t="n">
        <f aca="false">M130+J130+G130</f>
        <v>3.971</v>
      </c>
      <c r="R130" s="144" t="n">
        <f aca="false">O130+L130+I130</f>
        <v>0</v>
      </c>
      <c r="S130" s="145"/>
      <c r="T130" s="71" t="n">
        <f aca="false">A131-A130</f>
        <v>30</v>
      </c>
      <c r="U130" s="146" t="n">
        <f aca="false">CHOOSE(F$3,A131+24,A130)</f>
        <v>40688</v>
      </c>
      <c r="V130" s="71" t="n">
        <f aca="false">U130-C$3</f>
        <v>3800</v>
      </c>
      <c r="W130" s="142" t="n">
        <f aca="false">VLOOKUP($A130,Table,MATCH(W$4,Curves,0))</f>
        <v>0.058966861357273</v>
      </c>
      <c r="X130" s="147" t="n">
        <f aca="false">1/(1+CHOOSE(F$3,(W131+($K$3/10000))/2,(W130+($K$3/10000))/2))^(2*V130/365.25)</f>
        <v>0.546286601192281</v>
      </c>
      <c r="Y130" s="71" t="n">
        <f aca="false">IF(AND(mthbeg&lt;=A130,mthend&gt;=A130),1,0)</f>
        <v>0</v>
      </c>
      <c r="Z130" s="71" t="n">
        <f aca="false">T130*Y130</f>
        <v>0</v>
      </c>
      <c r="AB130" s="132" t="n">
        <f aca="false">F130*G130</f>
        <v>0</v>
      </c>
      <c r="AC130" s="132" t="n">
        <f aca="false">$F130*H130</f>
        <v>0</v>
      </c>
      <c r="AD130" s="132" t="n">
        <f aca="false">$F130*I130</f>
        <v>0</v>
      </c>
      <c r="AE130" s="132" t="n">
        <f aca="false">$F130*J130</f>
        <v>-0</v>
      </c>
      <c r="AF130" s="132" t="n">
        <f aca="false">$F130*K130</f>
        <v>-0</v>
      </c>
      <c r="AG130" s="132" t="n">
        <f aca="false">$F130*L130</f>
        <v>0</v>
      </c>
      <c r="AH130" s="132" t="n">
        <f aca="false">$F130*M130</f>
        <v>0</v>
      </c>
      <c r="AI130" s="132" t="n">
        <f aca="false">$F130*N130</f>
        <v>0</v>
      </c>
      <c r="AJ130" s="132" t="n">
        <f aca="false">F130*O130</f>
        <v>0</v>
      </c>
      <c r="AK130" s="137"/>
      <c r="AL130" s="132" t="n">
        <f aca="false">CHOOSE($G$3,AC130-AD130,AD130-AC130)</f>
        <v>0</v>
      </c>
      <c r="AM130" s="132" t="n">
        <f aca="false">CHOOSE($G$3,AF130-AG130,AG130-AF130)</f>
        <v>0</v>
      </c>
      <c r="AN130" s="132" t="n">
        <f aca="false">CHOOSE($G$3,AI130-AJ130,AJ130-AI130)</f>
        <v>0</v>
      </c>
      <c r="AO130" s="148" t="n">
        <f aca="false">SUM(AL130:AN130)</f>
        <v>0</v>
      </c>
      <c r="AQ130" s="132" t="n">
        <f aca="false">CHOOSE($G$3,AB130-AC130,AC130-AB130)</f>
        <v>0</v>
      </c>
      <c r="AR130" s="132" t="n">
        <f aca="false">CHOOSE($G$3,AE130-AF130,AF130-AE130)</f>
        <v>0</v>
      </c>
      <c r="AS130" s="132" t="n">
        <f aca="false">CHOOSE($G$3,AH130-AI130,AI130-AH130)</f>
        <v>0</v>
      </c>
      <c r="AT130" s="148" t="n">
        <f aca="false">AQ130+AR130+AS130</f>
        <v>0</v>
      </c>
      <c r="AU130" s="148"/>
      <c r="AV130" s="133" t="n">
        <f aca="false">AT130+AO130</f>
        <v>0</v>
      </c>
      <c r="AX130" s="133" t="n">
        <f aca="false">AJ130+AG130+AD130</f>
        <v>0</v>
      </c>
      <c r="AY130" s="149"/>
      <c r="AZ130" s="76" t="n">
        <f aca="false">R130*E130</f>
        <v>0</v>
      </c>
    </row>
    <row r="131" customFormat="false" ht="12.75" hidden="false" customHeight="false" outlineLevel="0" collapsed="false">
      <c r="A131" s="138" t="n">
        <f aca="false">EDATE(A130,1)</f>
        <v>40664</v>
      </c>
      <c r="B131" s="139" t="n">
        <f aca="false">VLOOKUP($A131,Table2,MATCH(I$3,Curves2,0))</f>
        <v>0</v>
      </c>
      <c r="C131" s="140"/>
      <c r="D131" s="141" t="n">
        <f aca="false">B131+C131</f>
        <v>0</v>
      </c>
      <c r="E131" s="126" t="n">
        <f aca="false">IF(Y131=0,0,IF(AND(Y131=1,$H$3=1),D131*T131,IF($H$3=2,D131,"N/A")))</f>
        <v>0</v>
      </c>
      <c r="F131" s="126" t="n">
        <f aca="false">E131*X131</f>
        <v>0</v>
      </c>
      <c r="G131" s="142" t="n">
        <f aca="false">VLOOKUP($A131,Table,MATCH(G$4,Curves,0))</f>
        <v>3.987</v>
      </c>
      <c r="H131" s="143" t="n">
        <f aca="false">G131</f>
        <v>3.987</v>
      </c>
      <c r="I131" s="142" t="n">
        <f aca="false">VLOOKUP($A131,Table1,MATCH(I$3,Curves1,0))</f>
        <v>0</v>
      </c>
      <c r="J131" s="142" t="n">
        <f aca="false">VLOOKUP($A131,Table,MATCH(J$4,Curves,0))</f>
        <v>-0.0235</v>
      </c>
      <c r="K131" s="143" t="n">
        <f aca="false">J131</f>
        <v>-0.0235</v>
      </c>
      <c r="L131" s="144" t="n">
        <v>0</v>
      </c>
      <c r="M131" s="142" t="n">
        <f aca="false">VLOOKUP($A131,Table,MATCH(M$4,Curves,0))</f>
        <v>0.0075</v>
      </c>
      <c r="N131" s="143" t="n">
        <f aca="false">M131</f>
        <v>0.0075</v>
      </c>
      <c r="O131" s="144" t="n">
        <v>0</v>
      </c>
      <c r="P131" s="145"/>
      <c r="Q131" s="144" t="n">
        <f aca="false">M131+J131+G131</f>
        <v>3.971</v>
      </c>
      <c r="R131" s="144" t="n">
        <f aca="false">O131+L131+I131</f>
        <v>0</v>
      </c>
      <c r="S131" s="145"/>
      <c r="T131" s="71" t="n">
        <f aca="false">A132-A131</f>
        <v>31</v>
      </c>
      <c r="U131" s="146" t="n">
        <f aca="false">CHOOSE(F$3,A132+24,A131)</f>
        <v>40719</v>
      </c>
      <c r="V131" s="71" t="n">
        <f aca="false">U131-C$3</f>
        <v>3831</v>
      </c>
      <c r="W131" s="142" t="n">
        <f aca="false">VLOOKUP($A131,Table,MATCH(W$4,Curves,0))</f>
        <v>0.058966861357273</v>
      </c>
      <c r="X131" s="147" t="n">
        <f aca="false">1/(1+CHOOSE(F$3,(W132+($K$3/10000))/2,(W131+($K$3/10000))/2))^(2*V131/365.25)</f>
        <v>0.543598754688769</v>
      </c>
      <c r="Y131" s="71" t="n">
        <f aca="false">IF(AND(mthbeg&lt;=A131,mthend&gt;=A131),1,0)</f>
        <v>0</v>
      </c>
      <c r="Z131" s="71" t="n">
        <f aca="false">T131*Y131</f>
        <v>0</v>
      </c>
      <c r="AB131" s="132" t="n">
        <f aca="false">F131*G131</f>
        <v>0</v>
      </c>
      <c r="AC131" s="132" t="n">
        <f aca="false">$F131*H131</f>
        <v>0</v>
      </c>
      <c r="AD131" s="132" t="n">
        <f aca="false">$F131*I131</f>
        <v>0</v>
      </c>
      <c r="AE131" s="132" t="n">
        <f aca="false">$F131*J131</f>
        <v>-0</v>
      </c>
      <c r="AF131" s="132" t="n">
        <f aca="false">$F131*K131</f>
        <v>-0</v>
      </c>
      <c r="AG131" s="132" t="n">
        <f aca="false">$F131*L131</f>
        <v>0</v>
      </c>
      <c r="AH131" s="132" t="n">
        <f aca="false">$F131*M131</f>
        <v>0</v>
      </c>
      <c r="AI131" s="132" t="n">
        <f aca="false">$F131*N131</f>
        <v>0</v>
      </c>
      <c r="AJ131" s="132" t="n">
        <f aca="false">F131*O131</f>
        <v>0</v>
      </c>
      <c r="AK131" s="137"/>
      <c r="AL131" s="132" t="n">
        <f aca="false">CHOOSE($G$3,AC131-AD131,AD131-AC131)</f>
        <v>0</v>
      </c>
      <c r="AM131" s="132" t="n">
        <f aca="false">CHOOSE($G$3,AF131-AG131,AG131-AF131)</f>
        <v>0</v>
      </c>
      <c r="AN131" s="132" t="n">
        <f aca="false">CHOOSE($G$3,AI131-AJ131,AJ131-AI131)</f>
        <v>0</v>
      </c>
      <c r="AO131" s="148" t="n">
        <f aca="false">SUM(AL131:AN131)</f>
        <v>0</v>
      </c>
      <c r="AQ131" s="132" t="n">
        <f aca="false">CHOOSE($G$3,AB131-AC131,AC131-AB131)</f>
        <v>0</v>
      </c>
      <c r="AR131" s="132" t="n">
        <f aca="false">CHOOSE($G$3,AE131-AF131,AF131-AE131)</f>
        <v>0</v>
      </c>
      <c r="AS131" s="132" t="n">
        <f aca="false">CHOOSE($G$3,AH131-AI131,AI131-AH131)</f>
        <v>0</v>
      </c>
      <c r="AT131" s="148" t="n">
        <f aca="false">AQ131+AR131+AS131</f>
        <v>0</v>
      </c>
      <c r="AU131" s="148"/>
      <c r="AV131" s="133" t="n">
        <f aca="false">AT131+AO131</f>
        <v>0</v>
      </c>
      <c r="AX131" s="133" t="n">
        <f aca="false">AJ131+AG131+AD131</f>
        <v>0</v>
      </c>
      <c r="AY131" s="149"/>
      <c r="AZ131" s="76" t="n">
        <f aca="false">R131*E131</f>
        <v>0</v>
      </c>
    </row>
    <row r="132" customFormat="false" ht="12.75" hidden="false" customHeight="false" outlineLevel="0" collapsed="false">
      <c r="A132" s="138" t="n">
        <f aca="false">EDATE(A131,1)</f>
        <v>40695</v>
      </c>
      <c r="B132" s="139" t="n">
        <f aca="false">VLOOKUP($A132,Table2,MATCH(I$3,Curves2,0))</f>
        <v>0</v>
      </c>
      <c r="C132" s="140"/>
      <c r="D132" s="141" t="n">
        <f aca="false">B132+C132</f>
        <v>0</v>
      </c>
      <c r="E132" s="126" t="n">
        <f aca="false">IF(Y132=0,0,IF(AND(Y132=1,$H$3=1),D132*T132,IF($H$3=2,D132,"N/A")))</f>
        <v>0</v>
      </c>
      <c r="F132" s="126" t="n">
        <f aca="false">E132*X132</f>
        <v>0</v>
      </c>
      <c r="G132" s="142" t="n">
        <f aca="false">VLOOKUP($A132,Table,MATCH(G$4,Curves,0))</f>
        <v>3.987</v>
      </c>
      <c r="H132" s="143" t="n">
        <f aca="false">G132</f>
        <v>3.987</v>
      </c>
      <c r="I132" s="142" t="n">
        <f aca="false">VLOOKUP($A132,Table1,MATCH(I$3,Curves1,0))</f>
        <v>0</v>
      </c>
      <c r="J132" s="142" t="n">
        <f aca="false">VLOOKUP($A132,Table,MATCH(J$4,Curves,0))</f>
        <v>-0.0235</v>
      </c>
      <c r="K132" s="143" t="n">
        <f aca="false">J132</f>
        <v>-0.0235</v>
      </c>
      <c r="L132" s="144" t="n">
        <v>0</v>
      </c>
      <c r="M132" s="142" t="n">
        <f aca="false">VLOOKUP($A132,Table,MATCH(M$4,Curves,0))</f>
        <v>0.0075</v>
      </c>
      <c r="N132" s="143" t="n">
        <f aca="false">M132</f>
        <v>0.0075</v>
      </c>
      <c r="O132" s="144" t="n">
        <v>0</v>
      </c>
      <c r="P132" s="145"/>
      <c r="Q132" s="144" t="n">
        <f aca="false">M132+J132+G132</f>
        <v>3.971</v>
      </c>
      <c r="R132" s="144" t="n">
        <f aca="false">O132+L132+I132</f>
        <v>0</v>
      </c>
      <c r="S132" s="145"/>
      <c r="T132" s="71" t="n">
        <f aca="false">A133-A132</f>
        <v>30</v>
      </c>
      <c r="U132" s="146" t="n">
        <f aca="false">CHOOSE(F$3,A133+24,A132)</f>
        <v>40749</v>
      </c>
      <c r="V132" s="71" t="n">
        <f aca="false">U132-C$3</f>
        <v>3861</v>
      </c>
      <c r="W132" s="142" t="n">
        <f aca="false">VLOOKUP($A132,Table,MATCH(W$4,Curves,0))</f>
        <v>0.058966861357273</v>
      </c>
      <c r="X132" s="147" t="n">
        <f aca="false">1/(1+CHOOSE(F$3,(W133+($K$3/10000))/2,(W132+($K$3/10000))/2))^(2*V132/365.25)</f>
        <v>0.541010205327976</v>
      </c>
      <c r="Y132" s="71" t="n">
        <f aca="false">IF(AND(mthbeg&lt;=A132,mthend&gt;=A132),1,0)</f>
        <v>0</v>
      </c>
      <c r="Z132" s="71" t="n">
        <f aca="false">T132*Y132</f>
        <v>0</v>
      </c>
      <c r="AB132" s="132" t="n">
        <f aca="false">F132*G132</f>
        <v>0</v>
      </c>
      <c r="AC132" s="132" t="n">
        <f aca="false">$F132*H132</f>
        <v>0</v>
      </c>
      <c r="AD132" s="132" t="n">
        <f aca="false">$F132*I132</f>
        <v>0</v>
      </c>
      <c r="AE132" s="132" t="n">
        <f aca="false">$F132*J132</f>
        <v>-0</v>
      </c>
      <c r="AF132" s="132" t="n">
        <f aca="false">$F132*K132</f>
        <v>-0</v>
      </c>
      <c r="AG132" s="132" t="n">
        <f aca="false">$F132*L132</f>
        <v>0</v>
      </c>
      <c r="AH132" s="132" t="n">
        <f aca="false">$F132*M132</f>
        <v>0</v>
      </c>
      <c r="AI132" s="132" t="n">
        <f aca="false">$F132*N132</f>
        <v>0</v>
      </c>
      <c r="AJ132" s="132" t="n">
        <f aca="false">F132*O132</f>
        <v>0</v>
      </c>
      <c r="AK132" s="137"/>
      <c r="AL132" s="132" t="n">
        <f aca="false">CHOOSE($G$3,AC132-AD132,AD132-AC132)</f>
        <v>0</v>
      </c>
      <c r="AM132" s="132" t="n">
        <f aca="false">CHOOSE($G$3,AF132-AG132,AG132-AF132)</f>
        <v>0</v>
      </c>
      <c r="AN132" s="132" t="n">
        <f aca="false">CHOOSE($G$3,AI132-AJ132,AJ132-AI132)</f>
        <v>0</v>
      </c>
      <c r="AO132" s="148" t="n">
        <f aca="false">SUM(AL132:AN132)</f>
        <v>0</v>
      </c>
      <c r="AQ132" s="132" t="n">
        <f aca="false">CHOOSE($G$3,AB132-AC132,AC132-AB132)</f>
        <v>0</v>
      </c>
      <c r="AR132" s="132" t="n">
        <f aca="false">CHOOSE($G$3,AE132-AF132,AF132-AE132)</f>
        <v>0</v>
      </c>
      <c r="AS132" s="132" t="n">
        <f aca="false">CHOOSE($G$3,AH132-AI132,AI132-AH132)</f>
        <v>0</v>
      </c>
      <c r="AT132" s="148" t="n">
        <f aca="false">AQ132+AR132+AS132</f>
        <v>0</v>
      </c>
      <c r="AU132" s="148"/>
      <c r="AV132" s="133" t="n">
        <f aca="false">AT132+AO132</f>
        <v>0</v>
      </c>
      <c r="AX132" s="133" t="n">
        <f aca="false">AJ132+AG132+AD132</f>
        <v>0</v>
      </c>
      <c r="AY132" s="149"/>
      <c r="AZ132" s="76" t="n">
        <f aca="false">R132*E132</f>
        <v>0</v>
      </c>
    </row>
    <row r="133" customFormat="false" ht="12.75" hidden="false" customHeight="false" outlineLevel="0" collapsed="false">
      <c r="A133" s="138" t="n">
        <f aca="false">EDATE(A132,1)</f>
        <v>40725</v>
      </c>
      <c r="B133" s="139" t="n">
        <f aca="false">VLOOKUP($A133,Table2,MATCH(I$3,Curves2,0))</f>
        <v>0</v>
      </c>
      <c r="C133" s="140"/>
      <c r="D133" s="141" t="n">
        <f aca="false">B133+C133</f>
        <v>0</v>
      </c>
      <c r="E133" s="126" t="n">
        <f aca="false">IF(Y133=0,0,IF(AND(Y133=1,$H$3=1),D133*T133,IF($H$3=2,D133,"N/A")))</f>
        <v>0</v>
      </c>
      <c r="F133" s="126" t="n">
        <f aca="false">E133*X133</f>
        <v>0</v>
      </c>
      <c r="G133" s="142" t="n">
        <f aca="false">VLOOKUP($A133,Table,MATCH(G$4,Curves,0))</f>
        <v>3.987</v>
      </c>
      <c r="H133" s="143" t="n">
        <f aca="false">G133</f>
        <v>3.987</v>
      </c>
      <c r="I133" s="142" t="n">
        <f aca="false">VLOOKUP($A133,Table1,MATCH(I$3,Curves1,0))</f>
        <v>0</v>
      </c>
      <c r="J133" s="142" t="n">
        <f aca="false">VLOOKUP($A133,Table,MATCH(J$4,Curves,0))</f>
        <v>-0.0235</v>
      </c>
      <c r="K133" s="143" t="n">
        <f aca="false">J133</f>
        <v>-0.0235</v>
      </c>
      <c r="L133" s="144" t="n">
        <v>0</v>
      </c>
      <c r="M133" s="142" t="n">
        <f aca="false">VLOOKUP($A133,Table,MATCH(M$4,Curves,0))</f>
        <v>0.0075</v>
      </c>
      <c r="N133" s="143" t="n">
        <f aca="false">M133</f>
        <v>0.0075</v>
      </c>
      <c r="O133" s="144" t="n">
        <v>0</v>
      </c>
      <c r="P133" s="145"/>
      <c r="Q133" s="144" t="n">
        <f aca="false">M133+J133+G133</f>
        <v>3.971</v>
      </c>
      <c r="R133" s="144" t="n">
        <f aca="false">O133+L133+I133</f>
        <v>0</v>
      </c>
      <c r="S133" s="145"/>
      <c r="T133" s="71" t="n">
        <f aca="false">A134-A133</f>
        <v>31</v>
      </c>
      <c r="U133" s="146" t="n">
        <f aca="false">CHOOSE(F$3,A134+24,A133)</f>
        <v>40780</v>
      </c>
      <c r="V133" s="71" t="n">
        <f aca="false">U133-C$3</f>
        <v>3892</v>
      </c>
      <c r="W133" s="142" t="n">
        <f aca="false">VLOOKUP($A133,Table,MATCH(W$4,Curves,0))</f>
        <v>0.058966861357273</v>
      </c>
      <c r="X133" s="147" t="n">
        <f aca="false">1/(1+CHOOSE(F$3,(W134+($K$3/10000))/2,(W133+($K$3/10000))/2))^(2*V133/365.25)</f>
        <v>0.538348319816631</v>
      </c>
      <c r="Y133" s="71" t="n">
        <f aca="false">IF(AND(mthbeg&lt;=A133,mthend&gt;=A133),1,0)</f>
        <v>0</v>
      </c>
      <c r="Z133" s="71" t="n">
        <f aca="false">T133*Y133</f>
        <v>0</v>
      </c>
      <c r="AB133" s="132" t="n">
        <f aca="false">F133*G133</f>
        <v>0</v>
      </c>
      <c r="AC133" s="132" t="n">
        <f aca="false">$F133*H133</f>
        <v>0</v>
      </c>
      <c r="AD133" s="132" t="n">
        <f aca="false">$F133*I133</f>
        <v>0</v>
      </c>
      <c r="AE133" s="132" t="n">
        <f aca="false">$F133*J133</f>
        <v>-0</v>
      </c>
      <c r="AF133" s="132" t="n">
        <f aca="false">$F133*K133</f>
        <v>-0</v>
      </c>
      <c r="AG133" s="132" t="n">
        <f aca="false">$F133*L133</f>
        <v>0</v>
      </c>
      <c r="AH133" s="132" t="n">
        <f aca="false">$F133*M133</f>
        <v>0</v>
      </c>
      <c r="AI133" s="132" t="n">
        <f aca="false">$F133*N133</f>
        <v>0</v>
      </c>
      <c r="AJ133" s="132" t="n">
        <f aca="false">F133*O133</f>
        <v>0</v>
      </c>
      <c r="AK133" s="137"/>
      <c r="AL133" s="132" t="n">
        <f aca="false">CHOOSE($G$3,AC133-AD133,AD133-AC133)</f>
        <v>0</v>
      </c>
      <c r="AM133" s="132" t="n">
        <f aca="false">CHOOSE($G$3,AF133-AG133,AG133-AF133)</f>
        <v>0</v>
      </c>
      <c r="AN133" s="132" t="n">
        <f aca="false">CHOOSE($G$3,AI133-AJ133,AJ133-AI133)</f>
        <v>0</v>
      </c>
      <c r="AO133" s="148" t="n">
        <f aca="false">SUM(AL133:AN133)</f>
        <v>0</v>
      </c>
      <c r="AQ133" s="132" t="n">
        <f aca="false">CHOOSE($G$3,AB133-AC133,AC133-AB133)</f>
        <v>0</v>
      </c>
      <c r="AR133" s="132" t="n">
        <f aca="false">CHOOSE($G$3,AE133-AF133,AF133-AE133)</f>
        <v>0</v>
      </c>
      <c r="AS133" s="132" t="n">
        <f aca="false">CHOOSE($G$3,AH133-AI133,AI133-AH133)</f>
        <v>0</v>
      </c>
      <c r="AT133" s="148" t="n">
        <f aca="false">AQ133+AR133+AS133</f>
        <v>0</v>
      </c>
      <c r="AU133" s="148"/>
      <c r="AV133" s="133" t="n">
        <f aca="false">AT133+AO133</f>
        <v>0</v>
      </c>
      <c r="AX133" s="133" t="n">
        <f aca="false">AJ133+AG133+AD133</f>
        <v>0</v>
      </c>
      <c r="AY133" s="149"/>
      <c r="AZ133" s="76" t="n">
        <f aca="false">R133*E133</f>
        <v>0</v>
      </c>
    </row>
    <row r="134" customFormat="false" ht="12.75" hidden="false" customHeight="false" outlineLevel="0" collapsed="false">
      <c r="A134" s="138" t="n">
        <f aca="false">EDATE(A133,1)</f>
        <v>40756</v>
      </c>
      <c r="B134" s="139" t="n">
        <f aca="false">VLOOKUP($A134,Table2,MATCH(I$3,Curves2,0))</f>
        <v>0</v>
      </c>
      <c r="C134" s="140"/>
      <c r="D134" s="141" t="n">
        <f aca="false">B134+C134</f>
        <v>0</v>
      </c>
      <c r="E134" s="126" t="n">
        <f aca="false">IF(Y134=0,0,IF(AND(Y134=1,$H$3=1),D134*T134,IF($H$3=2,D134,"N/A")))</f>
        <v>0</v>
      </c>
      <c r="F134" s="126" t="n">
        <f aca="false">E134*X134</f>
        <v>0</v>
      </c>
      <c r="G134" s="142" t="n">
        <f aca="false">VLOOKUP($A134,Table,MATCH(G$4,Curves,0))</f>
        <v>3.987</v>
      </c>
      <c r="H134" s="143" t="n">
        <f aca="false">G134</f>
        <v>3.987</v>
      </c>
      <c r="I134" s="142" t="n">
        <f aca="false">VLOOKUP($A134,Table1,MATCH(I$3,Curves1,0))</f>
        <v>0</v>
      </c>
      <c r="J134" s="142" t="n">
        <f aca="false">VLOOKUP($A134,Table,MATCH(J$4,Curves,0))</f>
        <v>-0.0235</v>
      </c>
      <c r="K134" s="143" t="n">
        <f aca="false">J134</f>
        <v>-0.0235</v>
      </c>
      <c r="L134" s="144" t="n">
        <v>0</v>
      </c>
      <c r="M134" s="142" t="n">
        <f aca="false">VLOOKUP($A134,Table,MATCH(M$4,Curves,0))</f>
        <v>0.0075</v>
      </c>
      <c r="N134" s="143" t="n">
        <f aca="false">M134</f>
        <v>0.0075</v>
      </c>
      <c r="O134" s="144" t="n">
        <v>0</v>
      </c>
      <c r="P134" s="145"/>
      <c r="Q134" s="144" t="n">
        <f aca="false">M134+J134+G134</f>
        <v>3.971</v>
      </c>
      <c r="R134" s="144" t="n">
        <f aca="false">O134+L134+I134</f>
        <v>0</v>
      </c>
      <c r="S134" s="145"/>
      <c r="T134" s="71" t="n">
        <f aca="false">A135-A134</f>
        <v>31</v>
      </c>
      <c r="U134" s="146" t="n">
        <f aca="false">CHOOSE(F$3,A135+24,A134)</f>
        <v>40811</v>
      </c>
      <c r="V134" s="71" t="n">
        <f aca="false">U134-C$3</f>
        <v>3923</v>
      </c>
      <c r="W134" s="142" t="n">
        <f aca="false">VLOOKUP($A134,Table,MATCH(W$4,Curves,0))</f>
        <v>0.058966861357273</v>
      </c>
      <c r="X134" s="147" t="n">
        <f aca="false">1/(1+CHOOSE(F$3,(W135+($K$3/10000))/2,(W134+($K$3/10000))/2))^(2*V134/365.25)</f>
        <v>0.535699531349309</v>
      </c>
      <c r="Y134" s="71" t="n">
        <f aca="false">IF(AND(mthbeg&lt;=A134,mthend&gt;=A134),1,0)</f>
        <v>0</v>
      </c>
      <c r="Z134" s="71" t="n">
        <f aca="false">T134*Y134</f>
        <v>0</v>
      </c>
      <c r="AB134" s="132" t="n">
        <f aca="false">F134*G134</f>
        <v>0</v>
      </c>
      <c r="AC134" s="132" t="n">
        <f aca="false">$F134*H134</f>
        <v>0</v>
      </c>
      <c r="AD134" s="132" t="n">
        <f aca="false">$F134*I134</f>
        <v>0</v>
      </c>
      <c r="AE134" s="132" t="n">
        <f aca="false">$F134*J134</f>
        <v>-0</v>
      </c>
      <c r="AF134" s="132" t="n">
        <f aca="false">$F134*K134</f>
        <v>-0</v>
      </c>
      <c r="AG134" s="132" t="n">
        <f aca="false">$F134*L134</f>
        <v>0</v>
      </c>
      <c r="AH134" s="132" t="n">
        <f aca="false">$F134*M134</f>
        <v>0</v>
      </c>
      <c r="AI134" s="132" t="n">
        <f aca="false">$F134*N134</f>
        <v>0</v>
      </c>
      <c r="AJ134" s="132" t="n">
        <f aca="false">F134*O134</f>
        <v>0</v>
      </c>
      <c r="AK134" s="137"/>
      <c r="AL134" s="132" t="n">
        <f aca="false">CHOOSE($G$3,AC134-AD134,AD134-AC134)</f>
        <v>0</v>
      </c>
      <c r="AM134" s="132" t="n">
        <f aca="false">CHOOSE($G$3,AF134-AG134,AG134-AF134)</f>
        <v>0</v>
      </c>
      <c r="AN134" s="132" t="n">
        <f aca="false">CHOOSE($G$3,AI134-AJ134,AJ134-AI134)</f>
        <v>0</v>
      </c>
      <c r="AO134" s="148" t="n">
        <f aca="false">SUM(AL134:AN134)</f>
        <v>0</v>
      </c>
      <c r="AQ134" s="132" t="n">
        <f aca="false">CHOOSE($G$3,AB134-AC134,AC134-AB134)</f>
        <v>0</v>
      </c>
      <c r="AR134" s="132" t="n">
        <f aca="false">CHOOSE($G$3,AE134-AF134,AF134-AE134)</f>
        <v>0</v>
      </c>
      <c r="AS134" s="132" t="n">
        <f aca="false">CHOOSE($G$3,AH134-AI134,AI134-AH134)</f>
        <v>0</v>
      </c>
      <c r="AT134" s="148" t="n">
        <f aca="false">AQ134+AR134+AS134</f>
        <v>0</v>
      </c>
      <c r="AU134" s="148"/>
      <c r="AV134" s="133" t="n">
        <f aca="false">AT134+AO134</f>
        <v>0</v>
      </c>
      <c r="AX134" s="133" t="n">
        <f aca="false">AJ134+AG134+AD134</f>
        <v>0</v>
      </c>
      <c r="AY134" s="149"/>
      <c r="AZ134" s="76" t="n">
        <f aca="false">R134*E134</f>
        <v>0</v>
      </c>
    </row>
    <row r="135" customFormat="false" ht="12.75" hidden="false" customHeight="false" outlineLevel="0" collapsed="false">
      <c r="A135" s="138" t="n">
        <f aca="false">EDATE(A134,1)</f>
        <v>40787</v>
      </c>
      <c r="B135" s="139" t="n">
        <f aca="false">VLOOKUP($A135,Table2,MATCH(I$3,Curves2,0))</f>
        <v>0</v>
      </c>
      <c r="C135" s="140"/>
      <c r="D135" s="141" t="n">
        <f aca="false">B135+C135</f>
        <v>0</v>
      </c>
      <c r="E135" s="126" t="n">
        <f aca="false">IF(Y135=0,0,IF(AND(Y135=1,$H$3=1),D135*T135,IF($H$3=2,D135,"N/A")))</f>
        <v>0</v>
      </c>
      <c r="F135" s="126" t="n">
        <f aca="false">E135*X135</f>
        <v>0</v>
      </c>
      <c r="G135" s="142" t="n">
        <f aca="false">VLOOKUP($A135,Table,MATCH(G$4,Curves,0))</f>
        <v>3.987</v>
      </c>
      <c r="H135" s="143" t="n">
        <f aca="false">G135</f>
        <v>3.987</v>
      </c>
      <c r="I135" s="142" t="n">
        <f aca="false">VLOOKUP($A135,Table1,MATCH(I$3,Curves1,0))</f>
        <v>0</v>
      </c>
      <c r="J135" s="142" t="n">
        <f aca="false">VLOOKUP($A135,Table,MATCH(J$4,Curves,0))</f>
        <v>-0.0235</v>
      </c>
      <c r="K135" s="143" t="n">
        <f aca="false">J135</f>
        <v>-0.0235</v>
      </c>
      <c r="L135" s="144" t="n">
        <v>0</v>
      </c>
      <c r="M135" s="142" t="n">
        <f aca="false">VLOOKUP($A135,Table,MATCH(M$4,Curves,0))</f>
        <v>0.0075</v>
      </c>
      <c r="N135" s="143" t="n">
        <f aca="false">M135</f>
        <v>0.0075</v>
      </c>
      <c r="O135" s="144" t="n">
        <v>0</v>
      </c>
      <c r="P135" s="145"/>
      <c r="Q135" s="144" t="n">
        <f aca="false">M135+J135+G135</f>
        <v>3.971</v>
      </c>
      <c r="R135" s="144" t="n">
        <f aca="false">O135+L135+I135</f>
        <v>0</v>
      </c>
      <c r="S135" s="145"/>
      <c r="T135" s="71" t="n">
        <f aca="false">A136-A135</f>
        <v>30</v>
      </c>
      <c r="U135" s="146" t="n">
        <f aca="false">CHOOSE(F$3,A136+24,A135)</f>
        <v>40841</v>
      </c>
      <c r="V135" s="71" t="n">
        <f aca="false">U135-C$3</f>
        <v>3953</v>
      </c>
      <c r="W135" s="142" t="n">
        <f aca="false">VLOOKUP($A135,Table,MATCH(W$4,Curves,0))</f>
        <v>0.058966861357273</v>
      </c>
      <c r="X135" s="147" t="n">
        <f aca="false">1/(1+CHOOSE(F$3,(W136+($K$3/10000))/2,(W135+($K$3/10000))/2))^(2*V135/365.25)</f>
        <v>0.533148597103248</v>
      </c>
      <c r="Y135" s="71" t="n">
        <f aca="false">IF(AND(mthbeg&lt;=A135,mthend&gt;=A135),1,0)</f>
        <v>0</v>
      </c>
      <c r="Z135" s="71" t="n">
        <f aca="false">T135*Y135</f>
        <v>0</v>
      </c>
      <c r="AB135" s="132" t="n">
        <f aca="false">F135*G135</f>
        <v>0</v>
      </c>
      <c r="AC135" s="132" t="n">
        <f aca="false">$F135*H135</f>
        <v>0</v>
      </c>
      <c r="AD135" s="132" t="n">
        <f aca="false">$F135*I135</f>
        <v>0</v>
      </c>
      <c r="AE135" s="132" t="n">
        <f aca="false">$F135*J135</f>
        <v>-0</v>
      </c>
      <c r="AF135" s="132" t="n">
        <f aca="false">$F135*K135</f>
        <v>-0</v>
      </c>
      <c r="AG135" s="132" t="n">
        <f aca="false">$F135*L135</f>
        <v>0</v>
      </c>
      <c r="AH135" s="132" t="n">
        <f aca="false">$F135*M135</f>
        <v>0</v>
      </c>
      <c r="AI135" s="132" t="n">
        <f aca="false">$F135*N135</f>
        <v>0</v>
      </c>
      <c r="AJ135" s="132" t="n">
        <f aca="false">F135*O135</f>
        <v>0</v>
      </c>
      <c r="AK135" s="137"/>
      <c r="AL135" s="132" t="n">
        <f aca="false">CHOOSE($G$3,AC135-AD135,AD135-AC135)</f>
        <v>0</v>
      </c>
      <c r="AM135" s="132" t="n">
        <f aca="false">CHOOSE($G$3,AF135-AG135,AG135-AF135)</f>
        <v>0</v>
      </c>
      <c r="AN135" s="132" t="n">
        <f aca="false">CHOOSE($G$3,AI135-AJ135,AJ135-AI135)</f>
        <v>0</v>
      </c>
      <c r="AO135" s="148" t="n">
        <f aca="false">SUM(AL135:AN135)</f>
        <v>0</v>
      </c>
      <c r="AQ135" s="132" t="n">
        <f aca="false">CHOOSE($G$3,AB135-AC135,AC135-AB135)</f>
        <v>0</v>
      </c>
      <c r="AR135" s="132" t="n">
        <f aca="false">CHOOSE($G$3,AE135-AF135,AF135-AE135)</f>
        <v>0</v>
      </c>
      <c r="AS135" s="132" t="n">
        <f aca="false">CHOOSE($G$3,AH135-AI135,AI135-AH135)</f>
        <v>0</v>
      </c>
      <c r="AT135" s="148" t="n">
        <f aca="false">AQ135+AR135+AS135</f>
        <v>0</v>
      </c>
      <c r="AU135" s="148"/>
      <c r="AV135" s="133" t="n">
        <f aca="false">AT135+AO135</f>
        <v>0</v>
      </c>
      <c r="AX135" s="133" t="n">
        <f aca="false">AJ135+AG135+AD135</f>
        <v>0</v>
      </c>
      <c r="AY135" s="149"/>
      <c r="AZ135" s="76" t="n">
        <f aca="false">R135*E135</f>
        <v>0</v>
      </c>
    </row>
    <row r="136" customFormat="false" ht="12.75" hidden="false" customHeight="false" outlineLevel="0" collapsed="false">
      <c r="A136" s="138" t="n">
        <f aca="false">EDATE(A135,1)</f>
        <v>40817</v>
      </c>
      <c r="B136" s="139" t="n">
        <f aca="false">VLOOKUP($A136,Table2,MATCH(I$3,Curves2,0))</f>
        <v>0</v>
      </c>
      <c r="C136" s="140"/>
      <c r="D136" s="141" t="n">
        <f aca="false">B136+C136</f>
        <v>0</v>
      </c>
      <c r="E136" s="126" t="n">
        <f aca="false">IF(Y136=0,0,IF(AND(Y136=1,$H$3=1),D136*T136,IF($H$3=2,D136,"N/A")))</f>
        <v>0</v>
      </c>
      <c r="F136" s="126" t="n">
        <f aca="false">E136*X136</f>
        <v>0</v>
      </c>
      <c r="G136" s="142" t="n">
        <f aca="false">VLOOKUP($A136,Table,MATCH(G$4,Curves,0))</f>
        <v>3.987</v>
      </c>
      <c r="H136" s="143" t="n">
        <f aca="false">G136</f>
        <v>3.987</v>
      </c>
      <c r="I136" s="142" t="n">
        <f aca="false">VLOOKUP($A136,Table1,MATCH(I$3,Curves1,0))</f>
        <v>0</v>
      </c>
      <c r="J136" s="142" t="n">
        <f aca="false">VLOOKUP($A136,Table,MATCH(J$4,Curves,0))</f>
        <v>-0.0235</v>
      </c>
      <c r="K136" s="143" t="n">
        <f aca="false">J136</f>
        <v>-0.0235</v>
      </c>
      <c r="L136" s="144" t="n">
        <v>0</v>
      </c>
      <c r="M136" s="142" t="n">
        <f aca="false">VLOOKUP($A136,Table,MATCH(M$4,Curves,0))</f>
        <v>0.0075</v>
      </c>
      <c r="N136" s="143" t="n">
        <f aca="false">M136</f>
        <v>0.0075</v>
      </c>
      <c r="O136" s="144" t="n">
        <v>0</v>
      </c>
      <c r="P136" s="145"/>
      <c r="Q136" s="144" t="n">
        <f aca="false">M136+J136+G136</f>
        <v>3.971</v>
      </c>
      <c r="R136" s="144" t="n">
        <f aca="false">O136+L136+I136</f>
        <v>0</v>
      </c>
      <c r="S136" s="145"/>
      <c r="T136" s="71" t="n">
        <f aca="false">A137-A136</f>
        <v>31</v>
      </c>
      <c r="U136" s="146" t="n">
        <f aca="false">CHOOSE(F$3,A137+24,A136)</f>
        <v>40872</v>
      </c>
      <c r="V136" s="71" t="n">
        <f aca="false">U136-C$3</f>
        <v>3984</v>
      </c>
      <c r="W136" s="142" t="n">
        <f aca="false">VLOOKUP($A136,Table,MATCH(W$4,Curves,0))</f>
        <v>0.058966861357273</v>
      </c>
      <c r="X136" s="147" t="n">
        <f aca="false">1/(1+CHOOSE(F$3,(W137+($K$3/10000))/2,(W136+($K$3/10000))/2))^(2*V136/365.25)</f>
        <v>0.53052539237985</v>
      </c>
      <c r="Y136" s="71" t="n">
        <f aca="false">IF(AND(mthbeg&lt;=A136,mthend&gt;=A136),1,0)</f>
        <v>0</v>
      </c>
      <c r="Z136" s="71" t="n">
        <f aca="false">T136*Y136</f>
        <v>0</v>
      </c>
      <c r="AB136" s="132" t="n">
        <f aca="false">F136*G136</f>
        <v>0</v>
      </c>
      <c r="AC136" s="132" t="n">
        <f aca="false">$F136*H136</f>
        <v>0</v>
      </c>
      <c r="AD136" s="132" t="n">
        <f aca="false">$F136*I136</f>
        <v>0</v>
      </c>
      <c r="AE136" s="132" t="n">
        <f aca="false">$F136*J136</f>
        <v>-0</v>
      </c>
      <c r="AF136" s="132" t="n">
        <f aca="false">$F136*K136</f>
        <v>-0</v>
      </c>
      <c r="AG136" s="132" t="n">
        <f aca="false">$F136*L136</f>
        <v>0</v>
      </c>
      <c r="AH136" s="132" t="n">
        <f aca="false">$F136*M136</f>
        <v>0</v>
      </c>
      <c r="AI136" s="132" t="n">
        <f aca="false">$F136*N136</f>
        <v>0</v>
      </c>
      <c r="AJ136" s="132" t="n">
        <f aca="false">F136*O136</f>
        <v>0</v>
      </c>
      <c r="AK136" s="137"/>
      <c r="AL136" s="132" t="n">
        <f aca="false">CHOOSE($G$3,AC136-AD136,AD136-AC136)</f>
        <v>0</v>
      </c>
      <c r="AM136" s="132" t="n">
        <f aca="false">CHOOSE($G$3,AF136-AG136,AG136-AF136)</f>
        <v>0</v>
      </c>
      <c r="AN136" s="132" t="n">
        <f aca="false">CHOOSE($G$3,AI136-AJ136,AJ136-AI136)</f>
        <v>0</v>
      </c>
      <c r="AO136" s="148" t="n">
        <f aca="false">SUM(AL136:AN136)</f>
        <v>0</v>
      </c>
      <c r="AQ136" s="132" t="n">
        <f aca="false">CHOOSE($G$3,AB136-AC136,AC136-AB136)</f>
        <v>0</v>
      </c>
      <c r="AR136" s="132" t="n">
        <f aca="false">CHOOSE($G$3,AE136-AF136,AF136-AE136)</f>
        <v>0</v>
      </c>
      <c r="AS136" s="132" t="n">
        <f aca="false">CHOOSE($G$3,AH136-AI136,AI136-AH136)</f>
        <v>0</v>
      </c>
      <c r="AT136" s="148" t="n">
        <f aca="false">AQ136+AR136+AS136</f>
        <v>0</v>
      </c>
      <c r="AU136" s="148"/>
      <c r="AV136" s="133" t="n">
        <f aca="false">AT136+AO136</f>
        <v>0</v>
      </c>
      <c r="AX136" s="133" t="n">
        <f aca="false">AJ136+AG136+AD136</f>
        <v>0</v>
      </c>
      <c r="AY136" s="149"/>
      <c r="AZ136" s="76" t="n">
        <f aca="false">R136*E136</f>
        <v>0</v>
      </c>
    </row>
    <row r="137" customFormat="false" ht="12.75" hidden="false" customHeight="false" outlineLevel="0" collapsed="false">
      <c r="A137" s="138" t="n">
        <f aca="false">EDATE(A136,1)</f>
        <v>40848</v>
      </c>
      <c r="B137" s="139" t="n">
        <f aca="false">VLOOKUP($A137,Table2,MATCH(I$3,Curves2,0))</f>
        <v>0</v>
      </c>
      <c r="C137" s="140"/>
      <c r="D137" s="141" t="n">
        <f aca="false">B137+C137</f>
        <v>0</v>
      </c>
      <c r="E137" s="126" t="n">
        <f aca="false">IF(Y137=0,0,IF(AND(Y137=1,$H$3=1),D137*T137,IF($H$3=2,D137,"N/A")))</f>
        <v>0</v>
      </c>
      <c r="F137" s="126" t="n">
        <f aca="false">E137*X137</f>
        <v>0</v>
      </c>
      <c r="G137" s="142" t="n">
        <f aca="false">VLOOKUP($A137,Table,MATCH(G$4,Curves,0))</f>
        <v>3.987</v>
      </c>
      <c r="H137" s="143" t="n">
        <f aca="false">G137</f>
        <v>3.987</v>
      </c>
      <c r="I137" s="142" t="n">
        <f aca="false">VLOOKUP($A137,Table1,MATCH(I$3,Curves1,0))</f>
        <v>0</v>
      </c>
      <c r="J137" s="142" t="n">
        <f aca="false">VLOOKUP($A137,Table,MATCH(J$4,Curves,0))</f>
        <v>-0.0235</v>
      </c>
      <c r="K137" s="143" t="n">
        <f aca="false">J137</f>
        <v>-0.0235</v>
      </c>
      <c r="L137" s="144" t="n">
        <v>0</v>
      </c>
      <c r="M137" s="142" t="n">
        <f aca="false">VLOOKUP($A137,Table,MATCH(M$4,Curves,0))</f>
        <v>0.0075</v>
      </c>
      <c r="N137" s="143" t="n">
        <f aca="false">M137</f>
        <v>0.0075</v>
      </c>
      <c r="O137" s="144" t="n">
        <v>0</v>
      </c>
      <c r="P137" s="145"/>
      <c r="Q137" s="144" t="n">
        <f aca="false">M137+J137+G137</f>
        <v>3.971</v>
      </c>
      <c r="R137" s="144" t="n">
        <f aca="false">O137+L137+I137</f>
        <v>0</v>
      </c>
      <c r="S137" s="145"/>
      <c r="T137" s="71" t="n">
        <f aca="false">A138-A137</f>
        <v>30</v>
      </c>
      <c r="U137" s="146" t="n">
        <f aca="false">CHOOSE(F$3,A138+24,A137)</f>
        <v>40902</v>
      </c>
      <c r="V137" s="71" t="n">
        <f aca="false">U137-C$3</f>
        <v>4014</v>
      </c>
      <c r="W137" s="142" t="n">
        <f aca="false">VLOOKUP($A137,Table,MATCH(W$4,Curves,0))</f>
        <v>0.058966861357273</v>
      </c>
      <c r="X137" s="147" t="n">
        <f aca="false">1/(1+CHOOSE(F$3,(W138+($K$3/10000))/2,(W137+($K$3/10000))/2))^(2*V137/365.25)</f>
        <v>0.527999096737183</v>
      </c>
      <c r="Y137" s="71" t="n">
        <f aca="false">IF(AND(mthbeg&lt;=A137,mthend&gt;=A137),1,0)</f>
        <v>0</v>
      </c>
      <c r="Z137" s="71" t="n">
        <f aca="false">T137*Y137</f>
        <v>0</v>
      </c>
      <c r="AB137" s="132" t="n">
        <f aca="false">F137*G137</f>
        <v>0</v>
      </c>
      <c r="AC137" s="132" t="n">
        <f aca="false">$F137*H137</f>
        <v>0</v>
      </c>
      <c r="AD137" s="132" t="n">
        <f aca="false">$F137*I137</f>
        <v>0</v>
      </c>
      <c r="AE137" s="132" t="n">
        <f aca="false">$F137*J137</f>
        <v>-0</v>
      </c>
      <c r="AF137" s="132" t="n">
        <f aca="false">$F137*K137</f>
        <v>-0</v>
      </c>
      <c r="AG137" s="132" t="n">
        <f aca="false">$F137*L137</f>
        <v>0</v>
      </c>
      <c r="AH137" s="132" t="n">
        <f aca="false">$F137*M137</f>
        <v>0</v>
      </c>
      <c r="AI137" s="132" t="n">
        <f aca="false">$F137*N137</f>
        <v>0</v>
      </c>
      <c r="AJ137" s="132" t="n">
        <f aca="false">F137*O137</f>
        <v>0</v>
      </c>
      <c r="AK137" s="137"/>
      <c r="AL137" s="132" t="n">
        <f aca="false">CHOOSE($G$3,AC137-AD137,AD137-AC137)</f>
        <v>0</v>
      </c>
      <c r="AM137" s="132" t="n">
        <f aca="false">CHOOSE($G$3,AF137-AG137,AG137-AF137)</f>
        <v>0</v>
      </c>
      <c r="AN137" s="132" t="n">
        <f aca="false">CHOOSE($G$3,AI137-AJ137,AJ137-AI137)</f>
        <v>0</v>
      </c>
      <c r="AO137" s="148" t="n">
        <f aca="false">SUM(AL137:AN137)</f>
        <v>0</v>
      </c>
      <c r="AQ137" s="132" t="n">
        <f aca="false">CHOOSE($G$3,AB137-AC137,AC137-AB137)</f>
        <v>0</v>
      </c>
      <c r="AR137" s="132" t="n">
        <f aca="false">CHOOSE($G$3,AE137-AF137,AF137-AE137)</f>
        <v>0</v>
      </c>
      <c r="AS137" s="132" t="n">
        <f aca="false">CHOOSE($G$3,AH137-AI137,AI137-AH137)</f>
        <v>0</v>
      </c>
      <c r="AT137" s="148" t="n">
        <f aca="false">AQ137+AR137+AS137</f>
        <v>0</v>
      </c>
      <c r="AU137" s="148"/>
      <c r="AV137" s="133" t="n">
        <f aca="false">AT137+AO137</f>
        <v>0</v>
      </c>
      <c r="AX137" s="133" t="n">
        <f aca="false">AJ137+AG137+AD137</f>
        <v>0</v>
      </c>
      <c r="AY137" s="149"/>
      <c r="AZ137" s="76" t="n">
        <f aca="false">R137*E137</f>
        <v>0</v>
      </c>
    </row>
    <row r="138" customFormat="false" ht="12.75" hidden="false" customHeight="false" outlineLevel="0" collapsed="false">
      <c r="A138" s="138" t="n">
        <f aca="false">EDATE(A137,1)</f>
        <v>40878</v>
      </c>
      <c r="B138" s="139" t="n">
        <f aca="false">VLOOKUP($A138,Table2,MATCH(I$3,Curves2,0))</f>
        <v>0</v>
      </c>
      <c r="C138" s="140"/>
      <c r="D138" s="141" t="n">
        <f aca="false">B138+C138</f>
        <v>0</v>
      </c>
      <c r="E138" s="126" t="n">
        <f aca="false">IF(Y138=0,0,IF(AND(Y138=1,$H$3=1),D138*T138,IF($H$3=2,D138,"N/A")))</f>
        <v>0</v>
      </c>
      <c r="F138" s="126" t="n">
        <f aca="false">E138*X138</f>
        <v>0</v>
      </c>
      <c r="G138" s="142" t="n">
        <f aca="false">VLOOKUP($A138,Table,MATCH(G$4,Curves,0))</f>
        <v>3.987</v>
      </c>
      <c r="H138" s="143" t="n">
        <f aca="false">G138</f>
        <v>3.987</v>
      </c>
      <c r="I138" s="142" t="n">
        <f aca="false">VLOOKUP($A138,Table1,MATCH(I$3,Curves1,0))</f>
        <v>0</v>
      </c>
      <c r="J138" s="142" t="n">
        <f aca="false">VLOOKUP($A138,Table,MATCH(J$4,Curves,0))</f>
        <v>-0.0235</v>
      </c>
      <c r="K138" s="143" t="n">
        <f aca="false">J138</f>
        <v>-0.0235</v>
      </c>
      <c r="L138" s="144" t="n">
        <v>0</v>
      </c>
      <c r="M138" s="142" t="n">
        <f aca="false">VLOOKUP($A138,Table,MATCH(M$4,Curves,0))</f>
        <v>0.0075</v>
      </c>
      <c r="N138" s="143" t="n">
        <f aca="false">M138</f>
        <v>0.0075</v>
      </c>
      <c r="O138" s="144" t="n">
        <v>0</v>
      </c>
      <c r="P138" s="145"/>
      <c r="Q138" s="144" t="n">
        <f aca="false">M138+J138+G138</f>
        <v>3.971</v>
      </c>
      <c r="R138" s="144" t="n">
        <f aca="false">O138+L138+I138</f>
        <v>0</v>
      </c>
      <c r="S138" s="145"/>
      <c r="T138" s="71" t="n">
        <f aca="false">A139-A138</f>
        <v>31</v>
      </c>
      <c r="U138" s="146" t="n">
        <f aca="false">CHOOSE(F$3,A139+24,A138)</f>
        <v>40933</v>
      </c>
      <c r="V138" s="71" t="n">
        <f aca="false">U138-C$3</f>
        <v>4045</v>
      </c>
      <c r="W138" s="142" t="n">
        <f aca="false">VLOOKUP($A138,Table,MATCH(W$4,Curves,0))</f>
        <v>0.058966861357273</v>
      </c>
      <c r="X138" s="147" t="n">
        <f aca="false">1/(1+CHOOSE(F$3,(W139+($K$3/10000))/2,(W138+($K$3/10000))/2))^(2*V138/365.25)</f>
        <v>0.525401228653058</v>
      </c>
      <c r="Y138" s="71" t="n">
        <f aca="false">IF(AND(mthbeg&lt;=A138,mthend&gt;=A138),1,0)</f>
        <v>0</v>
      </c>
      <c r="Z138" s="71" t="n">
        <f aca="false">T138*Y138</f>
        <v>0</v>
      </c>
      <c r="AB138" s="132" t="n">
        <f aca="false">F138*G138</f>
        <v>0</v>
      </c>
      <c r="AC138" s="132" t="n">
        <f aca="false">$F138*H138</f>
        <v>0</v>
      </c>
      <c r="AD138" s="132" t="n">
        <f aca="false">$F138*I138</f>
        <v>0</v>
      </c>
      <c r="AE138" s="132" t="n">
        <f aca="false">$F138*J138</f>
        <v>-0</v>
      </c>
      <c r="AF138" s="132" t="n">
        <f aca="false">$F138*K138</f>
        <v>-0</v>
      </c>
      <c r="AG138" s="132" t="n">
        <f aca="false">$F138*L138</f>
        <v>0</v>
      </c>
      <c r="AH138" s="132" t="n">
        <f aca="false">$F138*M138</f>
        <v>0</v>
      </c>
      <c r="AI138" s="132" t="n">
        <f aca="false">$F138*N138</f>
        <v>0</v>
      </c>
      <c r="AJ138" s="132" t="n">
        <f aca="false">F138*O138</f>
        <v>0</v>
      </c>
      <c r="AK138" s="137"/>
      <c r="AL138" s="132" t="n">
        <f aca="false">CHOOSE($G$3,AC138-AD138,AD138-AC138)</f>
        <v>0</v>
      </c>
      <c r="AM138" s="132" t="n">
        <f aca="false">CHOOSE($G$3,AF138-AG138,AG138-AF138)</f>
        <v>0</v>
      </c>
      <c r="AN138" s="132" t="n">
        <f aca="false">CHOOSE($G$3,AI138-AJ138,AJ138-AI138)</f>
        <v>0</v>
      </c>
      <c r="AO138" s="148" t="n">
        <f aca="false">SUM(AL138:AN138)</f>
        <v>0</v>
      </c>
      <c r="AQ138" s="132" t="n">
        <f aca="false">CHOOSE($G$3,AB138-AC138,AC138-AB138)</f>
        <v>0</v>
      </c>
      <c r="AR138" s="132" t="n">
        <f aca="false">CHOOSE($G$3,AE138-AF138,AF138-AE138)</f>
        <v>0</v>
      </c>
      <c r="AS138" s="132" t="n">
        <f aca="false">CHOOSE($G$3,AH138-AI138,AI138-AH138)</f>
        <v>0</v>
      </c>
      <c r="AT138" s="148" t="n">
        <f aca="false">AQ138+AR138+AS138</f>
        <v>0</v>
      </c>
      <c r="AU138" s="148"/>
      <c r="AV138" s="133" t="n">
        <f aca="false">AT138+AO138</f>
        <v>0</v>
      </c>
      <c r="AX138" s="133" t="n">
        <f aca="false">AJ138+AG138+AD138</f>
        <v>0</v>
      </c>
      <c r="AY138" s="149"/>
      <c r="AZ138" s="76" t="n">
        <f aca="false">R138*E138</f>
        <v>0</v>
      </c>
    </row>
    <row r="139" customFormat="false" ht="12.75" hidden="false" customHeight="false" outlineLevel="0" collapsed="false">
      <c r="A139" s="138" t="n">
        <f aca="false">EDATE(A138,1)</f>
        <v>40909</v>
      </c>
      <c r="B139" s="139" t="n">
        <f aca="false">VLOOKUP($A139,Table2,MATCH(I$3,Curves2,0))</f>
        <v>0</v>
      </c>
      <c r="C139" s="140"/>
      <c r="D139" s="141" t="n">
        <f aca="false">B139+C139</f>
        <v>0</v>
      </c>
      <c r="E139" s="126" t="n">
        <f aca="false">IF(Y139=0,0,IF(AND(Y139=1,$H$3=1),D139*T139,IF($H$3=2,D139,"N/A")))</f>
        <v>0</v>
      </c>
      <c r="F139" s="126" t="n">
        <f aca="false">E139*X139</f>
        <v>0</v>
      </c>
      <c r="G139" s="142" t="n">
        <f aca="false">VLOOKUP($A139,Table,MATCH(G$4,Curves,0))</f>
        <v>3.987</v>
      </c>
      <c r="H139" s="143" t="n">
        <f aca="false">G139</f>
        <v>3.987</v>
      </c>
      <c r="I139" s="142" t="n">
        <f aca="false">VLOOKUP($A139,Table1,MATCH(I$3,Curves1,0))</f>
        <v>0</v>
      </c>
      <c r="J139" s="142" t="n">
        <f aca="false">VLOOKUP($A139,Table,MATCH(J$4,Curves,0))</f>
        <v>-0.0235</v>
      </c>
      <c r="K139" s="143" t="n">
        <f aca="false">J139</f>
        <v>-0.0235</v>
      </c>
      <c r="L139" s="144" t="n">
        <v>0</v>
      </c>
      <c r="M139" s="142" t="n">
        <f aca="false">VLOOKUP($A139,Table,MATCH(M$4,Curves,0))</f>
        <v>0.0075</v>
      </c>
      <c r="N139" s="143" t="n">
        <f aca="false">M139</f>
        <v>0.0075</v>
      </c>
      <c r="O139" s="144" t="n">
        <v>0</v>
      </c>
      <c r="P139" s="145"/>
      <c r="Q139" s="144" t="n">
        <f aca="false">M139+J139+G139</f>
        <v>3.971</v>
      </c>
      <c r="R139" s="144" t="n">
        <f aca="false">O139+L139+I139</f>
        <v>0</v>
      </c>
      <c r="S139" s="145"/>
      <c r="T139" s="71" t="n">
        <f aca="false">A140-A139</f>
        <v>31</v>
      </c>
      <c r="U139" s="146" t="n">
        <f aca="false">CHOOSE(F$3,A140+24,A139)</f>
        <v>40964</v>
      </c>
      <c r="V139" s="71" t="n">
        <f aca="false">U139-C$3</f>
        <v>4076</v>
      </c>
      <c r="W139" s="142" t="n">
        <f aca="false">VLOOKUP($A139,Table,MATCH(W$4,Curves,0))</f>
        <v>0.058966861357273</v>
      </c>
      <c r="X139" s="147" t="n">
        <f aca="false">1/(1+CHOOSE(F$3,(W140+($K$3/10000))/2,(W139+($K$3/10000))/2))^(2*V139/365.25)</f>
        <v>0.522816142633569</v>
      </c>
      <c r="Y139" s="71" t="n">
        <f aca="false">IF(AND(mthbeg&lt;=A139,mthend&gt;=A139),1,0)</f>
        <v>0</v>
      </c>
      <c r="Z139" s="71" t="n">
        <f aca="false">T139*Y139</f>
        <v>0</v>
      </c>
      <c r="AB139" s="132" t="n">
        <f aca="false">F139*G139</f>
        <v>0</v>
      </c>
      <c r="AC139" s="132" t="n">
        <f aca="false">$F139*H139</f>
        <v>0</v>
      </c>
      <c r="AD139" s="132" t="n">
        <f aca="false">$F139*I139</f>
        <v>0</v>
      </c>
      <c r="AE139" s="132" t="n">
        <f aca="false">$F139*J139</f>
        <v>-0</v>
      </c>
      <c r="AF139" s="132" t="n">
        <f aca="false">$F139*K139</f>
        <v>-0</v>
      </c>
      <c r="AG139" s="132" t="n">
        <f aca="false">$F139*L139</f>
        <v>0</v>
      </c>
      <c r="AH139" s="132" t="n">
        <f aca="false">$F139*M139</f>
        <v>0</v>
      </c>
      <c r="AI139" s="132" t="n">
        <f aca="false">$F139*N139</f>
        <v>0</v>
      </c>
      <c r="AJ139" s="132" t="n">
        <f aca="false">F139*O139</f>
        <v>0</v>
      </c>
      <c r="AK139" s="137"/>
      <c r="AL139" s="132" t="n">
        <f aca="false">CHOOSE($G$3,AC139-AD139,AD139-AC139)</f>
        <v>0</v>
      </c>
      <c r="AM139" s="132" t="n">
        <f aca="false">CHOOSE($G$3,AF139-AG139,AG139-AF139)</f>
        <v>0</v>
      </c>
      <c r="AN139" s="132" t="n">
        <f aca="false">CHOOSE($G$3,AI139-AJ139,AJ139-AI139)</f>
        <v>0</v>
      </c>
      <c r="AO139" s="148" t="n">
        <f aca="false">SUM(AL139:AN139)</f>
        <v>0</v>
      </c>
      <c r="AQ139" s="132" t="n">
        <f aca="false">CHOOSE($G$3,AB139-AC139,AC139-AB139)</f>
        <v>0</v>
      </c>
      <c r="AR139" s="132" t="n">
        <f aca="false">CHOOSE($G$3,AE139-AF139,AF139-AE139)</f>
        <v>0</v>
      </c>
      <c r="AS139" s="132" t="n">
        <f aca="false">CHOOSE($G$3,AH139-AI139,AI139-AH139)</f>
        <v>0</v>
      </c>
      <c r="AT139" s="148" t="n">
        <f aca="false">AQ139+AR139+AS139</f>
        <v>0</v>
      </c>
      <c r="AU139" s="148"/>
      <c r="AV139" s="133" t="n">
        <f aca="false">AT139+AO139</f>
        <v>0</v>
      </c>
      <c r="AX139" s="133" t="n">
        <f aca="false">AJ139+AG139+AD139</f>
        <v>0</v>
      </c>
      <c r="AY139" s="149"/>
      <c r="AZ139" s="76" t="n">
        <f aca="false">R139*E139</f>
        <v>0</v>
      </c>
    </row>
    <row r="140" customFormat="false" ht="12.75" hidden="false" customHeight="false" outlineLevel="0" collapsed="false">
      <c r="A140" s="138" t="n">
        <f aca="false">EDATE(A139,1)</f>
        <v>40940</v>
      </c>
      <c r="B140" s="139" t="n">
        <f aca="false">VLOOKUP($A140,Table2,MATCH(I$3,Curves2,0))</f>
        <v>0</v>
      </c>
      <c r="C140" s="140"/>
      <c r="D140" s="141" t="n">
        <f aca="false">B140+C140</f>
        <v>0</v>
      </c>
      <c r="E140" s="126" t="n">
        <f aca="false">IF(Y140=0,0,IF(AND(Y140=1,$H$3=1),D140*T140,IF($H$3=2,D140,"N/A")))</f>
        <v>0</v>
      </c>
      <c r="F140" s="126" t="n">
        <f aca="false">E140*X140</f>
        <v>0</v>
      </c>
      <c r="G140" s="142" t="n">
        <f aca="false">VLOOKUP($A140,Table,MATCH(G$4,Curves,0))</f>
        <v>3.987</v>
      </c>
      <c r="H140" s="143" t="n">
        <f aca="false">G140</f>
        <v>3.987</v>
      </c>
      <c r="I140" s="142" t="n">
        <f aca="false">VLOOKUP($A140,Table1,MATCH(I$3,Curves1,0))</f>
        <v>0</v>
      </c>
      <c r="J140" s="142" t="n">
        <f aca="false">VLOOKUP($A140,Table,MATCH(J$4,Curves,0))</f>
        <v>-0.0235</v>
      </c>
      <c r="K140" s="143" t="n">
        <f aca="false">J140</f>
        <v>-0.0235</v>
      </c>
      <c r="L140" s="144" t="n">
        <v>0</v>
      </c>
      <c r="M140" s="142" t="n">
        <f aca="false">VLOOKUP($A140,Table,MATCH(M$4,Curves,0))</f>
        <v>0.0075</v>
      </c>
      <c r="N140" s="143" t="n">
        <f aca="false">M140</f>
        <v>0.0075</v>
      </c>
      <c r="O140" s="144" t="n">
        <v>0</v>
      </c>
      <c r="P140" s="145"/>
      <c r="Q140" s="144" t="n">
        <f aca="false">M140+J140+G140</f>
        <v>3.971</v>
      </c>
      <c r="R140" s="144" t="n">
        <f aca="false">O140+L140+I140</f>
        <v>0</v>
      </c>
      <c r="S140" s="145"/>
      <c r="T140" s="71" t="n">
        <f aca="false">A141-A140</f>
        <v>29</v>
      </c>
      <c r="U140" s="146" t="n">
        <f aca="false">CHOOSE(F$3,A141+24,A140)</f>
        <v>40993</v>
      </c>
      <c r="V140" s="71" t="n">
        <f aca="false">U140-C$3</f>
        <v>4105</v>
      </c>
      <c r="W140" s="142" t="n">
        <f aca="false">VLOOKUP($A140,Table,MATCH(W$4,Curves,0))</f>
        <v>0.058966861357273</v>
      </c>
      <c r="X140" s="147" t="n">
        <f aca="false">1/(1+CHOOSE(F$3,(W141+($K$3/10000))/2,(W140+($K$3/10000))/2))^(2*V140/365.25)</f>
        <v>0.520409352334299</v>
      </c>
      <c r="Y140" s="71" t="n">
        <f aca="false">IF(AND(mthbeg&lt;=A140,mthend&gt;=A140),1,0)</f>
        <v>0</v>
      </c>
      <c r="Z140" s="71" t="n">
        <f aca="false">T140*Y140</f>
        <v>0</v>
      </c>
      <c r="AB140" s="132" t="n">
        <f aca="false">F140*G140</f>
        <v>0</v>
      </c>
      <c r="AC140" s="132" t="n">
        <f aca="false">$F140*H140</f>
        <v>0</v>
      </c>
      <c r="AD140" s="132" t="n">
        <f aca="false">$F140*I140</f>
        <v>0</v>
      </c>
      <c r="AE140" s="132" t="n">
        <f aca="false">$F140*J140</f>
        <v>-0</v>
      </c>
      <c r="AF140" s="132" t="n">
        <f aca="false">$F140*K140</f>
        <v>-0</v>
      </c>
      <c r="AG140" s="132" t="n">
        <f aca="false">$F140*L140</f>
        <v>0</v>
      </c>
      <c r="AH140" s="132" t="n">
        <f aca="false">$F140*M140</f>
        <v>0</v>
      </c>
      <c r="AI140" s="132" t="n">
        <f aca="false">$F140*N140</f>
        <v>0</v>
      </c>
      <c r="AJ140" s="132" t="n">
        <f aca="false">F140*O140</f>
        <v>0</v>
      </c>
      <c r="AK140" s="137"/>
      <c r="AL140" s="132" t="n">
        <f aca="false">CHOOSE($G$3,AC140-AD140,AD140-AC140)</f>
        <v>0</v>
      </c>
      <c r="AM140" s="132" t="n">
        <f aca="false">CHOOSE($G$3,AF140-AG140,AG140-AF140)</f>
        <v>0</v>
      </c>
      <c r="AN140" s="132" t="n">
        <f aca="false">CHOOSE($G$3,AI140-AJ140,AJ140-AI140)</f>
        <v>0</v>
      </c>
      <c r="AO140" s="148" t="n">
        <f aca="false">SUM(AL140:AN140)</f>
        <v>0</v>
      </c>
      <c r="AQ140" s="132" t="n">
        <f aca="false">CHOOSE($G$3,AB140-AC140,AC140-AB140)</f>
        <v>0</v>
      </c>
      <c r="AR140" s="132" t="n">
        <f aca="false">CHOOSE($G$3,AE140-AF140,AF140-AE140)</f>
        <v>0</v>
      </c>
      <c r="AS140" s="132" t="n">
        <f aca="false">CHOOSE($G$3,AH140-AI140,AI140-AH140)</f>
        <v>0</v>
      </c>
      <c r="AT140" s="148" t="n">
        <f aca="false">AQ140+AR140+AS140</f>
        <v>0</v>
      </c>
      <c r="AU140" s="148"/>
      <c r="AV140" s="133" t="n">
        <f aca="false">AT140+AO140</f>
        <v>0</v>
      </c>
      <c r="AX140" s="133" t="n">
        <f aca="false">AJ140+AG140+AD140</f>
        <v>0</v>
      </c>
      <c r="AY140" s="149"/>
      <c r="AZ140" s="76" t="n">
        <f aca="false">R140*E140</f>
        <v>0</v>
      </c>
    </row>
    <row r="141" customFormat="false" ht="12.75" hidden="false" customHeight="false" outlineLevel="0" collapsed="false">
      <c r="A141" s="138" t="n">
        <f aca="false">EDATE(A140,1)</f>
        <v>40969</v>
      </c>
      <c r="B141" s="139" t="n">
        <f aca="false">VLOOKUP($A141,Table2,MATCH(I$3,Curves2,0))</f>
        <v>0</v>
      </c>
      <c r="C141" s="140"/>
      <c r="D141" s="141" t="n">
        <f aca="false">B141+C141</f>
        <v>0</v>
      </c>
      <c r="E141" s="126" t="n">
        <f aca="false">IF(Y141=0,0,IF(AND(Y141=1,$H$3=1),D141*T141,IF($H$3=2,D141,"N/A")))</f>
        <v>0</v>
      </c>
      <c r="F141" s="126" t="n">
        <f aca="false">E141*X141</f>
        <v>0</v>
      </c>
      <c r="G141" s="142" t="n">
        <f aca="false">VLOOKUP($A141,Table,MATCH(G$4,Curves,0))</f>
        <v>3.987</v>
      </c>
      <c r="H141" s="143" t="n">
        <f aca="false">G141</f>
        <v>3.987</v>
      </c>
      <c r="I141" s="142" t="n">
        <f aca="false">VLOOKUP($A141,Table1,MATCH(I$3,Curves1,0))</f>
        <v>0</v>
      </c>
      <c r="J141" s="142" t="n">
        <f aca="false">VLOOKUP($A141,Table,MATCH(J$4,Curves,0))</f>
        <v>-0.0235</v>
      </c>
      <c r="K141" s="143" t="n">
        <f aca="false">J141</f>
        <v>-0.0235</v>
      </c>
      <c r="L141" s="144" t="n">
        <v>0</v>
      </c>
      <c r="M141" s="142" t="n">
        <f aca="false">VLOOKUP($A141,Table,MATCH(M$4,Curves,0))</f>
        <v>0.0075</v>
      </c>
      <c r="N141" s="143" t="n">
        <f aca="false">M141</f>
        <v>0.0075</v>
      </c>
      <c r="O141" s="144" t="n">
        <v>0</v>
      </c>
      <c r="P141" s="145"/>
      <c r="Q141" s="144" t="n">
        <f aca="false">M141+J141+G141</f>
        <v>3.971</v>
      </c>
      <c r="R141" s="144" t="n">
        <f aca="false">O141+L141+I141</f>
        <v>0</v>
      </c>
      <c r="S141" s="145"/>
      <c r="T141" s="71" t="n">
        <f aca="false">A142-A141</f>
        <v>31</v>
      </c>
      <c r="U141" s="146" t="n">
        <f aca="false">CHOOSE(F$3,A142+24,A141)</f>
        <v>41024</v>
      </c>
      <c r="V141" s="71" t="n">
        <f aca="false">U141-C$3</f>
        <v>4136</v>
      </c>
      <c r="W141" s="142" t="n">
        <f aca="false">VLOOKUP($A141,Table,MATCH(W$4,Curves,0))</f>
        <v>0.058966861357273</v>
      </c>
      <c r="X141" s="147" t="n">
        <f aca="false">1/(1+CHOOSE(F$3,(W142+($K$3/10000))/2,(W141+($K$3/10000))/2))^(2*V141/365.25)</f>
        <v>0.517848827410177</v>
      </c>
      <c r="Y141" s="71" t="n">
        <f aca="false">IF(AND(mthbeg&lt;=A141,mthend&gt;=A141),1,0)</f>
        <v>0</v>
      </c>
      <c r="Z141" s="71" t="n">
        <f aca="false">T141*Y141</f>
        <v>0</v>
      </c>
      <c r="AB141" s="132" t="n">
        <f aca="false">F141*G141</f>
        <v>0</v>
      </c>
      <c r="AC141" s="132" t="n">
        <f aca="false">$F141*H141</f>
        <v>0</v>
      </c>
      <c r="AD141" s="132" t="n">
        <f aca="false">$F141*I141</f>
        <v>0</v>
      </c>
      <c r="AE141" s="132" t="n">
        <f aca="false">$F141*J141</f>
        <v>-0</v>
      </c>
      <c r="AF141" s="132" t="n">
        <f aca="false">$F141*K141</f>
        <v>-0</v>
      </c>
      <c r="AG141" s="132" t="n">
        <f aca="false">$F141*L141</f>
        <v>0</v>
      </c>
      <c r="AH141" s="132" t="n">
        <f aca="false">$F141*M141</f>
        <v>0</v>
      </c>
      <c r="AI141" s="132" t="n">
        <f aca="false">$F141*N141</f>
        <v>0</v>
      </c>
      <c r="AJ141" s="132" t="n">
        <f aca="false">F141*O141</f>
        <v>0</v>
      </c>
      <c r="AK141" s="137"/>
      <c r="AL141" s="132" t="n">
        <f aca="false">CHOOSE($G$3,AC141-AD141,AD141-AC141)</f>
        <v>0</v>
      </c>
      <c r="AM141" s="132" t="n">
        <f aca="false">CHOOSE($G$3,AF141-AG141,AG141-AF141)</f>
        <v>0</v>
      </c>
      <c r="AN141" s="132" t="n">
        <f aca="false">CHOOSE($G$3,AI141-AJ141,AJ141-AI141)</f>
        <v>0</v>
      </c>
      <c r="AO141" s="148" t="n">
        <f aca="false">SUM(AL141:AN141)</f>
        <v>0</v>
      </c>
      <c r="AQ141" s="132" t="n">
        <f aca="false">CHOOSE($G$3,AB141-AC141,AC141-AB141)</f>
        <v>0</v>
      </c>
      <c r="AR141" s="132" t="n">
        <f aca="false">CHOOSE($G$3,AE141-AF141,AF141-AE141)</f>
        <v>0</v>
      </c>
      <c r="AS141" s="132" t="n">
        <f aca="false">CHOOSE($G$3,AH141-AI141,AI141-AH141)</f>
        <v>0</v>
      </c>
      <c r="AT141" s="148" t="n">
        <f aca="false">AQ141+AR141+AS141</f>
        <v>0</v>
      </c>
      <c r="AU141" s="148"/>
      <c r="AV141" s="133" t="n">
        <f aca="false">AT141+AO141</f>
        <v>0</v>
      </c>
      <c r="AX141" s="133" t="n">
        <f aca="false">AJ141+AG141+AD141</f>
        <v>0</v>
      </c>
      <c r="AY141" s="149"/>
      <c r="AZ141" s="76" t="n">
        <f aca="false">R141*E141</f>
        <v>0</v>
      </c>
    </row>
    <row r="142" customFormat="false" ht="12.75" hidden="false" customHeight="false" outlineLevel="0" collapsed="false">
      <c r="A142" s="138" t="n">
        <f aca="false">EDATE(A141,1)</f>
        <v>41000</v>
      </c>
      <c r="B142" s="139" t="n">
        <f aca="false">VLOOKUP($A142,Table2,MATCH(I$3,Curves2,0))</f>
        <v>0</v>
      </c>
      <c r="C142" s="140"/>
      <c r="D142" s="141" t="n">
        <f aca="false">B142+C142</f>
        <v>0</v>
      </c>
      <c r="E142" s="126" t="n">
        <f aca="false">IF(Y142=0,0,IF(AND(Y142=1,$H$3=1),D142*T142,IF($H$3=2,D142,"N/A")))</f>
        <v>0</v>
      </c>
      <c r="F142" s="126" t="n">
        <f aca="false">E142*X142</f>
        <v>0</v>
      </c>
      <c r="G142" s="142" t="n">
        <f aca="false">VLOOKUP($A142,Table,MATCH(G$4,Curves,0))</f>
        <v>3.987</v>
      </c>
      <c r="H142" s="143" t="n">
        <f aca="false">G142</f>
        <v>3.987</v>
      </c>
      <c r="I142" s="142" t="n">
        <f aca="false">VLOOKUP($A142,Table1,MATCH(I$3,Curves1,0))</f>
        <v>0</v>
      </c>
      <c r="J142" s="142" t="n">
        <f aca="false">VLOOKUP($A142,Table,MATCH(J$4,Curves,0))</f>
        <v>-0.0235</v>
      </c>
      <c r="K142" s="143" t="n">
        <f aca="false">J142</f>
        <v>-0.0235</v>
      </c>
      <c r="L142" s="144" t="n">
        <v>0</v>
      </c>
      <c r="M142" s="142" t="n">
        <f aca="false">VLOOKUP($A142,Table,MATCH(M$4,Curves,0))</f>
        <v>0.0075</v>
      </c>
      <c r="N142" s="143" t="n">
        <f aca="false">M142</f>
        <v>0.0075</v>
      </c>
      <c r="O142" s="144" t="n">
        <v>0</v>
      </c>
      <c r="P142" s="145"/>
      <c r="Q142" s="144" t="n">
        <f aca="false">M142+J142+G142</f>
        <v>3.971</v>
      </c>
      <c r="R142" s="144" t="n">
        <f aca="false">O142+L142+I142</f>
        <v>0</v>
      </c>
      <c r="S142" s="145"/>
      <c r="T142" s="71" t="n">
        <f aca="false">A143-A142</f>
        <v>30</v>
      </c>
      <c r="U142" s="146" t="n">
        <f aca="false">CHOOSE(F$3,A143+24,A142)</f>
        <v>41054</v>
      </c>
      <c r="V142" s="71" t="n">
        <f aca="false">U142-C$3</f>
        <v>4166</v>
      </c>
      <c r="W142" s="142" t="n">
        <f aca="false">VLOOKUP($A142,Table,MATCH(W$4,Curves,0))</f>
        <v>0.058966861357273</v>
      </c>
      <c r="X142" s="147" t="n">
        <f aca="false">1/(1+CHOOSE(F$3,(W143+($K$3/10000))/2,(W142+($K$3/10000))/2))^(2*V142/365.25)</f>
        <v>0.515382895986276</v>
      </c>
      <c r="Y142" s="71" t="n">
        <f aca="false">IF(AND(mthbeg&lt;=A142,mthend&gt;=A142),1,0)</f>
        <v>0</v>
      </c>
      <c r="Z142" s="71" t="n">
        <f aca="false">T142*Y142</f>
        <v>0</v>
      </c>
      <c r="AB142" s="132" t="n">
        <f aca="false">F142*G142</f>
        <v>0</v>
      </c>
      <c r="AC142" s="132" t="n">
        <f aca="false">$F142*H142</f>
        <v>0</v>
      </c>
      <c r="AD142" s="132" t="n">
        <f aca="false">$F142*I142</f>
        <v>0</v>
      </c>
      <c r="AE142" s="132" t="n">
        <f aca="false">$F142*J142</f>
        <v>-0</v>
      </c>
      <c r="AF142" s="132" t="n">
        <f aca="false">$F142*K142</f>
        <v>-0</v>
      </c>
      <c r="AG142" s="132" t="n">
        <f aca="false">$F142*L142</f>
        <v>0</v>
      </c>
      <c r="AH142" s="132" t="n">
        <f aca="false">$F142*M142</f>
        <v>0</v>
      </c>
      <c r="AI142" s="132" t="n">
        <f aca="false">$F142*N142</f>
        <v>0</v>
      </c>
      <c r="AJ142" s="132" t="n">
        <f aca="false">F142*O142</f>
        <v>0</v>
      </c>
      <c r="AK142" s="137"/>
      <c r="AL142" s="132" t="n">
        <f aca="false">CHOOSE($G$3,AC142-AD142,AD142-AC142)</f>
        <v>0</v>
      </c>
      <c r="AM142" s="132" t="n">
        <f aca="false">CHOOSE($G$3,AF142-AG142,AG142-AF142)</f>
        <v>0</v>
      </c>
      <c r="AN142" s="132" t="n">
        <f aca="false">CHOOSE($G$3,AI142-AJ142,AJ142-AI142)</f>
        <v>0</v>
      </c>
      <c r="AO142" s="148" t="n">
        <f aca="false">SUM(AL142:AN142)</f>
        <v>0</v>
      </c>
      <c r="AQ142" s="132" t="n">
        <f aca="false">CHOOSE($G$3,AB142-AC142,AC142-AB142)</f>
        <v>0</v>
      </c>
      <c r="AR142" s="132" t="n">
        <f aca="false">CHOOSE($G$3,AE142-AF142,AF142-AE142)</f>
        <v>0</v>
      </c>
      <c r="AS142" s="132" t="n">
        <f aca="false">CHOOSE($G$3,AH142-AI142,AI142-AH142)</f>
        <v>0</v>
      </c>
      <c r="AT142" s="148" t="n">
        <f aca="false">AQ142+AR142+AS142</f>
        <v>0</v>
      </c>
      <c r="AU142" s="148"/>
      <c r="AV142" s="133" t="n">
        <f aca="false">AT142+AO142</f>
        <v>0</v>
      </c>
      <c r="AX142" s="133" t="n">
        <f aca="false">AJ142+AG142+AD142</f>
        <v>0</v>
      </c>
      <c r="AY142" s="149"/>
      <c r="AZ142" s="76" t="n">
        <f aca="false">R142*E142</f>
        <v>0</v>
      </c>
    </row>
    <row r="143" customFormat="false" ht="12.75" hidden="false" customHeight="false" outlineLevel="0" collapsed="false">
      <c r="A143" s="138" t="n">
        <f aca="false">EDATE(A142,1)</f>
        <v>41030</v>
      </c>
      <c r="B143" s="139" t="n">
        <f aca="false">VLOOKUP($A143,Table2,MATCH(I$3,Curves2,0))</f>
        <v>0</v>
      </c>
      <c r="C143" s="140"/>
      <c r="D143" s="141" t="n">
        <f aca="false">B143+C143</f>
        <v>0</v>
      </c>
      <c r="E143" s="126" t="n">
        <f aca="false">IF(Y143=0,0,IF(AND(Y143=1,$H$3=1),D143*T143,IF($H$3=2,D143,"N/A")))</f>
        <v>0</v>
      </c>
      <c r="F143" s="126" t="n">
        <f aca="false">E143*X143</f>
        <v>0</v>
      </c>
      <c r="G143" s="142" t="n">
        <f aca="false">VLOOKUP($A143,Table,MATCH(G$4,Curves,0))</f>
        <v>3.987</v>
      </c>
      <c r="H143" s="143" t="n">
        <f aca="false">G143</f>
        <v>3.987</v>
      </c>
      <c r="I143" s="142" t="n">
        <f aca="false">VLOOKUP($A143,Table1,MATCH(I$3,Curves1,0))</f>
        <v>0</v>
      </c>
      <c r="J143" s="142" t="n">
        <f aca="false">VLOOKUP($A143,Table,MATCH(J$4,Curves,0))</f>
        <v>-0.0235</v>
      </c>
      <c r="K143" s="143" t="n">
        <f aca="false">J143</f>
        <v>-0.0235</v>
      </c>
      <c r="L143" s="144" t="n">
        <v>0</v>
      </c>
      <c r="M143" s="142" t="n">
        <f aca="false">VLOOKUP($A143,Table,MATCH(M$4,Curves,0))</f>
        <v>0.0075</v>
      </c>
      <c r="N143" s="143" t="n">
        <f aca="false">M143</f>
        <v>0.0075</v>
      </c>
      <c r="O143" s="144" t="n">
        <v>0</v>
      </c>
      <c r="P143" s="145"/>
      <c r="Q143" s="144" t="n">
        <f aca="false">M143+J143+G143</f>
        <v>3.971</v>
      </c>
      <c r="R143" s="144" t="n">
        <f aca="false">O143+L143+I143</f>
        <v>0</v>
      </c>
      <c r="S143" s="145"/>
      <c r="T143" s="71" t="n">
        <f aca="false">A144-A143</f>
        <v>31</v>
      </c>
      <c r="U143" s="146" t="n">
        <f aca="false">CHOOSE(F$3,A144+24,A143)</f>
        <v>41085</v>
      </c>
      <c r="V143" s="71" t="n">
        <f aca="false">U143-C$3</f>
        <v>4197</v>
      </c>
      <c r="W143" s="142" t="n">
        <f aca="false">VLOOKUP($A143,Table,MATCH(W$4,Curves,0))</f>
        <v>0.058966861357273</v>
      </c>
      <c r="X143" s="147" t="n">
        <f aca="false">1/(1+CHOOSE(F$3,(W144+($K$3/10000))/2,(W143+($K$3/10000))/2))^(2*V143/365.25)</f>
        <v>0.512847102298634</v>
      </c>
      <c r="Y143" s="71" t="n">
        <f aca="false">IF(AND(mthbeg&lt;=A143,mthend&gt;=A143),1,0)</f>
        <v>0</v>
      </c>
      <c r="Z143" s="71" t="n">
        <f aca="false">T143*Y143</f>
        <v>0</v>
      </c>
      <c r="AB143" s="132" t="n">
        <f aca="false">F143*G143</f>
        <v>0</v>
      </c>
      <c r="AC143" s="132" t="n">
        <f aca="false">$F143*H143</f>
        <v>0</v>
      </c>
      <c r="AD143" s="132" t="n">
        <f aca="false">$F143*I143</f>
        <v>0</v>
      </c>
      <c r="AE143" s="132" t="n">
        <f aca="false">$F143*J143</f>
        <v>-0</v>
      </c>
      <c r="AF143" s="132" t="n">
        <f aca="false">$F143*K143</f>
        <v>-0</v>
      </c>
      <c r="AG143" s="132" t="n">
        <f aca="false">$F143*L143</f>
        <v>0</v>
      </c>
      <c r="AH143" s="132" t="n">
        <f aca="false">$F143*M143</f>
        <v>0</v>
      </c>
      <c r="AI143" s="132" t="n">
        <f aca="false">$F143*N143</f>
        <v>0</v>
      </c>
      <c r="AJ143" s="132" t="n">
        <f aca="false">F143*O143</f>
        <v>0</v>
      </c>
      <c r="AK143" s="137"/>
      <c r="AL143" s="132" t="n">
        <f aca="false">CHOOSE($G$3,AC143-AD143,AD143-AC143)</f>
        <v>0</v>
      </c>
      <c r="AM143" s="132" t="n">
        <f aca="false">CHOOSE($G$3,AF143-AG143,AG143-AF143)</f>
        <v>0</v>
      </c>
      <c r="AN143" s="132" t="n">
        <f aca="false">CHOOSE($G$3,AI143-AJ143,AJ143-AI143)</f>
        <v>0</v>
      </c>
      <c r="AO143" s="148" t="n">
        <f aca="false">SUM(AL143:AN143)</f>
        <v>0</v>
      </c>
      <c r="AQ143" s="132" t="n">
        <f aca="false">CHOOSE($G$3,AB143-AC143,AC143-AB143)</f>
        <v>0</v>
      </c>
      <c r="AR143" s="132" t="n">
        <f aca="false">CHOOSE($G$3,AE143-AF143,AF143-AE143)</f>
        <v>0</v>
      </c>
      <c r="AS143" s="132" t="n">
        <f aca="false">CHOOSE($G$3,AH143-AI143,AI143-AH143)</f>
        <v>0</v>
      </c>
      <c r="AT143" s="148" t="n">
        <f aca="false">AQ143+AR143+AS143</f>
        <v>0</v>
      </c>
      <c r="AU143" s="148"/>
      <c r="AV143" s="133" t="n">
        <f aca="false">AT143+AO143</f>
        <v>0</v>
      </c>
      <c r="AX143" s="133" t="n">
        <f aca="false">AJ143+AG143+AD143</f>
        <v>0</v>
      </c>
      <c r="AY143" s="149"/>
      <c r="AZ143" s="76" t="n">
        <f aca="false">R143*E143</f>
        <v>0</v>
      </c>
    </row>
    <row r="144" customFormat="false" ht="12.75" hidden="false" customHeight="false" outlineLevel="0" collapsed="false">
      <c r="A144" s="138" t="n">
        <f aca="false">EDATE(A143,1)</f>
        <v>41061</v>
      </c>
      <c r="B144" s="139" t="n">
        <f aca="false">VLOOKUP($A144,Table2,MATCH(I$3,Curves2,0))</f>
        <v>0</v>
      </c>
      <c r="C144" s="140"/>
      <c r="D144" s="141" t="n">
        <f aca="false">B144+C144</f>
        <v>0</v>
      </c>
      <c r="E144" s="126" t="n">
        <f aca="false">IF(Y144=0,0,IF(AND(Y144=1,$H$3=1),D144*T144,IF($H$3=2,D144,"N/A")))</f>
        <v>0</v>
      </c>
      <c r="F144" s="126" t="n">
        <f aca="false">E144*X144</f>
        <v>0</v>
      </c>
      <c r="G144" s="142" t="n">
        <f aca="false">VLOOKUP($A144,Table,MATCH(G$4,Curves,0))</f>
        <v>3.987</v>
      </c>
      <c r="H144" s="143" t="n">
        <f aca="false">G144</f>
        <v>3.987</v>
      </c>
      <c r="I144" s="142" t="n">
        <f aca="false">VLOOKUP($A144,Table1,MATCH(I$3,Curves1,0))</f>
        <v>0</v>
      </c>
      <c r="J144" s="142" t="n">
        <f aca="false">VLOOKUP($A144,Table,MATCH(J$4,Curves,0))</f>
        <v>-0.0235</v>
      </c>
      <c r="K144" s="143" t="n">
        <f aca="false">J144</f>
        <v>-0.0235</v>
      </c>
      <c r="L144" s="144" t="n">
        <v>0</v>
      </c>
      <c r="M144" s="142" t="n">
        <f aca="false">VLOOKUP($A144,Table,MATCH(M$4,Curves,0))</f>
        <v>0.0075</v>
      </c>
      <c r="N144" s="143" t="n">
        <f aca="false">M144</f>
        <v>0.0075</v>
      </c>
      <c r="O144" s="144" t="n">
        <v>0</v>
      </c>
      <c r="P144" s="145"/>
      <c r="Q144" s="144" t="n">
        <f aca="false">M144+J144+G144</f>
        <v>3.971</v>
      </c>
      <c r="R144" s="144" t="n">
        <f aca="false">O144+L144+I144</f>
        <v>0</v>
      </c>
      <c r="S144" s="145"/>
      <c r="T144" s="71" t="n">
        <f aca="false">A145-A144</f>
        <v>30</v>
      </c>
      <c r="U144" s="146" t="n">
        <f aca="false">CHOOSE(F$3,A145+24,A144)</f>
        <v>41115</v>
      </c>
      <c r="V144" s="71" t="n">
        <f aca="false">U144-C$3</f>
        <v>4227</v>
      </c>
      <c r="W144" s="142" t="n">
        <f aca="false">VLOOKUP($A144,Table,MATCH(W$4,Curves,0))</f>
        <v>0.058966861357273</v>
      </c>
      <c r="X144" s="147" t="n">
        <f aca="false">1/(1+CHOOSE(F$3,(W145+($K$3/10000))/2,(W144+($K$3/10000))/2))^(2*V144/365.25)</f>
        <v>0.510404988464875</v>
      </c>
      <c r="Y144" s="71" t="n">
        <f aca="false">IF(AND(mthbeg&lt;=A144,mthend&gt;=A144),1,0)</f>
        <v>0</v>
      </c>
      <c r="Z144" s="71" t="n">
        <f aca="false">T144*Y144</f>
        <v>0</v>
      </c>
      <c r="AB144" s="132" t="n">
        <f aca="false">F144*G144</f>
        <v>0</v>
      </c>
      <c r="AC144" s="132" t="n">
        <f aca="false">$F144*H144</f>
        <v>0</v>
      </c>
      <c r="AD144" s="132" t="n">
        <f aca="false">$F144*I144</f>
        <v>0</v>
      </c>
      <c r="AE144" s="132" t="n">
        <f aca="false">$F144*J144</f>
        <v>-0</v>
      </c>
      <c r="AF144" s="132" t="n">
        <f aca="false">$F144*K144</f>
        <v>-0</v>
      </c>
      <c r="AG144" s="132" t="n">
        <f aca="false">$F144*L144</f>
        <v>0</v>
      </c>
      <c r="AH144" s="132" t="n">
        <f aca="false">$F144*M144</f>
        <v>0</v>
      </c>
      <c r="AI144" s="132" t="n">
        <f aca="false">$F144*N144</f>
        <v>0</v>
      </c>
      <c r="AJ144" s="132" t="n">
        <f aca="false">F144*O144</f>
        <v>0</v>
      </c>
      <c r="AK144" s="137"/>
      <c r="AL144" s="132" t="n">
        <f aca="false">CHOOSE($G$3,AC144-AD144,AD144-AC144)</f>
        <v>0</v>
      </c>
      <c r="AM144" s="132" t="n">
        <f aca="false">CHOOSE($G$3,AF144-AG144,AG144-AF144)</f>
        <v>0</v>
      </c>
      <c r="AN144" s="132" t="n">
        <f aca="false">CHOOSE($G$3,AI144-AJ144,AJ144-AI144)</f>
        <v>0</v>
      </c>
      <c r="AO144" s="148" t="n">
        <f aca="false">SUM(AL144:AN144)</f>
        <v>0</v>
      </c>
      <c r="AQ144" s="132" t="n">
        <f aca="false">CHOOSE($G$3,AB144-AC144,AC144-AB144)</f>
        <v>0</v>
      </c>
      <c r="AR144" s="132" t="n">
        <f aca="false">CHOOSE($G$3,AE144-AF144,AF144-AE144)</f>
        <v>0</v>
      </c>
      <c r="AS144" s="132" t="n">
        <f aca="false">CHOOSE($G$3,AH144-AI144,AI144-AH144)</f>
        <v>0</v>
      </c>
      <c r="AT144" s="148" t="n">
        <f aca="false">AQ144+AR144+AS144</f>
        <v>0</v>
      </c>
      <c r="AU144" s="148"/>
      <c r="AV144" s="133" t="n">
        <f aca="false">AT144+AO144</f>
        <v>0</v>
      </c>
      <c r="AX144" s="133" t="n">
        <f aca="false">AJ144+AG144+AD144</f>
        <v>0</v>
      </c>
      <c r="AY144" s="149"/>
      <c r="AZ144" s="76" t="n">
        <f aca="false">R144*E144</f>
        <v>0</v>
      </c>
    </row>
    <row r="145" customFormat="false" ht="12.75" hidden="false" customHeight="false" outlineLevel="0" collapsed="false">
      <c r="A145" s="138" t="n">
        <f aca="false">EDATE(A144,1)</f>
        <v>41091</v>
      </c>
      <c r="B145" s="139" t="n">
        <f aca="false">VLOOKUP($A145,Table2,MATCH(I$3,Curves2,0))</f>
        <v>0</v>
      </c>
      <c r="C145" s="140"/>
      <c r="D145" s="141" t="n">
        <f aca="false">B145+C145</f>
        <v>0</v>
      </c>
      <c r="E145" s="126" t="n">
        <f aca="false">IF(Y145=0,0,IF(AND(Y145=1,$H$3=1),D145*T145,IF($H$3=2,D145,"N/A")))</f>
        <v>0</v>
      </c>
      <c r="F145" s="126" t="n">
        <f aca="false">E145*X145</f>
        <v>0</v>
      </c>
      <c r="G145" s="142" t="n">
        <f aca="false">VLOOKUP($A145,Table,MATCH(G$4,Curves,0))</f>
        <v>3.987</v>
      </c>
      <c r="H145" s="143" t="n">
        <f aca="false">G145</f>
        <v>3.987</v>
      </c>
      <c r="I145" s="142" t="n">
        <f aca="false">VLOOKUP($A145,Table1,MATCH(I$3,Curves1,0))</f>
        <v>0</v>
      </c>
      <c r="J145" s="142" t="n">
        <f aca="false">VLOOKUP($A145,Table,MATCH(J$4,Curves,0))</f>
        <v>-0.0235</v>
      </c>
      <c r="K145" s="143" t="n">
        <f aca="false">J145</f>
        <v>-0.0235</v>
      </c>
      <c r="L145" s="144" t="n">
        <v>0</v>
      </c>
      <c r="M145" s="142" t="n">
        <f aca="false">VLOOKUP($A145,Table,MATCH(M$4,Curves,0))</f>
        <v>0.0075</v>
      </c>
      <c r="N145" s="143" t="n">
        <f aca="false">M145</f>
        <v>0.0075</v>
      </c>
      <c r="O145" s="144" t="n">
        <v>0</v>
      </c>
      <c r="P145" s="145"/>
      <c r="Q145" s="144" t="n">
        <f aca="false">M145+J145+G145</f>
        <v>3.971</v>
      </c>
      <c r="R145" s="144" t="n">
        <f aca="false">O145+L145+I145</f>
        <v>0</v>
      </c>
      <c r="S145" s="145"/>
      <c r="T145" s="71" t="n">
        <f aca="false">A146-A145</f>
        <v>31</v>
      </c>
      <c r="U145" s="146" t="n">
        <f aca="false">CHOOSE(F$3,A146+24,A145)</f>
        <v>41146</v>
      </c>
      <c r="V145" s="71" t="n">
        <f aca="false">U145-C$3</f>
        <v>4258</v>
      </c>
      <c r="W145" s="142" t="n">
        <f aca="false">VLOOKUP($A145,Table,MATCH(W$4,Curves,0))</f>
        <v>0.058966861357273</v>
      </c>
      <c r="X145" s="147" t="n">
        <f aca="false">1/(1+CHOOSE(F$3,(W146+($K$3/10000))/2,(W145+($K$3/10000))/2))^(2*V145/365.25)</f>
        <v>0.507893687143139</v>
      </c>
      <c r="Y145" s="71" t="n">
        <f aca="false">IF(AND(mthbeg&lt;=A145,mthend&gt;=A145),1,0)</f>
        <v>0</v>
      </c>
      <c r="Z145" s="71" t="n">
        <f aca="false">T145*Y145</f>
        <v>0</v>
      </c>
      <c r="AB145" s="132" t="n">
        <f aca="false">F145*G145</f>
        <v>0</v>
      </c>
      <c r="AC145" s="132" t="n">
        <f aca="false">$F145*H145</f>
        <v>0</v>
      </c>
      <c r="AD145" s="132" t="n">
        <f aca="false">$F145*I145</f>
        <v>0</v>
      </c>
      <c r="AE145" s="132" t="n">
        <f aca="false">$F145*J145</f>
        <v>-0</v>
      </c>
      <c r="AF145" s="132" t="n">
        <f aca="false">$F145*K145</f>
        <v>-0</v>
      </c>
      <c r="AG145" s="132" t="n">
        <f aca="false">$F145*L145</f>
        <v>0</v>
      </c>
      <c r="AH145" s="132" t="n">
        <f aca="false">$F145*M145</f>
        <v>0</v>
      </c>
      <c r="AI145" s="132" t="n">
        <f aca="false">$F145*N145</f>
        <v>0</v>
      </c>
      <c r="AJ145" s="132" t="n">
        <f aca="false">F145*O145</f>
        <v>0</v>
      </c>
      <c r="AK145" s="137"/>
      <c r="AL145" s="132" t="n">
        <f aca="false">CHOOSE($G$3,AC145-AD145,AD145-AC145)</f>
        <v>0</v>
      </c>
      <c r="AM145" s="132" t="n">
        <f aca="false">CHOOSE($G$3,AF145-AG145,AG145-AF145)</f>
        <v>0</v>
      </c>
      <c r="AN145" s="132" t="n">
        <f aca="false">CHOOSE($G$3,AI145-AJ145,AJ145-AI145)</f>
        <v>0</v>
      </c>
      <c r="AO145" s="148" t="n">
        <f aca="false">SUM(AL145:AN145)</f>
        <v>0</v>
      </c>
      <c r="AQ145" s="132" t="n">
        <f aca="false">CHOOSE($G$3,AB145-AC145,AC145-AB145)</f>
        <v>0</v>
      </c>
      <c r="AR145" s="132" t="n">
        <f aca="false">CHOOSE($G$3,AE145-AF145,AF145-AE145)</f>
        <v>0</v>
      </c>
      <c r="AS145" s="132" t="n">
        <f aca="false">CHOOSE($G$3,AH145-AI145,AI145-AH145)</f>
        <v>0</v>
      </c>
      <c r="AT145" s="148" t="n">
        <f aca="false">AQ145+AR145+AS145</f>
        <v>0</v>
      </c>
      <c r="AU145" s="148"/>
      <c r="AV145" s="133" t="n">
        <f aca="false">AT145+AO145</f>
        <v>0</v>
      </c>
      <c r="AX145" s="133" t="n">
        <f aca="false">AJ145+AG145+AD145</f>
        <v>0</v>
      </c>
      <c r="AY145" s="149"/>
      <c r="AZ145" s="76" t="n">
        <f aca="false">R145*E145</f>
        <v>0</v>
      </c>
    </row>
    <row r="146" customFormat="false" ht="12.75" hidden="false" customHeight="false" outlineLevel="0" collapsed="false">
      <c r="A146" s="138" t="n">
        <f aca="false">EDATE(A145,1)</f>
        <v>41122</v>
      </c>
      <c r="B146" s="139" t="n">
        <f aca="false">VLOOKUP($A146,Table2,MATCH(I$3,Curves2,0))</f>
        <v>0</v>
      </c>
      <c r="C146" s="140"/>
      <c r="D146" s="141" t="n">
        <f aca="false">B146+C146</f>
        <v>0</v>
      </c>
      <c r="E146" s="126" t="n">
        <f aca="false">IF(Y146=0,0,IF(AND(Y146=1,$H$3=1),D146*T146,IF($H$3=2,D146,"N/A")))</f>
        <v>0</v>
      </c>
      <c r="F146" s="126" t="n">
        <f aca="false">E146*X146</f>
        <v>0</v>
      </c>
      <c r="G146" s="142" t="n">
        <f aca="false">VLOOKUP($A146,Table,MATCH(G$4,Curves,0))</f>
        <v>3.987</v>
      </c>
      <c r="H146" s="143" t="n">
        <f aca="false">G146</f>
        <v>3.987</v>
      </c>
      <c r="I146" s="142" t="n">
        <f aca="false">VLOOKUP($A146,Table1,MATCH(I$3,Curves1,0))</f>
        <v>0</v>
      </c>
      <c r="J146" s="142" t="n">
        <f aca="false">VLOOKUP($A146,Table,MATCH(J$4,Curves,0))</f>
        <v>-0.0235</v>
      </c>
      <c r="K146" s="143" t="n">
        <f aca="false">J146</f>
        <v>-0.0235</v>
      </c>
      <c r="L146" s="144" t="n">
        <v>0</v>
      </c>
      <c r="M146" s="142" t="n">
        <f aca="false">VLOOKUP($A146,Table,MATCH(M$4,Curves,0))</f>
        <v>0.0075</v>
      </c>
      <c r="N146" s="143" t="n">
        <f aca="false">M146</f>
        <v>0.0075</v>
      </c>
      <c r="O146" s="144" t="n">
        <v>0</v>
      </c>
      <c r="P146" s="145"/>
      <c r="Q146" s="144" t="n">
        <f aca="false">M146+J146+G146</f>
        <v>3.971</v>
      </c>
      <c r="R146" s="144" t="n">
        <f aca="false">O146+L146+I146</f>
        <v>0</v>
      </c>
      <c r="S146" s="145"/>
      <c r="T146" s="71" t="n">
        <f aca="false">A147-A146</f>
        <v>31</v>
      </c>
      <c r="U146" s="146" t="n">
        <f aca="false">CHOOSE(F$3,A147+24,A146)</f>
        <v>41177</v>
      </c>
      <c r="V146" s="71" t="n">
        <f aca="false">U146-C$3</f>
        <v>4289</v>
      </c>
      <c r="W146" s="142" t="n">
        <f aca="false">VLOOKUP($A146,Table,MATCH(W$4,Curves,0))</f>
        <v>0.058966861357273</v>
      </c>
      <c r="X146" s="147" t="n">
        <f aca="false">1/(1+CHOOSE(F$3,(W147+($K$3/10000))/2,(W146+($K$3/10000))/2))^(2*V146/365.25)</f>
        <v>0.50539474195912</v>
      </c>
      <c r="Y146" s="71" t="n">
        <f aca="false">IF(AND(mthbeg&lt;=A146,mthend&gt;=A146),1,0)</f>
        <v>0</v>
      </c>
      <c r="Z146" s="71" t="n">
        <f aca="false">T146*Y146</f>
        <v>0</v>
      </c>
      <c r="AB146" s="132" t="n">
        <f aca="false">F146*G146</f>
        <v>0</v>
      </c>
      <c r="AC146" s="132" t="n">
        <f aca="false">$F146*H146</f>
        <v>0</v>
      </c>
      <c r="AD146" s="132" t="n">
        <f aca="false">$F146*I146</f>
        <v>0</v>
      </c>
      <c r="AE146" s="132" t="n">
        <f aca="false">$F146*J146</f>
        <v>-0</v>
      </c>
      <c r="AF146" s="132" t="n">
        <f aca="false">$F146*K146</f>
        <v>-0</v>
      </c>
      <c r="AG146" s="132" t="n">
        <f aca="false">$F146*L146</f>
        <v>0</v>
      </c>
      <c r="AH146" s="132" t="n">
        <f aca="false">$F146*M146</f>
        <v>0</v>
      </c>
      <c r="AI146" s="132" t="n">
        <f aca="false">$F146*N146</f>
        <v>0</v>
      </c>
      <c r="AJ146" s="132" t="n">
        <f aca="false">F146*O146</f>
        <v>0</v>
      </c>
      <c r="AK146" s="137"/>
      <c r="AL146" s="132" t="n">
        <f aca="false">CHOOSE($G$3,AC146-AD146,AD146-AC146)</f>
        <v>0</v>
      </c>
      <c r="AM146" s="132" t="n">
        <f aca="false">CHOOSE($G$3,AF146-AG146,AG146-AF146)</f>
        <v>0</v>
      </c>
      <c r="AN146" s="132" t="n">
        <f aca="false">CHOOSE($G$3,AI146-AJ146,AJ146-AI146)</f>
        <v>0</v>
      </c>
      <c r="AO146" s="148" t="n">
        <f aca="false">SUM(AL146:AN146)</f>
        <v>0</v>
      </c>
      <c r="AQ146" s="132" t="n">
        <f aca="false">CHOOSE($G$3,AB146-AC146,AC146-AB146)</f>
        <v>0</v>
      </c>
      <c r="AR146" s="132" t="n">
        <f aca="false">CHOOSE($G$3,AE146-AF146,AF146-AE146)</f>
        <v>0</v>
      </c>
      <c r="AS146" s="132" t="n">
        <f aca="false">CHOOSE($G$3,AH146-AI146,AI146-AH146)</f>
        <v>0</v>
      </c>
      <c r="AT146" s="148" t="n">
        <f aca="false">AQ146+AR146+AS146</f>
        <v>0</v>
      </c>
      <c r="AU146" s="148"/>
      <c r="AV146" s="133" t="n">
        <f aca="false">AT146+AO146</f>
        <v>0</v>
      </c>
      <c r="AX146" s="133" t="n">
        <f aca="false">AJ146+AG146+AD146</f>
        <v>0</v>
      </c>
      <c r="AY146" s="149"/>
      <c r="AZ146" s="76" t="n">
        <f aca="false">R146*E146</f>
        <v>0</v>
      </c>
    </row>
    <row r="147" customFormat="false" ht="12.75" hidden="false" customHeight="false" outlineLevel="0" collapsed="false">
      <c r="A147" s="138" t="n">
        <f aca="false">EDATE(A146,1)</f>
        <v>41153</v>
      </c>
      <c r="B147" s="139" t="n">
        <f aca="false">VLOOKUP($A147,Table2,MATCH(I$3,Curves2,0))</f>
        <v>0</v>
      </c>
      <c r="C147" s="140"/>
      <c r="D147" s="141" t="n">
        <f aca="false">B147+C147</f>
        <v>0</v>
      </c>
      <c r="E147" s="126" t="n">
        <f aca="false">IF(Y147=0,0,IF(AND(Y147=1,$H$3=1),D147*T147,IF($H$3=2,D147,"N/A")))</f>
        <v>0</v>
      </c>
      <c r="F147" s="126" t="n">
        <f aca="false">E147*X147</f>
        <v>0</v>
      </c>
      <c r="G147" s="142" t="n">
        <f aca="false">VLOOKUP($A147,Table,MATCH(G$4,Curves,0))</f>
        <v>3.987</v>
      </c>
      <c r="H147" s="143" t="n">
        <f aca="false">G147</f>
        <v>3.987</v>
      </c>
      <c r="I147" s="142" t="n">
        <f aca="false">VLOOKUP($A147,Table1,MATCH(I$3,Curves1,0))</f>
        <v>0</v>
      </c>
      <c r="J147" s="142" t="n">
        <f aca="false">VLOOKUP($A147,Table,MATCH(J$4,Curves,0))</f>
        <v>-0.0235</v>
      </c>
      <c r="K147" s="143" t="n">
        <f aca="false">J147</f>
        <v>-0.0235</v>
      </c>
      <c r="L147" s="144" t="n">
        <v>0</v>
      </c>
      <c r="M147" s="142" t="n">
        <f aca="false">VLOOKUP($A147,Table,MATCH(M$4,Curves,0))</f>
        <v>0.0075</v>
      </c>
      <c r="N147" s="143" t="n">
        <f aca="false">M147</f>
        <v>0.0075</v>
      </c>
      <c r="O147" s="144" t="n">
        <v>0</v>
      </c>
      <c r="P147" s="145"/>
      <c r="Q147" s="144" t="n">
        <f aca="false">M147+J147+G147</f>
        <v>3.971</v>
      </c>
      <c r="R147" s="144" t="n">
        <f aca="false">O147+L147+I147</f>
        <v>0</v>
      </c>
      <c r="S147" s="145"/>
      <c r="T147" s="71" t="n">
        <f aca="false">A148-A147</f>
        <v>30</v>
      </c>
      <c r="U147" s="146" t="n">
        <f aca="false">CHOOSE(F$3,A148+24,A147)</f>
        <v>41207</v>
      </c>
      <c r="V147" s="71" t="n">
        <f aca="false">U147-C$3</f>
        <v>4319</v>
      </c>
      <c r="W147" s="142" t="n">
        <f aca="false">VLOOKUP($A147,Table,MATCH(W$4,Curves,0))</f>
        <v>0.058966861357273</v>
      </c>
      <c r="X147" s="147" t="n">
        <f aca="false">1/(1+CHOOSE(F$3,(W148+($K$3/10000))/2,(W147+($K$3/10000))/2))^(2*V147/365.25)</f>
        <v>0.502988115334312</v>
      </c>
      <c r="Y147" s="71" t="n">
        <f aca="false">IF(AND(mthbeg&lt;=A147,mthend&gt;=A147),1,0)</f>
        <v>0</v>
      </c>
      <c r="Z147" s="71" t="n">
        <f aca="false">T147*Y147</f>
        <v>0</v>
      </c>
      <c r="AB147" s="132" t="n">
        <f aca="false">F147*G147</f>
        <v>0</v>
      </c>
      <c r="AC147" s="132" t="n">
        <f aca="false">$F147*H147</f>
        <v>0</v>
      </c>
      <c r="AD147" s="132" t="n">
        <f aca="false">$F147*I147</f>
        <v>0</v>
      </c>
      <c r="AE147" s="132" t="n">
        <f aca="false">$F147*J147</f>
        <v>-0</v>
      </c>
      <c r="AF147" s="132" t="n">
        <f aca="false">$F147*K147</f>
        <v>-0</v>
      </c>
      <c r="AG147" s="132" t="n">
        <f aca="false">$F147*L147</f>
        <v>0</v>
      </c>
      <c r="AH147" s="132" t="n">
        <f aca="false">$F147*M147</f>
        <v>0</v>
      </c>
      <c r="AI147" s="132" t="n">
        <f aca="false">$F147*N147</f>
        <v>0</v>
      </c>
      <c r="AJ147" s="132" t="n">
        <f aca="false">F147*O147</f>
        <v>0</v>
      </c>
      <c r="AK147" s="137"/>
      <c r="AL147" s="132" t="n">
        <f aca="false">CHOOSE($G$3,AC147-AD147,AD147-AC147)</f>
        <v>0</v>
      </c>
      <c r="AM147" s="132" t="n">
        <f aca="false">CHOOSE($G$3,AF147-AG147,AG147-AF147)</f>
        <v>0</v>
      </c>
      <c r="AN147" s="132" t="n">
        <f aca="false">CHOOSE($G$3,AI147-AJ147,AJ147-AI147)</f>
        <v>0</v>
      </c>
      <c r="AO147" s="148" t="n">
        <f aca="false">SUM(AL147:AN147)</f>
        <v>0</v>
      </c>
      <c r="AQ147" s="132" t="n">
        <f aca="false">CHOOSE($G$3,AB147-AC147,AC147-AB147)</f>
        <v>0</v>
      </c>
      <c r="AR147" s="132" t="n">
        <f aca="false">CHOOSE($G$3,AE147-AF147,AF147-AE147)</f>
        <v>0</v>
      </c>
      <c r="AS147" s="132" t="n">
        <f aca="false">CHOOSE($G$3,AH147-AI147,AI147-AH147)</f>
        <v>0</v>
      </c>
      <c r="AT147" s="148" t="n">
        <f aca="false">AQ147+AR147+AS147</f>
        <v>0</v>
      </c>
      <c r="AU147" s="148"/>
      <c r="AV147" s="133" t="n">
        <f aca="false">AT147+AO147</f>
        <v>0</v>
      </c>
      <c r="AX147" s="133" t="n">
        <f aca="false">AJ147+AG147+AD147</f>
        <v>0</v>
      </c>
      <c r="AY147" s="149"/>
      <c r="AZ147" s="76" t="n">
        <f aca="false">R147*E147</f>
        <v>0</v>
      </c>
    </row>
    <row r="148" customFormat="false" ht="12.75" hidden="false" customHeight="false" outlineLevel="0" collapsed="false">
      <c r="A148" s="138" t="n">
        <f aca="false">EDATE(A147,1)</f>
        <v>41183</v>
      </c>
      <c r="B148" s="139" t="n">
        <f aca="false">VLOOKUP($A148,Table2,MATCH(I$3,Curves2,0))</f>
        <v>0</v>
      </c>
      <c r="C148" s="140"/>
      <c r="D148" s="141" t="n">
        <f aca="false">B148+C148</f>
        <v>0</v>
      </c>
      <c r="E148" s="126" t="n">
        <f aca="false">IF(Y148=0,0,IF(AND(Y148=1,$H$3=1),D148*T148,IF($H$3=2,D148,"N/A")))</f>
        <v>0</v>
      </c>
      <c r="F148" s="126" t="n">
        <f aca="false">E148*X148</f>
        <v>0</v>
      </c>
      <c r="G148" s="142" t="n">
        <f aca="false">VLOOKUP($A148,Table,MATCH(G$4,Curves,0))</f>
        <v>3.987</v>
      </c>
      <c r="H148" s="143" t="n">
        <f aca="false">G148</f>
        <v>3.987</v>
      </c>
      <c r="I148" s="142" t="n">
        <f aca="false">VLOOKUP($A148,Table1,MATCH(I$3,Curves1,0))</f>
        <v>0</v>
      </c>
      <c r="J148" s="142" t="n">
        <f aca="false">VLOOKUP($A148,Table,MATCH(J$4,Curves,0))</f>
        <v>-0.0235</v>
      </c>
      <c r="K148" s="143" t="n">
        <f aca="false">J148</f>
        <v>-0.0235</v>
      </c>
      <c r="L148" s="144" t="n">
        <v>0</v>
      </c>
      <c r="M148" s="142" t="n">
        <f aca="false">VLOOKUP($A148,Table,MATCH(M$4,Curves,0))</f>
        <v>0.0075</v>
      </c>
      <c r="N148" s="143" t="n">
        <f aca="false">M148</f>
        <v>0.0075</v>
      </c>
      <c r="O148" s="144" t="n">
        <v>0</v>
      </c>
      <c r="P148" s="145"/>
      <c r="Q148" s="144" t="n">
        <f aca="false">M148+J148+G148</f>
        <v>3.971</v>
      </c>
      <c r="R148" s="144" t="n">
        <f aca="false">O148+L148+I148</f>
        <v>0</v>
      </c>
      <c r="S148" s="145"/>
      <c r="T148" s="71" t="n">
        <f aca="false">A149-A148</f>
        <v>31</v>
      </c>
      <c r="U148" s="146" t="n">
        <f aca="false">CHOOSE(F$3,A149+24,A148)</f>
        <v>41238</v>
      </c>
      <c r="V148" s="71" t="n">
        <f aca="false">U148-C$3</f>
        <v>4350</v>
      </c>
      <c r="W148" s="142" t="n">
        <f aca="false">VLOOKUP($A148,Table,MATCH(W$4,Curves,0))</f>
        <v>0.058966861357273</v>
      </c>
      <c r="X148" s="147" t="n">
        <f aca="false">1/(1+CHOOSE(F$3,(W149+($K$3/10000))/2,(W148+($K$3/10000))/2))^(2*V148/365.25)</f>
        <v>0.500513306609077</v>
      </c>
      <c r="Y148" s="71" t="n">
        <f aca="false">IF(AND(mthbeg&lt;=A148,mthend&gt;=A148),1,0)</f>
        <v>0</v>
      </c>
      <c r="Z148" s="71" t="n">
        <f aca="false">T148*Y148</f>
        <v>0</v>
      </c>
      <c r="AB148" s="132" t="n">
        <f aca="false">F148*G148</f>
        <v>0</v>
      </c>
      <c r="AC148" s="132" t="n">
        <f aca="false">$F148*H148</f>
        <v>0</v>
      </c>
      <c r="AD148" s="132" t="n">
        <f aca="false">$F148*I148</f>
        <v>0</v>
      </c>
      <c r="AE148" s="132" t="n">
        <f aca="false">$F148*J148</f>
        <v>-0</v>
      </c>
      <c r="AF148" s="132" t="n">
        <f aca="false">$F148*K148</f>
        <v>-0</v>
      </c>
      <c r="AG148" s="132" t="n">
        <f aca="false">$F148*L148</f>
        <v>0</v>
      </c>
      <c r="AH148" s="132" t="n">
        <f aca="false">$F148*M148</f>
        <v>0</v>
      </c>
      <c r="AI148" s="132" t="n">
        <f aca="false">$F148*N148</f>
        <v>0</v>
      </c>
      <c r="AJ148" s="132" t="n">
        <f aca="false">F148*O148</f>
        <v>0</v>
      </c>
      <c r="AK148" s="137"/>
      <c r="AL148" s="132" t="n">
        <f aca="false">CHOOSE($G$3,AC148-AD148,AD148-AC148)</f>
        <v>0</v>
      </c>
      <c r="AM148" s="132" t="n">
        <f aca="false">CHOOSE($G$3,AF148-AG148,AG148-AF148)</f>
        <v>0</v>
      </c>
      <c r="AN148" s="132" t="n">
        <f aca="false">CHOOSE($G$3,AI148-AJ148,AJ148-AI148)</f>
        <v>0</v>
      </c>
      <c r="AO148" s="148" t="n">
        <f aca="false">SUM(AL148:AN148)</f>
        <v>0</v>
      </c>
      <c r="AQ148" s="132" t="n">
        <f aca="false">CHOOSE($G$3,AB148-AC148,AC148-AB148)</f>
        <v>0</v>
      </c>
      <c r="AR148" s="132" t="n">
        <f aca="false">CHOOSE($G$3,AE148-AF148,AF148-AE148)</f>
        <v>0</v>
      </c>
      <c r="AS148" s="132" t="n">
        <f aca="false">CHOOSE($G$3,AH148-AI148,AI148-AH148)</f>
        <v>0</v>
      </c>
      <c r="AT148" s="148" t="n">
        <f aca="false">AQ148+AR148+AS148</f>
        <v>0</v>
      </c>
      <c r="AU148" s="148"/>
      <c r="AV148" s="133" t="n">
        <f aca="false">AT148+AO148</f>
        <v>0</v>
      </c>
      <c r="AX148" s="133" t="n">
        <f aca="false">AJ148+AG148+AD148</f>
        <v>0</v>
      </c>
      <c r="AY148" s="149"/>
      <c r="AZ148" s="76" t="n">
        <f aca="false">R148*E148</f>
        <v>0</v>
      </c>
    </row>
    <row r="149" customFormat="false" ht="12.75" hidden="false" customHeight="false" outlineLevel="0" collapsed="false">
      <c r="A149" s="138" t="n">
        <f aca="false">EDATE(A148,1)</f>
        <v>41214</v>
      </c>
      <c r="B149" s="139" t="n">
        <f aca="false">VLOOKUP($A149,Table2,MATCH(I$3,Curves2,0))</f>
        <v>0</v>
      </c>
      <c r="C149" s="140"/>
      <c r="D149" s="141" t="n">
        <f aca="false">B149+C149</f>
        <v>0</v>
      </c>
      <c r="E149" s="126" t="n">
        <f aca="false">IF(Y149=0,0,IF(AND(Y149=1,$H$3=1),D149*T149,IF($H$3=2,D149,"N/A")))</f>
        <v>0</v>
      </c>
      <c r="F149" s="126" t="n">
        <f aca="false">E149*X149</f>
        <v>0</v>
      </c>
      <c r="G149" s="142" t="n">
        <f aca="false">VLOOKUP($A149,Table,MATCH(G$4,Curves,0))</f>
        <v>3.987</v>
      </c>
      <c r="H149" s="143" t="n">
        <f aca="false">G149</f>
        <v>3.987</v>
      </c>
      <c r="I149" s="142" t="n">
        <f aca="false">VLOOKUP($A149,Table1,MATCH(I$3,Curves1,0))</f>
        <v>0</v>
      </c>
      <c r="J149" s="142" t="n">
        <f aca="false">VLOOKUP($A149,Table,MATCH(J$4,Curves,0))</f>
        <v>-0.0235</v>
      </c>
      <c r="K149" s="143" t="n">
        <f aca="false">J149</f>
        <v>-0.0235</v>
      </c>
      <c r="L149" s="144" t="n">
        <v>0</v>
      </c>
      <c r="M149" s="142" t="n">
        <f aca="false">VLOOKUP($A149,Table,MATCH(M$4,Curves,0))</f>
        <v>0.0075</v>
      </c>
      <c r="N149" s="143" t="n">
        <f aca="false">M149</f>
        <v>0.0075</v>
      </c>
      <c r="O149" s="144" t="n">
        <v>0</v>
      </c>
      <c r="P149" s="145"/>
      <c r="Q149" s="144" t="n">
        <f aca="false">M149+J149+G149</f>
        <v>3.971</v>
      </c>
      <c r="R149" s="144" t="n">
        <f aca="false">O149+L149+I149</f>
        <v>0</v>
      </c>
      <c r="S149" s="145"/>
      <c r="T149" s="71" t="n">
        <f aca="false">A150-A149</f>
        <v>30</v>
      </c>
      <c r="U149" s="146" t="n">
        <f aca="false">CHOOSE(F$3,A150+24,A149)</f>
        <v>41268</v>
      </c>
      <c r="V149" s="71" t="n">
        <f aca="false">U149-C$3</f>
        <v>4380</v>
      </c>
      <c r="W149" s="142" t="n">
        <f aca="false">VLOOKUP($A149,Table,MATCH(W$4,Curves,0))</f>
        <v>0.058966861357273</v>
      </c>
      <c r="X149" s="147" t="n">
        <f aca="false">1/(1+CHOOSE(F$3,(W150+($K$3/10000))/2,(W149+($K$3/10000))/2))^(2*V149/365.25)</f>
        <v>0.498129924769593</v>
      </c>
      <c r="Y149" s="71" t="n">
        <f aca="false">IF(AND(mthbeg&lt;=A149,mthend&gt;=A149),1,0)</f>
        <v>0</v>
      </c>
      <c r="Z149" s="71" t="n">
        <f aca="false">T149*Y149</f>
        <v>0</v>
      </c>
      <c r="AB149" s="132" t="n">
        <f aca="false">F149*G149</f>
        <v>0</v>
      </c>
      <c r="AC149" s="132" t="n">
        <f aca="false">$F149*H149</f>
        <v>0</v>
      </c>
      <c r="AD149" s="132" t="n">
        <f aca="false">$F149*I149</f>
        <v>0</v>
      </c>
      <c r="AE149" s="132" t="n">
        <f aca="false">$F149*J149</f>
        <v>-0</v>
      </c>
      <c r="AF149" s="132" t="n">
        <f aca="false">$F149*K149</f>
        <v>-0</v>
      </c>
      <c r="AG149" s="132" t="n">
        <f aca="false">$F149*L149</f>
        <v>0</v>
      </c>
      <c r="AH149" s="132" t="n">
        <f aca="false">$F149*M149</f>
        <v>0</v>
      </c>
      <c r="AI149" s="132" t="n">
        <f aca="false">$F149*N149</f>
        <v>0</v>
      </c>
      <c r="AJ149" s="132" t="n">
        <f aca="false">F149*O149</f>
        <v>0</v>
      </c>
      <c r="AK149" s="137"/>
      <c r="AL149" s="132" t="n">
        <f aca="false">CHOOSE($G$3,AC149-AD149,AD149-AC149)</f>
        <v>0</v>
      </c>
      <c r="AM149" s="132" t="n">
        <f aca="false">CHOOSE($G$3,AF149-AG149,AG149-AF149)</f>
        <v>0</v>
      </c>
      <c r="AN149" s="132" t="n">
        <f aca="false">CHOOSE($G$3,AI149-AJ149,AJ149-AI149)</f>
        <v>0</v>
      </c>
      <c r="AO149" s="148" t="n">
        <f aca="false">SUM(AL149:AN149)</f>
        <v>0</v>
      </c>
      <c r="AQ149" s="132" t="n">
        <f aca="false">CHOOSE($G$3,AB149-AC149,AC149-AB149)</f>
        <v>0</v>
      </c>
      <c r="AR149" s="132" t="n">
        <f aca="false">CHOOSE($G$3,AE149-AF149,AF149-AE149)</f>
        <v>0</v>
      </c>
      <c r="AS149" s="132" t="n">
        <f aca="false">CHOOSE($G$3,AH149-AI149,AI149-AH149)</f>
        <v>0</v>
      </c>
      <c r="AT149" s="148" t="n">
        <f aca="false">AQ149+AR149+AS149</f>
        <v>0</v>
      </c>
      <c r="AU149" s="148"/>
      <c r="AV149" s="133" t="n">
        <f aca="false">AT149+AO149</f>
        <v>0</v>
      </c>
      <c r="AX149" s="133" t="n">
        <f aca="false">AJ149+AG149+AD149</f>
        <v>0</v>
      </c>
      <c r="AY149" s="149"/>
      <c r="AZ149" s="76" t="n">
        <f aca="false">R149*E149</f>
        <v>0</v>
      </c>
    </row>
    <row r="150" customFormat="false" ht="12.75" hidden="false" customHeight="false" outlineLevel="0" collapsed="false">
      <c r="A150" s="138" t="n">
        <f aca="false">EDATE(A149,1)</f>
        <v>41244</v>
      </c>
      <c r="B150" s="139" t="n">
        <f aca="false">VLOOKUP($A150,Table2,MATCH(I$3,Curves2,0))</f>
        <v>0</v>
      </c>
      <c r="C150" s="140"/>
      <c r="D150" s="141" t="n">
        <f aca="false">B150+C150</f>
        <v>0</v>
      </c>
      <c r="E150" s="126" t="n">
        <f aca="false">IF(Y150=0,0,IF(AND(Y150=1,$H$3=1),D150*T150,IF($H$3=2,D150,"N/A")))</f>
        <v>0</v>
      </c>
      <c r="F150" s="126" t="n">
        <f aca="false">E150*X150</f>
        <v>0</v>
      </c>
      <c r="G150" s="142" t="n">
        <f aca="false">VLOOKUP($A150,Table,MATCH(G$4,Curves,0))</f>
        <v>3.987</v>
      </c>
      <c r="H150" s="143" t="n">
        <f aca="false">G150</f>
        <v>3.987</v>
      </c>
      <c r="I150" s="142" t="n">
        <f aca="false">VLOOKUP($A150,Table1,MATCH(I$3,Curves1,0))</f>
        <v>0</v>
      </c>
      <c r="J150" s="142" t="n">
        <f aca="false">VLOOKUP($A150,Table,MATCH(J$4,Curves,0))</f>
        <v>-0.0235</v>
      </c>
      <c r="K150" s="143" t="n">
        <f aca="false">J150</f>
        <v>-0.0235</v>
      </c>
      <c r="L150" s="144" t="n">
        <v>0</v>
      </c>
      <c r="M150" s="142" t="n">
        <f aca="false">VLOOKUP($A150,Table,MATCH(M$4,Curves,0))</f>
        <v>0.0075</v>
      </c>
      <c r="N150" s="143" t="n">
        <f aca="false">M150</f>
        <v>0.0075</v>
      </c>
      <c r="O150" s="144" t="n">
        <v>0</v>
      </c>
      <c r="P150" s="145"/>
      <c r="Q150" s="144" t="n">
        <f aca="false">M150+J150+G150</f>
        <v>3.971</v>
      </c>
      <c r="R150" s="144" t="n">
        <f aca="false">O150+L150+I150</f>
        <v>0</v>
      </c>
      <c r="S150" s="145"/>
      <c r="T150" s="71" t="n">
        <f aca="false">A151-A150</f>
        <v>31</v>
      </c>
      <c r="U150" s="146" t="n">
        <f aca="false">CHOOSE(F$3,A151+24,A150)</f>
        <v>41299</v>
      </c>
      <c r="V150" s="71" t="n">
        <f aca="false">U150-C$3</f>
        <v>4411</v>
      </c>
      <c r="W150" s="142" t="n">
        <f aca="false">VLOOKUP($A150,Table,MATCH(W$4,Curves,0))</f>
        <v>0.058966861357273</v>
      </c>
      <c r="X150" s="147" t="n">
        <f aca="false">1/(1+CHOOSE(F$3,(W151+($K$3/10000))/2,(W150+($K$3/10000))/2))^(2*V150/365.25)</f>
        <v>0.495679019377323</v>
      </c>
      <c r="Y150" s="71" t="n">
        <f aca="false">IF(AND(mthbeg&lt;=A150,mthend&gt;=A150),1,0)</f>
        <v>0</v>
      </c>
      <c r="Z150" s="71" t="n">
        <f aca="false">T150*Y150</f>
        <v>0</v>
      </c>
      <c r="AB150" s="132" t="n">
        <f aca="false">F150*G150</f>
        <v>0</v>
      </c>
      <c r="AC150" s="132" t="n">
        <f aca="false">$F150*H150</f>
        <v>0</v>
      </c>
      <c r="AD150" s="132" t="n">
        <f aca="false">$F150*I150</f>
        <v>0</v>
      </c>
      <c r="AE150" s="132" t="n">
        <f aca="false">$F150*J150</f>
        <v>-0</v>
      </c>
      <c r="AF150" s="132" t="n">
        <f aca="false">$F150*K150</f>
        <v>-0</v>
      </c>
      <c r="AG150" s="132" t="n">
        <f aca="false">$F150*L150</f>
        <v>0</v>
      </c>
      <c r="AH150" s="132" t="n">
        <f aca="false">$F150*M150</f>
        <v>0</v>
      </c>
      <c r="AI150" s="132" t="n">
        <f aca="false">$F150*N150</f>
        <v>0</v>
      </c>
      <c r="AJ150" s="132" t="n">
        <f aca="false">F150*O150</f>
        <v>0</v>
      </c>
      <c r="AK150" s="137"/>
      <c r="AL150" s="132" t="n">
        <f aca="false">CHOOSE($G$3,AC150-AD150,AD150-AC150)</f>
        <v>0</v>
      </c>
      <c r="AM150" s="132" t="n">
        <f aca="false">CHOOSE($G$3,AF150-AG150,AG150-AF150)</f>
        <v>0</v>
      </c>
      <c r="AN150" s="132" t="n">
        <f aca="false">CHOOSE($G$3,AI150-AJ150,AJ150-AI150)</f>
        <v>0</v>
      </c>
      <c r="AO150" s="148" t="n">
        <f aca="false">SUM(AL150:AN150)</f>
        <v>0</v>
      </c>
      <c r="AQ150" s="132" t="n">
        <f aca="false">CHOOSE($G$3,AB150-AC150,AC150-AB150)</f>
        <v>0</v>
      </c>
      <c r="AR150" s="132" t="n">
        <f aca="false">CHOOSE($G$3,AE150-AF150,AF150-AE150)</f>
        <v>0</v>
      </c>
      <c r="AS150" s="132" t="n">
        <f aca="false">CHOOSE($G$3,AH150-AI150,AI150-AH150)</f>
        <v>0</v>
      </c>
      <c r="AT150" s="148" t="n">
        <f aca="false">AQ150+AR150+AS150</f>
        <v>0</v>
      </c>
      <c r="AU150" s="148"/>
      <c r="AV150" s="133" t="n">
        <f aca="false">AT150+AO150</f>
        <v>0</v>
      </c>
      <c r="AX150" s="133" t="n">
        <f aca="false">AJ150+AG150+AD150</f>
        <v>0</v>
      </c>
      <c r="AY150" s="149"/>
      <c r="AZ150" s="76" t="n">
        <f aca="false">R150*E150</f>
        <v>0</v>
      </c>
    </row>
    <row r="151" customFormat="false" ht="12.75" hidden="false" customHeight="false" outlineLevel="0" collapsed="false">
      <c r="A151" s="138" t="n">
        <f aca="false">EDATE(A150,1)</f>
        <v>41275</v>
      </c>
      <c r="B151" s="139" t="n">
        <f aca="false">VLOOKUP($A151,Table2,MATCH(I$3,Curves2,0))</f>
        <v>0</v>
      </c>
      <c r="C151" s="140"/>
      <c r="D151" s="141" t="n">
        <f aca="false">B151+C151</f>
        <v>0</v>
      </c>
      <c r="E151" s="126" t="n">
        <f aca="false">IF(Y151=0,0,IF(AND(Y151=1,$H$3=1),D151*T151,IF($H$3=2,D151,"N/A")))</f>
        <v>0</v>
      </c>
      <c r="F151" s="126" t="n">
        <f aca="false">E151*X151</f>
        <v>0</v>
      </c>
      <c r="G151" s="142" t="n">
        <f aca="false">VLOOKUP($A151,Table,MATCH(G$4,Curves,0))</f>
        <v>3.987</v>
      </c>
      <c r="H151" s="143" t="n">
        <f aca="false">G151</f>
        <v>3.987</v>
      </c>
      <c r="I151" s="142" t="n">
        <f aca="false">VLOOKUP($A151,Table1,MATCH(I$3,Curves1,0))</f>
        <v>0</v>
      </c>
      <c r="J151" s="142" t="n">
        <f aca="false">VLOOKUP($A151,Table,MATCH(J$4,Curves,0))</f>
        <v>-0.0235</v>
      </c>
      <c r="K151" s="143" t="n">
        <f aca="false">J151</f>
        <v>-0.0235</v>
      </c>
      <c r="L151" s="144" t="n">
        <v>0</v>
      </c>
      <c r="M151" s="142" t="n">
        <f aca="false">VLOOKUP($A151,Table,MATCH(M$4,Curves,0))</f>
        <v>0.0075</v>
      </c>
      <c r="N151" s="143" t="n">
        <f aca="false">M151</f>
        <v>0.0075</v>
      </c>
      <c r="O151" s="144" t="n">
        <v>0</v>
      </c>
      <c r="P151" s="145"/>
      <c r="Q151" s="144" t="n">
        <f aca="false">M151+J151+G151</f>
        <v>3.971</v>
      </c>
      <c r="R151" s="144" t="n">
        <f aca="false">O151+L151+I151</f>
        <v>0</v>
      </c>
      <c r="S151" s="145"/>
      <c r="T151" s="71" t="n">
        <f aca="false">A152-A151</f>
        <v>31</v>
      </c>
      <c r="U151" s="146" t="n">
        <f aca="false">CHOOSE(F$3,A152+24,A151)</f>
        <v>41330</v>
      </c>
      <c r="V151" s="71" t="n">
        <f aca="false">U151-C$3</f>
        <v>4442</v>
      </c>
      <c r="W151" s="142" t="n">
        <f aca="false">VLOOKUP($A151,Table,MATCH(W$4,Curves,0))</f>
        <v>0.058966861357273</v>
      </c>
      <c r="X151" s="147" t="n">
        <f aca="false">1/(1+CHOOSE(F$3,(W152+($K$3/10000))/2,(W151+($K$3/10000))/2))^(2*V151/365.25)</f>
        <v>0.493240172961925</v>
      </c>
      <c r="Y151" s="71" t="n">
        <f aca="false">IF(AND(mthbeg&lt;=A151,mthend&gt;=A151),1,0)</f>
        <v>0</v>
      </c>
      <c r="Z151" s="71" t="n">
        <f aca="false">T151*Y151</f>
        <v>0</v>
      </c>
      <c r="AB151" s="132" t="n">
        <f aca="false">F151*G151</f>
        <v>0</v>
      </c>
      <c r="AC151" s="132" t="n">
        <f aca="false">$F151*H151</f>
        <v>0</v>
      </c>
      <c r="AD151" s="132" t="n">
        <f aca="false">$F151*I151</f>
        <v>0</v>
      </c>
      <c r="AE151" s="132" t="n">
        <f aca="false">$F151*J151</f>
        <v>-0</v>
      </c>
      <c r="AF151" s="132" t="n">
        <f aca="false">$F151*K151</f>
        <v>-0</v>
      </c>
      <c r="AG151" s="132" t="n">
        <f aca="false">$F151*L151</f>
        <v>0</v>
      </c>
      <c r="AH151" s="132" t="n">
        <f aca="false">$F151*M151</f>
        <v>0</v>
      </c>
      <c r="AI151" s="132" t="n">
        <f aca="false">$F151*N151</f>
        <v>0</v>
      </c>
      <c r="AJ151" s="132" t="n">
        <f aca="false">F151*O151</f>
        <v>0</v>
      </c>
      <c r="AK151" s="137"/>
      <c r="AL151" s="132" t="n">
        <f aca="false">CHOOSE($G$3,AC151-AD151,AD151-AC151)</f>
        <v>0</v>
      </c>
      <c r="AM151" s="132" t="n">
        <f aca="false">CHOOSE($G$3,AF151-AG151,AG151-AF151)</f>
        <v>0</v>
      </c>
      <c r="AN151" s="132" t="n">
        <f aca="false">CHOOSE($G$3,AI151-AJ151,AJ151-AI151)</f>
        <v>0</v>
      </c>
      <c r="AO151" s="148" t="n">
        <f aca="false">SUM(AL151:AN151)</f>
        <v>0</v>
      </c>
      <c r="AQ151" s="132" t="n">
        <f aca="false">CHOOSE($G$3,AB151-AC151,AC151-AB151)</f>
        <v>0</v>
      </c>
      <c r="AR151" s="132" t="n">
        <f aca="false">CHOOSE($G$3,AE151-AF151,AF151-AE151)</f>
        <v>0</v>
      </c>
      <c r="AS151" s="132" t="n">
        <f aca="false">CHOOSE($G$3,AH151-AI151,AI151-AH151)</f>
        <v>0</v>
      </c>
      <c r="AT151" s="148" t="n">
        <f aca="false">AQ151+AR151+AS151</f>
        <v>0</v>
      </c>
      <c r="AU151" s="148"/>
      <c r="AV151" s="133" t="n">
        <f aca="false">AT151+AO151</f>
        <v>0</v>
      </c>
      <c r="AX151" s="133" t="n">
        <f aca="false">AJ151+AG151+AD151</f>
        <v>0</v>
      </c>
      <c r="AY151" s="149"/>
      <c r="AZ151" s="76" t="n">
        <f aca="false">R151*E151</f>
        <v>0</v>
      </c>
    </row>
    <row r="152" customFormat="false" ht="12.75" hidden="false" customHeight="false" outlineLevel="0" collapsed="false">
      <c r="A152" s="138" t="n">
        <f aca="false">EDATE(A151,1)</f>
        <v>41306</v>
      </c>
      <c r="B152" s="139" t="n">
        <f aca="false">VLOOKUP($A152,Table2,MATCH(I$3,Curves2,0))</f>
        <v>0</v>
      </c>
      <c r="C152" s="140"/>
      <c r="D152" s="141" t="n">
        <f aca="false">B152+C152</f>
        <v>0</v>
      </c>
      <c r="E152" s="126" t="n">
        <f aca="false">IF(Y152=0,0,IF(AND(Y152=1,$H$3=1),D152*T152,IF($H$3=2,D152,"N/A")))</f>
        <v>0</v>
      </c>
      <c r="F152" s="126" t="n">
        <f aca="false">E152*X152</f>
        <v>0</v>
      </c>
      <c r="G152" s="142" t="n">
        <f aca="false">VLOOKUP($A152,Table,MATCH(G$4,Curves,0))</f>
        <v>3.987</v>
      </c>
      <c r="H152" s="143" t="n">
        <f aca="false">G152</f>
        <v>3.987</v>
      </c>
      <c r="I152" s="142" t="n">
        <f aca="false">VLOOKUP($A152,Table1,MATCH(I$3,Curves1,0))</f>
        <v>0</v>
      </c>
      <c r="J152" s="142" t="n">
        <f aca="false">VLOOKUP($A152,Table,MATCH(J$4,Curves,0))</f>
        <v>-0.0235</v>
      </c>
      <c r="K152" s="143" t="n">
        <f aca="false">J152</f>
        <v>-0.0235</v>
      </c>
      <c r="L152" s="144" t="n">
        <v>0</v>
      </c>
      <c r="M152" s="142" t="n">
        <f aca="false">VLOOKUP($A152,Table,MATCH(M$4,Curves,0))</f>
        <v>0.0075</v>
      </c>
      <c r="N152" s="143" t="n">
        <f aca="false">M152</f>
        <v>0.0075</v>
      </c>
      <c r="O152" s="144" t="n">
        <v>0</v>
      </c>
      <c r="P152" s="145"/>
      <c r="Q152" s="144" t="n">
        <f aca="false">M152+J152+G152</f>
        <v>3.971</v>
      </c>
      <c r="R152" s="144" t="n">
        <f aca="false">O152+L152+I152</f>
        <v>0</v>
      </c>
      <c r="S152" s="145"/>
      <c r="T152" s="71" t="n">
        <f aca="false">A153-A152</f>
        <v>28</v>
      </c>
      <c r="U152" s="146" t="n">
        <f aca="false">CHOOSE(F$3,A153+24,A152)</f>
        <v>41358</v>
      </c>
      <c r="V152" s="71" t="n">
        <f aca="false">U152-C$3</f>
        <v>4470</v>
      </c>
      <c r="W152" s="142" t="n">
        <f aca="false">VLOOKUP($A152,Table,MATCH(W$4,Curves,0))</f>
        <v>0.058966861357273</v>
      </c>
      <c r="X152" s="147" t="n">
        <f aca="false">1/(1+CHOOSE(F$3,(W153+($K$3/10000))/2,(W152+($K$3/10000))/2))^(2*V152/365.25)</f>
        <v>0.491047659530883</v>
      </c>
      <c r="Y152" s="71" t="n">
        <f aca="false">IF(AND(mthbeg&lt;=A152,mthend&gt;=A152),1,0)</f>
        <v>0</v>
      </c>
      <c r="Z152" s="71" t="n">
        <f aca="false">T152*Y152</f>
        <v>0</v>
      </c>
      <c r="AB152" s="132" t="n">
        <f aca="false">F152*G152</f>
        <v>0</v>
      </c>
      <c r="AC152" s="132" t="n">
        <f aca="false">$F152*H152</f>
        <v>0</v>
      </c>
      <c r="AD152" s="132" t="n">
        <f aca="false">$F152*I152</f>
        <v>0</v>
      </c>
      <c r="AE152" s="132" t="n">
        <f aca="false">$F152*J152</f>
        <v>-0</v>
      </c>
      <c r="AF152" s="132" t="n">
        <f aca="false">$F152*K152</f>
        <v>-0</v>
      </c>
      <c r="AG152" s="132" t="n">
        <f aca="false">$F152*L152</f>
        <v>0</v>
      </c>
      <c r="AH152" s="132" t="n">
        <f aca="false">$F152*M152</f>
        <v>0</v>
      </c>
      <c r="AI152" s="132" t="n">
        <f aca="false">$F152*N152</f>
        <v>0</v>
      </c>
      <c r="AJ152" s="132" t="n">
        <f aca="false">F152*O152</f>
        <v>0</v>
      </c>
      <c r="AK152" s="137"/>
      <c r="AL152" s="132" t="n">
        <f aca="false">CHOOSE($G$3,AC152-AD152,AD152-AC152)</f>
        <v>0</v>
      </c>
      <c r="AM152" s="132" t="n">
        <f aca="false">CHOOSE($G$3,AF152-AG152,AG152-AF152)</f>
        <v>0</v>
      </c>
      <c r="AN152" s="132" t="n">
        <f aca="false">CHOOSE($G$3,AI152-AJ152,AJ152-AI152)</f>
        <v>0</v>
      </c>
      <c r="AO152" s="148" t="n">
        <f aca="false">SUM(AL152:AN152)</f>
        <v>0</v>
      </c>
      <c r="AQ152" s="132" t="n">
        <f aca="false">CHOOSE($G$3,AB152-AC152,AC152-AB152)</f>
        <v>0</v>
      </c>
      <c r="AR152" s="132" t="n">
        <f aca="false">CHOOSE($G$3,AE152-AF152,AF152-AE152)</f>
        <v>0</v>
      </c>
      <c r="AS152" s="132" t="n">
        <f aca="false">CHOOSE($G$3,AH152-AI152,AI152-AH152)</f>
        <v>0</v>
      </c>
      <c r="AT152" s="148" t="n">
        <f aca="false">AQ152+AR152+AS152</f>
        <v>0</v>
      </c>
      <c r="AU152" s="148"/>
      <c r="AV152" s="133" t="n">
        <f aca="false">AT152+AO152</f>
        <v>0</v>
      </c>
      <c r="AX152" s="133" t="n">
        <f aca="false">AJ152+AG152+AD152</f>
        <v>0</v>
      </c>
      <c r="AY152" s="149"/>
      <c r="AZ152" s="76" t="n">
        <f aca="false">R152*E152</f>
        <v>0</v>
      </c>
    </row>
    <row r="153" customFormat="false" ht="12.75" hidden="false" customHeight="false" outlineLevel="0" collapsed="false">
      <c r="A153" s="138" t="n">
        <f aca="false">EDATE(A152,1)</f>
        <v>41334</v>
      </c>
      <c r="B153" s="139" t="n">
        <f aca="false">VLOOKUP($A153,Table2,MATCH(I$3,Curves2,0))</f>
        <v>0</v>
      </c>
      <c r="C153" s="140"/>
      <c r="D153" s="141" t="n">
        <f aca="false">B153+C153</f>
        <v>0</v>
      </c>
      <c r="E153" s="126" t="n">
        <f aca="false">IF(Y153=0,0,IF(AND(Y153=1,$H$3=1),D153*T153,IF($H$3=2,D153,"N/A")))</f>
        <v>0</v>
      </c>
      <c r="F153" s="126" t="n">
        <f aca="false">E153*X153</f>
        <v>0</v>
      </c>
      <c r="G153" s="142" t="n">
        <f aca="false">VLOOKUP($A153,Table,MATCH(G$4,Curves,0))</f>
        <v>3.987</v>
      </c>
      <c r="H153" s="143" t="n">
        <f aca="false">G153</f>
        <v>3.987</v>
      </c>
      <c r="I153" s="142" t="n">
        <f aca="false">VLOOKUP($A153,Table1,MATCH(I$3,Curves1,0))</f>
        <v>0</v>
      </c>
      <c r="J153" s="142" t="n">
        <f aca="false">VLOOKUP($A153,Table,MATCH(J$4,Curves,0))</f>
        <v>-0.0235</v>
      </c>
      <c r="K153" s="143" t="n">
        <f aca="false">J153</f>
        <v>-0.0235</v>
      </c>
      <c r="L153" s="144" t="n">
        <v>0</v>
      </c>
      <c r="M153" s="142" t="n">
        <f aca="false">VLOOKUP($A153,Table,MATCH(M$4,Curves,0))</f>
        <v>0.0075</v>
      </c>
      <c r="N153" s="143" t="n">
        <f aca="false">M153</f>
        <v>0.0075</v>
      </c>
      <c r="O153" s="144" t="n">
        <v>0</v>
      </c>
      <c r="P153" s="145"/>
      <c r="Q153" s="144" t="n">
        <f aca="false">M153+J153+G153</f>
        <v>3.971</v>
      </c>
      <c r="R153" s="144" t="n">
        <f aca="false">O153+L153+I153</f>
        <v>0</v>
      </c>
      <c r="S153" s="145"/>
      <c r="T153" s="71" t="n">
        <f aca="false">A154-A153</f>
        <v>31</v>
      </c>
      <c r="U153" s="146" t="n">
        <f aca="false">CHOOSE(F$3,A154+24,A153)</f>
        <v>41389</v>
      </c>
      <c r="V153" s="71" t="n">
        <f aca="false">U153-C$3</f>
        <v>4501</v>
      </c>
      <c r="W153" s="142" t="n">
        <f aca="false">VLOOKUP($A153,Table,MATCH(W$4,Curves,0))</f>
        <v>0.058966861357273</v>
      </c>
      <c r="X153" s="147" t="n">
        <f aca="false">1/(1+CHOOSE(F$3,(W154+($K$3/10000))/2,(W153+($K$3/10000))/2))^(2*V153/365.25)</f>
        <v>0.488631600392974</v>
      </c>
      <c r="Y153" s="71" t="n">
        <f aca="false">IF(AND(mthbeg&lt;=A153,mthend&gt;=A153),1,0)</f>
        <v>0</v>
      </c>
      <c r="Z153" s="71" t="n">
        <f aca="false">T153*Y153</f>
        <v>0</v>
      </c>
      <c r="AB153" s="132" t="n">
        <f aca="false">F153*G153</f>
        <v>0</v>
      </c>
      <c r="AC153" s="132" t="n">
        <f aca="false">$F153*H153</f>
        <v>0</v>
      </c>
      <c r="AD153" s="132" t="n">
        <f aca="false">$F153*I153</f>
        <v>0</v>
      </c>
      <c r="AE153" s="132" t="n">
        <f aca="false">$F153*J153</f>
        <v>-0</v>
      </c>
      <c r="AF153" s="132" t="n">
        <f aca="false">$F153*K153</f>
        <v>-0</v>
      </c>
      <c r="AG153" s="132" t="n">
        <f aca="false">$F153*L153</f>
        <v>0</v>
      </c>
      <c r="AH153" s="132" t="n">
        <f aca="false">$F153*M153</f>
        <v>0</v>
      </c>
      <c r="AI153" s="132" t="n">
        <f aca="false">$F153*N153</f>
        <v>0</v>
      </c>
      <c r="AJ153" s="132" t="n">
        <f aca="false">F153*O153</f>
        <v>0</v>
      </c>
      <c r="AK153" s="137"/>
      <c r="AL153" s="132" t="n">
        <f aca="false">CHOOSE($G$3,AC153-AD153,AD153-AC153)</f>
        <v>0</v>
      </c>
      <c r="AM153" s="132" t="n">
        <f aca="false">CHOOSE($G$3,AF153-AG153,AG153-AF153)</f>
        <v>0</v>
      </c>
      <c r="AN153" s="132" t="n">
        <f aca="false">CHOOSE($G$3,AI153-AJ153,AJ153-AI153)</f>
        <v>0</v>
      </c>
      <c r="AO153" s="148" t="n">
        <f aca="false">SUM(AL153:AN153)</f>
        <v>0</v>
      </c>
      <c r="AQ153" s="132" t="n">
        <f aca="false">CHOOSE($G$3,AB153-AC153,AC153-AB153)</f>
        <v>0</v>
      </c>
      <c r="AR153" s="132" t="n">
        <f aca="false">CHOOSE($G$3,AE153-AF153,AF153-AE153)</f>
        <v>0</v>
      </c>
      <c r="AS153" s="132" t="n">
        <f aca="false">CHOOSE($G$3,AH153-AI153,AI153-AH153)</f>
        <v>0</v>
      </c>
      <c r="AT153" s="148" t="n">
        <f aca="false">AQ153+AR153+AS153</f>
        <v>0</v>
      </c>
      <c r="AU153" s="148"/>
      <c r="AV153" s="133" t="n">
        <f aca="false">AT153+AO153</f>
        <v>0</v>
      </c>
      <c r="AX153" s="133" t="n">
        <f aca="false">AJ153+AG153+AD153</f>
        <v>0</v>
      </c>
      <c r="AY153" s="149"/>
      <c r="AZ153" s="76" t="n">
        <f aca="false">R153*E153</f>
        <v>0</v>
      </c>
    </row>
    <row r="154" customFormat="false" ht="12.75" hidden="false" customHeight="false" outlineLevel="0" collapsed="false">
      <c r="A154" s="138" t="n">
        <f aca="false">EDATE(A153,1)</f>
        <v>41365</v>
      </c>
      <c r="B154" s="139" t="n">
        <f aca="false">VLOOKUP($A154,Table2,MATCH(I$3,Curves2,0))</f>
        <v>0</v>
      </c>
      <c r="C154" s="140"/>
      <c r="D154" s="141" t="n">
        <f aca="false">B154+C154</f>
        <v>0</v>
      </c>
      <c r="E154" s="126" t="n">
        <f aca="false">IF(Y154=0,0,IF(AND(Y154=1,$H$3=1),D154*T154,IF($H$3=2,D154,"N/A")))</f>
        <v>0</v>
      </c>
      <c r="F154" s="126" t="n">
        <f aca="false">E154*X154</f>
        <v>0</v>
      </c>
      <c r="G154" s="142" t="n">
        <f aca="false">VLOOKUP($A154,Table,MATCH(G$4,Curves,0))</f>
        <v>3.987</v>
      </c>
      <c r="H154" s="143" t="n">
        <f aca="false">G154</f>
        <v>3.987</v>
      </c>
      <c r="I154" s="142" t="n">
        <f aca="false">VLOOKUP($A154,Table1,MATCH(I$3,Curves1,0))</f>
        <v>0</v>
      </c>
      <c r="J154" s="142" t="n">
        <f aca="false">VLOOKUP($A154,Table,MATCH(J$4,Curves,0))</f>
        <v>-0.0235</v>
      </c>
      <c r="K154" s="143" t="n">
        <f aca="false">J154</f>
        <v>-0.0235</v>
      </c>
      <c r="L154" s="144" t="n">
        <v>0</v>
      </c>
      <c r="M154" s="142" t="n">
        <f aca="false">VLOOKUP($A154,Table,MATCH(M$4,Curves,0))</f>
        <v>0.0075</v>
      </c>
      <c r="N154" s="143" t="n">
        <f aca="false">M154</f>
        <v>0.0075</v>
      </c>
      <c r="O154" s="144" t="n">
        <v>0</v>
      </c>
      <c r="P154" s="145"/>
      <c r="Q154" s="144" t="n">
        <f aca="false">M154+J154+G154</f>
        <v>3.971</v>
      </c>
      <c r="R154" s="144" t="n">
        <f aca="false">O154+L154+I154</f>
        <v>0</v>
      </c>
      <c r="S154" s="145"/>
      <c r="T154" s="71" t="n">
        <f aca="false">A155-A154</f>
        <v>30</v>
      </c>
      <c r="U154" s="146" t="n">
        <f aca="false">CHOOSE(F$3,A155+24,A154)</f>
        <v>41419</v>
      </c>
      <c r="V154" s="71" t="n">
        <f aca="false">U154-C$3</f>
        <v>4531</v>
      </c>
      <c r="W154" s="142" t="n">
        <f aca="false">VLOOKUP($A154,Table,MATCH(W$4,Curves,0))</f>
        <v>0.058966861357273</v>
      </c>
      <c r="X154" s="147" t="n">
        <f aca="false">1/(1+CHOOSE(F$3,(W155+($K$3/10000))/2,(W154+($K$3/10000))/2))^(2*V154/365.25)</f>
        <v>0.48630479775417</v>
      </c>
      <c r="Y154" s="71" t="n">
        <f aca="false">IF(AND(mthbeg&lt;=A154,mthend&gt;=A154),1,0)</f>
        <v>0</v>
      </c>
      <c r="Z154" s="71" t="n">
        <f aca="false">T154*Y154</f>
        <v>0</v>
      </c>
      <c r="AB154" s="132" t="n">
        <f aca="false">F154*G154</f>
        <v>0</v>
      </c>
      <c r="AC154" s="132" t="n">
        <f aca="false">$F154*H154</f>
        <v>0</v>
      </c>
      <c r="AD154" s="132" t="n">
        <f aca="false">$F154*I154</f>
        <v>0</v>
      </c>
      <c r="AE154" s="132" t="n">
        <f aca="false">$F154*J154</f>
        <v>-0</v>
      </c>
      <c r="AF154" s="132" t="n">
        <f aca="false">$F154*K154</f>
        <v>-0</v>
      </c>
      <c r="AG154" s="132" t="n">
        <f aca="false">$F154*L154</f>
        <v>0</v>
      </c>
      <c r="AH154" s="132" t="n">
        <f aca="false">$F154*M154</f>
        <v>0</v>
      </c>
      <c r="AI154" s="132" t="n">
        <f aca="false">$F154*N154</f>
        <v>0</v>
      </c>
      <c r="AJ154" s="132" t="n">
        <f aca="false">F154*O154</f>
        <v>0</v>
      </c>
      <c r="AK154" s="137"/>
      <c r="AL154" s="132" t="n">
        <f aca="false">CHOOSE($G$3,AC154-AD154,AD154-AC154)</f>
        <v>0</v>
      </c>
      <c r="AM154" s="132" t="n">
        <f aca="false">CHOOSE($G$3,AF154-AG154,AG154-AF154)</f>
        <v>0</v>
      </c>
      <c r="AN154" s="132" t="n">
        <f aca="false">CHOOSE($G$3,AI154-AJ154,AJ154-AI154)</f>
        <v>0</v>
      </c>
      <c r="AO154" s="148" t="n">
        <f aca="false">SUM(AL154:AN154)</f>
        <v>0</v>
      </c>
      <c r="AQ154" s="132" t="n">
        <f aca="false">CHOOSE($G$3,AB154-AC154,AC154-AB154)</f>
        <v>0</v>
      </c>
      <c r="AR154" s="132" t="n">
        <f aca="false">CHOOSE($G$3,AE154-AF154,AF154-AE154)</f>
        <v>0</v>
      </c>
      <c r="AS154" s="132" t="n">
        <f aca="false">CHOOSE($G$3,AH154-AI154,AI154-AH154)</f>
        <v>0</v>
      </c>
      <c r="AT154" s="148" t="n">
        <f aca="false">AQ154+AR154+AS154</f>
        <v>0</v>
      </c>
      <c r="AU154" s="148"/>
      <c r="AV154" s="133" t="n">
        <f aca="false">AT154+AO154</f>
        <v>0</v>
      </c>
      <c r="AX154" s="133" t="n">
        <f aca="false">AJ154+AG154+AD154</f>
        <v>0</v>
      </c>
      <c r="AY154" s="149"/>
      <c r="AZ154" s="76" t="n">
        <f aca="false">R154*E154</f>
        <v>0</v>
      </c>
    </row>
    <row r="155" customFormat="false" ht="12.75" hidden="false" customHeight="false" outlineLevel="0" collapsed="false">
      <c r="A155" s="138" t="n">
        <f aca="false">EDATE(A154,1)</f>
        <v>41395</v>
      </c>
      <c r="B155" s="139" t="n">
        <f aca="false">VLOOKUP($A155,Table2,MATCH(I$3,Curves2,0))</f>
        <v>0</v>
      </c>
      <c r="C155" s="140"/>
      <c r="D155" s="141" t="n">
        <f aca="false">B155+C155</f>
        <v>0</v>
      </c>
      <c r="E155" s="126" t="n">
        <f aca="false">IF(Y155=0,0,IF(AND(Y155=1,$H$3=1),D155*T155,IF($H$3=2,D155,"N/A")))</f>
        <v>0</v>
      </c>
      <c r="F155" s="126" t="n">
        <f aca="false">E155*X155</f>
        <v>0</v>
      </c>
      <c r="G155" s="142" t="n">
        <f aca="false">VLOOKUP($A155,Table,MATCH(G$4,Curves,0))</f>
        <v>3.987</v>
      </c>
      <c r="H155" s="143" t="n">
        <f aca="false">G155</f>
        <v>3.987</v>
      </c>
      <c r="I155" s="142" t="n">
        <f aca="false">VLOOKUP($A155,Table1,MATCH(I$3,Curves1,0))</f>
        <v>0</v>
      </c>
      <c r="J155" s="142" t="n">
        <f aca="false">VLOOKUP($A155,Table,MATCH(J$4,Curves,0))</f>
        <v>-0.0235</v>
      </c>
      <c r="K155" s="143" t="n">
        <f aca="false">J155</f>
        <v>-0.0235</v>
      </c>
      <c r="L155" s="144" t="n">
        <v>0</v>
      </c>
      <c r="M155" s="142" t="n">
        <f aca="false">VLOOKUP($A155,Table,MATCH(M$4,Curves,0))</f>
        <v>0.0075</v>
      </c>
      <c r="N155" s="143" t="n">
        <f aca="false">M155</f>
        <v>0.0075</v>
      </c>
      <c r="O155" s="144" t="n">
        <v>0</v>
      </c>
      <c r="P155" s="145"/>
      <c r="Q155" s="144" t="n">
        <f aca="false">M155+J155+G155</f>
        <v>3.971</v>
      </c>
      <c r="R155" s="144" t="n">
        <f aca="false">O155+L155+I155</f>
        <v>0</v>
      </c>
      <c r="S155" s="145"/>
      <c r="T155" s="71" t="n">
        <f aca="false">A156-A155</f>
        <v>31</v>
      </c>
      <c r="U155" s="146" t="n">
        <f aca="false">CHOOSE(F$3,A156+24,A155)</f>
        <v>41450</v>
      </c>
      <c r="V155" s="71" t="n">
        <f aca="false">U155-C$3</f>
        <v>4562</v>
      </c>
      <c r="W155" s="142" t="n">
        <f aca="false">VLOOKUP($A155,Table,MATCH(W$4,Curves,0))</f>
        <v>0.058966861357273</v>
      </c>
      <c r="X155" s="147" t="n">
        <f aca="false">1/(1+CHOOSE(F$3,(W156+($K$3/10000))/2,(W155+($K$3/10000))/2))^(2*V155/365.25)</f>
        <v>0.48391207450701</v>
      </c>
      <c r="Y155" s="71" t="n">
        <f aca="false">IF(AND(mthbeg&lt;=A155,mthend&gt;=A155),1,0)</f>
        <v>0</v>
      </c>
      <c r="Z155" s="71" t="n">
        <f aca="false">T155*Y155</f>
        <v>0</v>
      </c>
      <c r="AB155" s="132" t="n">
        <f aca="false">F155*G155</f>
        <v>0</v>
      </c>
      <c r="AC155" s="132" t="n">
        <f aca="false">$F155*H155</f>
        <v>0</v>
      </c>
      <c r="AD155" s="132" t="n">
        <f aca="false">$F155*I155</f>
        <v>0</v>
      </c>
      <c r="AE155" s="132" t="n">
        <f aca="false">$F155*J155</f>
        <v>-0</v>
      </c>
      <c r="AF155" s="132" t="n">
        <f aca="false">$F155*K155</f>
        <v>-0</v>
      </c>
      <c r="AG155" s="132" t="n">
        <f aca="false">$F155*L155</f>
        <v>0</v>
      </c>
      <c r="AH155" s="132" t="n">
        <f aca="false">$F155*M155</f>
        <v>0</v>
      </c>
      <c r="AI155" s="132" t="n">
        <f aca="false">$F155*N155</f>
        <v>0</v>
      </c>
      <c r="AJ155" s="132" t="n">
        <f aca="false">F155*O155</f>
        <v>0</v>
      </c>
      <c r="AK155" s="137"/>
      <c r="AL155" s="132" t="n">
        <f aca="false">CHOOSE($G$3,AC155-AD155,AD155-AC155)</f>
        <v>0</v>
      </c>
      <c r="AM155" s="132" t="n">
        <f aca="false">CHOOSE($G$3,AF155-AG155,AG155-AF155)</f>
        <v>0</v>
      </c>
      <c r="AN155" s="132" t="n">
        <f aca="false">CHOOSE($G$3,AI155-AJ155,AJ155-AI155)</f>
        <v>0</v>
      </c>
      <c r="AO155" s="148" t="n">
        <f aca="false">SUM(AL155:AN155)</f>
        <v>0</v>
      </c>
      <c r="AQ155" s="132" t="n">
        <f aca="false">CHOOSE($G$3,AB155-AC155,AC155-AB155)</f>
        <v>0</v>
      </c>
      <c r="AR155" s="132" t="n">
        <f aca="false">CHOOSE($G$3,AE155-AF155,AF155-AE155)</f>
        <v>0</v>
      </c>
      <c r="AS155" s="132" t="n">
        <f aca="false">CHOOSE($G$3,AH155-AI155,AI155-AH155)</f>
        <v>0</v>
      </c>
      <c r="AT155" s="148" t="n">
        <f aca="false">AQ155+AR155+AS155</f>
        <v>0</v>
      </c>
      <c r="AU155" s="148"/>
      <c r="AV155" s="133" t="n">
        <f aca="false">AT155+AO155</f>
        <v>0</v>
      </c>
      <c r="AX155" s="133" t="n">
        <f aca="false">AJ155+AG155+AD155</f>
        <v>0</v>
      </c>
      <c r="AY155" s="149"/>
      <c r="AZ155" s="76" t="n">
        <f aca="false">R155*E155</f>
        <v>0</v>
      </c>
    </row>
    <row r="156" customFormat="false" ht="12.75" hidden="false" customHeight="false" outlineLevel="0" collapsed="false">
      <c r="A156" s="138" t="n">
        <f aca="false">EDATE(A155,1)</f>
        <v>41426</v>
      </c>
      <c r="B156" s="139" t="n">
        <f aca="false">VLOOKUP($A156,Table2,MATCH(I$3,Curves2,0))</f>
        <v>0</v>
      </c>
      <c r="C156" s="140"/>
      <c r="D156" s="141" t="n">
        <f aca="false">B156+C156</f>
        <v>0</v>
      </c>
      <c r="E156" s="126" t="n">
        <f aca="false">IF(Y156=0,0,IF(AND(Y156=1,$H$3=1),D156*T156,IF($H$3=2,D156,"N/A")))</f>
        <v>0</v>
      </c>
      <c r="F156" s="126" t="n">
        <f aca="false">E156*X156</f>
        <v>0</v>
      </c>
      <c r="G156" s="142" t="n">
        <f aca="false">VLOOKUP($A156,Table,MATCH(G$4,Curves,0))</f>
        <v>3.987</v>
      </c>
      <c r="H156" s="143" t="n">
        <f aca="false">G156</f>
        <v>3.987</v>
      </c>
      <c r="I156" s="142" t="n">
        <f aca="false">VLOOKUP($A156,Table1,MATCH(I$3,Curves1,0))</f>
        <v>0</v>
      </c>
      <c r="J156" s="142" t="n">
        <f aca="false">VLOOKUP($A156,Table,MATCH(J$4,Curves,0))</f>
        <v>-0.0235</v>
      </c>
      <c r="K156" s="143" t="n">
        <f aca="false">J156</f>
        <v>-0.0235</v>
      </c>
      <c r="L156" s="144" t="n">
        <v>0</v>
      </c>
      <c r="M156" s="142" t="n">
        <f aca="false">VLOOKUP($A156,Table,MATCH(M$4,Curves,0))</f>
        <v>0.0075</v>
      </c>
      <c r="N156" s="143" t="n">
        <f aca="false">M156</f>
        <v>0.0075</v>
      </c>
      <c r="O156" s="144" t="n">
        <v>0</v>
      </c>
      <c r="P156" s="145"/>
      <c r="Q156" s="144" t="n">
        <f aca="false">M156+J156+G156</f>
        <v>3.971</v>
      </c>
      <c r="R156" s="144" t="n">
        <f aca="false">O156+L156+I156</f>
        <v>0</v>
      </c>
      <c r="S156" s="145"/>
      <c r="T156" s="71" t="n">
        <f aca="false">A157-A156</f>
        <v>30</v>
      </c>
      <c r="U156" s="146" t="n">
        <f aca="false">CHOOSE(F$3,A157+24,A156)</f>
        <v>41480</v>
      </c>
      <c r="V156" s="71" t="n">
        <f aca="false">U156-C$3</f>
        <v>4592</v>
      </c>
      <c r="W156" s="142" t="n">
        <f aca="false">VLOOKUP($A156,Table,MATCH(W$4,Curves,0))</f>
        <v>0.058966861357273</v>
      </c>
      <c r="X156" s="147" t="n">
        <f aca="false">1/(1+CHOOSE(F$3,(W157+($K$3/10000))/2,(W156+($K$3/10000))/2))^(2*V156/365.25)</f>
        <v>0.481607745660888</v>
      </c>
      <c r="Y156" s="71" t="n">
        <f aca="false">IF(AND(mthbeg&lt;=A156,mthend&gt;=A156),1,0)</f>
        <v>0</v>
      </c>
      <c r="Z156" s="71" t="n">
        <f aca="false">T156*Y156</f>
        <v>0</v>
      </c>
      <c r="AB156" s="132" t="n">
        <f aca="false">F156*G156</f>
        <v>0</v>
      </c>
      <c r="AC156" s="132" t="n">
        <f aca="false">$F156*H156</f>
        <v>0</v>
      </c>
      <c r="AD156" s="132" t="n">
        <f aca="false">$F156*I156</f>
        <v>0</v>
      </c>
      <c r="AE156" s="132" t="n">
        <f aca="false">$F156*J156</f>
        <v>-0</v>
      </c>
      <c r="AF156" s="132" t="n">
        <f aca="false">$F156*K156</f>
        <v>-0</v>
      </c>
      <c r="AG156" s="132" t="n">
        <f aca="false">$F156*L156</f>
        <v>0</v>
      </c>
      <c r="AH156" s="132" t="n">
        <f aca="false">$F156*M156</f>
        <v>0</v>
      </c>
      <c r="AI156" s="132" t="n">
        <f aca="false">$F156*N156</f>
        <v>0</v>
      </c>
      <c r="AJ156" s="132" t="n">
        <f aca="false">F156*O156</f>
        <v>0</v>
      </c>
      <c r="AK156" s="137"/>
      <c r="AL156" s="132" t="n">
        <f aca="false">CHOOSE($G$3,AC156-AD156,AD156-AC156)</f>
        <v>0</v>
      </c>
      <c r="AM156" s="132" t="n">
        <f aca="false">CHOOSE($G$3,AF156-AG156,AG156-AF156)</f>
        <v>0</v>
      </c>
      <c r="AN156" s="132" t="n">
        <f aca="false">CHOOSE($G$3,AI156-AJ156,AJ156-AI156)</f>
        <v>0</v>
      </c>
      <c r="AO156" s="148" t="n">
        <f aca="false">SUM(AL156:AN156)</f>
        <v>0</v>
      </c>
      <c r="AQ156" s="132" t="n">
        <f aca="false">CHOOSE($G$3,AB156-AC156,AC156-AB156)</f>
        <v>0</v>
      </c>
      <c r="AR156" s="132" t="n">
        <f aca="false">CHOOSE($G$3,AE156-AF156,AF156-AE156)</f>
        <v>0</v>
      </c>
      <c r="AS156" s="132" t="n">
        <f aca="false">CHOOSE($G$3,AH156-AI156,AI156-AH156)</f>
        <v>0</v>
      </c>
      <c r="AT156" s="148" t="n">
        <f aca="false">AQ156+AR156+AS156</f>
        <v>0</v>
      </c>
      <c r="AU156" s="148"/>
      <c r="AV156" s="133" t="n">
        <f aca="false">AT156+AO156</f>
        <v>0</v>
      </c>
      <c r="AX156" s="133" t="n">
        <f aca="false">AJ156+AG156+AD156</f>
        <v>0</v>
      </c>
      <c r="AY156" s="149"/>
      <c r="AZ156" s="76" t="n">
        <f aca="false">R156*E156</f>
        <v>0</v>
      </c>
    </row>
    <row r="157" customFormat="false" ht="12.75" hidden="false" customHeight="false" outlineLevel="0" collapsed="false">
      <c r="A157" s="138" t="n">
        <f aca="false">EDATE(A156,1)</f>
        <v>41456</v>
      </c>
      <c r="B157" s="139" t="n">
        <f aca="false">VLOOKUP($A157,Table2,MATCH(I$3,Curves2,0))</f>
        <v>0</v>
      </c>
      <c r="C157" s="140"/>
      <c r="D157" s="141" t="n">
        <f aca="false">B157+C157</f>
        <v>0</v>
      </c>
      <c r="E157" s="126" t="n">
        <f aca="false">IF(Y157=0,0,IF(AND(Y157=1,$H$3=1),D157*T157,IF($H$3=2,D157,"N/A")))</f>
        <v>0</v>
      </c>
      <c r="F157" s="126" t="n">
        <f aca="false">E157*X157</f>
        <v>0</v>
      </c>
      <c r="G157" s="142" t="n">
        <f aca="false">VLOOKUP($A157,Table,MATCH(G$4,Curves,0))</f>
        <v>3.987</v>
      </c>
      <c r="H157" s="143" t="n">
        <f aca="false">G157</f>
        <v>3.987</v>
      </c>
      <c r="I157" s="142" t="n">
        <f aca="false">VLOOKUP($A157,Table1,MATCH(I$3,Curves1,0))</f>
        <v>0</v>
      </c>
      <c r="J157" s="142" t="n">
        <f aca="false">VLOOKUP($A157,Table,MATCH(J$4,Curves,0))</f>
        <v>-0.0235</v>
      </c>
      <c r="K157" s="143" t="n">
        <f aca="false">J157</f>
        <v>-0.0235</v>
      </c>
      <c r="L157" s="144" t="n">
        <v>0</v>
      </c>
      <c r="M157" s="142" t="n">
        <f aca="false">VLOOKUP($A157,Table,MATCH(M$4,Curves,0))</f>
        <v>0.0075</v>
      </c>
      <c r="N157" s="143" t="n">
        <f aca="false">M157</f>
        <v>0.0075</v>
      </c>
      <c r="O157" s="144" t="n">
        <v>0</v>
      </c>
      <c r="P157" s="145"/>
      <c r="Q157" s="144" t="n">
        <f aca="false">M157+J157+G157</f>
        <v>3.971</v>
      </c>
      <c r="R157" s="144" t="n">
        <f aca="false">O157+L157+I157</f>
        <v>0</v>
      </c>
      <c r="S157" s="145"/>
      <c r="T157" s="71" t="n">
        <f aca="false">A158-A157</f>
        <v>31</v>
      </c>
      <c r="U157" s="146" t="n">
        <f aca="false">CHOOSE(F$3,A158+24,A157)</f>
        <v>41511</v>
      </c>
      <c r="V157" s="71" t="n">
        <f aca="false">U157-C$3</f>
        <v>4623</v>
      </c>
      <c r="W157" s="142" t="n">
        <f aca="false">VLOOKUP($A157,Table,MATCH(W$4,Curves,0))</f>
        <v>0.058966861357273</v>
      </c>
      <c r="X157" s="147" t="n">
        <f aca="false">1/(1+CHOOSE(F$3,(W158+($K$3/10000))/2,(W157+($K$3/10000))/2))^(2*V157/365.25)</f>
        <v>0.479238132911071</v>
      </c>
      <c r="Y157" s="71" t="n">
        <f aca="false">IF(AND(mthbeg&lt;=A157,mthend&gt;=A157),1,0)</f>
        <v>0</v>
      </c>
      <c r="Z157" s="71" t="n">
        <f aca="false">T157*Y157</f>
        <v>0</v>
      </c>
      <c r="AB157" s="132" t="n">
        <f aca="false">F157*G157</f>
        <v>0</v>
      </c>
      <c r="AC157" s="132" t="n">
        <f aca="false">$F157*H157</f>
        <v>0</v>
      </c>
      <c r="AD157" s="132" t="n">
        <f aca="false">$F157*I157</f>
        <v>0</v>
      </c>
      <c r="AE157" s="132" t="n">
        <f aca="false">$F157*J157</f>
        <v>-0</v>
      </c>
      <c r="AF157" s="132" t="n">
        <f aca="false">$F157*K157</f>
        <v>-0</v>
      </c>
      <c r="AG157" s="132" t="n">
        <f aca="false">$F157*L157</f>
        <v>0</v>
      </c>
      <c r="AH157" s="132" t="n">
        <f aca="false">$F157*M157</f>
        <v>0</v>
      </c>
      <c r="AI157" s="132" t="n">
        <f aca="false">$F157*N157</f>
        <v>0</v>
      </c>
      <c r="AJ157" s="132" t="n">
        <f aca="false">F157*O157</f>
        <v>0</v>
      </c>
      <c r="AK157" s="137"/>
      <c r="AL157" s="132" t="n">
        <f aca="false">CHOOSE($G$3,AC157-AD157,AD157-AC157)</f>
        <v>0</v>
      </c>
      <c r="AM157" s="132" t="n">
        <f aca="false">CHOOSE($G$3,AF157-AG157,AG157-AF157)</f>
        <v>0</v>
      </c>
      <c r="AN157" s="132" t="n">
        <f aca="false">CHOOSE($G$3,AI157-AJ157,AJ157-AI157)</f>
        <v>0</v>
      </c>
      <c r="AO157" s="148" t="n">
        <f aca="false">SUM(AL157:AN157)</f>
        <v>0</v>
      </c>
      <c r="AQ157" s="132" t="n">
        <f aca="false">CHOOSE($G$3,AB157-AC157,AC157-AB157)</f>
        <v>0</v>
      </c>
      <c r="AR157" s="132" t="n">
        <f aca="false">CHOOSE($G$3,AE157-AF157,AF157-AE157)</f>
        <v>0</v>
      </c>
      <c r="AS157" s="132" t="n">
        <f aca="false">CHOOSE($G$3,AH157-AI157,AI157-AH157)</f>
        <v>0</v>
      </c>
      <c r="AT157" s="148" t="n">
        <f aca="false">AQ157+AR157+AS157</f>
        <v>0</v>
      </c>
      <c r="AU157" s="148"/>
      <c r="AV157" s="133" t="n">
        <f aca="false">AT157+AO157</f>
        <v>0</v>
      </c>
      <c r="AX157" s="133" t="n">
        <f aca="false">AJ157+AG157+AD157</f>
        <v>0</v>
      </c>
      <c r="AY157" s="149"/>
      <c r="AZ157" s="76" t="n">
        <f aca="false">R157*E157</f>
        <v>0</v>
      </c>
    </row>
    <row r="158" customFormat="false" ht="12.75" hidden="false" customHeight="false" outlineLevel="0" collapsed="false">
      <c r="A158" s="138" t="n">
        <f aca="false">EDATE(A157,1)</f>
        <v>41487</v>
      </c>
      <c r="B158" s="139" t="n">
        <f aca="false">VLOOKUP($A158,Table2,MATCH(I$3,Curves2,0))</f>
        <v>0</v>
      </c>
      <c r="C158" s="140"/>
      <c r="D158" s="141" t="n">
        <f aca="false">B158+C158</f>
        <v>0</v>
      </c>
      <c r="E158" s="126" t="n">
        <f aca="false">IF(Y158=0,0,IF(AND(Y158=1,$H$3=1),D158*T158,IF($H$3=2,D158,"N/A")))</f>
        <v>0</v>
      </c>
      <c r="F158" s="126" t="n">
        <f aca="false">E158*X158</f>
        <v>0</v>
      </c>
      <c r="G158" s="142" t="n">
        <f aca="false">VLOOKUP($A158,Table,MATCH(G$4,Curves,0))</f>
        <v>3.987</v>
      </c>
      <c r="H158" s="143" t="n">
        <f aca="false">G158</f>
        <v>3.987</v>
      </c>
      <c r="I158" s="142" t="n">
        <f aca="false">VLOOKUP($A158,Table1,MATCH(I$3,Curves1,0))</f>
        <v>0</v>
      </c>
      <c r="J158" s="142" t="n">
        <f aca="false">VLOOKUP($A158,Table,MATCH(J$4,Curves,0))</f>
        <v>-0.0235</v>
      </c>
      <c r="K158" s="143" t="n">
        <f aca="false">J158</f>
        <v>-0.0235</v>
      </c>
      <c r="L158" s="144" t="n">
        <v>0</v>
      </c>
      <c r="M158" s="142" t="n">
        <f aca="false">VLOOKUP($A158,Table,MATCH(M$4,Curves,0))</f>
        <v>0.0075</v>
      </c>
      <c r="N158" s="143" t="n">
        <f aca="false">M158</f>
        <v>0.0075</v>
      </c>
      <c r="O158" s="144" t="n">
        <v>0</v>
      </c>
      <c r="P158" s="145"/>
      <c r="Q158" s="144" t="n">
        <f aca="false">M158+J158+G158</f>
        <v>3.971</v>
      </c>
      <c r="R158" s="144" t="n">
        <f aca="false">O158+L158+I158</f>
        <v>0</v>
      </c>
      <c r="S158" s="145"/>
      <c r="T158" s="71" t="n">
        <f aca="false">A159-A158</f>
        <v>31</v>
      </c>
      <c r="U158" s="146" t="n">
        <f aca="false">CHOOSE(F$3,A159+24,A158)</f>
        <v>41542</v>
      </c>
      <c r="V158" s="71" t="n">
        <f aca="false">U158-C$3</f>
        <v>4654</v>
      </c>
      <c r="W158" s="142" t="n">
        <f aca="false">VLOOKUP($A158,Table,MATCH(W$4,Curves,0))</f>
        <v>0.058966861357273</v>
      </c>
      <c r="X158" s="147" t="n">
        <f aca="false">1/(1+CHOOSE(F$3,(W159+($K$3/10000))/2,(W158+($K$3/10000))/2))^(2*V158/365.25)</f>
        <v>0.476880179161</v>
      </c>
      <c r="Y158" s="71" t="n">
        <f aca="false">IF(AND(mthbeg&lt;=A158,mthend&gt;=A158),1,0)</f>
        <v>0</v>
      </c>
      <c r="Z158" s="71" t="n">
        <f aca="false">T158*Y158</f>
        <v>0</v>
      </c>
      <c r="AB158" s="132" t="n">
        <f aca="false">F158*G158</f>
        <v>0</v>
      </c>
      <c r="AC158" s="132" t="n">
        <f aca="false">$F158*H158</f>
        <v>0</v>
      </c>
      <c r="AD158" s="132" t="n">
        <f aca="false">$F158*I158</f>
        <v>0</v>
      </c>
      <c r="AE158" s="132" t="n">
        <f aca="false">$F158*J158</f>
        <v>-0</v>
      </c>
      <c r="AF158" s="132" t="n">
        <f aca="false">$F158*K158</f>
        <v>-0</v>
      </c>
      <c r="AG158" s="132" t="n">
        <f aca="false">$F158*L158</f>
        <v>0</v>
      </c>
      <c r="AH158" s="132" t="n">
        <f aca="false">$F158*M158</f>
        <v>0</v>
      </c>
      <c r="AI158" s="132" t="n">
        <f aca="false">$F158*N158</f>
        <v>0</v>
      </c>
      <c r="AJ158" s="132" t="n">
        <f aca="false">F158*O158</f>
        <v>0</v>
      </c>
      <c r="AK158" s="137"/>
      <c r="AL158" s="132" t="n">
        <f aca="false">CHOOSE($G$3,AC158-AD158,AD158-AC158)</f>
        <v>0</v>
      </c>
      <c r="AM158" s="132" t="n">
        <f aca="false">CHOOSE($G$3,AF158-AG158,AG158-AF158)</f>
        <v>0</v>
      </c>
      <c r="AN158" s="132" t="n">
        <f aca="false">CHOOSE($G$3,AI158-AJ158,AJ158-AI158)</f>
        <v>0</v>
      </c>
      <c r="AO158" s="148" t="n">
        <f aca="false">SUM(AL158:AN158)</f>
        <v>0</v>
      </c>
      <c r="AQ158" s="132" t="n">
        <f aca="false">CHOOSE($G$3,AB158-AC158,AC158-AB158)</f>
        <v>0</v>
      </c>
      <c r="AR158" s="132" t="n">
        <f aca="false">CHOOSE($G$3,AE158-AF158,AF158-AE158)</f>
        <v>0</v>
      </c>
      <c r="AS158" s="132" t="n">
        <f aca="false">CHOOSE($G$3,AH158-AI158,AI158-AH158)</f>
        <v>0</v>
      </c>
      <c r="AT158" s="148" t="n">
        <f aca="false">AQ158+AR158+AS158</f>
        <v>0</v>
      </c>
      <c r="AU158" s="148"/>
      <c r="AV158" s="133" t="n">
        <f aca="false">AT158+AO158</f>
        <v>0</v>
      </c>
      <c r="AX158" s="133" t="n">
        <f aca="false">AJ158+AG158+AD158</f>
        <v>0</v>
      </c>
      <c r="AY158" s="149"/>
      <c r="AZ158" s="76" t="n">
        <f aca="false">R158*E158</f>
        <v>0</v>
      </c>
    </row>
    <row r="159" customFormat="false" ht="12.75" hidden="false" customHeight="false" outlineLevel="0" collapsed="false">
      <c r="A159" s="138" t="n">
        <f aca="false">EDATE(A158,1)</f>
        <v>41518</v>
      </c>
      <c r="B159" s="139" t="n">
        <f aca="false">VLOOKUP($A159,Table2,MATCH(I$3,Curves2,0))</f>
        <v>0</v>
      </c>
      <c r="C159" s="140"/>
      <c r="D159" s="141" t="n">
        <f aca="false">B159+C159</f>
        <v>0</v>
      </c>
      <c r="E159" s="126" t="n">
        <f aca="false">IF(Y159=0,0,IF(AND(Y159=1,$H$3=1),D159*T159,IF($H$3=2,D159,"N/A")))</f>
        <v>0</v>
      </c>
      <c r="F159" s="126" t="n">
        <f aca="false">E159*X159</f>
        <v>0</v>
      </c>
      <c r="G159" s="142" t="n">
        <f aca="false">VLOOKUP($A159,Table,MATCH(G$4,Curves,0))</f>
        <v>3.987</v>
      </c>
      <c r="H159" s="143" t="n">
        <f aca="false">G159</f>
        <v>3.987</v>
      </c>
      <c r="I159" s="142" t="n">
        <f aca="false">VLOOKUP($A159,Table1,MATCH(I$3,Curves1,0))</f>
        <v>0</v>
      </c>
      <c r="J159" s="142" t="n">
        <f aca="false">VLOOKUP($A159,Table,MATCH(J$4,Curves,0))</f>
        <v>-0.0235</v>
      </c>
      <c r="K159" s="143" t="n">
        <f aca="false">J159</f>
        <v>-0.0235</v>
      </c>
      <c r="L159" s="144" t="n">
        <v>0</v>
      </c>
      <c r="M159" s="142" t="n">
        <f aca="false">VLOOKUP($A159,Table,MATCH(M$4,Curves,0))</f>
        <v>0.0075</v>
      </c>
      <c r="N159" s="143" t="n">
        <f aca="false">M159</f>
        <v>0.0075</v>
      </c>
      <c r="O159" s="144" t="n">
        <v>0</v>
      </c>
      <c r="P159" s="145"/>
      <c r="Q159" s="144" t="n">
        <f aca="false">M159+J159+G159</f>
        <v>3.971</v>
      </c>
      <c r="R159" s="144" t="n">
        <f aca="false">O159+L159+I159</f>
        <v>0</v>
      </c>
      <c r="S159" s="145"/>
      <c r="T159" s="71" t="n">
        <f aca="false">A160-A159</f>
        <v>30</v>
      </c>
      <c r="U159" s="146" t="n">
        <f aca="false">CHOOSE(F$3,A160+24,A159)</f>
        <v>41572</v>
      </c>
      <c r="V159" s="71" t="n">
        <f aca="false">U159-C$3</f>
        <v>4684</v>
      </c>
      <c r="W159" s="142" t="n">
        <f aca="false">VLOOKUP($A159,Table,MATCH(W$4,Curves,0))</f>
        <v>0.058966861357273</v>
      </c>
      <c r="X159" s="147" t="n">
        <f aca="false">1/(1+CHOOSE(F$3,(W160+($K$3/10000))/2,(W159+($K$3/10000))/2))^(2*V159/365.25)</f>
        <v>0.474609335322057</v>
      </c>
      <c r="Y159" s="71" t="n">
        <f aca="false">IF(AND(mthbeg&lt;=A159,mthend&gt;=A159),1,0)</f>
        <v>0</v>
      </c>
      <c r="Z159" s="71" t="n">
        <f aca="false">T159*Y159</f>
        <v>0</v>
      </c>
      <c r="AB159" s="132" t="n">
        <f aca="false">F159*G159</f>
        <v>0</v>
      </c>
      <c r="AC159" s="132" t="n">
        <f aca="false">$F159*H159</f>
        <v>0</v>
      </c>
      <c r="AD159" s="132" t="n">
        <f aca="false">$F159*I159</f>
        <v>0</v>
      </c>
      <c r="AE159" s="132" t="n">
        <f aca="false">$F159*J159</f>
        <v>-0</v>
      </c>
      <c r="AF159" s="132" t="n">
        <f aca="false">$F159*K159</f>
        <v>-0</v>
      </c>
      <c r="AG159" s="132" t="n">
        <f aca="false">$F159*L159</f>
        <v>0</v>
      </c>
      <c r="AH159" s="132" t="n">
        <f aca="false">$F159*M159</f>
        <v>0</v>
      </c>
      <c r="AI159" s="132" t="n">
        <f aca="false">$F159*N159</f>
        <v>0</v>
      </c>
      <c r="AJ159" s="132" t="n">
        <f aca="false">F159*O159</f>
        <v>0</v>
      </c>
      <c r="AK159" s="137"/>
      <c r="AL159" s="132" t="n">
        <f aca="false">CHOOSE($G$3,AC159-AD159,AD159-AC159)</f>
        <v>0</v>
      </c>
      <c r="AM159" s="132" t="n">
        <f aca="false">CHOOSE($G$3,AF159-AG159,AG159-AF159)</f>
        <v>0</v>
      </c>
      <c r="AN159" s="132" t="n">
        <f aca="false">CHOOSE($G$3,AI159-AJ159,AJ159-AI159)</f>
        <v>0</v>
      </c>
      <c r="AO159" s="148" t="n">
        <f aca="false">SUM(AL159:AN159)</f>
        <v>0</v>
      </c>
      <c r="AQ159" s="132" t="n">
        <f aca="false">CHOOSE($G$3,AB159-AC159,AC159-AB159)</f>
        <v>0</v>
      </c>
      <c r="AR159" s="132" t="n">
        <f aca="false">CHOOSE($G$3,AE159-AF159,AF159-AE159)</f>
        <v>0</v>
      </c>
      <c r="AS159" s="132" t="n">
        <f aca="false">CHOOSE($G$3,AH159-AI159,AI159-AH159)</f>
        <v>0</v>
      </c>
      <c r="AT159" s="148" t="n">
        <f aca="false">AQ159+AR159+AS159</f>
        <v>0</v>
      </c>
      <c r="AU159" s="148"/>
      <c r="AV159" s="133" t="n">
        <f aca="false">AT159+AO159</f>
        <v>0</v>
      </c>
      <c r="AX159" s="133" t="n">
        <f aca="false">AJ159+AG159+AD159</f>
        <v>0</v>
      </c>
      <c r="AY159" s="149"/>
      <c r="AZ159" s="76" t="n">
        <f aca="false">R159*E159</f>
        <v>0</v>
      </c>
    </row>
    <row r="160" customFormat="false" ht="12.75" hidden="false" customHeight="false" outlineLevel="0" collapsed="false">
      <c r="A160" s="138" t="n">
        <f aca="false">EDATE(A159,1)</f>
        <v>41548</v>
      </c>
      <c r="B160" s="139" t="n">
        <f aca="false">VLOOKUP($A160,Table2,MATCH(I$3,Curves2,0))</f>
        <v>0</v>
      </c>
      <c r="C160" s="140"/>
      <c r="D160" s="141" t="n">
        <f aca="false">B160+C160</f>
        <v>0</v>
      </c>
      <c r="E160" s="126" t="n">
        <f aca="false">IF(Y160=0,0,IF(AND(Y160=1,$H$3=1),D160*T160,IF($H$3=2,D160,"N/A")))</f>
        <v>0</v>
      </c>
      <c r="F160" s="126" t="n">
        <f aca="false">E160*X160</f>
        <v>0</v>
      </c>
      <c r="G160" s="142" t="n">
        <f aca="false">VLOOKUP($A160,Table,MATCH(G$4,Curves,0))</f>
        <v>3.987</v>
      </c>
      <c r="H160" s="143" t="n">
        <f aca="false">G160</f>
        <v>3.987</v>
      </c>
      <c r="I160" s="142" t="n">
        <f aca="false">VLOOKUP($A160,Table1,MATCH(I$3,Curves1,0))</f>
        <v>0</v>
      </c>
      <c r="J160" s="142" t="n">
        <f aca="false">VLOOKUP($A160,Table,MATCH(J$4,Curves,0))</f>
        <v>-0.0235</v>
      </c>
      <c r="K160" s="143" t="n">
        <f aca="false">J160</f>
        <v>-0.0235</v>
      </c>
      <c r="L160" s="144" t="n">
        <v>0</v>
      </c>
      <c r="M160" s="142" t="n">
        <f aca="false">VLOOKUP($A160,Table,MATCH(M$4,Curves,0))</f>
        <v>0.0075</v>
      </c>
      <c r="N160" s="143" t="n">
        <f aca="false">M160</f>
        <v>0.0075</v>
      </c>
      <c r="O160" s="144" t="n">
        <v>0</v>
      </c>
      <c r="P160" s="145"/>
      <c r="Q160" s="144" t="n">
        <f aca="false">M160+J160+G160</f>
        <v>3.971</v>
      </c>
      <c r="R160" s="144" t="n">
        <f aca="false">O160+L160+I160</f>
        <v>0</v>
      </c>
      <c r="S160" s="145"/>
      <c r="T160" s="71" t="n">
        <f aca="false">A161-A160</f>
        <v>31</v>
      </c>
      <c r="U160" s="146" t="n">
        <f aca="false">CHOOSE(F$3,A161+24,A160)</f>
        <v>41603</v>
      </c>
      <c r="V160" s="71" t="n">
        <f aca="false">U160-C$3</f>
        <v>4715</v>
      </c>
      <c r="W160" s="142" t="n">
        <f aca="false">VLOOKUP($A160,Table,MATCH(W$4,Curves,0))</f>
        <v>0.058966861357273</v>
      </c>
      <c r="X160" s="147" t="n">
        <f aca="false">1/(1+CHOOSE(F$3,(W161+($K$3/10000))/2,(W160+($K$3/10000))/2))^(2*V160/365.25)</f>
        <v>0.472274156242623</v>
      </c>
      <c r="Y160" s="71" t="n">
        <f aca="false">IF(AND(mthbeg&lt;=A160,mthend&gt;=A160),1,0)</f>
        <v>0</v>
      </c>
      <c r="Z160" s="71" t="n">
        <f aca="false">T160*Y160</f>
        <v>0</v>
      </c>
      <c r="AB160" s="132" t="n">
        <f aca="false">F160*G160</f>
        <v>0</v>
      </c>
      <c r="AC160" s="132" t="n">
        <f aca="false">$F160*H160</f>
        <v>0</v>
      </c>
      <c r="AD160" s="132" t="n">
        <f aca="false">$F160*I160</f>
        <v>0</v>
      </c>
      <c r="AE160" s="132" t="n">
        <f aca="false">$F160*J160</f>
        <v>-0</v>
      </c>
      <c r="AF160" s="132" t="n">
        <f aca="false">$F160*K160</f>
        <v>-0</v>
      </c>
      <c r="AG160" s="132" t="n">
        <f aca="false">$F160*L160</f>
        <v>0</v>
      </c>
      <c r="AH160" s="132" t="n">
        <f aca="false">$F160*M160</f>
        <v>0</v>
      </c>
      <c r="AI160" s="132" t="n">
        <f aca="false">$F160*N160</f>
        <v>0</v>
      </c>
      <c r="AJ160" s="132" t="n">
        <f aca="false">F160*O160</f>
        <v>0</v>
      </c>
      <c r="AK160" s="137"/>
      <c r="AL160" s="132" t="n">
        <f aca="false">CHOOSE($G$3,AC160-AD160,AD160-AC160)</f>
        <v>0</v>
      </c>
      <c r="AM160" s="132" t="n">
        <f aca="false">CHOOSE($G$3,AF160-AG160,AG160-AF160)</f>
        <v>0</v>
      </c>
      <c r="AN160" s="132" t="n">
        <f aca="false">CHOOSE($G$3,AI160-AJ160,AJ160-AI160)</f>
        <v>0</v>
      </c>
      <c r="AO160" s="148" t="n">
        <f aca="false">SUM(AL160:AN160)</f>
        <v>0</v>
      </c>
      <c r="AQ160" s="132" t="n">
        <f aca="false">CHOOSE($G$3,AB160-AC160,AC160-AB160)</f>
        <v>0</v>
      </c>
      <c r="AR160" s="132" t="n">
        <f aca="false">CHOOSE($G$3,AE160-AF160,AF160-AE160)</f>
        <v>0</v>
      </c>
      <c r="AS160" s="132" t="n">
        <f aca="false">CHOOSE($G$3,AH160-AI160,AI160-AH160)</f>
        <v>0</v>
      </c>
      <c r="AT160" s="148" t="n">
        <f aca="false">AQ160+AR160+AS160</f>
        <v>0</v>
      </c>
      <c r="AU160" s="148"/>
      <c r="AV160" s="133" t="n">
        <f aca="false">AT160+AO160</f>
        <v>0</v>
      </c>
      <c r="AX160" s="133" t="n">
        <f aca="false">AJ160+AG160+AD160</f>
        <v>0</v>
      </c>
      <c r="AY160" s="149"/>
      <c r="AZ160" s="76" t="n">
        <f aca="false">R160*E160</f>
        <v>0</v>
      </c>
    </row>
    <row r="161" customFormat="false" ht="12.75" hidden="false" customHeight="false" outlineLevel="0" collapsed="false">
      <c r="A161" s="138" t="n">
        <f aca="false">EDATE(A160,1)</f>
        <v>41579</v>
      </c>
      <c r="B161" s="139" t="n">
        <f aca="false">VLOOKUP($A161,Table2,MATCH(I$3,Curves2,0))</f>
        <v>0</v>
      </c>
      <c r="C161" s="140"/>
      <c r="D161" s="141" t="n">
        <f aca="false">B161+C161</f>
        <v>0</v>
      </c>
      <c r="E161" s="126" t="n">
        <f aca="false">IF(Y161=0,0,IF(AND(Y161=1,$H$3=1),D161*T161,IF($H$3=2,D161,"N/A")))</f>
        <v>0</v>
      </c>
      <c r="F161" s="126" t="n">
        <f aca="false">E161*X161</f>
        <v>0</v>
      </c>
      <c r="G161" s="142" t="n">
        <f aca="false">VLOOKUP($A161,Table,MATCH(G$4,Curves,0))</f>
        <v>3.987</v>
      </c>
      <c r="H161" s="143" t="n">
        <f aca="false">G161</f>
        <v>3.987</v>
      </c>
      <c r="I161" s="142" t="n">
        <f aca="false">VLOOKUP($A161,Table1,MATCH(I$3,Curves1,0))</f>
        <v>0</v>
      </c>
      <c r="J161" s="142" t="n">
        <f aca="false">VLOOKUP($A161,Table,MATCH(J$4,Curves,0))</f>
        <v>-0.0235</v>
      </c>
      <c r="K161" s="143" t="n">
        <f aca="false">J161</f>
        <v>-0.0235</v>
      </c>
      <c r="L161" s="144" t="n">
        <v>0</v>
      </c>
      <c r="M161" s="142" t="n">
        <f aca="false">VLOOKUP($A161,Table,MATCH(M$4,Curves,0))</f>
        <v>0.0075</v>
      </c>
      <c r="N161" s="143" t="n">
        <f aca="false">M161</f>
        <v>0.0075</v>
      </c>
      <c r="O161" s="144" t="n">
        <v>0</v>
      </c>
      <c r="P161" s="145"/>
      <c r="Q161" s="144" t="n">
        <f aca="false">M161+J161+G161</f>
        <v>3.971</v>
      </c>
      <c r="R161" s="144" t="n">
        <f aca="false">O161+L161+I161</f>
        <v>0</v>
      </c>
      <c r="S161" s="145"/>
      <c r="T161" s="71" t="n">
        <f aca="false">A162-A161</f>
        <v>30</v>
      </c>
      <c r="U161" s="146" t="n">
        <f aca="false">CHOOSE(F$3,A162+24,A161)</f>
        <v>41633</v>
      </c>
      <c r="V161" s="71" t="n">
        <f aca="false">U161-C$3</f>
        <v>4745</v>
      </c>
      <c r="W161" s="142" t="n">
        <f aca="false">VLOOKUP($A161,Table,MATCH(W$4,Curves,0))</f>
        <v>0.058966861357273</v>
      </c>
      <c r="X161" s="147" t="n">
        <f aca="false">1/(1+CHOOSE(F$3,(W162+($K$3/10000))/2,(W161+($K$3/10000))/2))^(2*V161/365.25)</f>
        <v>0.470025245709409</v>
      </c>
      <c r="Y161" s="71" t="n">
        <f aca="false">IF(AND(mthbeg&lt;=A161,mthend&gt;=A161),1,0)</f>
        <v>0</v>
      </c>
      <c r="Z161" s="71" t="n">
        <f aca="false">T161*Y161</f>
        <v>0</v>
      </c>
      <c r="AB161" s="132" t="n">
        <f aca="false">F161*G161</f>
        <v>0</v>
      </c>
      <c r="AC161" s="132" t="n">
        <f aca="false">$F161*H161</f>
        <v>0</v>
      </c>
      <c r="AD161" s="132" t="n">
        <f aca="false">$F161*I161</f>
        <v>0</v>
      </c>
      <c r="AE161" s="132" t="n">
        <f aca="false">$F161*J161</f>
        <v>-0</v>
      </c>
      <c r="AF161" s="132" t="n">
        <f aca="false">$F161*K161</f>
        <v>-0</v>
      </c>
      <c r="AG161" s="132" t="n">
        <f aca="false">$F161*L161</f>
        <v>0</v>
      </c>
      <c r="AH161" s="132" t="n">
        <f aca="false">$F161*M161</f>
        <v>0</v>
      </c>
      <c r="AI161" s="132" t="n">
        <f aca="false">$F161*N161</f>
        <v>0</v>
      </c>
      <c r="AJ161" s="132" t="n">
        <f aca="false">F161*O161</f>
        <v>0</v>
      </c>
      <c r="AK161" s="137"/>
      <c r="AL161" s="132" t="n">
        <f aca="false">CHOOSE($G$3,AC161-AD161,AD161-AC161)</f>
        <v>0</v>
      </c>
      <c r="AM161" s="132" t="n">
        <f aca="false">CHOOSE($G$3,AF161-AG161,AG161-AF161)</f>
        <v>0</v>
      </c>
      <c r="AN161" s="132" t="n">
        <f aca="false">CHOOSE($G$3,AI161-AJ161,AJ161-AI161)</f>
        <v>0</v>
      </c>
      <c r="AO161" s="148" t="n">
        <f aca="false">SUM(AL161:AN161)</f>
        <v>0</v>
      </c>
      <c r="AQ161" s="132" t="n">
        <f aca="false">CHOOSE($G$3,AB161-AC161,AC161-AB161)</f>
        <v>0</v>
      </c>
      <c r="AR161" s="132" t="n">
        <f aca="false">CHOOSE($G$3,AE161-AF161,AF161-AE161)</f>
        <v>0</v>
      </c>
      <c r="AS161" s="132" t="n">
        <f aca="false">CHOOSE($G$3,AH161-AI161,AI161-AH161)</f>
        <v>0</v>
      </c>
      <c r="AT161" s="148" t="n">
        <f aca="false">AQ161+AR161+AS161</f>
        <v>0</v>
      </c>
      <c r="AU161" s="148"/>
      <c r="AV161" s="133" t="n">
        <f aca="false">AT161+AO161</f>
        <v>0</v>
      </c>
      <c r="AX161" s="133" t="n">
        <f aca="false">AJ161+AG161+AD161</f>
        <v>0</v>
      </c>
      <c r="AY161" s="149"/>
      <c r="AZ161" s="76" t="n">
        <f aca="false">R161*E161</f>
        <v>0</v>
      </c>
    </row>
    <row r="162" customFormat="false" ht="12.75" hidden="false" customHeight="false" outlineLevel="0" collapsed="false">
      <c r="A162" s="138" t="n">
        <f aca="false">EDATE(A161,1)</f>
        <v>41609</v>
      </c>
      <c r="B162" s="139" t="n">
        <f aca="false">VLOOKUP($A162,Table2,MATCH(I$3,Curves2,0))</f>
        <v>0</v>
      </c>
      <c r="C162" s="140"/>
      <c r="D162" s="141" t="n">
        <f aca="false">B162+C162</f>
        <v>0</v>
      </c>
      <c r="E162" s="126" t="n">
        <f aca="false">IF(Y162=0,0,IF(AND(Y162=1,$H$3=1),D162*T162,IF($H$3=2,D162,"N/A")))</f>
        <v>0</v>
      </c>
      <c r="F162" s="126" t="n">
        <f aca="false">E162*X162</f>
        <v>0</v>
      </c>
      <c r="G162" s="142" t="n">
        <f aca="false">VLOOKUP($A162,Table,MATCH(G$4,Curves,0))</f>
        <v>3.987</v>
      </c>
      <c r="H162" s="143" t="n">
        <f aca="false">G162</f>
        <v>3.987</v>
      </c>
      <c r="I162" s="142" t="n">
        <f aca="false">VLOOKUP($A162,Table1,MATCH(I$3,Curves1,0))</f>
        <v>0</v>
      </c>
      <c r="J162" s="142" t="n">
        <f aca="false">VLOOKUP($A162,Table,MATCH(J$4,Curves,0))</f>
        <v>-0.0235</v>
      </c>
      <c r="K162" s="143" t="n">
        <f aca="false">J162</f>
        <v>-0.0235</v>
      </c>
      <c r="L162" s="144" t="n">
        <v>0</v>
      </c>
      <c r="M162" s="142" t="n">
        <f aca="false">VLOOKUP($A162,Table,MATCH(M$4,Curves,0))</f>
        <v>0.0075</v>
      </c>
      <c r="N162" s="143" t="n">
        <f aca="false">M162</f>
        <v>0.0075</v>
      </c>
      <c r="O162" s="144" t="n">
        <v>0</v>
      </c>
      <c r="P162" s="145"/>
      <c r="Q162" s="144" t="n">
        <f aca="false">M162+J162+G162</f>
        <v>3.971</v>
      </c>
      <c r="R162" s="144" t="n">
        <f aca="false">O162+L162+I162</f>
        <v>0</v>
      </c>
      <c r="S162" s="145"/>
      <c r="T162" s="71" t="n">
        <f aca="false">A163-A162</f>
        <v>31</v>
      </c>
      <c r="U162" s="146" t="n">
        <f aca="false">CHOOSE(F$3,A163+24,A162)</f>
        <v>41664</v>
      </c>
      <c r="V162" s="71" t="n">
        <f aca="false">U162-C$3</f>
        <v>4776</v>
      </c>
      <c r="W162" s="142" t="n">
        <f aca="false">VLOOKUP($A162,Table,MATCH(W$4,Curves,0))</f>
        <v>0.058966861357273</v>
      </c>
      <c r="X162" s="147" t="n">
        <f aca="false">1/(1+CHOOSE(F$3,(W163+($K$3/10000))/2,(W162+($K$3/10000))/2))^(2*V162/365.25)</f>
        <v>0.467712621327839</v>
      </c>
      <c r="Y162" s="71" t="n">
        <f aca="false">IF(AND(mthbeg&lt;=A162,mthend&gt;=A162),1,0)</f>
        <v>0</v>
      </c>
      <c r="Z162" s="71" t="n">
        <f aca="false">T162*Y162</f>
        <v>0</v>
      </c>
      <c r="AB162" s="132" t="n">
        <f aca="false">F162*G162</f>
        <v>0</v>
      </c>
      <c r="AC162" s="132" t="n">
        <f aca="false">$F162*H162</f>
        <v>0</v>
      </c>
      <c r="AD162" s="132" t="n">
        <f aca="false">$F162*I162</f>
        <v>0</v>
      </c>
      <c r="AE162" s="132" t="n">
        <f aca="false">$F162*J162</f>
        <v>-0</v>
      </c>
      <c r="AF162" s="132" t="n">
        <f aca="false">$F162*K162</f>
        <v>-0</v>
      </c>
      <c r="AG162" s="132" t="n">
        <f aca="false">$F162*L162</f>
        <v>0</v>
      </c>
      <c r="AH162" s="132" t="n">
        <f aca="false">$F162*M162</f>
        <v>0</v>
      </c>
      <c r="AI162" s="132" t="n">
        <f aca="false">$F162*N162</f>
        <v>0</v>
      </c>
      <c r="AJ162" s="132" t="n">
        <f aca="false">F162*O162</f>
        <v>0</v>
      </c>
      <c r="AK162" s="137"/>
      <c r="AL162" s="132" t="n">
        <f aca="false">CHOOSE($G$3,AC162-AD162,AD162-AC162)</f>
        <v>0</v>
      </c>
      <c r="AM162" s="132" t="n">
        <f aca="false">CHOOSE($G$3,AF162-AG162,AG162-AF162)</f>
        <v>0</v>
      </c>
      <c r="AN162" s="132" t="n">
        <f aca="false">CHOOSE($G$3,AI162-AJ162,AJ162-AI162)</f>
        <v>0</v>
      </c>
      <c r="AO162" s="148" t="n">
        <f aca="false">SUM(AL162:AN162)</f>
        <v>0</v>
      </c>
      <c r="AQ162" s="132" t="n">
        <f aca="false">CHOOSE($G$3,AB162-AC162,AC162-AB162)</f>
        <v>0</v>
      </c>
      <c r="AR162" s="132" t="n">
        <f aca="false">CHOOSE($G$3,AE162-AF162,AF162-AE162)</f>
        <v>0</v>
      </c>
      <c r="AS162" s="132" t="n">
        <f aca="false">CHOOSE($G$3,AH162-AI162,AI162-AH162)</f>
        <v>0</v>
      </c>
      <c r="AT162" s="148" t="n">
        <f aca="false">AQ162+AR162+AS162</f>
        <v>0</v>
      </c>
      <c r="AU162" s="148"/>
      <c r="AV162" s="133" t="n">
        <f aca="false">AT162+AO162</f>
        <v>0</v>
      </c>
      <c r="AX162" s="133" t="n">
        <f aca="false">AJ162+AG162+AD162</f>
        <v>0</v>
      </c>
      <c r="AY162" s="149"/>
      <c r="AZ162" s="76" t="n">
        <f aca="false">R162*E162</f>
        <v>0</v>
      </c>
    </row>
    <row r="163" customFormat="false" ht="12.75" hidden="false" customHeight="false" outlineLevel="0" collapsed="false">
      <c r="A163" s="138" t="n">
        <f aca="false">EDATE(A162,1)</f>
        <v>41640</v>
      </c>
      <c r="B163" s="139" t="n">
        <f aca="false">VLOOKUP($A163,Table2,MATCH(I$3,Curves2,0))</f>
        <v>0</v>
      </c>
      <c r="C163" s="140"/>
      <c r="D163" s="141" t="n">
        <f aca="false">B163+C163</f>
        <v>0</v>
      </c>
      <c r="E163" s="126" t="n">
        <f aca="false">IF(Y163=0,0,IF(AND(Y163=1,$H$3=1),D163*T163,IF($H$3=2,D163,"N/A")))</f>
        <v>0</v>
      </c>
      <c r="F163" s="126" t="n">
        <f aca="false">E163*X163</f>
        <v>0</v>
      </c>
      <c r="G163" s="142" t="n">
        <f aca="false">VLOOKUP($A163,Table,MATCH(G$4,Curves,0))</f>
        <v>3.987</v>
      </c>
      <c r="H163" s="143" t="n">
        <f aca="false">G163</f>
        <v>3.987</v>
      </c>
      <c r="I163" s="142" t="n">
        <f aca="false">VLOOKUP($A163,Table1,MATCH(I$3,Curves1,0))</f>
        <v>0</v>
      </c>
      <c r="J163" s="142" t="n">
        <f aca="false">VLOOKUP($A163,Table,MATCH(J$4,Curves,0))</f>
        <v>-0.0235</v>
      </c>
      <c r="K163" s="143" t="n">
        <f aca="false">J163</f>
        <v>-0.0235</v>
      </c>
      <c r="L163" s="144" t="n">
        <v>0</v>
      </c>
      <c r="M163" s="142" t="n">
        <f aca="false">VLOOKUP($A163,Table,MATCH(M$4,Curves,0))</f>
        <v>0.0075</v>
      </c>
      <c r="N163" s="143" t="n">
        <f aca="false">M163</f>
        <v>0.0075</v>
      </c>
      <c r="O163" s="144" t="n">
        <v>0</v>
      </c>
      <c r="P163" s="145"/>
      <c r="Q163" s="144" t="n">
        <f aca="false">M163+J163+G163</f>
        <v>3.971</v>
      </c>
      <c r="R163" s="144" t="n">
        <f aca="false">O163+L163+I163</f>
        <v>0</v>
      </c>
      <c r="S163" s="145"/>
      <c r="T163" s="71" t="n">
        <f aca="false">A164-A163</f>
        <v>31</v>
      </c>
      <c r="U163" s="146" t="n">
        <f aca="false">CHOOSE(F$3,A164+24,A163)</f>
        <v>41695</v>
      </c>
      <c r="V163" s="71" t="n">
        <f aca="false">U163-C$3</f>
        <v>4807</v>
      </c>
      <c r="W163" s="142" t="n">
        <f aca="false">VLOOKUP($A163,Table,MATCH(W$4,Curves,0))</f>
        <v>0.058966861357273</v>
      </c>
      <c r="X163" s="147" t="n">
        <f aca="false">1/(1+CHOOSE(F$3,(W164+($K$3/10000))/2,(W163+($K$3/10000))/2))^(2*V163/365.25)</f>
        <v>0.465411375551097</v>
      </c>
      <c r="Y163" s="71" t="n">
        <f aca="false">IF(AND(mthbeg&lt;=A163,mthend&gt;=A163),1,0)</f>
        <v>0</v>
      </c>
      <c r="Z163" s="71" t="n">
        <f aca="false">T163*Y163</f>
        <v>0</v>
      </c>
      <c r="AB163" s="132" t="n">
        <f aca="false">F163*G163</f>
        <v>0</v>
      </c>
      <c r="AC163" s="132" t="n">
        <f aca="false">$F163*H163</f>
        <v>0</v>
      </c>
      <c r="AD163" s="132" t="n">
        <f aca="false">$F163*I163</f>
        <v>0</v>
      </c>
      <c r="AE163" s="132" t="n">
        <f aca="false">$F163*J163</f>
        <v>-0</v>
      </c>
      <c r="AF163" s="132" t="n">
        <f aca="false">$F163*K163</f>
        <v>-0</v>
      </c>
      <c r="AG163" s="132" t="n">
        <f aca="false">$F163*L163</f>
        <v>0</v>
      </c>
      <c r="AH163" s="132" t="n">
        <f aca="false">$F163*M163</f>
        <v>0</v>
      </c>
      <c r="AI163" s="132" t="n">
        <f aca="false">$F163*N163</f>
        <v>0</v>
      </c>
      <c r="AJ163" s="132" t="n">
        <f aca="false">F163*O163</f>
        <v>0</v>
      </c>
      <c r="AK163" s="137"/>
      <c r="AL163" s="132" t="n">
        <f aca="false">CHOOSE($G$3,AC163-AD163,AD163-AC163)</f>
        <v>0</v>
      </c>
      <c r="AM163" s="132" t="n">
        <f aca="false">CHOOSE($G$3,AF163-AG163,AG163-AF163)</f>
        <v>0</v>
      </c>
      <c r="AN163" s="132" t="n">
        <f aca="false">CHOOSE($G$3,AI163-AJ163,AJ163-AI163)</f>
        <v>0</v>
      </c>
      <c r="AO163" s="148" t="n">
        <f aca="false">SUM(AL163:AN163)</f>
        <v>0</v>
      </c>
      <c r="AQ163" s="132" t="n">
        <f aca="false">CHOOSE($G$3,AB163-AC163,AC163-AB163)</f>
        <v>0</v>
      </c>
      <c r="AR163" s="132" t="n">
        <f aca="false">CHOOSE($G$3,AE163-AF163,AF163-AE163)</f>
        <v>0</v>
      </c>
      <c r="AS163" s="132" t="n">
        <f aca="false">CHOOSE($G$3,AH163-AI163,AI163-AH163)</f>
        <v>0</v>
      </c>
      <c r="AT163" s="148" t="n">
        <f aca="false">AQ163+AR163+AS163</f>
        <v>0</v>
      </c>
      <c r="AU163" s="148"/>
      <c r="AV163" s="133" t="n">
        <f aca="false">AT163+AO163</f>
        <v>0</v>
      </c>
      <c r="AX163" s="133" t="n">
        <f aca="false">AJ163+AG163+AD163</f>
        <v>0</v>
      </c>
      <c r="AY163" s="149"/>
      <c r="AZ163" s="76" t="n">
        <f aca="false">R163*E163</f>
        <v>0</v>
      </c>
    </row>
    <row r="164" customFormat="false" ht="12.75" hidden="false" customHeight="false" outlineLevel="0" collapsed="false">
      <c r="A164" s="138" t="n">
        <f aca="false">EDATE(A163,1)</f>
        <v>41671</v>
      </c>
      <c r="B164" s="139" t="n">
        <f aca="false">VLOOKUP($A164,Table2,MATCH(I$3,Curves2,0))</f>
        <v>0</v>
      </c>
      <c r="C164" s="140"/>
      <c r="D164" s="141" t="n">
        <f aca="false">B164+C164</f>
        <v>0</v>
      </c>
      <c r="E164" s="126" t="n">
        <f aca="false">IF(Y164=0,0,IF(AND(Y164=1,$H$3=1),D164*T164,IF($H$3=2,D164,"N/A")))</f>
        <v>0</v>
      </c>
      <c r="F164" s="126" t="n">
        <f aca="false">E164*X164</f>
        <v>0</v>
      </c>
      <c r="G164" s="142" t="n">
        <f aca="false">VLOOKUP($A164,Table,MATCH(G$4,Curves,0))</f>
        <v>3.987</v>
      </c>
      <c r="H164" s="143" t="n">
        <f aca="false">G164</f>
        <v>3.987</v>
      </c>
      <c r="I164" s="142" t="n">
        <f aca="false">VLOOKUP($A164,Table1,MATCH(I$3,Curves1,0))</f>
        <v>0</v>
      </c>
      <c r="J164" s="142" t="n">
        <f aca="false">VLOOKUP($A164,Table,MATCH(J$4,Curves,0))</f>
        <v>-0.0235</v>
      </c>
      <c r="K164" s="143" t="n">
        <f aca="false">J164</f>
        <v>-0.0235</v>
      </c>
      <c r="L164" s="144" t="n">
        <v>0</v>
      </c>
      <c r="M164" s="142" t="n">
        <f aca="false">VLOOKUP($A164,Table,MATCH(M$4,Curves,0))</f>
        <v>0.0075</v>
      </c>
      <c r="N164" s="143" t="n">
        <f aca="false">M164</f>
        <v>0.0075</v>
      </c>
      <c r="O164" s="144" t="n">
        <v>0</v>
      </c>
      <c r="P164" s="145"/>
      <c r="Q164" s="144" t="n">
        <f aca="false">M164+J164+G164</f>
        <v>3.971</v>
      </c>
      <c r="R164" s="144" t="n">
        <f aca="false">O164+L164+I164</f>
        <v>0</v>
      </c>
      <c r="S164" s="145"/>
      <c r="T164" s="71" t="n">
        <f aca="false">A165-A164</f>
        <v>28</v>
      </c>
      <c r="U164" s="146" t="n">
        <f aca="false">CHOOSE(F$3,A165+24,A164)</f>
        <v>41723</v>
      </c>
      <c r="V164" s="71" t="n">
        <f aca="false">U164-C$3</f>
        <v>4835</v>
      </c>
      <c r="W164" s="142" t="n">
        <f aca="false">VLOOKUP($A164,Table,MATCH(W$4,Curves,0))</f>
        <v>0.058966861357273</v>
      </c>
      <c r="X164" s="147" t="n">
        <f aca="false">1/(1+CHOOSE(F$3,(W165+($K$3/10000))/2,(W164+($K$3/10000))/2))^(2*V164/365.25)</f>
        <v>0.463342564558416</v>
      </c>
      <c r="Y164" s="71" t="n">
        <f aca="false">IF(AND(mthbeg&lt;=A164,mthend&gt;=A164),1,0)</f>
        <v>0</v>
      </c>
      <c r="Z164" s="71" t="n">
        <f aca="false">T164*Y164</f>
        <v>0</v>
      </c>
      <c r="AB164" s="132" t="n">
        <f aca="false">F164*G164</f>
        <v>0</v>
      </c>
      <c r="AC164" s="132" t="n">
        <f aca="false">$F164*H164</f>
        <v>0</v>
      </c>
      <c r="AD164" s="132" t="n">
        <f aca="false">$F164*I164</f>
        <v>0</v>
      </c>
      <c r="AE164" s="132" t="n">
        <f aca="false">$F164*J164</f>
        <v>-0</v>
      </c>
      <c r="AF164" s="132" t="n">
        <f aca="false">$F164*K164</f>
        <v>-0</v>
      </c>
      <c r="AG164" s="132" t="n">
        <f aca="false">$F164*L164</f>
        <v>0</v>
      </c>
      <c r="AH164" s="132" t="n">
        <f aca="false">$F164*M164</f>
        <v>0</v>
      </c>
      <c r="AI164" s="132" t="n">
        <f aca="false">$F164*N164</f>
        <v>0</v>
      </c>
      <c r="AJ164" s="132" t="n">
        <f aca="false">F164*O164</f>
        <v>0</v>
      </c>
      <c r="AK164" s="137"/>
      <c r="AL164" s="132" t="n">
        <f aca="false">CHOOSE($G$3,AC164-AD164,AD164-AC164)</f>
        <v>0</v>
      </c>
      <c r="AM164" s="132" t="n">
        <f aca="false">CHOOSE($G$3,AF164-AG164,AG164-AF164)</f>
        <v>0</v>
      </c>
      <c r="AN164" s="132" t="n">
        <f aca="false">CHOOSE($G$3,AI164-AJ164,AJ164-AI164)</f>
        <v>0</v>
      </c>
      <c r="AO164" s="148" t="n">
        <f aca="false">SUM(AL164:AN164)</f>
        <v>0</v>
      </c>
      <c r="AQ164" s="132" t="n">
        <f aca="false">CHOOSE($G$3,AB164-AC164,AC164-AB164)</f>
        <v>0</v>
      </c>
      <c r="AR164" s="132" t="n">
        <f aca="false">CHOOSE($G$3,AE164-AF164,AF164-AE164)</f>
        <v>0</v>
      </c>
      <c r="AS164" s="132" t="n">
        <f aca="false">CHOOSE($G$3,AH164-AI164,AI164-AH164)</f>
        <v>0</v>
      </c>
      <c r="AT164" s="148" t="n">
        <f aca="false">AQ164+AR164+AS164</f>
        <v>0</v>
      </c>
      <c r="AU164" s="148"/>
      <c r="AV164" s="133" t="n">
        <f aca="false">AT164+AO164</f>
        <v>0</v>
      </c>
      <c r="AX164" s="133" t="n">
        <f aca="false">AJ164+AG164+AD164</f>
        <v>0</v>
      </c>
      <c r="AY164" s="149"/>
      <c r="AZ164" s="76" t="n">
        <f aca="false">R164*E164</f>
        <v>0</v>
      </c>
    </row>
    <row r="165" customFormat="false" ht="12.75" hidden="false" customHeight="false" outlineLevel="0" collapsed="false">
      <c r="A165" s="138" t="n">
        <f aca="false">EDATE(A164,1)</f>
        <v>41699</v>
      </c>
      <c r="B165" s="139" t="n">
        <f aca="false">VLOOKUP($A165,Table2,MATCH(I$3,Curves2,0))</f>
        <v>0</v>
      </c>
      <c r="C165" s="140"/>
      <c r="D165" s="141" t="n">
        <f aca="false">B165+C165</f>
        <v>0</v>
      </c>
      <c r="E165" s="126" t="n">
        <f aca="false">IF(Y165=0,0,IF(AND(Y165=1,$H$3=1),D165*T165,IF($H$3=2,D165,"N/A")))</f>
        <v>0</v>
      </c>
      <c r="F165" s="126" t="n">
        <f aca="false">E165*X165</f>
        <v>0</v>
      </c>
      <c r="G165" s="142" t="n">
        <f aca="false">VLOOKUP($A165,Table,MATCH(G$4,Curves,0))</f>
        <v>3.987</v>
      </c>
      <c r="H165" s="143" t="n">
        <f aca="false">G165</f>
        <v>3.987</v>
      </c>
      <c r="I165" s="142" t="n">
        <f aca="false">VLOOKUP($A165,Table1,MATCH(I$3,Curves1,0))</f>
        <v>0</v>
      </c>
      <c r="J165" s="142" t="n">
        <f aca="false">VLOOKUP($A165,Table,MATCH(J$4,Curves,0))</f>
        <v>-0.0235</v>
      </c>
      <c r="K165" s="143" t="n">
        <f aca="false">J165</f>
        <v>-0.0235</v>
      </c>
      <c r="L165" s="144" t="n">
        <v>0</v>
      </c>
      <c r="M165" s="142" t="n">
        <f aca="false">VLOOKUP($A165,Table,MATCH(M$4,Curves,0))</f>
        <v>0.0075</v>
      </c>
      <c r="N165" s="143" t="n">
        <f aca="false">M165</f>
        <v>0.0075</v>
      </c>
      <c r="O165" s="144" t="n">
        <v>0</v>
      </c>
      <c r="P165" s="145"/>
      <c r="Q165" s="144" t="n">
        <f aca="false">M165+J165+G165</f>
        <v>3.971</v>
      </c>
      <c r="R165" s="144" t="n">
        <f aca="false">O165+L165+I165</f>
        <v>0</v>
      </c>
      <c r="S165" s="145"/>
      <c r="T165" s="71" t="n">
        <f aca="false">A166-A165</f>
        <v>31</v>
      </c>
      <c r="U165" s="146" t="n">
        <f aca="false">CHOOSE(F$3,A166+24,A165)</f>
        <v>41754</v>
      </c>
      <c r="V165" s="71" t="n">
        <f aca="false">U165-C$3</f>
        <v>4866</v>
      </c>
      <c r="W165" s="142" t="n">
        <f aca="false">VLOOKUP($A165,Table,MATCH(W$4,Curves,0))</f>
        <v>0.058966861357273</v>
      </c>
      <c r="X165" s="147" t="n">
        <f aca="false">1/(1+CHOOSE(F$3,(W166+($K$3/10000))/2,(W165+($K$3/10000))/2))^(2*V165/365.25)</f>
        <v>0.461062820392334</v>
      </c>
      <c r="Y165" s="71" t="n">
        <f aca="false">IF(AND(mthbeg&lt;=A165,mthend&gt;=A165),1,0)</f>
        <v>0</v>
      </c>
      <c r="Z165" s="71" t="n">
        <f aca="false">T165*Y165</f>
        <v>0</v>
      </c>
      <c r="AB165" s="132" t="n">
        <f aca="false">F165*G165</f>
        <v>0</v>
      </c>
      <c r="AC165" s="132" t="n">
        <f aca="false">$F165*H165</f>
        <v>0</v>
      </c>
      <c r="AD165" s="132" t="n">
        <f aca="false">$F165*I165</f>
        <v>0</v>
      </c>
      <c r="AE165" s="132" t="n">
        <f aca="false">$F165*J165</f>
        <v>-0</v>
      </c>
      <c r="AF165" s="132" t="n">
        <f aca="false">$F165*K165</f>
        <v>-0</v>
      </c>
      <c r="AG165" s="132" t="n">
        <f aca="false">$F165*L165</f>
        <v>0</v>
      </c>
      <c r="AH165" s="132" t="n">
        <f aca="false">$F165*M165</f>
        <v>0</v>
      </c>
      <c r="AI165" s="132" t="n">
        <f aca="false">$F165*N165</f>
        <v>0</v>
      </c>
      <c r="AJ165" s="132" t="n">
        <f aca="false">F165*O165</f>
        <v>0</v>
      </c>
      <c r="AK165" s="137"/>
      <c r="AL165" s="132" t="n">
        <f aca="false">CHOOSE($G$3,AC165-AD165,AD165-AC165)</f>
        <v>0</v>
      </c>
      <c r="AM165" s="132" t="n">
        <f aca="false">CHOOSE($G$3,AF165-AG165,AG165-AF165)</f>
        <v>0</v>
      </c>
      <c r="AN165" s="132" t="n">
        <f aca="false">CHOOSE($G$3,AI165-AJ165,AJ165-AI165)</f>
        <v>0</v>
      </c>
      <c r="AO165" s="148" t="n">
        <f aca="false">SUM(AL165:AN165)</f>
        <v>0</v>
      </c>
      <c r="AQ165" s="132" t="n">
        <f aca="false">CHOOSE($G$3,AB165-AC165,AC165-AB165)</f>
        <v>0</v>
      </c>
      <c r="AR165" s="132" t="n">
        <f aca="false">CHOOSE($G$3,AE165-AF165,AF165-AE165)</f>
        <v>0</v>
      </c>
      <c r="AS165" s="132" t="n">
        <f aca="false">CHOOSE($G$3,AH165-AI165,AI165-AH165)</f>
        <v>0</v>
      </c>
      <c r="AT165" s="148" t="n">
        <f aca="false">AQ165+AR165+AS165</f>
        <v>0</v>
      </c>
      <c r="AU165" s="148"/>
      <c r="AV165" s="133" t="n">
        <f aca="false">AT165+AO165</f>
        <v>0</v>
      </c>
      <c r="AX165" s="133" t="n">
        <f aca="false">AJ165+AG165+AD165</f>
        <v>0</v>
      </c>
      <c r="AY165" s="149"/>
      <c r="AZ165" s="76" t="n">
        <f aca="false">R165*E165</f>
        <v>0</v>
      </c>
    </row>
    <row r="166" customFormat="false" ht="12.75" hidden="false" customHeight="false" outlineLevel="0" collapsed="false">
      <c r="A166" s="138" t="n">
        <f aca="false">EDATE(A165,1)</f>
        <v>41730</v>
      </c>
      <c r="B166" s="139" t="n">
        <f aca="false">VLOOKUP($A166,Table2,MATCH(I$3,Curves2,0))</f>
        <v>0</v>
      </c>
      <c r="C166" s="140"/>
      <c r="D166" s="141" t="n">
        <f aca="false">B166+C166</f>
        <v>0</v>
      </c>
      <c r="E166" s="126" t="n">
        <f aca="false">IF(Y166=0,0,IF(AND(Y166=1,$H$3=1),D166*T166,IF($H$3=2,D166,"N/A")))</f>
        <v>0</v>
      </c>
      <c r="F166" s="126" t="n">
        <f aca="false">E166*X166</f>
        <v>0</v>
      </c>
      <c r="G166" s="142" t="n">
        <f aca="false">VLOOKUP($A166,Table,MATCH(G$4,Curves,0))</f>
        <v>3.987</v>
      </c>
      <c r="H166" s="143" t="n">
        <f aca="false">G166</f>
        <v>3.987</v>
      </c>
      <c r="I166" s="142" t="n">
        <f aca="false">VLOOKUP($A166,Table1,MATCH(I$3,Curves1,0))</f>
        <v>0</v>
      </c>
      <c r="J166" s="142" t="n">
        <f aca="false">VLOOKUP($A166,Table,MATCH(J$4,Curves,0))</f>
        <v>-0.0235</v>
      </c>
      <c r="K166" s="143" t="n">
        <f aca="false">J166</f>
        <v>-0.0235</v>
      </c>
      <c r="L166" s="144" t="n">
        <v>0</v>
      </c>
      <c r="M166" s="142" t="n">
        <f aca="false">VLOOKUP($A166,Table,MATCH(M$4,Curves,0))</f>
        <v>0.0075</v>
      </c>
      <c r="N166" s="143" t="n">
        <f aca="false">M166</f>
        <v>0.0075</v>
      </c>
      <c r="O166" s="144" t="n">
        <v>0</v>
      </c>
      <c r="P166" s="145"/>
      <c r="Q166" s="144" t="n">
        <f aca="false">M166+J166+G166</f>
        <v>3.971</v>
      </c>
      <c r="R166" s="144" t="n">
        <f aca="false">O166+L166+I166</f>
        <v>0</v>
      </c>
      <c r="S166" s="145"/>
      <c r="T166" s="71" t="n">
        <f aca="false">A167-A166</f>
        <v>30</v>
      </c>
      <c r="U166" s="146" t="n">
        <f aca="false">CHOOSE(F$3,A167+24,A166)</f>
        <v>41784</v>
      </c>
      <c r="V166" s="71" t="n">
        <f aca="false">U166-C$3</f>
        <v>4896</v>
      </c>
      <c r="W166" s="142" t="n">
        <f aca="false">VLOOKUP($A166,Table,MATCH(W$4,Curves,0))</f>
        <v>0.058966861357273</v>
      </c>
      <c r="X166" s="147" t="n">
        <f aca="false">1/(1+CHOOSE(F$3,(W167+($K$3/10000))/2,(W166+($K$3/10000))/2))^(2*V166/365.25)</f>
        <v>0.458867296839865</v>
      </c>
      <c r="Y166" s="71" t="n">
        <f aca="false">IF(AND(mthbeg&lt;=A166,mthend&gt;=A166),1,0)</f>
        <v>0</v>
      </c>
      <c r="Z166" s="71" t="n">
        <f aca="false">T166*Y166</f>
        <v>0</v>
      </c>
      <c r="AB166" s="132" t="n">
        <f aca="false">F166*G166</f>
        <v>0</v>
      </c>
      <c r="AC166" s="132" t="n">
        <f aca="false">$F166*H166</f>
        <v>0</v>
      </c>
      <c r="AD166" s="132" t="n">
        <f aca="false">$F166*I166</f>
        <v>0</v>
      </c>
      <c r="AE166" s="132" t="n">
        <f aca="false">$F166*J166</f>
        <v>-0</v>
      </c>
      <c r="AF166" s="132" t="n">
        <f aca="false">$F166*K166</f>
        <v>-0</v>
      </c>
      <c r="AG166" s="132" t="n">
        <f aca="false">$F166*L166</f>
        <v>0</v>
      </c>
      <c r="AH166" s="132" t="n">
        <f aca="false">$F166*M166</f>
        <v>0</v>
      </c>
      <c r="AI166" s="132" t="n">
        <f aca="false">$F166*N166</f>
        <v>0</v>
      </c>
      <c r="AJ166" s="132" t="n">
        <f aca="false">F166*O166</f>
        <v>0</v>
      </c>
      <c r="AK166" s="137"/>
      <c r="AL166" s="132" t="n">
        <f aca="false">CHOOSE($G$3,AC166-AD166,AD166-AC166)</f>
        <v>0</v>
      </c>
      <c r="AM166" s="132" t="n">
        <f aca="false">CHOOSE($G$3,AF166-AG166,AG166-AF166)</f>
        <v>0</v>
      </c>
      <c r="AN166" s="132" t="n">
        <f aca="false">CHOOSE($G$3,AI166-AJ166,AJ166-AI166)</f>
        <v>0</v>
      </c>
      <c r="AO166" s="148" t="n">
        <f aca="false">SUM(AL166:AN166)</f>
        <v>0</v>
      </c>
      <c r="AQ166" s="132" t="n">
        <f aca="false">CHOOSE($G$3,AB166-AC166,AC166-AB166)</f>
        <v>0</v>
      </c>
      <c r="AR166" s="132" t="n">
        <f aca="false">CHOOSE($G$3,AE166-AF166,AF166-AE166)</f>
        <v>0</v>
      </c>
      <c r="AS166" s="132" t="n">
        <f aca="false">CHOOSE($G$3,AH166-AI166,AI166-AH166)</f>
        <v>0</v>
      </c>
      <c r="AT166" s="148" t="n">
        <f aca="false">AQ166+AR166+AS166</f>
        <v>0</v>
      </c>
      <c r="AU166" s="148"/>
      <c r="AV166" s="133" t="n">
        <f aca="false">AT166+AO166</f>
        <v>0</v>
      </c>
      <c r="AX166" s="133" t="n">
        <f aca="false">AJ166+AG166+AD166</f>
        <v>0</v>
      </c>
      <c r="AY166" s="149"/>
      <c r="AZ166" s="76" t="n">
        <f aca="false">R166*E166</f>
        <v>0</v>
      </c>
    </row>
    <row r="167" customFormat="false" ht="12.75" hidden="false" customHeight="false" outlineLevel="0" collapsed="false">
      <c r="A167" s="138" t="n">
        <f aca="false">EDATE(A166,1)</f>
        <v>41760</v>
      </c>
      <c r="B167" s="139" t="n">
        <f aca="false">VLOOKUP($A167,Table2,MATCH(I$3,Curves2,0))</f>
        <v>0</v>
      </c>
      <c r="C167" s="140"/>
      <c r="D167" s="141" t="n">
        <f aca="false">B167+C167</f>
        <v>0</v>
      </c>
      <c r="E167" s="126" t="n">
        <f aca="false">IF(Y167=0,0,IF(AND(Y167=1,$H$3=1),D167*T167,IF($H$3=2,D167,"N/A")))</f>
        <v>0</v>
      </c>
      <c r="F167" s="126" t="n">
        <f aca="false">E167*X167</f>
        <v>0</v>
      </c>
      <c r="G167" s="142" t="n">
        <f aca="false">VLOOKUP($A167,Table,MATCH(G$4,Curves,0))</f>
        <v>3.987</v>
      </c>
      <c r="H167" s="143" t="n">
        <f aca="false">G167</f>
        <v>3.987</v>
      </c>
      <c r="I167" s="142" t="n">
        <f aca="false">VLOOKUP($A167,Table1,MATCH(I$3,Curves1,0))</f>
        <v>0</v>
      </c>
      <c r="J167" s="142" t="n">
        <f aca="false">VLOOKUP($A167,Table,MATCH(J$4,Curves,0))</f>
        <v>-0.0235</v>
      </c>
      <c r="K167" s="143" t="n">
        <f aca="false">J167</f>
        <v>-0.0235</v>
      </c>
      <c r="L167" s="144" t="n">
        <v>0</v>
      </c>
      <c r="M167" s="142" t="n">
        <f aca="false">VLOOKUP($A167,Table,MATCH(M$4,Curves,0))</f>
        <v>0.0075</v>
      </c>
      <c r="N167" s="143" t="n">
        <f aca="false">M167</f>
        <v>0.0075</v>
      </c>
      <c r="O167" s="144" t="n">
        <v>0</v>
      </c>
      <c r="P167" s="145"/>
      <c r="Q167" s="144" t="n">
        <f aca="false">M167+J167+G167</f>
        <v>3.971</v>
      </c>
      <c r="R167" s="144" t="n">
        <f aca="false">O167+L167+I167</f>
        <v>0</v>
      </c>
      <c r="S167" s="145"/>
      <c r="T167" s="71" t="n">
        <f aca="false">A168-A167</f>
        <v>31</v>
      </c>
      <c r="U167" s="146" t="n">
        <f aca="false">CHOOSE(F$3,A168+24,A167)</f>
        <v>41815</v>
      </c>
      <c r="V167" s="71" t="n">
        <f aca="false">U167-C$3</f>
        <v>4927</v>
      </c>
      <c r="W167" s="142" t="n">
        <f aca="false">VLOOKUP($A167,Table,MATCH(W$4,Curves,0))</f>
        <v>0.058966861357273</v>
      </c>
      <c r="X167" s="147" t="n">
        <f aca="false">1/(1+CHOOSE(F$3,(W168+($K$3/10000))/2,(W167+($K$3/10000))/2))^(2*V167/365.25)</f>
        <v>0.456609571944736</v>
      </c>
      <c r="Y167" s="71" t="n">
        <f aca="false">IF(AND(mthbeg&lt;=A167,mthend&gt;=A167),1,0)</f>
        <v>0</v>
      </c>
      <c r="Z167" s="71" t="n">
        <f aca="false">T167*Y167</f>
        <v>0</v>
      </c>
      <c r="AB167" s="132" t="n">
        <f aca="false">F167*G167</f>
        <v>0</v>
      </c>
      <c r="AC167" s="132" t="n">
        <f aca="false">$F167*H167</f>
        <v>0</v>
      </c>
      <c r="AD167" s="132" t="n">
        <f aca="false">$F167*I167</f>
        <v>0</v>
      </c>
      <c r="AE167" s="132" t="n">
        <f aca="false">$F167*J167</f>
        <v>-0</v>
      </c>
      <c r="AF167" s="132" t="n">
        <f aca="false">$F167*K167</f>
        <v>-0</v>
      </c>
      <c r="AG167" s="132" t="n">
        <f aca="false">$F167*L167</f>
        <v>0</v>
      </c>
      <c r="AH167" s="132" t="n">
        <f aca="false">$F167*M167</f>
        <v>0</v>
      </c>
      <c r="AI167" s="132" t="n">
        <f aca="false">$F167*N167</f>
        <v>0</v>
      </c>
      <c r="AJ167" s="132" t="n">
        <f aca="false">F167*O167</f>
        <v>0</v>
      </c>
      <c r="AK167" s="137"/>
      <c r="AL167" s="132" t="n">
        <f aca="false">CHOOSE($G$3,AC167-AD167,AD167-AC167)</f>
        <v>0</v>
      </c>
      <c r="AM167" s="132" t="n">
        <f aca="false">CHOOSE($G$3,AF167-AG167,AG167-AF167)</f>
        <v>0</v>
      </c>
      <c r="AN167" s="132" t="n">
        <f aca="false">CHOOSE($G$3,AI167-AJ167,AJ167-AI167)</f>
        <v>0</v>
      </c>
      <c r="AO167" s="148" t="n">
        <f aca="false">SUM(AL167:AN167)</f>
        <v>0</v>
      </c>
      <c r="AQ167" s="132" t="n">
        <f aca="false">CHOOSE($G$3,AB167-AC167,AC167-AB167)</f>
        <v>0</v>
      </c>
      <c r="AR167" s="132" t="n">
        <f aca="false">CHOOSE($G$3,AE167-AF167,AF167-AE167)</f>
        <v>0</v>
      </c>
      <c r="AS167" s="132" t="n">
        <f aca="false">CHOOSE($G$3,AH167-AI167,AI167-AH167)</f>
        <v>0</v>
      </c>
      <c r="AT167" s="148" t="n">
        <f aca="false">AQ167+AR167+AS167</f>
        <v>0</v>
      </c>
      <c r="AU167" s="148"/>
      <c r="AV167" s="133" t="n">
        <f aca="false">AT167+AO167</f>
        <v>0</v>
      </c>
      <c r="AX167" s="133" t="n">
        <f aca="false">AJ167+AG167+AD167</f>
        <v>0</v>
      </c>
      <c r="AY167" s="149"/>
      <c r="AZ167" s="76" t="n">
        <f aca="false">R167*E167</f>
        <v>0</v>
      </c>
    </row>
    <row r="168" customFormat="false" ht="12.75" hidden="false" customHeight="false" outlineLevel="0" collapsed="false">
      <c r="A168" s="138" t="n">
        <f aca="false">EDATE(A167,1)</f>
        <v>41791</v>
      </c>
      <c r="B168" s="139" t="n">
        <f aca="false">VLOOKUP($A168,Table2,MATCH(I$3,Curves2,0))</f>
        <v>0</v>
      </c>
      <c r="C168" s="140"/>
      <c r="D168" s="141" t="n">
        <f aca="false">B168+C168</f>
        <v>0</v>
      </c>
      <c r="E168" s="126" t="n">
        <f aca="false">IF(Y168=0,0,IF(AND(Y168=1,$H$3=1),D168*T168,IF($H$3=2,D168,"N/A")))</f>
        <v>0</v>
      </c>
      <c r="F168" s="126" t="n">
        <f aca="false">E168*X168</f>
        <v>0</v>
      </c>
      <c r="G168" s="142" t="n">
        <f aca="false">VLOOKUP($A168,Table,MATCH(G$4,Curves,0))</f>
        <v>3.987</v>
      </c>
      <c r="H168" s="143" t="n">
        <f aca="false">G168</f>
        <v>3.987</v>
      </c>
      <c r="I168" s="142" t="n">
        <f aca="false">VLOOKUP($A168,Table1,MATCH(I$3,Curves1,0))</f>
        <v>0</v>
      </c>
      <c r="J168" s="142" t="n">
        <f aca="false">VLOOKUP($A168,Table,MATCH(J$4,Curves,0))</f>
        <v>-0.0235</v>
      </c>
      <c r="K168" s="143" t="n">
        <f aca="false">J168</f>
        <v>-0.0235</v>
      </c>
      <c r="L168" s="144" t="n">
        <v>0</v>
      </c>
      <c r="M168" s="142" t="n">
        <f aca="false">VLOOKUP($A168,Table,MATCH(M$4,Curves,0))</f>
        <v>0.0075</v>
      </c>
      <c r="N168" s="143" t="n">
        <f aca="false">M168</f>
        <v>0.0075</v>
      </c>
      <c r="O168" s="144" t="n">
        <v>0</v>
      </c>
      <c r="P168" s="145"/>
      <c r="Q168" s="144" t="n">
        <f aca="false">M168+J168+G168</f>
        <v>3.971</v>
      </c>
      <c r="R168" s="144" t="n">
        <f aca="false">O168+L168+I168</f>
        <v>0</v>
      </c>
      <c r="S168" s="145"/>
      <c r="T168" s="71" t="n">
        <f aca="false">A169-A168</f>
        <v>30</v>
      </c>
      <c r="U168" s="146" t="n">
        <f aca="false">CHOOSE(F$3,A169+24,A168)</f>
        <v>41845</v>
      </c>
      <c r="V168" s="71" t="n">
        <f aca="false">U168-C$3</f>
        <v>4957</v>
      </c>
      <c r="W168" s="142" t="n">
        <f aca="false">VLOOKUP($A168,Table,MATCH(W$4,Curves,0))</f>
        <v>0.058966861357273</v>
      </c>
      <c r="X168" s="147" t="n">
        <f aca="false">1/(1+CHOOSE(F$3,(W169+($K$3/10000))/2,(W168+($K$3/10000))/2))^(2*V168/365.25)</f>
        <v>0.454435254205052</v>
      </c>
      <c r="Y168" s="71" t="n">
        <f aca="false">IF(AND(mthbeg&lt;=A168,mthend&gt;=A168),1,0)</f>
        <v>0</v>
      </c>
      <c r="Z168" s="71" t="n">
        <f aca="false">T168*Y168</f>
        <v>0</v>
      </c>
      <c r="AB168" s="132" t="n">
        <f aca="false">F168*G168</f>
        <v>0</v>
      </c>
      <c r="AC168" s="132" t="n">
        <f aca="false">$F168*H168</f>
        <v>0</v>
      </c>
      <c r="AD168" s="132" t="n">
        <f aca="false">$F168*I168</f>
        <v>0</v>
      </c>
      <c r="AE168" s="132" t="n">
        <f aca="false">$F168*J168</f>
        <v>-0</v>
      </c>
      <c r="AF168" s="132" t="n">
        <f aca="false">$F168*K168</f>
        <v>-0</v>
      </c>
      <c r="AG168" s="132" t="n">
        <f aca="false">$F168*L168</f>
        <v>0</v>
      </c>
      <c r="AH168" s="132" t="n">
        <f aca="false">$F168*M168</f>
        <v>0</v>
      </c>
      <c r="AI168" s="132" t="n">
        <f aca="false">$F168*N168</f>
        <v>0</v>
      </c>
      <c r="AJ168" s="132" t="n">
        <f aca="false">F168*O168</f>
        <v>0</v>
      </c>
      <c r="AK168" s="137"/>
      <c r="AL168" s="132" t="n">
        <f aca="false">CHOOSE($G$3,AC168-AD168,AD168-AC168)</f>
        <v>0</v>
      </c>
      <c r="AM168" s="132" t="n">
        <f aca="false">CHOOSE($G$3,AF168-AG168,AG168-AF168)</f>
        <v>0</v>
      </c>
      <c r="AN168" s="132" t="n">
        <f aca="false">CHOOSE($G$3,AI168-AJ168,AJ168-AI168)</f>
        <v>0</v>
      </c>
      <c r="AO168" s="148" t="n">
        <f aca="false">SUM(AL168:AN168)</f>
        <v>0</v>
      </c>
      <c r="AQ168" s="132" t="n">
        <f aca="false">CHOOSE($G$3,AB168-AC168,AC168-AB168)</f>
        <v>0</v>
      </c>
      <c r="AR168" s="132" t="n">
        <f aca="false">CHOOSE($G$3,AE168-AF168,AF168-AE168)</f>
        <v>0</v>
      </c>
      <c r="AS168" s="132" t="n">
        <f aca="false">CHOOSE($G$3,AH168-AI168,AI168-AH168)</f>
        <v>0</v>
      </c>
      <c r="AT168" s="148" t="n">
        <f aca="false">AQ168+AR168+AS168</f>
        <v>0</v>
      </c>
      <c r="AU168" s="148"/>
      <c r="AV168" s="133" t="n">
        <f aca="false">AT168+AO168</f>
        <v>0</v>
      </c>
      <c r="AX168" s="133" t="n">
        <f aca="false">AJ168+AG168+AD168</f>
        <v>0</v>
      </c>
      <c r="AY168" s="149"/>
      <c r="AZ168" s="76" t="n">
        <f aca="false">R168*E168</f>
        <v>0</v>
      </c>
    </row>
    <row r="169" customFormat="false" ht="12.75" hidden="false" customHeight="false" outlineLevel="0" collapsed="false">
      <c r="A169" s="138" t="n">
        <f aca="false">EDATE(A168,1)</f>
        <v>41821</v>
      </c>
      <c r="B169" s="139" t="n">
        <f aca="false">VLOOKUP($A169,Table2,MATCH(I$3,Curves2,0))</f>
        <v>0</v>
      </c>
      <c r="C169" s="140"/>
      <c r="D169" s="141" t="n">
        <f aca="false">B169+C169</f>
        <v>0</v>
      </c>
      <c r="E169" s="126" t="n">
        <f aca="false">IF(Y169=0,0,IF(AND(Y169=1,$H$3=1),D169*T169,IF($H$3=2,D169,"N/A")))</f>
        <v>0</v>
      </c>
      <c r="F169" s="126" t="n">
        <f aca="false">E169*X169</f>
        <v>0</v>
      </c>
      <c r="G169" s="142" t="n">
        <f aca="false">VLOOKUP($A169,Table,MATCH(G$4,Curves,0))</f>
        <v>3.987</v>
      </c>
      <c r="H169" s="143" t="n">
        <f aca="false">G169</f>
        <v>3.987</v>
      </c>
      <c r="I169" s="142" t="n">
        <f aca="false">VLOOKUP($A169,Table1,MATCH(I$3,Curves1,0))</f>
        <v>0</v>
      </c>
      <c r="J169" s="142" t="n">
        <f aca="false">VLOOKUP($A169,Table,MATCH(J$4,Curves,0))</f>
        <v>-0.0235</v>
      </c>
      <c r="K169" s="143" t="n">
        <f aca="false">J169</f>
        <v>-0.0235</v>
      </c>
      <c r="L169" s="144" t="n">
        <v>0</v>
      </c>
      <c r="M169" s="142" t="n">
        <f aca="false">VLOOKUP($A169,Table,MATCH(M$4,Curves,0))</f>
        <v>0.0075</v>
      </c>
      <c r="N169" s="143" t="n">
        <f aca="false">M169</f>
        <v>0.0075</v>
      </c>
      <c r="O169" s="144" t="n">
        <v>0</v>
      </c>
      <c r="P169" s="145"/>
      <c r="Q169" s="144" t="n">
        <f aca="false">M169+J169+G169</f>
        <v>3.971</v>
      </c>
      <c r="R169" s="144" t="n">
        <f aca="false">O169+L169+I169</f>
        <v>0</v>
      </c>
      <c r="S169" s="145"/>
      <c r="T169" s="71" t="n">
        <f aca="false">A170-A169</f>
        <v>31</v>
      </c>
      <c r="U169" s="146" t="n">
        <f aca="false">CHOOSE(F$3,A170+24,A169)</f>
        <v>41876</v>
      </c>
      <c r="V169" s="71" t="n">
        <f aca="false">U169-C$3</f>
        <v>4988</v>
      </c>
      <c r="W169" s="142" t="n">
        <f aca="false">VLOOKUP($A169,Table,MATCH(W$4,Curves,0))</f>
        <v>0.058966861357273</v>
      </c>
      <c r="X169" s="147" t="n">
        <f aca="false">1/(1+CHOOSE(F$3,(W170+($K$3/10000))/2,(W169+($K$3/10000))/2))^(2*V169/365.25)</f>
        <v>0.452199335904252</v>
      </c>
      <c r="Y169" s="71" t="n">
        <f aca="false">IF(AND(mthbeg&lt;=A169,mthend&gt;=A169),1,0)</f>
        <v>0</v>
      </c>
      <c r="Z169" s="71" t="n">
        <f aca="false">T169*Y169</f>
        <v>0</v>
      </c>
      <c r="AB169" s="132" t="n">
        <f aca="false">F169*G169</f>
        <v>0</v>
      </c>
      <c r="AC169" s="132" t="n">
        <f aca="false">$F169*H169</f>
        <v>0</v>
      </c>
      <c r="AD169" s="132" t="n">
        <f aca="false">$F169*I169</f>
        <v>0</v>
      </c>
      <c r="AE169" s="132" t="n">
        <f aca="false">$F169*J169</f>
        <v>-0</v>
      </c>
      <c r="AF169" s="132" t="n">
        <f aca="false">$F169*K169</f>
        <v>-0</v>
      </c>
      <c r="AG169" s="132" t="n">
        <f aca="false">$F169*L169</f>
        <v>0</v>
      </c>
      <c r="AH169" s="132" t="n">
        <f aca="false">$F169*M169</f>
        <v>0</v>
      </c>
      <c r="AI169" s="132" t="n">
        <f aca="false">$F169*N169</f>
        <v>0</v>
      </c>
      <c r="AJ169" s="132" t="n">
        <f aca="false">F169*O169</f>
        <v>0</v>
      </c>
      <c r="AK169" s="137"/>
      <c r="AL169" s="132" t="n">
        <f aca="false">CHOOSE($G$3,AC169-AD169,AD169-AC169)</f>
        <v>0</v>
      </c>
      <c r="AM169" s="132" t="n">
        <f aca="false">CHOOSE($G$3,AF169-AG169,AG169-AF169)</f>
        <v>0</v>
      </c>
      <c r="AN169" s="132" t="n">
        <f aca="false">CHOOSE($G$3,AI169-AJ169,AJ169-AI169)</f>
        <v>0</v>
      </c>
      <c r="AO169" s="148" t="n">
        <f aca="false">SUM(AL169:AN169)</f>
        <v>0</v>
      </c>
      <c r="AQ169" s="132" t="n">
        <f aca="false">CHOOSE($G$3,AB169-AC169,AC169-AB169)</f>
        <v>0</v>
      </c>
      <c r="AR169" s="132" t="n">
        <f aca="false">CHOOSE($G$3,AE169-AF169,AF169-AE169)</f>
        <v>0</v>
      </c>
      <c r="AS169" s="132" t="n">
        <f aca="false">CHOOSE($G$3,AH169-AI169,AI169-AH169)</f>
        <v>0</v>
      </c>
      <c r="AT169" s="148" t="n">
        <f aca="false">AQ169+AR169+AS169</f>
        <v>0</v>
      </c>
      <c r="AU169" s="148"/>
      <c r="AV169" s="133" t="n">
        <f aca="false">AT169+AO169</f>
        <v>0</v>
      </c>
      <c r="AX169" s="133" t="n">
        <f aca="false">AJ169+AG169+AD169</f>
        <v>0</v>
      </c>
      <c r="AY169" s="149"/>
      <c r="AZ169" s="76" t="n">
        <f aca="false">R169*E169</f>
        <v>0</v>
      </c>
    </row>
    <row r="170" customFormat="false" ht="12" hidden="false" customHeight="true" outlineLevel="0" collapsed="false">
      <c r="A170" s="138" t="n">
        <f aca="false">EDATE(A169,1)</f>
        <v>41852</v>
      </c>
      <c r="B170" s="139" t="n">
        <f aca="false">VLOOKUP($A170,Table2,MATCH(I$3,Curves2,0))</f>
        <v>0</v>
      </c>
      <c r="C170" s="140"/>
      <c r="D170" s="141" t="n">
        <f aca="false">B170+C170</f>
        <v>0</v>
      </c>
      <c r="E170" s="126" t="n">
        <f aca="false">IF(Y170=0,0,IF(AND(Y170=1,$H$3=1),D170*T170,IF($H$3=2,D170,"N/A")))</f>
        <v>0</v>
      </c>
      <c r="F170" s="126" t="n">
        <f aca="false">E170*X170</f>
        <v>0</v>
      </c>
      <c r="G170" s="142" t="n">
        <f aca="false">VLOOKUP($A170,Table,MATCH(G$4,Curves,0))</f>
        <v>3.987</v>
      </c>
      <c r="H170" s="143" t="n">
        <f aca="false">G170</f>
        <v>3.987</v>
      </c>
      <c r="I170" s="142" t="n">
        <f aca="false">VLOOKUP($A170,Table1,MATCH(I$3,Curves1,0))</f>
        <v>0</v>
      </c>
      <c r="J170" s="142" t="n">
        <f aca="false">VLOOKUP($A170,Table,MATCH(J$4,Curves,0))</f>
        <v>-0.0235</v>
      </c>
      <c r="K170" s="143" t="n">
        <f aca="false">J170</f>
        <v>-0.0235</v>
      </c>
      <c r="L170" s="144" t="n">
        <v>0</v>
      </c>
      <c r="M170" s="142" t="n">
        <f aca="false">VLOOKUP($A170,Table,MATCH(M$4,Curves,0))</f>
        <v>0.0075</v>
      </c>
      <c r="N170" s="143" t="n">
        <f aca="false">M170</f>
        <v>0.0075</v>
      </c>
      <c r="O170" s="144" t="n">
        <v>0</v>
      </c>
      <c r="P170" s="145"/>
      <c r="Q170" s="144" t="n">
        <f aca="false">M170+J170+G170</f>
        <v>3.971</v>
      </c>
      <c r="R170" s="144" t="n">
        <f aca="false">O170+L170+I170</f>
        <v>0</v>
      </c>
      <c r="S170" s="145"/>
      <c r="T170" s="71" t="n">
        <f aca="false">A171-A170</f>
        <v>31</v>
      </c>
      <c r="U170" s="146" t="n">
        <f aca="false">CHOOSE(F$3,A171+24,A170)</f>
        <v>41907</v>
      </c>
      <c r="V170" s="71" t="n">
        <f aca="false">U170-C$3</f>
        <v>5019</v>
      </c>
      <c r="W170" s="142" t="n">
        <f aca="false">VLOOKUP($A170,Table,MATCH(W$4,Curves,0))</f>
        <v>0.058966861357273</v>
      </c>
      <c r="X170" s="147" t="n">
        <f aca="false">1/(1+CHOOSE(F$3,(W171+($K$3/10000))/2,(W170+($K$3/10000))/2))^(2*V170/365.25)</f>
        <v>0.449974418798015</v>
      </c>
      <c r="Y170" s="71" t="n">
        <f aca="false">IF(AND(mthbeg&lt;=A170,mthend&gt;=A170),1,0)</f>
        <v>0</v>
      </c>
      <c r="Z170" s="71" t="n">
        <f aca="false">T170*Y170</f>
        <v>0</v>
      </c>
      <c r="AB170" s="132" t="n">
        <f aca="false">F170*G170</f>
        <v>0</v>
      </c>
      <c r="AC170" s="132" t="n">
        <f aca="false">$F170*H170</f>
        <v>0</v>
      </c>
      <c r="AD170" s="132" t="n">
        <f aca="false">$F170*I170</f>
        <v>0</v>
      </c>
      <c r="AE170" s="132" t="n">
        <f aca="false">$F170*J170</f>
        <v>-0</v>
      </c>
      <c r="AF170" s="132" t="n">
        <f aca="false">$F170*K170</f>
        <v>-0</v>
      </c>
      <c r="AG170" s="132" t="n">
        <f aca="false">$F170*L170</f>
        <v>0</v>
      </c>
      <c r="AH170" s="132" t="n">
        <f aca="false">$F170*M170</f>
        <v>0</v>
      </c>
      <c r="AI170" s="132" t="n">
        <f aca="false">$F170*N170</f>
        <v>0</v>
      </c>
      <c r="AJ170" s="132" t="n">
        <f aca="false">F170*O170</f>
        <v>0</v>
      </c>
      <c r="AK170" s="137"/>
      <c r="AL170" s="132" t="n">
        <f aca="false">CHOOSE($G$3,AC170-AD170,AD170-AC170)</f>
        <v>0</v>
      </c>
      <c r="AM170" s="132" t="n">
        <f aca="false">CHOOSE($G$3,AF170-AG170,AG170-AF170)</f>
        <v>0</v>
      </c>
      <c r="AN170" s="132" t="n">
        <f aca="false">CHOOSE($G$3,AI170-AJ170,AJ170-AI170)</f>
        <v>0</v>
      </c>
      <c r="AO170" s="148" t="n">
        <f aca="false">SUM(AL170:AN170)</f>
        <v>0</v>
      </c>
      <c r="AQ170" s="132" t="n">
        <f aca="false">CHOOSE($G$3,AB170-AC170,AC170-AB170)</f>
        <v>0</v>
      </c>
      <c r="AR170" s="132" t="n">
        <f aca="false">CHOOSE($G$3,AE170-AF170,AF170-AE170)</f>
        <v>0</v>
      </c>
      <c r="AS170" s="132" t="n">
        <f aca="false">CHOOSE($G$3,AH170-AI170,AI170-AH170)</f>
        <v>0</v>
      </c>
      <c r="AT170" s="148" t="n">
        <f aca="false">AQ170+AR170+AS170</f>
        <v>0</v>
      </c>
      <c r="AU170" s="148"/>
      <c r="AV170" s="133" t="n">
        <f aca="false">AT170+AO170</f>
        <v>0</v>
      </c>
      <c r="AX170" s="133" t="n">
        <f aca="false">AJ170+AG170+AD170</f>
        <v>0</v>
      </c>
      <c r="AY170" s="149"/>
      <c r="AZ170" s="76" t="n">
        <f aca="false">R170*E170</f>
        <v>0</v>
      </c>
    </row>
    <row r="171" customFormat="false" ht="12" hidden="false" customHeight="true" outlineLevel="0" collapsed="false">
      <c r="A171" s="138" t="n">
        <f aca="false">EDATE(A170,1)</f>
        <v>41883</v>
      </c>
      <c r="B171" s="139" t="n">
        <f aca="false">VLOOKUP($A171,Table2,MATCH(I$3,Curves2,0))</f>
        <v>0</v>
      </c>
      <c r="C171" s="140"/>
      <c r="D171" s="141" t="n">
        <f aca="false">B171+C171</f>
        <v>0</v>
      </c>
      <c r="E171" s="126" t="n">
        <f aca="false">IF(Y171=0,0,IF(AND(Y171=1,$H$3=1),D171*T171,IF($H$3=2,D171,"N/A")))</f>
        <v>0</v>
      </c>
      <c r="F171" s="126" t="n">
        <f aca="false">E171*X171</f>
        <v>0</v>
      </c>
      <c r="G171" s="142" t="n">
        <f aca="false">VLOOKUP($A171,Table,MATCH(G$4,Curves,0))</f>
        <v>3.987</v>
      </c>
      <c r="H171" s="143" t="n">
        <f aca="false">G171</f>
        <v>3.987</v>
      </c>
      <c r="I171" s="142" t="n">
        <f aca="false">VLOOKUP($A171,Table1,MATCH(I$3,Curves1,0))</f>
        <v>0</v>
      </c>
      <c r="J171" s="142" t="n">
        <f aca="false">VLOOKUP($A171,Table,MATCH(J$4,Curves,0))</f>
        <v>-0.0235</v>
      </c>
      <c r="K171" s="143" t="n">
        <f aca="false">J171</f>
        <v>-0.0235</v>
      </c>
      <c r="L171" s="144" t="n">
        <v>0</v>
      </c>
      <c r="M171" s="142" t="n">
        <f aca="false">VLOOKUP($A171,Table,MATCH(M$4,Curves,0))</f>
        <v>0.0075</v>
      </c>
      <c r="N171" s="143" t="n">
        <f aca="false">M171</f>
        <v>0.0075</v>
      </c>
      <c r="O171" s="144" t="n">
        <v>0</v>
      </c>
      <c r="P171" s="145"/>
      <c r="Q171" s="144" t="n">
        <f aca="false">M171+J171+G171</f>
        <v>3.971</v>
      </c>
      <c r="R171" s="144" t="n">
        <f aca="false">O171+L171+I171</f>
        <v>0</v>
      </c>
      <c r="S171" s="145"/>
      <c r="T171" s="71" t="n">
        <f aca="false">A172-A171</f>
        <v>30</v>
      </c>
      <c r="U171" s="146" t="n">
        <f aca="false">CHOOSE(F$3,A172+24,A171)</f>
        <v>41937</v>
      </c>
      <c r="V171" s="71" t="n">
        <f aca="false">U171-C$3</f>
        <v>5049</v>
      </c>
      <c r="W171" s="142" t="n">
        <f aca="false">VLOOKUP($A171,Table,MATCH(W$4,Curves,0))</f>
        <v>0.058966861357273</v>
      </c>
      <c r="X171" s="147" t="n">
        <f aca="false">1/(1+CHOOSE(F$3,(W172+($K$3/10000))/2,(W171+($K$3/10000))/2))^(2*V171/365.25)</f>
        <v>0.44783169682872</v>
      </c>
      <c r="Y171" s="71" t="n">
        <f aca="false">IF(AND(mthbeg&lt;=A171,mthend&gt;=A171),1,0)</f>
        <v>0</v>
      </c>
      <c r="Z171" s="71" t="n">
        <f aca="false">T171*Y171</f>
        <v>0</v>
      </c>
      <c r="AB171" s="132" t="n">
        <f aca="false">F171*G171</f>
        <v>0</v>
      </c>
      <c r="AC171" s="132" t="n">
        <f aca="false">$F171*H171</f>
        <v>0</v>
      </c>
      <c r="AD171" s="132" t="n">
        <f aca="false">$F171*I171</f>
        <v>0</v>
      </c>
      <c r="AE171" s="132" t="n">
        <f aca="false">$F171*J171</f>
        <v>-0</v>
      </c>
      <c r="AF171" s="132" t="n">
        <f aca="false">$F171*K171</f>
        <v>-0</v>
      </c>
      <c r="AG171" s="132" t="n">
        <f aca="false">$F171*L171</f>
        <v>0</v>
      </c>
      <c r="AH171" s="132" t="n">
        <f aca="false">$F171*M171</f>
        <v>0</v>
      </c>
      <c r="AI171" s="132" t="n">
        <f aca="false">$F171*N171</f>
        <v>0</v>
      </c>
      <c r="AJ171" s="132" t="n">
        <f aca="false">F171*O171</f>
        <v>0</v>
      </c>
      <c r="AK171" s="137"/>
      <c r="AL171" s="132" t="n">
        <f aca="false">CHOOSE($G$3,AC171-AD171,AD171-AC171)</f>
        <v>0</v>
      </c>
      <c r="AM171" s="132" t="n">
        <f aca="false">CHOOSE($G$3,AF171-AG171,AG171-AF171)</f>
        <v>0</v>
      </c>
      <c r="AN171" s="132" t="n">
        <f aca="false">CHOOSE($G$3,AI171-AJ171,AJ171-AI171)</f>
        <v>0</v>
      </c>
      <c r="AO171" s="148" t="n">
        <f aca="false">SUM(AL171:AN171)</f>
        <v>0</v>
      </c>
      <c r="AQ171" s="132" t="n">
        <f aca="false">CHOOSE($G$3,AB171-AC171,AC171-AB171)</f>
        <v>0</v>
      </c>
      <c r="AR171" s="132" t="n">
        <f aca="false">CHOOSE($G$3,AE171-AF171,AF171-AE171)</f>
        <v>0</v>
      </c>
      <c r="AS171" s="132" t="n">
        <f aca="false">CHOOSE($G$3,AH171-AI171,AI171-AH171)</f>
        <v>0</v>
      </c>
      <c r="AT171" s="148" t="n">
        <f aca="false">AQ171+AR171+AS171</f>
        <v>0</v>
      </c>
      <c r="AU171" s="148"/>
      <c r="AV171" s="133" t="n">
        <f aca="false">AT171+AO171</f>
        <v>0</v>
      </c>
      <c r="AX171" s="133" t="n">
        <f aca="false">AJ171+AG171+AD171</f>
        <v>0</v>
      </c>
      <c r="AY171" s="149"/>
      <c r="AZ171" s="76" t="n">
        <f aca="false">R171*E171</f>
        <v>0</v>
      </c>
    </row>
    <row r="172" customFormat="false" ht="12" hidden="false" customHeight="true" outlineLevel="0" collapsed="false">
      <c r="A172" s="138" t="n">
        <f aca="false">EDATE(A171,1)</f>
        <v>41913</v>
      </c>
      <c r="B172" s="139" t="n">
        <f aca="false">VLOOKUP($A172,Table2,MATCH(I$3,Curves2,0))</f>
        <v>0</v>
      </c>
      <c r="C172" s="140"/>
      <c r="D172" s="141" t="n">
        <f aca="false">B172+C172</f>
        <v>0</v>
      </c>
      <c r="E172" s="126" t="n">
        <f aca="false">IF(Y172=0,0,IF(AND(Y172=1,$H$3=1),D172*T172,IF($H$3=2,D172,"N/A")))</f>
        <v>0</v>
      </c>
      <c r="F172" s="126" t="n">
        <f aca="false">E172*X172</f>
        <v>0</v>
      </c>
      <c r="G172" s="142" t="n">
        <f aca="false">VLOOKUP($A172,Table,MATCH(G$4,Curves,0))</f>
        <v>3.987</v>
      </c>
      <c r="H172" s="143" t="n">
        <f aca="false">G172</f>
        <v>3.987</v>
      </c>
      <c r="I172" s="142" t="n">
        <f aca="false">VLOOKUP($A172,Table1,MATCH(I$3,Curves1,0))</f>
        <v>0</v>
      </c>
      <c r="J172" s="142" t="n">
        <f aca="false">VLOOKUP($A172,Table,MATCH(J$4,Curves,0))</f>
        <v>-0.0235</v>
      </c>
      <c r="K172" s="143" t="n">
        <f aca="false">J172</f>
        <v>-0.0235</v>
      </c>
      <c r="L172" s="144" t="n">
        <v>0</v>
      </c>
      <c r="M172" s="142" t="n">
        <f aca="false">VLOOKUP($A172,Table,MATCH(M$4,Curves,0))</f>
        <v>0.0075</v>
      </c>
      <c r="N172" s="143" t="n">
        <f aca="false">M172</f>
        <v>0.0075</v>
      </c>
      <c r="O172" s="144" t="n">
        <v>0</v>
      </c>
      <c r="P172" s="145"/>
      <c r="Q172" s="144" t="n">
        <f aca="false">M172+J172+G172</f>
        <v>3.971</v>
      </c>
      <c r="R172" s="144" t="n">
        <f aca="false">O172+L172+I172</f>
        <v>0</v>
      </c>
      <c r="S172" s="145"/>
      <c r="T172" s="71" t="n">
        <f aca="false">A173-A172</f>
        <v>31</v>
      </c>
      <c r="U172" s="146" t="n">
        <f aca="false">CHOOSE(F$3,A173+24,A172)</f>
        <v>41968</v>
      </c>
      <c r="V172" s="71" t="n">
        <f aca="false">U172-C$3</f>
        <v>5080</v>
      </c>
      <c r="W172" s="142" t="n">
        <f aca="false">VLOOKUP($A172,Table,MATCH(W$4,Curves,0))</f>
        <v>0.058966861357273</v>
      </c>
      <c r="X172" s="147" t="n">
        <f aca="false">1/(1+CHOOSE(F$3,(W173+($K$3/10000))/2,(W172+($K$3/10000))/2))^(2*V172/365.25)</f>
        <v>0.445628269437574</v>
      </c>
      <c r="Y172" s="71" t="n">
        <f aca="false">IF(AND(mthbeg&lt;=A172,mthend&gt;=A172),1,0)</f>
        <v>0</v>
      </c>
      <c r="Z172" s="71" t="n">
        <f aca="false">T172*Y172</f>
        <v>0</v>
      </c>
      <c r="AB172" s="132" t="n">
        <f aca="false">F172*G172</f>
        <v>0</v>
      </c>
      <c r="AC172" s="132" t="n">
        <f aca="false">$F172*H172</f>
        <v>0</v>
      </c>
      <c r="AD172" s="132" t="n">
        <f aca="false">$F172*I172</f>
        <v>0</v>
      </c>
      <c r="AE172" s="132" t="n">
        <f aca="false">$F172*J172</f>
        <v>-0</v>
      </c>
      <c r="AF172" s="132" t="n">
        <f aca="false">$F172*K172</f>
        <v>-0</v>
      </c>
      <c r="AG172" s="132" t="n">
        <f aca="false">$F172*L172</f>
        <v>0</v>
      </c>
      <c r="AH172" s="132" t="n">
        <f aca="false">$F172*M172</f>
        <v>0</v>
      </c>
      <c r="AI172" s="132" t="n">
        <f aca="false">$F172*N172</f>
        <v>0</v>
      </c>
      <c r="AJ172" s="132" t="n">
        <f aca="false">F172*O172</f>
        <v>0</v>
      </c>
      <c r="AK172" s="137"/>
      <c r="AL172" s="132" t="n">
        <f aca="false">CHOOSE($G$3,AC172-AD172,AD172-AC172)</f>
        <v>0</v>
      </c>
      <c r="AM172" s="132" t="n">
        <f aca="false">CHOOSE($G$3,AF172-AG172,AG172-AF172)</f>
        <v>0</v>
      </c>
      <c r="AN172" s="132" t="n">
        <f aca="false">CHOOSE($G$3,AI172-AJ172,AJ172-AI172)</f>
        <v>0</v>
      </c>
      <c r="AO172" s="148" t="n">
        <f aca="false">SUM(AL172:AN172)</f>
        <v>0</v>
      </c>
      <c r="AQ172" s="132" t="n">
        <f aca="false">CHOOSE($G$3,AB172-AC172,AC172-AB172)</f>
        <v>0</v>
      </c>
      <c r="AR172" s="132" t="n">
        <f aca="false">CHOOSE($G$3,AE172-AF172,AF172-AE172)</f>
        <v>0</v>
      </c>
      <c r="AS172" s="132" t="n">
        <f aca="false">CHOOSE($G$3,AH172-AI172,AI172-AH172)</f>
        <v>0</v>
      </c>
      <c r="AT172" s="148" t="n">
        <f aca="false">AQ172+AR172+AS172</f>
        <v>0</v>
      </c>
      <c r="AU172" s="148"/>
      <c r="AV172" s="133" t="n">
        <f aca="false">AT172+AO172</f>
        <v>0</v>
      </c>
      <c r="AX172" s="133" t="n">
        <f aca="false">AJ172+AG172+AD172</f>
        <v>0</v>
      </c>
      <c r="AY172" s="149"/>
      <c r="AZ172" s="76" t="n">
        <f aca="false">R172*E172</f>
        <v>0</v>
      </c>
    </row>
    <row r="173" customFormat="false" ht="12" hidden="false" customHeight="true" outlineLevel="0" collapsed="false">
      <c r="A173" s="138" t="n">
        <f aca="false">EDATE(A172,1)</f>
        <v>41944</v>
      </c>
      <c r="B173" s="139" t="n">
        <f aca="false">VLOOKUP($A173,Table2,MATCH(I$3,Curves2,0))</f>
        <v>0</v>
      </c>
      <c r="C173" s="140"/>
      <c r="D173" s="141" t="n">
        <f aca="false">B173+C173</f>
        <v>0</v>
      </c>
      <c r="E173" s="126" t="n">
        <f aca="false">IF(Y173=0,0,IF(AND(Y173=1,$H$3=1),D173*T173,IF($H$3=2,D173,"N/A")))</f>
        <v>0</v>
      </c>
      <c r="F173" s="126" t="n">
        <f aca="false">E173*X173</f>
        <v>0</v>
      </c>
      <c r="G173" s="142" t="n">
        <f aca="false">VLOOKUP($A173,Table,MATCH(G$4,Curves,0))</f>
        <v>3.987</v>
      </c>
      <c r="H173" s="143" t="n">
        <f aca="false">G173</f>
        <v>3.987</v>
      </c>
      <c r="I173" s="142" t="n">
        <f aca="false">VLOOKUP($A173,Table1,MATCH(I$3,Curves1,0))</f>
        <v>0</v>
      </c>
      <c r="J173" s="142" t="n">
        <f aca="false">VLOOKUP($A173,Table,MATCH(J$4,Curves,0))</f>
        <v>-0.0235</v>
      </c>
      <c r="K173" s="143" t="n">
        <f aca="false">J173</f>
        <v>-0.0235</v>
      </c>
      <c r="L173" s="144" t="n">
        <v>0</v>
      </c>
      <c r="M173" s="142" t="n">
        <f aca="false">VLOOKUP($A173,Table,MATCH(M$4,Curves,0))</f>
        <v>0.0075</v>
      </c>
      <c r="N173" s="143" t="n">
        <f aca="false">M173</f>
        <v>0.0075</v>
      </c>
      <c r="O173" s="144" t="n">
        <v>0</v>
      </c>
      <c r="P173" s="145"/>
      <c r="Q173" s="144" t="n">
        <f aca="false">M173+J173+G173</f>
        <v>3.971</v>
      </c>
      <c r="R173" s="144" t="n">
        <f aca="false">O173+L173+I173</f>
        <v>0</v>
      </c>
      <c r="S173" s="145"/>
      <c r="T173" s="71" t="n">
        <f aca="false">A174-A173</f>
        <v>30</v>
      </c>
      <c r="U173" s="146" t="n">
        <f aca="false">CHOOSE(F$3,A174+24,A173)</f>
        <v>41998</v>
      </c>
      <c r="V173" s="71" t="n">
        <f aca="false">U173-C$3</f>
        <v>5110</v>
      </c>
      <c r="W173" s="142" t="n">
        <f aca="false">VLOOKUP($A173,Table,MATCH(W$4,Curves,0))</f>
        <v>0.058966861357273</v>
      </c>
      <c r="X173" s="147" t="n">
        <f aca="false">1/(1+CHOOSE(F$3,(W174+($K$3/10000))/2,(W173+($K$3/10000))/2))^(2*V173/365.25)</f>
        <v>0.443506243288591</v>
      </c>
      <c r="Y173" s="71" t="n">
        <f aca="false">IF(AND(mthbeg&lt;=A173,mthend&gt;=A173),1,0)</f>
        <v>0</v>
      </c>
      <c r="Z173" s="71" t="n">
        <f aca="false">T173*Y173</f>
        <v>0</v>
      </c>
      <c r="AB173" s="132" t="n">
        <f aca="false">F173*G173</f>
        <v>0</v>
      </c>
      <c r="AC173" s="132" t="n">
        <f aca="false">$F173*H173</f>
        <v>0</v>
      </c>
      <c r="AD173" s="132" t="n">
        <f aca="false">$F173*I173</f>
        <v>0</v>
      </c>
      <c r="AE173" s="132" t="n">
        <f aca="false">$F173*J173</f>
        <v>-0</v>
      </c>
      <c r="AF173" s="132" t="n">
        <f aca="false">$F173*K173</f>
        <v>-0</v>
      </c>
      <c r="AG173" s="132" t="n">
        <f aca="false">$F173*L173</f>
        <v>0</v>
      </c>
      <c r="AH173" s="132" t="n">
        <f aca="false">$F173*M173</f>
        <v>0</v>
      </c>
      <c r="AI173" s="132" t="n">
        <f aca="false">$F173*N173</f>
        <v>0</v>
      </c>
      <c r="AJ173" s="132" t="n">
        <f aca="false">F173*O173</f>
        <v>0</v>
      </c>
      <c r="AK173" s="137"/>
      <c r="AL173" s="132" t="n">
        <f aca="false">CHOOSE($G$3,AC173-AD173,AD173-AC173)</f>
        <v>0</v>
      </c>
      <c r="AM173" s="132" t="n">
        <f aca="false">CHOOSE($G$3,AF173-AG173,AG173-AF173)</f>
        <v>0</v>
      </c>
      <c r="AN173" s="132" t="n">
        <f aca="false">CHOOSE($G$3,AI173-AJ173,AJ173-AI173)</f>
        <v>0</v>
      </c>
      <c r="AO173" s="148" t="n">
        <f aca="false">SUM(AL173:AN173)</f>
        <v>0</v>
      </c>
      <c r="AQ173" s="132" t="n">
        <f aca="false">CHOOSE($G$3,AB173-AC173,AC173-AB173)</f>
        <v>0</v>
      </c>
      <c r="AR173" s="132" t="n">
        <f aca="false">CHOOSE($G$3,AE173-AF173,AF173-AE173)</f>
        <v>0</v>
      </c>
      <c r="AS173" s="132" t="n">
        <f aca="false">CHOOSE($G$3,AH173-AI173,AI173-AH173)</f>
        <v>0</v>
      </c>
      <c r="AT173" s="148" t="n">
        <f aca="false">AQ173+AR173+AS173</f>
        <v>0</v>
      </c>
      <c r="AU173" s="148"/>
      <c r="AV173" s="133" t="n">
        <f aca="false">AT173+AO173</f>
        <v>0</v>
      </c>
      <c r="AX173" s="133" t="n">
        <f aca="false">AJ173+AG173+AD173</f>
        <v>0</v>
      </c>
      <c r="AY173" s="149"/>
      <c r="AZ173" s="76" t="n">
        <f aca="false">R173*E173</f>
        <v>0</v>
      </c>
    </row>
    <row r="174" customFormat="false" ht="12" hidden="false" customHeight="true" outlineLevel="0" collapsed="false">
      <c r="A174" s="138" t="n">
        <f aca="false">EDATE(A173,1)</f>
        <v>41974</v>
      </c>
      <c r="B174" s="139" t="n">
        <f aca="false">VLOOKUP($A174,Table2,MATCH(I$3,Curves2,0))</f>
        <v>0</v>
      </c>
      <c r="C174" s="140"/>
      <c r="D174" s="141" t="n">
        <f aca="false">B174+C174</f>
        <v>0</v>
      </c>
      <c r="E174" s="126" t="n">
        <f aca="false">IF(Y174=0,0,IF(AND(Y174=1,$H$3=1),D174*T174,IF($H$3=2,D174,"N/A")))</f>
        <v>0</v>
      </c>
      <c r="F174" s="126" t="n">
        <f aca="false">E174*X174</f>
        <v>0</v>
      </c>
      <c r="G174" s="142" t="n">
        <f aca="false">VLOOKUP($A174,Table,MATCH(G$4,Curves,0))</f>
        <v>3.987</v>
      </c>
      <c r="H174" s="143" t="n">
        <f aca="false">G174</f>
        <v>3.987</v>
      </c>
      <c r="I174" s="142" t="n">
        <f aca="false">VLOOKUP($A174,Table1,MATCH(I$3,Curves1,0))</f>
        <v>0</v>
      </c>
      <c r="J174" s="142" t="n">
        <f aca="false">VLOOKUP($A174,Table,MATCH(J$4,Curves,0))</f>
        <v>-0.0235</v>
      </c>
      <c r="K174" s="143" t="n">
        <f aca="false">J174</f>
        <v>-0.0235</v>
      </c>
      <c r="L174" s="144" t="n">
        <v>0</v>
      </c>
      <c r="M174" s="142" t="n">
        <f aca="false">VLOOKUP($A174,Table,MATCH(M$4,Curves,0))</f>
        <v>0.0075</v>
      </c>
      <c r="N174" s="143" t="n">
        <f aca="false">M174</f>
        <v>0.0075</v>
      </c>
      <c r="O174" s="144" t="n">
        <v>0</v>
      </c>
      <c r="P174" s="145"/>
      <c r="Q174" s="144" t="n">
        <f aca="false">M174+J174+G174</f>
        <v>3.971</v>
      </c>
      <c r="R174" s="144" t="n">
        <f aca="false">O174+L174+I174</f>
        <v>0</v>
      </c>
      <c r="S174" s="145"/>
      <c r="T174" s="71" t="n">
        <f aca="false">A175-A174</f>
        <v>31</v>
      </c>
      <c r="U174" s="146" t="n">
        <f aca="false">CHOOSE(F$3,A175+24,A174)</f>
        <v>42029</v>
      </c>
      <c r="V174" s="71" t="n">
        <f aca="false">U174-C$3</f>
        <v>5141</v>
      </c>
      <c r="W174" s="142" t="n">
        <f aca="false">VLOOKUP($A174,Table,MATCH(W$4,Curves,0))</f>
        <v>0.058966861357273</v>
      </c>
      <c r="X174" s="147" t="n">
        <f aca="false">1/(1+CHOOSE(F$3,(W175+($K$3/10000))/2,(W174+($K$3/10000))/2))^(2*V174/365.25)</f>
        <v>0.441324098050712</v>
      </c>
      <c r="Y174" s="71" t="n">
        <f aca="false">IF(AND(mthbeg&lt;=A174,mthend&gt;=A174),1,0)</f>
        <v>0</v>
      </c>
      <c r="Z174" s="71" t="n">
        <f aca="false">T174*Y174</f>
        <v>0</v>
      </c>
      <c r="AB174" s="132" t="n">
        <f aca="false">F174*G174</f>
        <v>0</v>
      </c>
      <c r="AC174" s="132" t="n">
        <f aca="false">$F174*H174</f>
        <v>0</v>
      </c>
      <c r="AD174" s="132" t="n">
        <f aca="false">$F174*I174</f>
        <v>0</v>
      </c>
      <c r="AE174" s="132" t="n">
        <f aca="false">$F174*J174</f>
        <v>-0</v>
      </c>
      <c r="AF174" s="132" t="n">
        <f aca="false">$F174*K174</f>
        <v>-0</v>
      </c>
      <c r="AG174" s="132" t="n">
        <f aca="false">$F174*L174</f>
        <v>0</v>
      </c>
      <c r="AH174" s="132" t="n">
        <f aca="false">$F174*M174</f>
        <v>0</v>
      </c>
      <c r="AI174" s="132" t="n">
        <f aca="false">$F174*N174</f>
        <v>0</v>
      </c>
      <c r="AJ174" s="132" t="n">
        <f aca="false">F174*O174</f>
        <v>0</v>
      </c>
      <c r="AK174" s="137"/>
      <c r="AL174" s="132" t="n">
        <f aca="false">CHOOSE($G$3,AC174-AD174,AD174-AC174)</f>
        <v>0</v>
      </c>
      <c r="AM174" s="132" t="n">
        <f aca="false">CHOOSE($G$3,AF174-AG174,AG174-AF174)</f>
        <v>0</v>
      </c>
      <c r="AN174" s="132" t="n">
        <f aca="false">CHOOSE($G$3,AI174-AJ174,AJ174-AI174)</f>
        <v>0</v>
      </c>
      <c r="AO174" s="148" t="n">
        <f aca="false">SUM(AL174:AN174)</f>
        <v>0</v>
      </c>
      <c r="AQ174" s="132" t="n">
        <f aca="false">CHOOSE($G$3,AB174-AC174,AC174-AB174)</f>
        <v>0</v>
      </c>
      <c r="AR174" s="132" t="n">
        <f aca="false">CHOOSE($G$3,AE174-AF174,AF174-AE174)</f>
        <v>0</v>
      </c>
      <c r="AS174" s="132" t="n">
        <f aca="false">CHOOSE($G$3,AH174-AI174,AI174-AH174)</f>
        <v>0</v>
      </c>
      <c r="AT174" s="148" t="n">
        <f aca="false">AQ174+AR174+AS174</f>
        <v>0</v>
      </c>
      <c r="AU174" s="148"/>
      <c r="AV174" s="133" t="n">
        <f aca="false">AT174+AO174</f>
        <v>0</v>
      </c>
      <c r="AX174" s="133" t="n">
        <f aca="false">AJ174+AG174+AD174</f>
        <v>0</v>
      </c>
      <c r="AY174" s="149"/>
      <c r="AZ174" s="76" t="n">
        <f aca="false">R174*E174</f>
        <v>0</v>
      </c>
    </row>
    <row r="175" customFormat="false" ht="12" hidden="false" customHeight="true" outlineLevel="0" collapsed="false">
      <c r="A175" s="138" t="n">
        <f aca="false">EDATE(A174,1)</f>
        <v>42005</v>
      </c>
      <c r="B175" s="139" t="n">
        <f aca="false">VLOOKUP($A175,Table2,MATCH(I$3,Curves2,0))</f>
        <v>0</v>
      </c>
      <c r="C175" s="140"/>
      <c r="D175" s="141" t="n">
        <f aca="false">B175+C175</f>
        <v>0</v>
      </c>
      <c r="E175" s="126" t="n">
        <f aca="false">IF(Y175=0,0,IF(AND(Y175=1,$H$3=1),D175*T175,IF($H$3=2,D175,"N/A")))</f>
        <v>0</v>
      </c>
      <c r="F175" s="126" t="n">
        <f aca="false">E175*X175</f>
        <v>0</v>
      </c>
      <c r="G175" s="142" t="n">
        <f aca="false">VLOOKUP($A175,Table,MATCH(G$4,Curves,0))</f>
        <v>3.987</v>
      </c>
      <c r="H175" s="143" t="n">
        <f aca="false">G175</f>
        <v>3.987</v>
      </c>
      <c r="I175" s="142" t="n">
        <f aca="false">VLOOKUP($A175,Table1,MATCH(I$3,Curves1,0))</f>
        <v>0</v>
      </c>
      <c r="J175" s="142" t="n">
        <f aca="false">VLOOKUP($A175,Table,MATCH(J$4,Curves,0))</f>
        <v>-0.0235</v>
      </c>
      <c r="K175" s="143" t="n">
        <f aca="false">J175</f>
        <v>-0.0235</v>
      </c>
      <c r="L175" s="144" t="n">
        <v>0</v>
      </c>
      <c r="M175" s="142" t="n">
        <f aca="false">VLOOKUP($A175,Table,MATCH(M$4,Curves,0))</f>
        <v>0.0075</v>
      </c>
      <c r="N175" s="143" t="n">
        <f aca="false">M175</f>
        <v>0.0075</v>
      </c>
      <c r="O175" s="144" t="n">
        <v>0</v>
      </c>
      <c r="P175" s="145"/>
      <c r="Q175" s="144" t="n">
        <f aca="false">M175+J175+G175</f>
        <v>3.971</v>
      </c>
      <c r="R175" s="144" t="n">
        <f aca="false">O175+L175+I175</f>
        <v>0</v>
      </c>
      <c r="S175" s="145"/>
      <c r="T175" s="71" t="n">
        <f aca="false">A176-A175</f>
        <v>31</v>
      </c>
      <c r="U175" s="146" t="n">
        <f aca="false">CHOOSE(F$3,A176+24,A175)</f>
        <v>42060</v>
      </c>
      <c r="V175" s="71" t="n">
        <f aca="false">U175-C$3</f>
        <v>5172</v>
      </c>
      <c r="W175" s="142" t="n">
        <f aca="false">VLOOKUP($A175,Table,MATCH(W$4,Curves,0))</f>
        <v>0.058966861357273</v>
      </c>
      <c r="X175" s="147" t="n">
        <f aca="false">1/(1+CHOOSE(F$3,(W176+($K$3/10000))/2,(W175+($K$3/10000))/2))^(2*V175/365.25)</f>
        <v>0.439152689432466</v>
      </c>
      <c r="Y175" s="71" t="n">
        <f aca="false">IF(AND(mthbeg&lt;=A175,mthend&gt;=A175),1,0)</f>
        <v>0</v>
      </c>
      <c r="Z175" s="71" t="n">
        <f aca="false">T175*Y175</f>
        <v>0</v>
      </c>
      <c r="AB175" s="132" t="n">
        <f aca="false">F175*G175</f>
        <v>0</v>
      </c>
      <c r="AC175" s="132" t="n">
        <f aca="false">$F175*H175</f>
        <v>0</v>
      </c>
      <c r="AD175" s="132" t="n">
        <f aca="false">$F175*I175</f>
        <v>0</v>
      </c>
      <c r="AE175" s="132" t="n">
        <f aca="false">$F175*J175</f>
        <v>-0</v>
      </c>
      <c r="AF175" s="132" t="n">
        <f aca="false">$F175*K175</f>
        <v>-0</v>
      </c>
      <c r="AG175" s="132" t="n">
        <f aca="false">$F175*L175</f>
        <v>0</v>
      </c>
      <c r="AH175" s="132" t="n">
        <f aca="false">$F175*M175</f>
        <v>0</v>
      </c>
      <c r="AI175" s="132" t="n">
        <f aca="false">$F175*N175</f>
        <v>0</v>
      </c>
      <c r="AJ175" s="132" t="n">
        <f aca="false">F175*O175</f>
        <v>0</v>
      </c>
      <c r="AK175" s="137"/>
      <c r="AL175" s="132" t="n">
        <f aca="false">CHOOSE($G$3,AC175-AD175,AD175-AC175)</f>
        <v>0</v>
      </c>
      <c r="AM175" s="132" t="n">
        <f aca="false">CHOOSE($G$3,AF175-AG175,AG175-AF175)</f>
        <v>0</v>
      </c>
      <c r="AN175" s="132" t="n">
        <f aca="false">CHOOSE($G$3,AI175-AJ175,AJ175-AI175)</f>
        <v>0</v>
      </c>
      <c r="AO175" s="148" t="n">
        <f aca="false">SUM(AL175:AN175)</f>
        <v>0</v>
      </c>
      <c r="AQ175" s="132" t="n">
        <f aca="false">CHOOSE($G$3,AB175-AC175,AC175-AB175)</f>
        <v>0</v>
      </c>
      <c r="AR175" s="132" t="n">
        <f aca="false">CHOOSE($G$3,AE175-AF175,AF175-AE175)</f>
        <v>0</v>
      </c>
      <c r="AS175" s="132" t="n">
        <f aca="false">CHOOSE($G$3,AH175-AI175,AI175-AH175)</f>
        <v>0</v>
      </c>
      <c r="AT175" s="148" t="n">
        <f aca="false">AQ175+AR175+AS175</f>
        <v>0</v>
      </c>
      <c r="AU175" s="148"/>
      <c r="AV175" s="133" t="n">
        <f aca="false">AT175+AO175</f>
        <v>0</v>
      </c>
      <c r="AX175" s="133" t="n">
        <f aca="false">AJ175+AG175+AD175</f>
        <v>0</v>
      </c>
      <c r="AY175" s="149"/>
      <c r="AZ175" s="76" t="n">
        <f aca="false">R175*E175</f>
        <v>0</v>
      </c>
    </row>
    <row r="176" customFormat="false" ht="12" hidden="false" customHeight="true" outlineLevel="0" collapsed="false">
      <c r="A176" s="138" t="n">
        <f aca="false">EDATE(A175,1)</f>
        <v>42036</v>
      </c>
      <c r="B176" s="139" t="n">
        <f aca="false">VLOOKUP($A176,Table2,MATCH(I$3,Curves2,0))</f>
        <v>0</v>
      </c>
      <c r="C176" s="140"/>
      <c r="D176" s="141" t="n">
        <f aca="false">B176+C176</f>
        <v>0</v>
      </c>
      <c r="E176" s="126" t="n">
        <f aca="false">IF(Y176=0,0,IF(AND(Y176=1,$H$3=1),D176*T176,IF($H$3=2,D176,"N/A")))</f>
        <v>0</v>
      </c>
      <c r="F176" s="126" t="n">
        <f aca="false">E176*X176</f>
        <v>0</v>
      </c>
      <c r="G176" s="142" t="n">
        <f aca="false">VLOOKUP($A176,Table,MATCH(G$4,Curves,0))</f>
        <v>3.987</v>
      </c>
      <c r="H176" s="143" t="n">
        <f aca="false">G176</f>
        <v>3.987</v>
      </c>
      <c r="I176" s="142" t="n">
        <f aca="false">VLOOKUP($A176,Table1,MATCH(I$3,Curves1,0))</f>
        <v>0</v>
      </c>
      <c r="J176" s="142" t="n">
        <f aca="false">VLOOKUP($A176,Table,MATCH(J$4,Curves,0))</f>
        <v>-0.0235</v>
      </c>
      <c r="K176" s="143" t="n">
        <f aca="false">J176</f>
        <v>-0.0235</v>
      </c>
      <c r="L176" s="144" t="n">
        <v>0</v>
      </c>
      <c r="M176" s="142" t="n">
        <f aca="false">VLOOKUP($A176,Table,MATCH(M$4,Curves,0))</f>
        <v>0.0075</v>
      </c>
      <c r="N176" s="143" t="n">
        <f aca="false">M176</f>
        <v>0.0075</v>
      </c>
      <c r="O176" s="144" t="n">
        <v>0</v>
      </c>
      <c r="P176" s="145"/>
      <c r="Q176" s="144" t="n">
        <f aca="false">M176+J176+G176</f>
        <v>3.971</v>
      </c>
      <c r="R176" s="144" t="n">
        <f aca="false">O176+L176+I176</f>
        <v>0</v>
      </c>
      <c r="S176" s="145"/>
      <c r="T176" s="71" t="n">
        <f aca="false">A177-A176</f>
        <v>28</v>
      </c>
      <c r="U176" s="146" t="n">
        <f aca="false">CHOOSE(F$3,A177+24,A176)</f>
        <v>42088</v>
      </c>
      <c r="V176" s="71" t="n">
        <f aca="false">U176-C$3</f>
        <v>5200</v>
      </c>
      <c r="W176" s="142" t="n">
        <f aca="false">VLOOKUP($A176,Table,MATCH(W$4,Curves,0))</f>
        <v>0.058966861357273</v>
      </c>
      <c r="X176" s="147" t="n">
        <f aca="false">1/(1+CHOOSE(F$3,(W177+($K$3/10000))/2,(W176+($K$3/10000))/2))^(2*V176/365.25)</f>
        <v>0.437200601539712</v>
      </c>
      <c r="Y176" s="71" t="n">
        <f aca="false">IF(AND(mthbeg&lt;=A176,mthend&gt;=A176),1,0)</f>
        <v>0</v>
      </c>
      <c r="Z176" s="71" t="n">
        <f aca="false">T176*Y176</f>
        <v>0</v>
      </c>
      <c r="AB176" s="132" t="n">
        <f aca="false">F176*G176</f>
        <v>0</v>
      </c>
      <c r="AC176" s="132" t="n">
        <f aca="false">$F176*H176</f>
        <v>0</v>
      </c>
      <c r="AD176" s="132" t="n">
        <f aca="false">$F176*I176</f>
        <v>0</v>
      </c>
      <c r="AE176" s="132" t="n">
        <f aca="false">$F176*J176</f>
        <v>-0</v>
      </c>
      <c r="AF176" s="132" t="n">
        <f aca="false">$F176*K176</f>
        <v>-0</v>
      </c>
      <c r="AG176" s="132" t="n">
        <f aca="false">$F176*L176</f>
        <v>0</v>
      </c>
      <c r="AH176" s="132" t="n">
        <f aca="false">$F176*M176</f>
        <v>0</v>
      </c>
      <c r="AI176" s="132" t="n">
        <f aca="false">$F176*N176</f>
        <v>0</v>
      </c>
      <c r="AJ176" s="132" t="n">
        <f aca="false">F176*O176</f>
        <v>0</v>
      </c>
      <c r="AK176" s="137"/>
      <c r="AL176" s="132" t="n">
        <f aca="false">CHOOSE($G$3,AC176-AD176,AD176-AC176)</f>
        <v>0</v>
      </c>
      <c r="AM176" s="132" t="n">
        <f aca="false">CHOOSE($G$3,AF176-AG176,AG176-AF176)</f>
        <v>0</v>
      </c>
      <c r="AN176" s="132" t="n">
        <f aca="false">CHOOSE($G$3,AI176-AJ176,AJ176-AI176)</f>
        <v>0</v>
      </c>
      <c r="AO176" s="148" t="n">
        <f aca="false">SUM(AL176:AN176)</f>
        <v>0</v>
      </c>
      <c r="AQ176" s="132" t="n">
        <f aca="false">CHOOSE($G$3,AB176-AC176,AC176-AB176)</f>
        <v>0</v>
      </c>
      <c r="AR176" s="132" t="n">
        <f aca="false">CHOOSE($G$3,AE176-AF176,AF176-AE176)</f>
        <v>0</v>
      </c>
      <c r="AS176" s="132" t="n">
        <f aca="false">CHOOSE($G$3,AH176-AI176,AI176-AH176)</f>
        <v>0</v>
      </c>
      <c r="AT176" s="148" t="n">
        <f aca="false">AQ176+AR176+AS176</f>
        <v>0</v>
      </c>
      <c r="AU176" s="148"/>
      <c r="AV176" s="133" t="n">
        <f aca="false">AT176+AO176</f>
        <v>0</v>
      </c>
      <c r="AX176" s="133" t="n">
        <f aca="false">AJ176+AG176+AD176</f>
        <v>0</v>
      </c>
      <c r="AY176" s="149"/>
      <c r="AZ176" s="76" t="n">
        <f aca="false">R176*E176</f>
        <v>0</v>
      </c>
    </row>
    <row r="177" customFormat="false" ht="12" hidden="false" customHeight="true" outlineLevel="0" collapsed="false">
      <c r="A177" s="138" t="n">
        <f aca="false">EDATE(A176,1)</f>
        <v>42064</v>
      </c>
      <c r="B177" s="139" t="n">
        <f aca="false">VLOOKUP($A177,Table2,MATCH(I$3,Curves2,0))</f>
        <v>0</v>
      </c>
      <c r="C177" s="140"/>
      <c r="D177" s="141" t="n">
        <f aca="false">B177+C177</f>
        <v>0</v>
      </c>
      <c r="E177" s="126" t="n">
        <f aca="false">IF(Y177=0,0,IF(AND(Y177=1,$H$3=1),D177*T177,IF($H$3=2,D177,"N/A")))</f>
        <v>0</v>
      </c>
      <c r="F177" s="126" t="n">
        <f aca="false">E177*X177</f>
        <v>0</v>
      </c>
      <c r="G177" s="142" t="n">
        <f aca="false">VLOOKUP($A177,Table,MATCH(G$4,Curves,0))</f>
        <v>3.987</v>
      </c>
      <c r="H177" s="143" t="n">
        <f aca="false">G177</f>
        <v>3.987</v>
      </c>
      <c r="I177" s="142" t="n">
        <f aca="false">VLOOKUP($A177,Table1,MATCH(I$3,Curves1,0))</f>
        <v>0</v>
      </c>
      <c r="J177" s="142" t="n">
        <f aca="false">VLOOKUP($A177,Table,MATCH(J$4,Curves,0))</f>
        <v>-0.0235</v>
      </c>
      <c r="K177" s="143" t="n">
        <f aca="false">J177</f>
        <v>-0.0235</v>
      </c>
      <c r="L177" s="144" t="n">
        <v>0</v>
      </c>
      <c r="M177" s="142" t="n">
        <f aca="false">VLOOKUP($A177,Table,MATCH(M$4,Curves,0))</f>
        <v>0.0075</v>
      </c>
      <c r="N177" s="143" t="n">
        <f aca="false">M177</f>
        <v>0.0075</v>
      </c>
      <c r="O177" s="144" t="n">
        <v>0</v>
      </c>
      <c r="P177" s="145"/>
      <c r="Q177" s="144" t="n">
        <f aca="false">M177+J177+G177</f>
        <v>3.971</v>
      </c>
      <c r="R177" s="144" t="n">
        <f aca="false">O177+L177+I177</f>
        <v>0</v>
      </c>
      <c r="S177" s="145"/>
      <c r="T177" s="71" t="n">
        <f aca="false">A178-A177</f>
        <v>31</v>
      </c>
      <c r="U177" s="146" t="n">
        <f aca="false">CHOOSE(F$3,A178+24,A177)</f>
        <v>42119</v>
      </c>
      <c r="V177" s="71" t="n">
        <f aca="false">U177-C$3</f>
        <v>5231</v>
      </c>
      <c r="W177" s="142" t="n">
        <f aca="false">VLOOKUP($A177,Table,MATCH(W$4,Curves,0))</f>
        <v>0.058966861357273</v>
      </c>
      <c r="X177" s="147" t="n">
        <f aca="false">1/(1+CHOOSE(F$3,(W178+($K$3/10000))/2,(W177+($K$3/10000))/2))^(2*V177/365.25)</f>
        <v>0.435049481403107</v>
      </c>
      <c r="Y177" s="71" t="n">
        <f aca="false">IF(AND(mthbeg&lt;=A177,mthend&gt;=A177),1,0)</f>
        <v>0</v>
      </c>
      <c r="Z177" s="71" t="n">
        <f aca="false">T177*Y177</f>
        <v>0</v>
      </c>
      <c r="AB177" s="132" t="n">
        <f aca="false">F177*G177</f>
        <v>0</v>
      </c>
      <c r="AC177" s="132" t="n">
        <f aca="false">$F177*H177</f>
        <v>0</v>
      </c>
      <c r="AD177" s="132" t="n">
        <f aca="false">$F177*I177</f>
        <v>0</v>
      </c>
      <c r="AE177" s="132" t="n">
        <f aca="false">$F177*J177</f>
        <v>-0</v>
      </c>
      <c r="AF177" s="132" t="n">
        <f aca="false">$F177*K177</f>
        <v>-0</v>
      </c>
      <c r="AG177" s="132" t="n">
        <f aca="false">$F177*L177</f>
        <v>0</v>
      </c>
      <c r="AH177" s="132" t="n">
        <f aca="false">$F177*M177</f>
        <v>0</v>
      </c>
      <c r="AI177" s="132" t="n">
        <f aca="false">$F177*N177</f>
        <v>0</v>
      </c>
      <c r="AJ177" s="132" t="n">
        <f aca="false">F177*O177</f>
        <v>0</v>
      </c>
      <c r="AK177" s="137"/>
      <c r="AL177" s="132" t="n">
        <f aca="false">CHOOSE($G$3,AC177-AD177,AD177-AC177)</f>
        <v>0</v>
      </c>
      <c r="AM177" s="132" t="n">
        <f aca="false">CHOOSE($G$3,AF177-AG177,AG177-AF177)</f>
        <v>0</v>
      </c>
      <c r="AN177" s="132" t="n">
        <f aca="false">CHOOSE($G$3,AI177-AJ177,AJ177-AI177)</f>
        <v>0</v>
      </c>
      <c r="AO177" s="148" t="n">
        <f aca="false">SUM(AL177:AN177)</f>
        <v>0</v>
      </c>
      <c r="AQ177" s="132" t="n">
        <f aca="false">CHOOSE($G$3,AB177-AC177,AC177-AB177)</f>
        <v>0</v>
      </c>
      <c r="AR177" s="132" t="n">
        <f aca="false">CHOOSE($G$3,AE177-AF177,AF177-AE177)</f>
        <v>0</v>
      </c>
      <c r="AS177" s="132" t="n">
        <f aca="false">CHOOSE($G$3,AH177-AI177,AI177-AH177)</f>
        <v>0</v>
      </c>
      <c r="AT177" s="148" t="n">
        <f aca="false">AQ177+AR177+AS177</f>
        <v>0</v>
      </c>
      <c r="AU177" s="148"/>
      <c r="AV177" s="133" t="n">
        <f aca="false">AT177+AO177</f>
        <v>0</v>
      </c>
      <c r="AX177" s="133" t="n">
        <f aca="false">AJ177+AG177+AD177</f>
        <v>0</v>
      </c>
      <c r="AY177" s="149"/>
      <c r="AZ177" s="76" t="n">
        <f aca="false">R177*E177</f>
        <v>0</v>
      </c>
    </row>
    <row r="178" customFormat="false" ht="12" hidden="false" customHeight="true" outlineLevel="0" collapsed="false">
      <c r="A178" s="138" t="n">
        <f aca="false">EDATE(A177,1)</f>
        <v>42095</v>
      </c>
      <c r="B178" s="139" t="n">
        <f aca="false">VLOOKUP($A178,Table2,MATCH(I$3,Curves2,0))</f>
        <v>0</v>
      </c>
      <c r="C178" s="140"/>
      <c r="D178" s="141" t="n">
        <f aca="false">B178+C178</f>
        <v>0</v>
      </c>
      <c r="E178" s="126" t="n">
        <f aca="false">IF(Y178=0,0,IF(AND(Y178=1,$H$3=1),D178*T178,IF($H$3=2,D178,"N/A")))</f>
        <v>0</v>
      </c>
      <c r="F178" s="126" t="n">
        <f aca="false">E178*X178</f>
        <v>0</v>
      </c>
      <c r="G178" s="142" t="n">
        <f aca="false">VLOOKUP($A178,Table,MATCH(G$4,Curves,0))</f>
        <v>3.987</v>
      </c>
      <c r="H178" s="143" t="n">
        <f aca="false">G178</f>
        <v>3.987</v>
      </c>
      <c r="I178" s="142" t="n">
        <f aca="false">VLOOKUP($A178,Table1,MATCH(I$3,Curves1,0))</f>
        <v>0</v>
      </c>
      <c r="J178" s="142" t="n">
        <f aca="false">VLOOKUP($A178,Table,MATCH(J$4,Curves,0))</f>
        <v>-0.0235</v>
      </c>
      <c r="K178" s="143" t="n">
        <f aca="false">J178</f>
        <v>-0.0235</v>
      </c>
      <c r="L178" s="144" t="n">
        <v>0</v>
      </c>
      <c r="M178" s="142" t="n">
        <f aca="false">VLOOKUP($A178,Table,MATCH(M$4,Curves,0))</f>
        <v>0.0075</v>
      </c>
      <c r="N178" s="143" t="n">
        <f aca="false">M178</f>
        <v>0.0075</v>
      </c>
      <c r="O178" s="144" t="n">
        <v>0</v>
      </c>
      <c r="P178" s="145"/>
      <c r="Q178" s="144" t="n">
        <f aca="false">M178+J178+G178</f>
        <v>3.971</v>
      </c>
      <c r="R178" s="144" t="n">
        <f aca="false">O178+L178+I178</f>
        <v>0</v>
      </c>
      <c r="S178" s="145"/>
      <c r="T178" s="71" t="n">
        <f aca="false">A179-A178</f>
        <v>30</v>
      </c>
      <c r="U178" s="146" t="n">
        <f aca="false">CHOOSE(F$3,A179+24,A178)</f>
        <v>42149</v>
      </c>
      <c r="V178" s="71" t="n">
        <f aca="false">U178-C$3</f>
        <v>5261</v>
      </c>
      <c r="W178" s="142" t="n">
        <f aca="false">VLOOKUP($A178,Table,MATCH(W$4,Curves,0))</f>
        <v>0.058966861357273</v>
      </c>
      <c r="X178" s="147" t="n">
        <f aca="false">1/(1+CHOOSE(F$3,(W179+($K$3/10000))/2,(W178+($K$3/10000))/2))^(2*V178/365.25)</f>
        <v>0.43297783012119</v>
      </c>
      <c r="Y178" s="71" t="n">
        <f aca="false">IF(AND(mthbeg&lt;=A178,mthend&gt;=A178),1,0)</f>
        <v>0</v>
      </c>
      <c r="Z178" s="71" t="n">
        <f aca="false">T178*Y178</f>
        <v>0</v>
      </c>
      <c r="AB178" s="132" t="n">
        <f aca="false">F178*G178</f>
        <v>0</v>
      </c>
      <c r="AC178" s="132" t="n">
        <f aca="false">$F178*H178</f>
        <v>0</v>
      </c>
      <c r="AD178" s="132" t="n">
        <f aca="false">$F178*I178</f>
        <v>0</v>
      </c>
      <c r="AE178" s="132" t="n">
        <f aca="false">$F178*J178</f>
        <v>-0</v>
      </c>
      <c r="AF178" s="132" t="n">
        <f aca="false">$F178*K178</f>
        <v>-0</v>
      </c>
      <c r="AG178" s="132" t="n">
        <f aca="false">$F178*L178</f>
        <v>0</v>
      </c>
      <c r="AH178" s="132" t="n">
        <f aca="false">$F178*M178</f>
        <v>0</v>
      </c>
      <c r="AI178" s="132" t="n">
        <f aca="false">$F178*N178</f>
        <v>0</v>
      </c>
      <c r="AJ178" s="132" t="n">
        <f aca="false">F178*O178</f>
        <v>0</v>
      </c>
      <c r="AK178" s="137"/>
      <c r="AL178" s="132" t="n">
        <f aca="false">CHOOSE($G$3,AC178-AD178,AD178-AC178)</f>
        <v>0</v>
      </c>
      <c r="AM178" s="132" t="n">
        <f aca="false">CHOOSE($G$3,AF178-AG178,AG178-AF178)</f>
        <v>0</v>
      </c>
      <c r="AN178" s="132" t="n">
        <f aca="false">CHOOSE($G$3,AI178-AJ178,AJ178-AI178)</f>
        <v>0</v>
      </c>
      <c r="AO178" s="148" t="n">
        <f aca="false">SUM(AL178:AN178)</f>
        <v>0</v>
      </c>
      <c r="AQ178" s="132" t="n">
        <f aca="false">CHOOSE($G$3,AB178-AC178,AC178-AB178)</f>
        <v>0</v>
      </c>
      <c r="AR178" s="132" t="n">
        <f aca="false">CHOOSE($G$3,AE178-AF178,AF178-AE178)</f>
        <v>0</v>
      </c>
      <c r="AS178" s="132" t="n">
        <f aca="false">CHOOSE($G$3,AH178-AI178,AI178-AH178)</f>
        <v>0</v>
      </c>
      <c r="AT178" s="148" t="n">
        <f aca="false">AQ178+AR178+AS178</f>
        <v>0</v>
      </c>
      <c r="AU178" s="148"/>
      <c r="AV178" s="133" t="n">
        <f aca="false">AT178+AO178</f>
        <v>0</v>
      </c>
      <c r="AX178" s="133" t="n">
        <f aca="false">AJ178+AG178+AD178</f>
        <v>0</v>
      </c>
      <c r="AY178" s="149"/>
      <c r="AZ178" s="76" t="n">
        <f aca="false">R178*E178</f>
        <v>0</v>
      </c>
    </row>
    <row r="179" customFormat="false" ht="12" hidden="false" customHeight="true" outlineLevel="0" collapsed="false">
      <c r="A179" s="138" t="n">
        <f aca="false">EDATE(A178,1)</f>
        <v>42125</v>
      </c>
      <c r="B179" s="139" t="n">
        <f aca="false">VLOOKUP($A179,Table2,MATCH(I$3,Curves2,0))</f>
        <v>0</v>
      </c>
      <c r="C179" s="140"/>
      <c r="D179" s="141" t="n">
        <f aca="false">B179+C179</f>
        <v>0</v>
      </c>
      <c r="E179" s="126" t="n">
        <f aca="false">IF(Y179=0,0,IF(AND(Y179=1,$H$3=1),D179*T179,IF($H$3=2,D179,"N/A")))</f>
        <v>0</v>
      </c>
      <c r="F179" s="126" t="n">
        <f aca="false">E179*X179</f>
        <v>0</v>
      </c>
      <c r="G179" s="142" t="n">
        <f aca="false">VLOOKUP($A179,Table,MATCH(G$4,Curves,0))</f>
        <v>3.987</v>
      </c>
      <c r="H179" s="143" t="n">
        <f aca="false">G179</f>
        <v>3.987</v>
      </c>
      <c r="I179" s="142" t="n">
        <f aca="false">VLOOKUP($A179,Table1,MATCH(I$3,Curves1,0))</f>
        <v>0</v>
      </c>
      <c r="J179" s="142" t="n">
        <f aca="false">VLOOKUP($A179,Table,MATCH(J$4,Curves,0))</f>
        <v>-0.0235</v>
      </c>
      <c r="K179" s="143" t="n">
        <f aca="false">J179</f>
        <v>-0.0235</v>
      </c>
      <c r="L179" s="144" t="n">
        <v>0</v>
      </c>
      <c r="M179" s="142" t="n">
        <f aca="false">VLOOKUP($A179,Table,MATCH(M$4,Curves,0))</f>
        <v>0.0075</v>
      </c>
      <c r="N179" s="143" t="n">
        <f aca="false">M179</f>
        <v>0.0075</v>
      </c>
      <c r="O179" s="144" t="n">
        <v>0</v>
      </c>
      <c r="P179" s="145"/>
      <c r="Q179" s="144" t="n">
        <f aca="false">M179+J179+G179</f>
        <v>3.971</v>
      </c>
      <c r="R179" s="144" t="n">
        <f aca="false">O179+L179+I179</f>
        <v>0</v>
      </c>
      <c r="S179" s="145"/>
      <c r="T179" s="71" t="n">
        <f aca="false">A180-A179</f>
        <v>31</v>
      </c>
      <c r="U179" s="146" t="n">
        <f aca="false">CHOOSE(F$3,A180+24,A179)</f>
        <v>42180</v>
      </c>
      <c r="V179" s="71" t="n">
        <f aca="false">U179-C$3</f>
        <v>5292</v>
      </c>
      <c r="W179" s="142" t="n">
        <f aca="false">VLOOKUP($A179,Table,MATCH(W$4,Curves,0))</f>
        <v>0.058966861357273</v>
      </c>
      <c r="X179" s="147" t="n">
        <f aca="false">1/(1+CHOOSE(F$3,(W180+($K$3/10000))/2,(W179+($K$3/10000))/2))^(2*V179/365.25)</f>
        <v>0.43084748691993</v>
      </c>
      <c r="Y179" s="71" t="n">
        <f aca="false">IF(AND(mthbeg&lt;=A179,mthend&gt;=A179),1,0)</f>
        <v>0</v>
      </c>
      <c r="Z179" s="71" t="n">
        <f aca="false">T179*Y179</f>
        <v>0</v>
      </c>
      <c r="AB179" s="132" t="n">
        <f aca="false">F179*G179</f>
        <v>0</v>
      </c>
      <c r="AC179" s="132" t="n">
        <f aca="false">$F179*H179</f>
        <v>0</v>
      </c>
      <c r="AD179" s="132" t="n">
        <f aca="false">$F179*I179</f>
        <v>0</v>
      </c>
      <c r="AE179" s="132" t="n">
        <f aca="false">$F179*J179</f>
        <v>-0</v>
      </c>
      <c r="AF179" s="132" t="n">
        <f aca="false">$F179*K179</f>
        <v>-0</v>
      </c>
      <c r="AG179" s="132" t="n">
        <f aca="false">$F179*L179</f>
        <v>0</v>
      </c>
      <c r="AH179" s="132" t="n">
        <f aca="false">$F179*M179</f>
        <v>0</v>
      </c>
      <c r="AI179" s="132" t="n">
        <f aca="false">$F179*N179</f>
        <v>0</v>
      </c>
      <c r="AJ179" s="132" t="n">
        <f aca="false">F179*O179</f>
        <v>0</v>
      </c>
      <c r="AK179" s="137"/>
      <c r="AL179" s="132" t="n">
        <f aca="false">CHOOSE($G$3,AC179-AD179,AD179-AC179)</f>
        <v>0</v>
      </c>
      <c r="AM179" s="132" t="n">
        <f aca="false">CHOOSE($G$3,AF179-AG179,AG179-AF179)</f>
        <v>0</v>
      </c>
      <c r="AN179" s="132" t="n">
        <f aca="false">CHOOSE($G$3,AI179-AJ179,AJ179-AI179)</f>
        <v>0</v>
      </c>
      <c r="AO179" s="148" t="n">
        <f aca="false">SUM(AL179:AN179)</f>
        <v>0</v>
      </c>
      <c r="AQ179" s="132" t="n">
        <f aca="false">CHOOSE($G$3,AB179-AC179,AC179-AB179)</f>
        <v>0</v>
      </c>
      <c r="AR179" s="132" t="n">
        <f aca="false">CHOOSE($G$3,AE179-AF179,AF179-AE179)</f>
        <v>0</v>
      </c>
      <c r="AS179" s="132" t="n">
        <f aca="false">CHOOSE($G$3,AH179-AI179,AI179-AH179)</f>
        <v>0</v>
      </c>
      <c r="AT179" s="148" t="n">
        <f aca="false">AQ179+AR179+AS179</f>
        <v>0</v>
      </c>
      <c r="AU179" s="148"/>
      <c r="AV179" s="133" t="n">
        <f aca="false">AT179+AO179</f>
        <v>0</v>
      </c>
      <c r="AX179" s="133" t="n">
        <f aca="false">AJ179+AG179+AD179</f>
        <v>0</v>
      </c>
      <c r="AY179" s="149"/>
      <c r="AZ179" s="76" t="n">
        <f aca="false">R179*E179</f>
        <v>0</v>
      </c>
    </row>
    <row r="180" customFormat="false" ht="12" hidden="false" customHeight="true" outlineLevel="0" collapsed="false">
      <c r="A180" s="138" t="n">
        <f aca="false">EDATE(A179,1)</f>
        <v>42156</v>
      </c>
      <c r="B180" s="139" t="n">
        <f aca="false">VLOOKUP($A180,Table2,MATCH(I$3,Curves2,0))</f>
        <v>0</v>
      </c>
      <c r="C180" s="140"/>
      <c r="D180" s="141" t="n">
        <f aca="false">B180+C180</f>
        <v>0</v>
      </c>
      <c r="E180" s="126" t="n">
        <f aca="false">IF(Y180=0,0,IF(AND(Y180=1,$H$3=1),D180*T180,IF($H$3=2,D180,"N/A")))</f>
        <v>0</v>
      </c>
      <c r="F180" s="126" t="n">
        <f aca="false">E180*X180</f>
        <v>0</v>
      </c>
      <c r="G180" s="142" t="n">
        <f aca="false">VLOOKUP($A180,Table,MATCH(G$4,Curves,0))</f>
        <v>3.987</v>
      </c>
      <c r="H180" s="143" t="n">
        <f aca="false">G180</f>
        <v>3.987</v>
      </c>
      <c r="I180" s="142" t="n">
        <f aca="false">VLOOKUP($A180,Table1,MATCH(I$3,Curves1,0))</f>
        <v>0</v>
      </c>
      <c r="J180" s="142" t="n">
        <f aca="false">VLOOKUP($A180,Table,MATCH(J$4,Curves,0))</f>
        <v>-0.0235</v>
      </c>
      <c r="K180" s="143" t="n">
        <f aca="false">J180</f>
        <v>-0.0235</v>
      </c>
      <c r="L180" s="144" t="n">
        <v>0</v>
      </c>
      <c r="M180" s="142" t="n">
        <f aca="false">VLOOKUP($A180,Table,MATCH(M$4,Curves,0))</f>
        <v>0.0075</v>
      </c>
      <c r="N180" s="143" t="n">
        <f aca="false">M180</f>
        <v>0.0075</v>
      </c>
      <c r="O180" s="144" t="n">
        <v>0</v>
      </c>
      <c r="P180" s="145"/>
      <c r="Q180" s="144" t="n">
        <f aca="false">M180+J180+G180</f>
        <v>3.971</v>
      </c>
      <c r="R180" s="144" t="n">
        <f aca="false">O180+L180+I180</f>
        <v>0</v>
      </c>
      <c r="S180" s="145"/>
      <c r="T180" s="71" t="n">
        <f aca="false">A181-A180</f>
        <v>30</v>
      </c>
      <c r="U180" s="146" t="n">
        <f aca="false">CHOOSE(F$3,A181+24,A180)</f>
        <v>42210</v>
      </c>
      <c r="V180" s="71" t="n">
        <f aca="false">U180-C$3</f>
        <v>5322</v>
      </c>
      <c r="W180" s="142" t="n">
        <f aca="false">VLOOKUP($A180,Table,MATCH(W$4,Curves,0))</f>
        <v>0.058966861357273</v>
      </c>
      <c r="X180" s="147" t="n">
        <f aca="false">1/(1+CHOOSE(F$3,(W181+($K$3/10000))/2,(W180+($K$3/10000))/2))^(2*V180/365.25)</f>
        <v>0.428795845010808</v>
      </c>
      <c r="Y180" s="71" t="n">
        <f aca="false">IF(AND(mthbeg&lt;=A180,mthend&gt;=A180),1,0)</f>
        <v>0</v>
      </c>
      <c r="Z180" s="71" t="n">
        <f aca="false">T180*Y180</f>
        <v>0</v>
      </c>
      <c r="AB180" s="132" t="n">
        <f aca="false">F180*G180</f>
        <v>0</v>
      </c>
      <c r="AC180" s="132" t="n">
        <f aca="false">$F180*H180</f>
        <v>0</v>
      </c>
      <c r="AD180" s="132" t="n">
        <f aca="false">$F180*I180</f>
        <v>0</v>
      </c>
      <c r="AE180" s="132" t="n">
        <f aca="false">$F180*J180</f>
        <v>-0</v>
      </c>
      <c r="AF180" s="132" t="n">
        <f aca="false">$F180*K180</f>
        <v>-0</v>
      </c>
      <c r="AG180" s="132" t="n">
        <f aca="false">$F180*L180</f>
        <v>0</v>
      </c>
      <c r="AH180" s="132" t="n">
        <f aca="false">$F180*M180</f>
        <v>0</v>
      </c>
      <c r="AI180" s="132" t="n">
        <f aca="false">$F180*N180</f>
        <v>0</v>
      </c>
      <c r="AJ180" s="132" t="n">
        <f aca="false">F180*O180</f>
        <v>0</v>
      </c>
      <c r="AK180" s="137"/>
      <c r="AL180" s="132" t="n">
        <f aca="false">CHOOSE($G$3,AC180-AD180,AD180-AC180)</f>
        <v>0</v>
      </c>
      <c r="AM180" s="132" t="n">
        <f aca="false">CHOOSE($G$3,AF180-AG180,AG180-AF180)</f>
        <v>0</v>
      </c>
      <c r="AN180" s="132" t="n">
        <f aca="false">CHOOSE($G$3,AI180-AJ180,AJ180-AI180)</f>
        <v>0</v>
      </c>
      <c r="AO180" s="148" t="n">
        <f aca="false">SUM(AL180:AN180)</f>
        <v>0</v>
      </c>
      <c r="AQ180" s="132" t="n">
        <f aca="false">CHOOSE($G$3,AB180-AC180,AC180-AB180)</f>
        <v>0</v>
      </c>
      <c r="AR180" s="132" t="n">
        <f aca="false">CHOOSE($G$3,AE180-AF180,AF180-AE180)</f>
        <v>0</v>
      </c>
      <c r="AS180" s="132" t="n">
        <f aca="false">CHOOSE($G$3,AH180-AI180,AI180-AH180)</f>
        <v>0</v>
      </c>
      <c r="AT180" s="148" t="n">
        <f aca="false">AQ180+AR180+AS180</f>
        <v>0</v>
      </c>
      <c r="AU180" s="148"/>
      <c r="AV180" s="133" t="n">
        <f aca="false">AT180+AO180</f>
        <v>0</v>
      </c>
      <c r="AX180" s="133" t="n">
        <f aca="false">AJ180+AG180+AD180</f>
        <v>0</v>
      </c>
      <c r="AY180" s="149"/>
      <c r="AZ180" s="76" t="n">
        <f aca="false">R180*E180</f>
        <v>0</v>
      </c>
    </row>
    <row r="181" customFormat="false" ht="12" hidden="false" customHeight="true" outlineLevel="0" collapsed="false">
      <c r="A181" s="138" t="n">
        <f aca="false">EDATE(A180,1)</f>
        <v>42186</v>
      </c>
      <c r="B181" s="139" t="n">
        <f aca="false">VLOOKUP($A181,Table2,MATCH(I$3,Curves2,0))</f>
        <v>0</v>
      </c>
      <c r="C181" s="140"/>
      <c r="D181" s="141" t="n">
        <f aca="false">B181+C181</f>
        <v>0</v>
      </c>
      <c r="E181" s="126" t="n">
        <f aca="false">IF(Y181=0,0,IF(AND(Y181=1,$H$3=1),D181*T181,IF($H$3=2,D181,"N/A")))</f>
        <v>0</v>
      </c>
      <c r="F181" s="126" t="n">
        <f aca="false">E181*X181</f>
        <v>0</v>
      </c>
      <c r="G181" s="142" t="n">
        <f aca="false">VLOOKUP($A181,Table,MATCH(G$4,Curves,0))</f>
        <v>3.987</v>
      </c>
      <c r="H181" s="143" t="n">
        <f aca="false">G181</f>
        <v>3.987</v>
      </c>
      <c r="I181" s="142" t="n">
        <f aca="false">VLOOKUP($A181,Table1,MATCH(I$3,Curves1,0))</f>
        <v>0</v>
      </c>
      <c r="J181" s="142" t="n">
        <f aca="false">VLOOKUP($A181,Table,MATCH(J$4,Curves,0))</f>
        <v>-0.0235</v>
      </c>
      <c r="K181" s="143" t="n">
        <f aca="false">J181</f>
        <v>-0.0235</v>
      </c>
      <c r="L181" s="144" t="n">
        <v>0</v>
      </c>
      <c r="M181" s="142" t="n">
        <f aca="false">VLOOKUP($A181,Table,MATCH(M$4,Curves,0))</f>
        <v>0.0075</v>
      </c>
      <c r="N181" s="143" t="n">
        <f aca="false">M181</f>
        <v>0.0075</v>
      </c>
      <c r="O181" s="144" t="n">
        <v>0</v>
      </c>
      <c r="P181" s="145"/>
      <c r="Q181" s="144" t="n">
        <f aca="false">M181+J181+G181</f>
        <v>3.971</v>
      </c>
      <c r="R181" s="144" t="n">
        <f aca="false">O181+L181+I181</f>
        <v>0</v>
      </c>
      <c r="S181" s="145"/>
      <c r="T181" s="71" t="n">
        <f aca="false">A182-A181</f>
        <v>31</v>
      </c>
      <c r="U181" s="146" t="n">
        <f aca="false">CHOOSE(F$3,A182+24,A181)</f>
        <v>42241</v>
      </c>
      <c r="V181" s="71" t="n">
        <f aca="false">U181-C$3</f>
        <v>5353</v>
      </c>
      <c r="W181" s="142" t="n">
        <f aca="false">VLOOKUP($A181,Table,MATCH(W$4,Curves,0))</f>
        <v>0.058966861357273</v>
      </c>
      <c r="X181" s="147" t="n">
        <f aca="false">1/(1+CHOOSE(F$3,(W182+($K$3/10000))/2,(W181+($K$3/10000))/2))^(2*V181/365.25)</f>
        <v>0.426686078067563</v>
      </c>
      <c r="Y181" s="71" t="n">
        <f aca="false">IF(AND(mthbeg&lt;=A181,mthend&gt;=A181),1,0)</f>
        <v>0</v>
      </c>
      <c r="Z181" s="71" t="n">
        <f aca="false">T181*Y181</f>
        <v>0</v>
      </c>
      <c r="AB181" s="132" t="n">
        <f aca="false">F181*G181</f>
        <v>0</v>
      </c>
      <c r="AC181" s="132" t="n">
        <f aca="false">$F181*H181</f>
        <v>0</v>
      </c>
      <c r="AD181" s="132" t="n">
        <f aca="false">$F181*I181</f>
        <v>0</v>
      </c>
      <c r="AE181" s="132" t="n">
        <f aca="false">$F181*J181</f>
        <v>-0</v>
      </c>
      <c r="AF181" s="132" t="n">
        <f aca="false">$F181*K181</f>
        <v>-0</v>
      </c>
      <c r="AG181" s="132" t="n">
        <f aca="false">$F181*L181</f>
        <v>0</v>
      </c>
      <c r="AH181" s="132" t="n">
        <f aca="false">$F181*M181</f>
        <v>0</v>
      </c>
      <c r="AI181" s="132" t="n">
        <f aca="false">$F181*N181</f>
        <v>0</v>
      </c>
      <c r="AJ181" s="132" t="n">
        <f aca="false">F181*O181</f>
        <v>0</v>
      </c>
      <c r="AK181" s="137"/>
      <c r="AL181" s="132" t="n">
        <f aca="false">CHOOSE($G$3,AC181-AD181,AD181-AC181)</f>
        <v>0</v>
      </c>
      <c r="AM181" s="132" t="n">
        <f aca="false">CHOOSE($G$3,AF181-AG181,AG181-AF181)</f>
        <v>0</v>
      </c>
      <c r="AN181" s="132" t="n">
        <f aca="false">CHOOSE($G$3,AI181-AJ181,AJ181-AI181)</f>
        <v>0</v>
      </c>
      <c r="AO181" s="148" t="n">
        <f aca="false">SUM(AL181:AN181)</f>
        <v>0</v>
      </c>
      <c r="AQ181" s="132" t="n">
        <f aca="false">CHOOSE($G$3,AB181-AC181,AC181-AB181)</f>
        <v>0</v>
      </c>
      <c r="AR181" s="132" t="n">
        <f aca="false">CHOOSE($G$3,AE181-AF181,AF181-AE181)</f>
        <v>0</v>
      </c>
      <c r="AS181" s="132" t="n">
        <f aca="false">CHOOSE($G$3,AH181-AI181,AI181-AH181)</f>
        <v>0</v>
      </c>
      <c r="AT181" s="148" t="n">
        <f aca="false">AQ181+AR181+AS181</f>
        <v>0</v>
      </c>
      <c r="AU181" s="148"/>
      <c r="AV181" s="133" t="n">
        <f aca="false">AT181+AO181</f>
        <v>0</v>
      </c>
      <c r="AX181" s="133" t="n">
        <f aca="false">AJ181+AG181+AD181</f>
        <v>0</v>
      </c>
      <c r="AY181" s="149"/>
      <c r="AZ181" s="76" t="n">
        <f aca="false">R181*E181</f>
        <v>0</v>
      </c>
    </row>
    <row r="182" customFormat="false" ht="12" hidden="false" customHeight="true" outlineLevel="0" collapsed="false">
      <c r="A182" s="138" t="n">
        <f aca="false">EDATE(A181,1)</f>
        <v>42217</v>
      </c>
      <c r="B182" s="139" t="n">
        <f aca="false">VLOOKUP($A182,Table2,MATCH(I$3,Curves2,0))</f>
        <v>0</v>
      </c>
      <c r="C182" s="140"/>
      <c r="D182" s="141" t="n">
        <f aca="false">B182+C182</f>
        <v>0</v>
      </c>
      <c r="E182" s="126" t="n">
        <f aca="false">IF(Y182=0,0,IF(AND(Y182=1,$H$3=1),D182*T182,IF($H$3=2,D182,"N/A")))</f>
        <v>0</v>
      </c>
      <c r="F182" s="126" t="n">
        <f aca="false">E182*X182</f>
        <v>0</v>
      </c>
      <c r="G182" s="142" t="n">
        <f aca="false">VLOOKUP($A182,Table,MATCH(G$4,Curves,0))</f>
        <v>3.987</v>
      </c>
      <c r="H182" s="143" t="n">
        <f aca="false">G182</f>
        <v>3.987</v>
      </c>
      <c r="I182" s="142" t="n">
        <f aca="false">VLOOKUP($A182,Table1,MATCH(I$3,Curves1,0))</f>
        <v>0</v>
      </c>
      <c r="J182" s="142" t="n">
        <f aca="false">VLOOKUP($A182,Table,MATCH(J$4,Curves,0))</f>
        <v>-0.0235</v>
      </c>
      <c r="K182" s="143" t="n">
        <f aca="false">J182</f>
        <v>-0.0235</v>
      </c>
      <c r="L182" s="144" t="n">
        <v>0</v>
      </c>
      <c r="M182" s="142" t="n">
        <f aca="false">VLOOKUP($A182,Table,MATCH(M$4,Curves,0))</f>
        <v>0.0075</v>
      </c>
      <c r="N182" s="143" t="n">
        <f aca="false">M182</f>
        <v>0.0075</v>
      </c>
      <c r="O182" s="144" t="n">
        <v>0</v>
      </c>
      <c r="P182" s="145"/>
      <c r="Q182" s="144" t="n">
        <f aca="false">M182+J182+G182</f>
        <v>3.971</v>
      </c>
      <c r="R182" s="144" t="n">
        <f aca="false">O182+L182+I182</f>
        <v>0</v>
      </c>
      <c r="S182" s="145"/>
      <c r="T182" s="71" t="n">
        <f aca="false">A183-A182</f>
        <v>31</v>
      </c>
      <c r="U182" s="146" t="n">
        <f aca="false">CHOOSE(F$3,A183+24,A182)</f>
        <v>42272</v>
      </c>
      <c r="V182" s="71" t="n">
        <f aca="false">U182-C$3</f>
        <v>5384</v>
      </c>
      <c r="W182" s="142" t="n">
        <f aca="false">VLOOKUP($A182,Table,MATCH(W$4,Curves,0))</f>
        <v>0.058966861357273</v>
      </c>
      <c r="X182" s="147" t="n">
        <f aca="false">1/(1+CHOOSE(F$3,(W183+($K$3/10000))/2,(W182+($K$3/10000))/2))^(2*V182/365.25)</f>
        <v>0.424586691627317</v>
      </c>
      <c r="Y182" s="71" t="n">
        <f aca="false">IF(AND(mthbeg&lt;=A182,mthend&gt;=A182),1,0)</f>
        <v>0</v>
      </c>
      <c r="Z182" s="71" t="n">
        <f aca="false">T182*Y182</f>
        <v>0</v>
      </c>
      <c r="AB182" s="132" t="n">
        <f aca="false">F182*G182</f>
        <v>0</v>
      </c>
      <c r="AC182" s="132" t="n">
        <f aca="false">$F182*H182</f>
        <v>0</v>
      </c>
      <c r="AD182" s="132" t="n">
        <f aca="false">$F182*I182</f>
        <v>0</v>
      </c>
      <c r="AE182" s="132" t="n">
        <f aca="false">$F182*J182</f>
        <v>-0</v>
      </c>
      <c r="AF182" s="132" t="n">
        <f aca="false">$F182*K182</f>
        <v>-0</v>
      </c>
      <c r="AG182" s="132" t="n">
        <f aca="false">$F182*L182</f>
        <v>0</v>
      </c>
      <c r="AH182" s="132" t="n">
        <f aca="false">$F182*M182</f>
        <v>0</v>
      </c>
      <c r="AI182" s="132" t="n">
        <f aca="false">$F182*N182</f>
        <v>0</v>
      </c>
      <c r="AJ182" s="132" t="n">
        <f aca="false">F182*O182</f>
        <v>0</v>
      </c>
      <c r="AK182" s="137"/>
      <c r="AL182" s="132" t="n">
        <f aca="false">CHOOSE($G$3,AC182-AD182,AD182-AC182)</f>
        <v>0</v>
      </c>
      <c r="AM182" s="132" t="n">
        <f aca="false">CHOOSE($G$3,AF182-AG182,AG182-AF182)</f>
        <v>0</v>
      </c>
      <c r="AN182" s="132" t="n">
        <f aca="false">CHOOSE($G$3,AI182-AJ182,AJ182-AI182)</f>
        <v>0</v>
      </c>
      <c r="AO182" s="148" t="n">
        <f aca="false">SUM(AL182:AN182)</f>
        <v>0</v>
      </c>
      <c r="AQ182" s="132" t="n">
        <f aca="false">CHOOSE($G$3,AB182-AC182,AC182-AB182)</f>
        <v>0</v>
      </c>
      <c r="AR182" s="132" t="n">
        <f aca="false">CHOOSE($G$3,AE182-AF182,AF182-AE182)</f>
        <v>0</v>
      </c>
      <c r="AS182" s="132" t="n">
        <f aca="false">CHOOSE($G$3,AH182-AI182,AI182-AH182)</f>
        <v>0</v>
      </c>
      <c r="AT182" s="148" t="n">
        <f aca="false">AQ182+AR182+AS182</f>
        <v>0</v>
      </c>
      <c r="AU182" s="148"/>
      <c r="AV182" s="133" t="n">
        <f aca="false">AT182+AO182</f>
        <v>0</v>
      </c>
      <c r="AX182" s="133" t="n">
        <f aca="false">AJ182+AG182+AD182</f>
        <v>0</v>
      </c>
      <c r="AY182" s="149"/>
      <c r="AZ182" s="76" t="n">
        <f aca="false">R182*E182</f>
        <v>0</v>
      </c>
    </row>
    <row r="183" customFormat="false" ht="12" hidden="false" customHeight="true" outlineLevel="0" collapsed="false">
      <c r="A183" s="138" t="n">
        <f aca="false">EDATE(A182,1)</f>
        <v>42248</v>
      </c>
      <c r="B183" s="139" t="n">
        <f aca="false">VLOOKUP($A183,Table2,MATCH(I$3,Curves2,0))</f>
        <v>0</v>
      </c>
      <c r="C183" s="140"/>
      <c r="D183" s="141" t="n">
        <f aca="false">B183+C183</f>
        <v>0</v>
      </c>
      <c r="E183" s="126" t="n">
        <f aca="false">IF(Y183=0,0,IF(AND(Y183=1,$H$3=1),D183*T183,IF($H$3=2,D183,"N/A")))</f>
        <v>0</v>
      </c>
      <c r="F183" s="126" t="n">
        <f aca="false">E183*X183</f>
        <v>0</v>
      </c>
      <c r="G183" s="142" t="n">
        <f aca="false">VLOOKUP($A183,Table,MATCH(G$4,Curves,0))</f>
        <v>3.987</v>
      </c>
      <c r="H183" s="143" t="n">
        <f aca="false">G183</f>
        <v>3.987</v>
      </c>
      <c r="I183" s="142" t="n">
        <f aca="false">VLOOKUP($A183,Table1,MATCH(I$3,Curves1,0))</f>
        <v>0</v>
      </c>
      <c r="J183" s="142" t="n">
        <f aca="false">VLOOKUP($A183,Table,MATCH(J$4,Curves,0))</f>
        <v>-0.0235</v>
      </c>
      <c r="K183" s="143" t="n">
        <f aca="false">J183</f>
        <v>-0.0235</v>
      </c>
      <c r="L183" s="144" t="n">
        <v>0</v>
      </c>
      <c r="M183" s="142" t="n">
        <f aca="false">VLOOKUP($A183,Table,MATCH(M$4,Curves,0))</f>
        <v>0.0075</v>
      </c>
      <c r="N183" s="143" t="n">
        <f aca="false">M183</f>
        <v>0.0075</v>
      </c>
      <c r="O183" s="144" t="n">
        <v>0</v>
      </c>
      <c r="P183" s="145"/>
      <c r="Q183" s="144" t="n">
        <f aca="false">M183+J183+G183</f>
        <v>3.971</v>
      </c>
      <c r="R183" s="144" t="n">
        <f aca="false">O183+L183+I183</f>
        <v>0</v>
      </c>
      <c r="S183" s="145"/>
      <c r="T183" s="71" t="n">
        <f aca="false">A184-A183</f>
        <v>30</v>
      </c>
      <c r="U183" s="146" t="n">
        <f aca="false">CHOOSE(F$3,A184+24,A183)</f>
        <v>42302</v>
      </c>
      <c r="V183" s="71" t="n">
        <f aca="false">U183-C$3</f>
        <v>5414</v>
      </c>
      <c r="W183" s="142" t="n">
        <f aca="false">VLOOKUP($A183,Table,MATCH(W$4,Curves,0))</f>
        <v>0.058966861357273</v>
      </c>
      <c r="X183" s="147" t="n">
        <f aca="false">1/(1+CHOOSE(F$3,(W184+($K$3/10000))/2,(W183+($K$3/10000))/2))^(2*V183/365.25)</f>
        <v>0.422564862843249</v>
      </c>
      <c r="Y183" s="71" t="n">
        <f aca="false">IF(AND(mthbeg&lt;=A183,mthend&gt;=A183),1,0)</f>
        <v>0</v>
      </c>
      <c r="Z183" s="71" t="n">
        <f aca="false">T183*Y183</f>
        <v>0</v>
      </c>
      <c r="AB183" s="132" t="n">
        <f aca="false">F183*G183</f>
        <v>0</v>
      </c>
      <c r="AC183" s="132" t="n">
        <f aca="false">$F183*H183</f>
        <v>0</v>
      </c>
      <c r="AD183" s="132" t="n">
        <f aca="false">$F183*I183</f>
        <v>0</v>
      </c>
      <c r="AE183" s="132" t="n">
        <f aca="false">$F183*J183</f>
        <v>-0</v>
      </c>
      <c r="AF183" s="132" t="n">
        <f aca="false">$F183*K183</f>
        <v>-0</v>
      </c>
      <c r="AG183" s="132" t="n">
        <f aca="false">$F183*L183</f>
        <v>0</v>
      </c>
      <c r="AH183" s="132" t="n">
        <f aca="false">$F183*M183</f>
        <v>0</v>
      </c>
      <c r="AI183" s="132" t="n">
        <f aca="false">$F183*N183</f>
        <v>0</v>
      </c>
      <c r="AJ183" s="132" t="n">
        <f aca="false">F183*O183</f>
        <v>0</v>
      </c>
      <c r="AK183" s="137"/>
      <c r="AL183" s="132" t="n">
        <f aca="false">CHOOSE($G$3,AC183-AD183,AD183-AC183)</f>
        <v>0</v>
      </c>
      <c r="AM183" s="132" t="n">
        <f aca="false">CHOOSE($G$3,AF183-AG183,AG183-AF183)</f>
        <v>0</v>
      </c>
      <c r="AN183" s="132" t="n">
        <f aca="false">CHOOSE($G$3,AI183-AJ183,AJ183-AI183)</f>
        <v>0</v>
      </c>
      <c r="AO183" s="148" t="n">
        <f aca="false">SUM(AL183:AN183)</f>
        <v>0</v>
      </c>
      <c r="AQ183" s="132" t="n">
        <f aca="false">CHOOSE($G$3,AB183-AC183,AC183-AB183)</f>
        <v>0</v>
      </c>
      <c r="AR183" s="132" t="n">
        <f aca="false">CHOOSE($G$3,AE183-AF183,AF183-AE183)</f>
        <v>0</v>
      </c>
      <c r="AS183" s="132" t="n">
        <f aca="false">CHOOSE($G$3,AH183-AI183,AI183-AH183)</f>
        <v>0</v>
      </c>
      <c r="AT183" s="148" t="n">
        <f aca="false">AQ183+AR183+AS183</f>
        <v>0</v>
      </c>
      <c r="AU183" s="148"/>
      <c r="AV183" s="133" t="n">
        <f aca="false">AT183+AO183</f>
        <v>0</v>
      </c>
      <c r="AX183" s="133" t="n">
        <f aca="false">AJ183+AG183+AD183</f>
        <v>0</v>
      </c>
      <c r="AY183" s="149"/>
      <c r="AZ183" s="76" t="n">
        <f aca="false">R183*E183</f>
        <v>0</v>
      </c>
    </row>
    <row r="184" customFormat="false" ht="12" hidden="false" customHeight="true" outlineLevel="0" collapsed="false">
      <c r="A184" s="138" t="n">
        <f aca="false">EDATE(A183,1)</f>
        <v>42278</v>
      </c>
      <c r="B184" s="139" t="n">
        <f aca="false">VLOOKUP($A184,Table2,MATCH(I$3,Curves2,0))</f>
        <v>0</v>
      </c>
      <c r="C184" s="140"/>
      <c r="D184" s="141" t="n">
        <f aca="false">B184+C184</f>
        <v>0</v>
      </c>
      <c r="E184" s="126" t="n">
        <f aca="false">IF(Y184=0,0,IF(AND(Y184=1,$H$3=1),D184*T184,IF($H$3=2,D184,"N/A")))</f>
        <v>0</v>
      </c>
      <c r="F184" s="126" t="n">
        <f aca="false">E184*X184</f>
        <v>0</v>
      </c>
      <c r="G184" s="142" t="n">
        <f aca="false">VLOOKUP($A184,Table,MATCH(G$4,Curves,0))</f>
        <v>3.987</v>
      </c>
      <c r="H184" s="143" t="n">
        <f aca="false">G184</f>
        <v>3.987</v>
      </c>
      <c r="I184" s="142" t="n">
        <f aca="false">VLOOKUP($A184,Table1,MATCH(I$3,Curves1,0))</f>
        <v>0</v>
      </c>
      <c r="J184" s="142" t="n">
        <f aca="false">VLOOKUP($A184,Table,MATCH(J$4,Curves,0))</f>
        <v>-0.0235</v>
      </c>
      <c r="K184" s="143" t="n">
        <f aca="false">J184</f>
        <v>-0.0235</v>
      </c>
      <c r="L184" s="144" t="n">
        <v>0</v>
      </c>
      <c r="M184" s="142" t="n">
        <f aca="false">VLOOKUP($A184,Table,MATCH(M$4,Curves,0))</f>
        <v>0.0075</v>
      </c>
      <c r="N184" s="143" t="n">
        <f aca="false">M184</f>
        <v>0.0075</v>
      </c>
      <c r="O184" s="144" t="n">
        <v>0</v>
      </c>
      <c r="P184" s="145"/>
      <c r="Q184" s="144" t="n">
        <f aca="false">M184+J184+G184</f>
        <v>3.971</v>
      </c>
      <c r="R184" s="144" t="n">
        <f aca="false">O184+L184+I184</f>
        <v>0</v>
      </c>
      <c r="S184" s="145"/>
      <c r="T184" s="71" t="n">
        <f aca="false">A185-A184</f>
        <v>31</v>
      </c>
      <c r="U184" s="146" t="n">
        <f aca="false">CHOOSE(F$3,A185+24,A184)</f>
        <v>42333</v>
      </c>
      <c r="V184" s="71" t="n">
        <f aca="false">U184-C$3</f>
        <v>5445</v>
      </c>
      <c r="W184" s="142" t="n">
        <f aca="false">VLOOKUP($A184,Table,MATCH(W$4,Curves,0))</f>
        <v>0.058966861357273</v>
      </c>
      <c r="X184" s="147" t="n">
        <f aca="false">1/(1+CHOOSE(F$3,(W185+($K$3/10000))/2,(W184+($K$3/10000))/2))^(2*V184/365.25)</f>
        <v>0.420485753660228</v>
      </c>
      <c r="Y184" s="71" t="n">
        <f aca="false">IF(AND(mthbeg&lt;=A184,mthend&gt;=A184),1,0)</f>
        <v>0</v>
      </c>
      <c r="Z184" s="71" t="n">
        <f aca="false">T184*Y184</f>
        <v>0</v>
      </c>
      <c r="AB184" s="132" t="n">
        <f aca="false">F184*G184</f>
        <v>0</v>
      </c>
      <c r="AC184" s="132" t="n">
        <f aca="false">$F184*H184</f>
        <v>0</v>
      </c>
      <c r="AD184" s="132" t="n">
        <f aca="false">$F184*I184</f>
        <v>0</v>
      </c>
      <c r="AE184" s="132" t="n">
        <f aca="false">$F184*J184</f>
        <v>-0</v>
      </c>
      <c r="AF184" s="132" t="n">
        <f aca="false">$F184*K184</f>
        <v>-0</v>
      </c>
      <c r="AG184" s="132" t="n">
        <f aca="false">$F184*L184</f>
        <v>0</v>
      </c>
      <c r="AH184" s="132" t="n">
        <f aca="false">$F184*M184</f>
        <v>0</v>
      </c>
      <c r="AI184" s="132" t="n">
        <f aca="false">$F184*N184</f>
        <v>0</v>
      </c>
      <c r="AJ184" s="132" t="n">
        <f aca="false">F184*O184</f>
        <v>0</v>
      </c>
      <c r="AK184" s="137"/>
      <c r="AL184" s="132" t="n">
        <f aca="false">CHOOSE($G$3,AC184-AD184,AD184-AC184)</f>
        <v>0</v>
      </c>
      <c r="AM184" s="132" t="n">
        <f aca="false">CHOOSE($G$3,AF184-AG184,AG184-AF184)</f>
        <v>0</v>
      </c>
      <c r="AN184" s="132" t="n">
        <f aca="false">CHOOSE($G$3,AI184-AJ184,AJ184-AI184)</f>
        <v>0</v>
      </c>
      <c r="AO184" s="148" t="n">
        <f aca="false">SUM(AL184:AN184)</f>
        <v>0</v>
      </c>
      <c r="AQ184" s="132" t="n">
        <f aca="false">CHOOSE($G$3,AB184-AC184,AC184-AB184)</f>
        <v>0</v>
      </c>
      <c r="AR184" s="132" t="n">
        <f aca="false">CHOOSE($G$3,AE184-AF184,AF184-AE184)</f>
        <v>0</v>
      </c>
      <c r="AS184" s="132" t="n">
        <f aca="false">CHOOSE($G$3,AH184-AI184,AI184-AH184)</f>
        <v>0</v>
      </c>
      <c r="AT184" s="148" t="n">
        <f aca="false">AQ184+AR184+AS184</f>
        <v>0</v>
      </c>
      <c r="AU184" s="148"/>
      <c r="AV184" s="133" t="n">
        <f aca="false">AT184+AO184</f>
        <v>0</v>
      </c>
      <c r="AX184" s="133" t="n">
        <f aca="false">AJ184+AG184+AD184</f>
        <v>0</v>
      </c>
      <c r="AY184" s="149"/>
      <c r="AZ184" s="76" t="n">
        <f aca="false">R184*E184</f>
        <v>0</v>
      </c>
    </row>
    <row r="185" customFormat="false" ht="12" hidden="false" customHeight="true" outlineLevel="0" collapsed="false">
      <c r="A185" s="138" t="n">
        <f aca="false">EDATE(A184,1)</f>
        <v>42309</v>
      </c>
      <c r="B185" s="139" t="n">
        <f aca="false">VLOOKUP($A185,Table2,MATCH(I$3,Curves2,0))</f>
        <v>0</v>
      </c>
      <c r="C185" s="140"/>
      <c r="D185" s="141" t="n">
        <f aca="false">B185+C185</f>
        <v>0</v>
      </c>
      <c r="E185" s="126" t="n">
        <f aca="false">IF(Y185=0,0,IF(AND(Y185=1,$H$3=1),D185*T185,IF($H$3=2,D185,"N/A")))</f>
        <v>0</v>
      </c>
      <c r="F185" s="126" t="n">
        <f aca="false">E185*X185</f>
        <v>0</v>
      </c>
      <c r="G185" s="142" t="n">
        <f aca="false">VLOOKUP($A185,Table,MATCH(G$4,Curves,0))</f>
        <v>3.987</v>
      </c>
      <c r="H185" s="143" t="n">
        <f aca="false">G185</f>
        <v>3.987</v>
      </c>
      <c r="I185" s="142" t="n">
        <f aca="false">VLOOKUP($A185,Table1,MATCH(I$3,Curves1,0))</f>
        <v>0</v>
      </c>
      <c r="J185" s="142" t="n">
        <f aca="false">VLOOKUP($A185,Table,MATCH(J$4,Curves,0))</f>
        <v>-0.0235</v>
      </c>
      <c r="K185" s="143" t="n">
        <f aca="false">J185</f>
        <v>-0.0235</v>
      </c>
      <c r="L185" s="144" t="n">
        <v>0</v>
      </c>
      <c r="M185" s="142" t="n">
        <f aca="false">VLOOKUP($A185,Table,MATCH(M$4,Curves,0))</f>
        <v>0.0075</v>
      </c>
      <c r="N185" s="143" t="n">
        <f aca="false">M185</f>
        <v>0.0075</v>
      </c>
      <c r="O185" s="144" t="n">
        <v>0</v>
      </c>
      <c r="P185" s="145"/>
      <c r="Q185" s="144" t="n">
        <f aca="false">M185+J185+G185</f>
        <v>3.971</v>
      </c>
      <c r="R185" s="144" t="n">
        <f aca="false">O185+L185+I185</f>
        <v>0</v>
      </c>
      <c r="S185" s="145"/>
      <c r="T185" s="71" t="n">
        <f aca="false">A186-A185</f>
        <v>30</v>
      </c>
      <c r="U185" s="146" t="n">
        <f aca="false">CHOOSE(F$3,A186+24,A185)</f>
        <v>42363</v>
      </c>
      <c r="V185" s="71" t="n">
        <f aca="false">U185-C$3</f>
        <v>5475</v>
      </c>
      <c r="W185" s="142" t="n">
        <f aca="false">VLOOKUP($A185,Table,MATCH(W$4,Curves,0))</f>
        <v>0.058966861357273</v>
      </c>
      <c r="X185" s="147" t="n">
        <f aca="false">1/(1+CHOOSE(F$3,(W186+($K$3/10000))/2,(W185+($K$3/10000))/2))^(2*V185/365.25)</f>
        <v>0.41848345303045</v>
      </c>
      <c r="Y185" s="71" t="n">
        <f aca="false">IF(AND(mthbeg&lt;=A185,mthend&gt;=A185),1,0)</f>
        <v>0</v>
      </c>
      <c r="Z185" s="71" t="n">
        <f aca="false">T185*Y185</f>
        <v>0</v>
      </c>
      <c r="AB185" s="132" t="n">
        <f aca="false">F185*G185</f>
        <v>0</v>
      </c>
      <c r="AC185" s="132" t="n">
        <f aca="false">$F185*H185</f>
        <v>0</v>
      </c>
      <c r="AD185" s="132" t="n">
        <f aca="false">$F185*I185</f>
        <v>0</v>
      </c>
      <c r="AE185" s="132" t="n">
        <f aca="false">$F185*J185</f>
        <v>-0</v>
      </c>
      <c r="AF185" s="132" t="n">
        <f aca="false">$F185*K185</f>
        <v>-0</v>
      </c>
      <c r="AG185" s="132" t="n">
        <f aca="false">$F185*L185</f>
        <v>0</v>
      </c>
      <c r="AH185" s="132" t="n">
        <f aca="false">$F185*M185</f>
        <v>0</v>
      </c>
      <c r="AI185" s="132" t="n">
        <f aca="false">$F185*N185</f>
        <v>0</v>
      </c>
      <c r="AJ185" s="132" t="n">
        <f aca="false">F185*O185</f>
        <v>0</v>
      </c>
      <c r="AK185" s="137"/>
      <c r="AL185" s="132" t="n">
        <f aca="false">CHOOSE($G$3,AC185-AD185,AD185-AC185)</f>
        <v>0</v>
      </c>
      <c r="AM185" s="132" t="n">
        <f aca="false">CHOOSE($G$3,AF185-AG185,AG185-AF185)</f>
        <v>0</v>
      </c>
      <c r="AN185" s="132" t="n">
        <f aca="false">CHOOSE($G$3,AI185-AJ185,AJ185-AI185)</f>
        <v>0</v>
      </c>
      <c r="AO185" s="148" t="n">
        <f aca="false">SUM(AL185:AN185)</f>
        <v>0</v>
      </c>
      <c r="AQ185" s="132" t="n">
        <f aca="false">CHOOSE($G$3,AB185-AC185,AC185-AB185)</f>
        <v>0</v>
      </c>
      <c r="AR185" s="132" t="n">
        <f aca="false">CHOOSE($G$3,AE185-AF185,AF185-AE185)</f>
        <v>0</v>
      </c>
      <c r="AS185" s="132" t="n">
        <f aca="false">CHOOSE($G$3,AH185-AI185,AI185-AH185)</f>
        <v>0</v>
      </c>
      <c r="AT185" s="148" t="n">
        <f aca="false">AQ185+AR185+AS185</f>
        <v>0</v>
      </c>
      <c r="AU185" s="148"/>
      <c r="AV185" s="133" t="n">
        <f aca="false">AT185+AO185</f>
        <v>0</v>
      </c>
      <c r="AX185" s="133" t="n">
        <f aca="false">AJ185+AG185+AD185</f>
        <v>0</v>
      </c>
      <c r="AY185" s="149"/>
      <c r="AZ185" s="76" t="n">
        <f aca="false">R185*E185</f>
        <v>0</v>
      </c>
    </row>
    <row r="186" customFormat="false" ht="12" hidden="false" customHeight="true" outlineLevel="0" collapsed="false">
      <c r="A186" s="138" t="n">
        <f aca="false">EDATE(A185,1)</f>
        <v>42339</v>
      </c>
      <c r="B186" s="139" t="n">
        <f aca="false">VLOOKUP($A186,Table2,MATCH(I$3,Curves2,0))</f>
        <v>0</v>
      </c>
      <c r="C186" s="140"/>
      <c r="D186" s="141" t="n">
        <f aca="false">B186+C186</f>
        <v>0</v>
      </c>
      <c r="E186" s="126" t="n">
        <f aca="false">IF(Y186=0,0,IF(AND(Y186=1,$H$3=1),D186*T186,IF($H$3=2,D186,"N/A")))</f>
        <v>0</v>
      </c>
      <c r="F186" s="126" t="n">
        <f aca="false">E186*X186</f>
        <v>0</v>
      </c>
      <c r="G186" s="142" t="n">
        <f aca="false">VLOOKUP($A186,Table,MATCH(G$4,Curves,0))</f>
        <v>3.987</v>
      </c>
      <c r="H186" s="143" t="n">
        <f aca="false">G186</f>
        <v>3.987</v>
      </c>
      <c r="I186" s="142" t="n">
        <f aca="false">VLOOKUP($A186,Table1,MATCH(I$3,Curves1,0))</f>
        <v>0</v>
      </c>
      <c r="J186" s="142" t="n">
        <f aca="false">VLOOKUP($A186,Table,MATCH(J$4,Curves,0))</f>
        <v>-0.0235</v>
      </c>
      <c r="K186" s="143" t="n">
        <f aca="false">J186</f>
        <v>-0.0235</v>
      </c>
      <c r="L186" s="144" t="n">
        <v>0</v>
      </c>
      <c r="M186" s="142" t="n">
        <f aca="false">VLOOKUP($A186,Table,MATCH(M$4,Curves,0))</f>
        <v>0.0075</v>
      </c>
      <c r="N186" s="143" t="n">
        <f aca="false">M186</f>
        <v>0.0075</v>
      </c>
      <c r="O186" s="144" t="n">
        <v>0</v>
      </c>
      <c r="P186" s="145"/>
      <c r="Q186" s="144" t="n">
        <f aca="false">M186+J186+G186</f>
        <v>3.971</v>
      </c>
      <c r="R186" s="144" t="n">
        <f aca="false">O186+L186+I186</f>
        <v>0</v>
      </c>
      <c r="S186" s="145"/>
      <c r="T186" s="71" t="n">
        <f aca="false">A187-A186</f>
        <v>31</v>
      </c>
      <c r="U186" s="146" t="n">
        <f aca="false">CHOOSE(F$3,A187+24,A186)</f>
        <v>42394</v>
      </c>
      <c r="V186" s="71" t="n">
        <f aca="false">U186-C$3</f>
        <v>5506</v>
      </c>
      <c r="W186" s="142" t="n">
        <f aca="false">VLOOKUP($A186,Table,MATCH(W$4,Curves,0))</f>
        <v>0.058966861357273</v>
      </c>
      <c r="X186" s="147" t="n">
        <f aca="false">1/(1+CHOOSE(F$3,(W187+($K$3/10000))/2,(W186+($K$3/10000))/2))^(2*V186/365.25)</f>
        <v>0.416424425253545</v>
      </c>
      <c r="Y186" s="71" t="n">
        <f aca="false">IF(AND(mthbeg&lt;=A186,mthend&gt;=A186),1,0)</f>
        <v>0</v>
      </c>
      <c r="Z186" s="71" t="n">
        <f aca="false">T186*Y186</f>
        <v>0</v>
      </c>
      <c r="AB186" s="132" t="n">
        <f aca="false">F186*G186</f>
        <v>0</v>
      </c>
      <c r="AC186" s="132" t="n">
        <f aca="false">$F186*H186</f>
        <v>0</v>
      </c>
      <c r="AD186" s="132" t="n">
        <f aca="false">$F186*I186</f>
        <v>0</v>
      </c>
      <c r="AE186" s="132" t="n">
        <f aca="false">$F186*J186</f>
        <v>-0</v>
      </c>
      <c r="AF186" s="132" t="n">
        <f aca="false">$F186*K186</f>
        <v>-0</v>
      </c>
      <c r="AG186" s="132" t="n">
        <f aca="false">$F186*L186</f>
        <v>0</v>
      </c>
      <c r="AH186" s="132" t="n">
        <f aca="false">$F186*M186</f>
        <v>0</v>
      </c>
      <c r="AI186" s="132" t="n">
        <f aca="false">$F186*N186</f>
        <v>0</v>
      </c>
      <c r="AJ186" s="132" t="n">
        <f aca="false">F186*O186</f>
        <v>0</v>
      </c>
      <c r="AK186" s="137"/>
      <c r="AL186" s="132" t="n">
        <f aca="false">CHOOSE($G$3,AC186-AD186,AD186-AC186)</f>
        <v>0</v>
      </c>
      <c r="AM186" s="132" t="n">
        <f aca="false">CHOOSE($G$3,AF186-AG186,AG186-AF186)</f>
        <v>0</v>
      </c>
      <c r="AN186" s="132" t="n">
        <f aca="false">CHOOSE($G$3,AI186-AJ186,AJ186-AI186)</f>
        <v>0</v>
      </c>
      <c r="AO186" s="148" t="n">
        <f aca="false">SUM(AL186:AN186)</f>
        <v>0</v>
      </c>
      <c r="AQ186" s="132" t="n">
        <f aca="false">CHOOSE($G$3,AB186-AC186,AC186-AB186)</f>
        <v>0</v>
      </c>
      <c r="AR186" s="132" t="n">
        <f aca="false">CHOOSE($G$3,AE186-AF186,AF186-AE186)</f>
        <v>0</v>
      </c>
      <c r="AS186" s="132" t="n">
        <f aca="false">CHOOSE($G$3,AH186-AI186,AI186-AH186)</f>
        <v>0</v>
      </c>
      <c r="AT186" s="148" t="n">
        <f aca="false">AQ186+AR186+AS186</f>
        <v>0</v>
      </c>
      <c r="AU186" s="148"/>
      <c r="AV186" s="133" t="n">
        <f aca="false">AT186+AO186</f>
        <v>0</v>
      </c>
      <c r="AX186" s="133" t="n">
        <f aca="false">AJ186+AG186+AD186</f>
        <v>0</v>
      </c>
      <c r="AY186" s="149"/>
      <c r="AZ186" s="76" t="n">
        <f aca="false">R186*E186</f>
        <v>0</v>
      </c>
    </row>
    <row r="187" customFormat="false" ht="12" hidden="false" customHeight="true" outlineLevel="0" collapsed="false">
      <c r="A187" s="138" t="n">
        <f aca="false">EDATE(A186,1)</f>
        <v>42370</v>
      </c>
      <c r="B187" s="139" t="n">
        <f aca="false">VLOOKUP($A187,Table2,MATCH(I$3,Curves2,0))</f>
        <v>0</v>
      </c>
      <c r="C187" s="140"/>
      <c r="D187" s="141" t="n">
        <f aca="false">B187+C187</f>
        <v>0</v>
      </c>
      <c r="E187" s="126" t="n">
        <f aca="false">IF(Y187=0,0,IF(AND(Y187=1,$H$3=1),D187*T187,IF($H$3=2,D187,"N/A")))</f>
        <v>0</v>
      </c>
      <c r="F187" s="126" t="n">
        <f aca="false">E187*X187</f>
        <v>0</v>
      </c>
      <c r="G187" s="142" t="n">
        <f aca="false">VLOOKUP($A187,Table,MATCH(G$4,Curves,0))</f>
        <v>3.987</v>
      </c>
      <c r="H187" s="143" t="n">
        <f aca="false">G187</f>
        <v>3.987</v>
      </c>
      <c r="I187" s="142" t="n">
        <f aca="false">VLOOKUP($A187,Table1,MATCH(I$3,Curves1,0))</f>
        <v>0</v>
      </c>
      <c r="J187" s="142" t="n">
        <f aca="false">VLOOKUP($A187,Table,MATCH(J$4,Curves,0))</f>
        <v>-0.0235</v>
      </c>
      <c r="K187" s="143" t="n">
        <f aca="false">J187</f>
        <v>-0.0235</v>
      </c>
      <c r="L187" s="144" t="n">
        <v>0</v>
      </c>
      <c r="M187" s="142" t="n">
        <f aca="false">VLOOKUP($A187,Table,MATCH(M$4,Curves,0))</f>
        <v>0.0075</v>
      </c>
      <c r="N187" s="143" t="n">
        <f aca="false">M187</f>
        <v>0.0075</v>
      </c>
      <c r="O187" s="144" t="n">
        <v>0</v>
      </c>
      <c r="P187" s="145"/>
      <c r="Q187" s="144" t="n">
        <f aca="false">M187+J187+G187</f>
        <v>3.971</v>
      </c>
      <c r="R187" s="144" t="n">
        <f aca="false">O187+L187+I187</f>
        <v>0</v>
      </c>
      <c r="S187" s="145"/>
      <c r="T187" s="71" t="n">
        <f aca="false">A188-A187</f>
        <v>31</v>
      </c>
      <c r="U187" s="146" t="n">
        <f aca="false">CHOOSE(F$3,A188+24,A187)</f>
        <v>42425</v>
      </c>
      <c r="V187" s="71" t="n">
        <f aca="false">U187-C$3</f>
        <v>5537</v>
      </c>
      <c r="W187" s="142" t="n">
        <f aca="false">VLOOKUP($A187,Table,MATCH(W$4,Curves,0))</f>
        <v>0.058966861357273</v>
      </c>
      <c r="X187" s="147" t="n">
        <f aca="false">1/(1+CHOOSE(F$3,(W188+($K$3/10000))/2,(W187+($K$3/10000))/2))^(2*V187/365.25)</f>
        <v>0.414375528332127</v>
      </c>
      <c r="Y187" s="71" t="n">
        <f aca="false">IF(AND(mthbeg&lt;=A187,mthend&gt;=A187),1,0)</f>
        <v>0</v>
      </c>
      <c r="Z187" s="71" t="n">
        <f aca="false">T187*Y187</f>
        <v>0</v>
      </c>
      <c r="AB187" s="132" t="n">
        <f aca="false">F187*G187</f>
        <v>0</v>
      </c>
      <c r="AC187" s="132" t="n">
        <f aca="false">$F187*H187</f>
        <v>0</v>
      </c>
      <c r="AD187" s="132" t="n">
        <f aca="false">$F187*I187</f>
        <v>0</v>
      </c>
      <c r="AE187" s="132" t="n">
        <f aca="false">$F187*J187</f>
        <v>-0</v>
      </c>
      <c r="AF187" s="132" t="n">
        <f aca="false">$F187*K187</f>
        <v>-0</v>
      </c>
      <c r="AG187" s="132" t="n">
        <f aca="false">$F187*L187</f>
        <v>0</v>
      </c>
      <c r="AH187" s="132" t="n">
        <f aca="false">$F187*M187</f>
        <v>0</v>
      </c>
      <c r="AI187" s="132" t="n">
        <f aca="false">$F187*N187</f>
        <v>0</v>
      </c>
      <c r="AJ187" s="132" t="n">
        <f aca="false">F187*O187</f>
        <v>0</v>
      </c>
      <c r="AK187" s="137"/>
      <c r="AL187" s="132" t="n">
        <f aca="false">CHOOSE($G$3,AC187-AD187,AD187-AC187)</f>
        <v>0</v>
      </c>
      <c r="AM187" s="132" t="n">
        <f aca="false">CHOOSE($G$3,AF187-AG187,AG187-AF187)</f>
        <v>0</v>
      </c>
      <c r="AN187" s="132" t="n">
        <f aca="false">CHOOSE($G$3,AI187-AJ187,AJ187-AI187)</f>
        <v>0</v>
      </c>
      <c r="AO187" s="148" t="n">
        <f aca="false">SUM(AL187:AN187)</f>
        <v>0</v>
      </c>
      <c r="AQ187" s="132" t="n">
        <f aca="false">CHOOSE($G$3,AB187-AC187,AC187-AB187)</f>
        <v>0</v>
      </c>
      <c r="AR187" s="132" t="n">
        <f aca="false">CHOOSE($G$3,AE187-AF187,AF187-AE187)</f>
        <v>0</v>
      </c>
      <c r="AS187" s="132" t="n">
        <f aca="false">CHOOSE($G$3,AH187-AI187,AI187-AH187)</f>
        <v>0</v>
      </c>
      <c r="AT187" s="148" t="n">
        <f aca="false">AQ187+AR187+AS187</f>
        <v>0</v>
      </c>
      <c r="AU187" s="148"/>
      <c r="AV187" s="133" t="n">
        <f aca="false">AT187+AO187</f>
        <v>0</v>
      </c>
      <c r="AX187" s="133" t="n">
        <f aca="false">AJ187+AG187+AD187</f>
        <v>0</v>
      </c>
      <c r="AY187" s="149"/>
      <c r="AZ187" s="76" t="n">
        <f aca="false">R187*E187</f>
        <v>0</v>
      </c>
    </row>
    <row r="188" customFormat="false" ht="12" hidden="false" customHeight="true" outlineLevel="0" collapsed="false">
      <c r="A188" s="138" t="n">
        <f aca="false">EDATE(A187,1)</f>
        <v>42401</v>
      </c>
      <c r="B188" s="139" t="n">
        <f aca="false">VLOOKUP($A188,Table2,MATCH(I$3,Curves2,0))</f>
        <v>0</v>
      </c>
      <c r="C188" s="140"/>
      <c r="D188" s="141" t="n">
        <f aca="false">B188+C188</f>
        <v>0</v>
      </c>
      <c r="E188" s="126" t="n">
        <f aca="false">IF(Y188=0,0,IF(AND(Y188=1,$H$3=1),D188*T188,IF($H$3=2,D188,"N/A")))</f>
        <v>0</v>
      </c>
      <c r="F188" s="126" t="n">
        <f aca="false">E188*X188</f>
        <v>0</v>
      </c>
      <c r="G188" s="142" t="n">
        <f aca="false">VLOOKUP($A188,Table,MATCH(G$4,Curves,0))</f>
        <v>3.987</v>
      </c>
      <c r="H188" s="143" t="n">
        <f aca="false">G188</f>
        <v>3.987</v>
      </c>
      <c r="I188" s="142" t="n">
        <f aca="false">VLOOKUP($A188,Table1,MATCH(I$3,Curves1,0))</f>
        <v>0</v>
      </c>
      <c r="J188" s="142" t="n">
        <f aca="false">VLOOKUP($A188,Table,MATCH(J$4,Curves,0))</f>
        <v>-0.0235</v>
      </c>
      <c r="K188" s="143" t="n">
        <f aca="false">J188</f>
        <v>-0.0235</v>
      </c>
      <c r="L188" s="144" t="n">
        <v>0</v>
      </c>
      <c r="M188" s="142" t="n">
        <f aca="false">VLOOKUP($A188,Table,MATCH(M$4,Curves,0))</f>
        <v>0.0075</v>
      </c>
      <c r="N188" s="143" t="n">
        <f aca="false">M188</f>
        <v>0.0075</v>
      </c>
      <c r="O188" s="144" t="n">
        <v>0</v>
      </c>
      <c r="P188" s="145"/>
      <c r="Q188" s="144" t="n">
        <f aca="false">M188+J188+G188</f>
        <v>3.971</v>
      </c>
      <c r="R188" s="144" t="n">
        <f aca="false">O188+L188+I188</f>
        <v>0</v>
      </c>
      <c r="S188" s="145"/>
      <c r="T188" s="71" t="n">
        <f aca="false">A189-A188</f>
        <v>29</v>
      </c>
      <c r="U188" s="146" t="n">
        <f aca="false">CHOOSE(F$3,A189+24,A188)</f>
        <v>42454</v>
      </c>
      <c r="V188" s="71" t="n">
        <f aca="false">U188-C$3</f>
        <v>5566</v>
      </c>
      <c r="W188" s="142" t="n">
        <f aca="false">VLOOKUP($A188,Table,MATCH(W$4,Curves,0))</f>
        <v>0.058966861357273</v>
      </c>
      <c r="X188" s="147" t="n">
        <f aca="false">1/(1+CHOOSE(F$3,(W189+($K$3/10000))/2,(W188+($K$3/10000))/2))^(2*V188/365.25)</f>
        <v>0.412467945684007</v>
      </c>
      <c r="Y188" s="71" t="n">
        <f aca="false">IF(AND(mthbeg&lt;=A188,mthend&gt;=A188),1,0)</f>
        <v>0</v>
      </c>
      <c r="Z188" s="71" t="n">
        <f aca="false">T188*Y188</f>
        <v>0</v>
      </c>
      <c r="AB188" s="132" t="n">
        <f aca="false">F188*G188</f>
        <v>0</v>
      </c>
      <c r="AC188" s="132" t="n">
        <f aca="false">$F188*H188</f>
        <v>0</v>
      </c>
      <c r="AD188" s="132" t="n">
        <f aca="false">$F188*I188</f>
        <v>0</v>
      </c>
      <c r="AE188" s="132" t="n">
        <f aca="false">$F188*J188</f>
        <v>-0</v>
      </c>
      <c r="AF188" s="132" t="n">
        <f aca="false">$F188*K188</f>
        <v>-0</v>
      </c>
      <c r="AG188" s="132" t="n">
        <f aca="false">$F188*L188</f>
        <v>0</v>
      </c>
      <c r="AH188" s="132" t="n">
        <f aca="false">$F188*M188</f>
        <v>0</v>
      </c>
      <c r="AI188" s="132" t="n">
        <f aca="false">$F188*N188</f>
        <v>0</v>
      </c>
      <c r="AJ188" s="132" t="n">
        <f aca="false">F188*O188</f>
        <v>0</v>
      </c>
      <c r="AK188" s="137"/>
      <c r="AL188" s="132" t="n">
        <f aca="false">CHOOSE($G$3,AC188-AD188,AD188-AC188)</f>
        <v>0</v>
      </c>
      <c r="AM188" s="132" t="n">
        <f aca="false">CHOOSE($G$3,AF188-AG188,AG188-AF188)</f>
        <v>0</v>
      </c>
      <c r="AN188" s="132" t="n">
        <f aca="false">CHOOSE($G$3,AI188-AJ188,AJ188-AI188)</f>
        <v>0</v>
      </c>
      <c r="AO188" s="148" t="n">
        <f aca="false">SUM(AL188:AN188)</f>
        <v>0</v>
      </c>
      <c r="AQ188" s="132" t="n">
        <f aca="false">CHOOSE($G$3,AB188-AC188,AC188-AB188)</f>
        <v>0</v>
      </c>
      <c r="AR188" s="132" t="n">
        <f aca="false">CHOOSE($G$3,AE188-AF188,AF188-AE188)</f>
        <v>0</v>
      </c>
      <c r="AS188" s="132" t="n">
        <f aca="false">CHOOSE($G$3,AH188-AI188,AI188-AH188)</f>
        <v>0</v>
      </c>
      <c r="AT188" s="148" t="n">
        <f aca="false">AQ188+AR188+AS188</f>
        <v>0</v>
      </c>
      <c r="AU188" s="148"/>
      <c r="AV188" s="133" t="n">
        <f aca="false">AT188+AO188</f>
        <v>0</v>
      </c>
      <c r="AX188" s="133" t="n">
        <f aca="false">AJ188+AG188+AD188</f>
        <v>0</v>
      </c>
      <c r="AY188" s="149"/>
      <c r="AZ188" s="76" t="n">
        <f aca="false">R188*E188</f>
        <v>0</v>
      </c>
    </row>
    <row r="189" customFormat="false" ht="12" hidden="false" customHeight="true" outlineLevel="0" collapsed="false">
      <c r="A189" s="138" t="n">
        <f aca="false">EDATE(A188,1)</f>
        <v>42430</v>
      </c>
      <c r="B189" s="139" t="n">
        <f aca="false">VLOOKUP($A189,Table2,MATCH(I$3,Curves2,0))</f>
        <v>0</v>
      </c>
      <c r="C189" s="140"/>
      <c r="D189" s="141" t="n">
        <f aca="false">B189+C189</f>
        <v>0</v>
      </c>
      <c r="E189" s="126" t="n">
        <f aca="false">IF(Y189=0,0,IF(AND(Y189=1,$H$3=1),D189*T189,IF($H$3=2,D189,"N/A")))</f>
        <v>0</v>
      </c>
      <c r="F189" s="126" t="n">
        <f aca="false">E189*X189</f>
        <v>0</v>
      </c>
      <c r="G189" s="142" t="n">
        <f aca="false">VLOOKUP($A189,Table,MATCH(G$4,Curves,0))</f>
        <v>3.987</v>
      </c>
      <c r="H189" s="143" t="n">
        <f aca="false">G189</f>
        <v>3.987</v>
      </c>
      <c r="I189" s="142" t="n">
        <f aca="false">VLOOKUP($A189,Table1,MATCH(I$3,Curves1,0))</f>
        <v>0</v>
      </c>
      <c r="J189" s="142" t="n">
        <f aca="false">VLOOKUP($A189,Table,MATCH(J$4,Curves,0))</f>
        <v>-0.0235</v>
      </c>
      <c r="K189" s="143" t="n">
        <f aca="false">J189</f>
        <v>-0.0235</v>
      </c>
      <c r="L189" s="144" t="n">
        <v>0</v>
      </c>
      <c r="M189" s="142" t="n">
        <f aca="false">VLOOKUP($A189,Table,MATCH(M$4,Curves,0))</f>
        <v>0.0075</v>
      </c>
      <c r="N189" s="143" t="n">
        <f aca="false">M189</f>
        <v>0.0075</v>
      </c>
      <c r="O189" s="144" t="n">
        <v>0</v>
      </c>
      <c r="P189" s="145"/>
      <c r="Q189" s="144" t="n">
        <f aca="false">M189+J189+G189</f>
        <v>3.971</v>
      </c>
      <c r="R189" s="144" t="n">
        <f aca="false">O189+L189+I189</f>
        <v>0</v>
      </c>
      <c r="S189" s="145"/>
      <c r="T189" s="71" t="n">
        <f aca="false">A190-A189</f>
        <v>31</v>
      </c>
      <c r="U189" s="146" t="n">
        <f aca="false">CHOOSE(F$3,A190+24,A189)</f>
        <v>42485</v>
      </c>
      <c r="V189" s="71" t="n">
        <f aca="false">U189-C$3</f>
        <v>5597</v>
      </c>
      <c r="W189" s="142" t="n">
        <f aca="false">VLOOKUP($A189,Table,MATCH(W$4,Curves,0))</f>
        <v>0.058966861357273</v>
      </c>
      <c r="X189" s="147" t="n">
        <f aca="false">1/(1+CHOOSE(F$3,(W190+($K$3/10000))/2,(W189+($K$3/10000))/2))^(2*V189/365.25)</f>
        <v>0.410438515485284</v>
      </c>
      <c r="Y189" s="71" t="n">
        <f aca="false">IF(AND(mthbeg&lt;=A189,mthend&gt;=A189),1,0)</f>
        <v>0</v>
      </c>
      <c r="Z189" s="71" t="n">
        <f aca="false">T189*Y189</f>
        <v>0</v>
      </c>
      <c r="AB189" s="132" t="n">
        <f aca="false">F189*G189</f>
        <v>0</v>
      </c>
      <c r="AC189" s="132" t="n">
        <f aca="false">$F189*H189</f>
        <v>0</v>
      </c>
      <c r="AD189" s="132" t="n">
        <f aca="false">$F189*I189</f>
        <v>0</v>
      </c>
      <c r="AE189" s="132" t="n">
        <f aca="false">$F189*J189</f>
        <v>-0</v>
      </c>
      <c r="AF189" s="132" t="n">
        <f aca="false">$F189*K189</f>
        <v>-0</v>
      </c>
      <c r="AG189" s="132" t="n">
        <f aca="false">$F189*L189</f>
        <v>0</v>
      </c>
      <c r="AH189" s="132" t="n">
        <f aca="false">$F189*M189</f>
        <v>0</v>
      </c>
      <c r="AI189" s="132" t="n">
        <f aca="false">$F189*N189</f>
        <v>0</v>
      </c>
      <c r="AJ189" s="132" t="n">
        <f aca="false">F189*O189</f>
        <v>0</v>
      </c>
      <c r="AK189" s="137"/>
      <c r="AL189" s="132" t="n">
        <f aca="false">CHOOSE($G$3,AC189-AD189,AD189-AC189)</f>
        <v>0</v>
      </c>
      <c r="AM189" s="132" t="n">
        <f aca="false">CHOOSE($G$3,AF189-AG189,AG189-AF189)</f>
        <v>0</v>
      </c>
      <c r="AN189" s="132" t="n">
        <f aca="false">CHOOSE($G$3,AI189-AJ189,AJ189-AI189)</f>
        <v>0</v>
      </c>
      <c r="AO189" s="148" t="n">
        <f aca="false">SUM(AL189:AN189)</f>
        <v>0</v>
      </c>
      <c r="AQ189" s="132" t="n">
        <f aca="false">CHOOSE($G$3,AB189-AC189,AC189-AB189)</f>
        <v>0</v>
      </c>
      <c r="AR189" s="132" t="n">
        <f aca="false">CHOOSE($G$3,AE189-AF189,AF189-AE189)</f>
        <v>0</v>
      </c>
      <c r="AS189" s="132" t="n">
        <f aca="false">CHOOSE($G$3,AH189-AI189,AI189-AH189)</f>
        <v>0</v>
      </c>
      <c r="AT189" s="148" t="n">
        <f aca="false">AQ189+AR189+AS189</f>
        <v>0</v>
      </c>
      <c r="AU189" s="148"/>
      <c r="AV189" s="133" t="n">
        <f aca="false">AT189+AO189</f>
        <v>0</v>
      </c>
      <c r="AX189" s="133" t="n">
        <f aca="false">AJ189+AG189+AD189</f>
        <v>0</v>
      </c>
      <c r="AY189" s="149"/>
      <c r="AZ189" s="76" t="n">
        <f aca="false">R189*E189</f>
        <v>0</v>
      </c>
    </row>
    <row r="190" customFormat="false" ht="12" hidden="false" customHeight="true" outlineLevel="0" collapsed="false">
      <c r="A190" s="138" t="n">
        <f aca="false">EDATE(A189,1)</f>
        <v>42461</v>
      </c>
      <c r="B190" s="139" t="n">
        <f aca="false">VLOOKUP($A190,Table2,MATCH(I$3,Curves2,0))</f>
        <v>0</v>
      </c>
      <c r="C190" s="140"/>
      <c r="D190" s="141" t="n">
        <f aca="false">B190+C190</f>
        <v>0</v>
      </c>
      <c r="E190" s="126" t="n">
        <f aca="false">IF(Y190=0,0,IF(AND(Y190=1,$H$3=1),D190*T190,IF($H$3=2,D190,"N/A")))</f>
        <v>0</v>
      </c>
      <c r="F190" s="126" t="n">
        <f aca="false">E190*X190</f>
        <v>0</v>
      </c>
      <c r="G190" s="142" t="n">
        <f aca="false">VLOOKUP($A190,Table,MATCH(G$4,Curves,0))</f>
        <v>3.987</v>
      </c>
      <c r="H190" s="143" t="n">
        <f aca="false">G190</f>
        <v>3.987</v>
      </c>
      <c r="I190" s="142" t="n">
        <f aca="false">VLOOKUP($A190,Table1,MATCH(I$3,Curves1,0))</f>
        <v>0</v>
      </c>
      <c r="J190" s="142" t="n">
        <f aca="false">VLOOKUP($A190,Table,MATCH(J$4,Curves,0))</f>
        <v>-0.0235</v>
      </c>
      <c r="K190" s="143" t="n">
        <f aca="false">J190</f>
        <v>-0.0235</v>
      </c>
      <c r="L190" s="144" t="n">
        <v>0</v>
      </c>
      <c r="M190" s="142" t="n">
        <f aca="false">VLOOKUP($A190,Table,MATCH(M$4,Curves,0))</f>
        <v>0.0075</v>
      </c>
      <c r="N190" s="143" t="n">
        <f aca="false">M190</f>
        <v>0.0075</v>
      </c>
      <c r="O190" s="144" t="n">
        <v>0</v>
      </c>
      <c r="P190" s="145"/>
      <c r="Q190" s="144" t="n">
        <f aca="false">M190+J190+G190</f>
        <v>3.971</v>
      </c>
      <c r="R190" s="144" t="n">
        <f aca="false">O190+L190+I190</f>
        <v>0</v>
      </c>
      <c r="S190" s="145"/>
      <c r="T190" s="71" t="n">
        <f aca="false">A191-A190</f>
        <v>30</v>
      </c>
      <c r="U190" s="146" t="n">
        <f aca="false">CHOOSE(F$3,A191+24,A190)</f>
        <v>42515</v>
      </c>
      <c r="V190" s="71" t="n">
        <f aca="false">U190-C$3</f>
        <v>5627</v>
      </c>
      <c r="W190" s="142" t="n">
        <f aca="false">VLOOKUP($A190,Table,MATCH(W$4,Curves,0))</f>
        <v>0.058966861357273</v>
      </c>
      <c r="X190" s="147" t="n">
        <f aca="false">1/(1+CHOOSE(F$3,(W191+($K$3/10000))/2,(W190+($K$3/10000))/2))^(2*V190/365.25)</f>
        <v>0.408484058548544</v>
      </c>
      <c r="Y190" s="71" t="n">
        <f aca="false">IF(AND(mthbeg&lt;=A190,mthend&gt;=A190),1,0)</f>
        <v>0</v>
      </c>
      <c r="Z190" s="71" t="n">
        <f aca="false">T190*Y190</f>
        <v>0</v>
      </c>
      <c r="AB190" s="132" t="n">
        <f aca="false">F190*G190</f>
        <v>0</v>
      </c>
      <c r="AC190" s="132" t="n">
        <f aca="false">$F190*H190</f>
        <v>0</v>
      </c>
      <c r="AD190" s="132" t="n">
        <f aca="false">$F190*I190</f>
        <v>0</v>
      </c>
      <c r="AE190" s="132" t="n">
        <f aca="false">$F190*J190</f>
        <v>-0</v>
      </c>
      <c r="AF190" s="132" t="n">
        <f aca="false">$F190*K190</f>
        <v>-0</v>
      </c>
      <c r="AG190" s="132" t="n">
        <f aca="false">$F190*L190</f>
        <v>0</v>
      </c>
      <c r="AH190" s="132" t="n">
        <f aca="false">$F190*M190</f>
        <v>0</v>
      </c>
      <c r="AI190" s="132" t="n">
        <f aca="false">$F190*N190</f>
        <v>0</v>
      </c>
      <c r="AJ190" s="132" t="n">
        <f aca="false">F190*O190</f>
        <v>0</v>
      </c>
      <c r="AK190" s="137"/>
      <c r="AL190" s="132" t="n">
        <f aca="false">CHOOSE($G$3,AC190-AD190,AD190-AC190)</f>
        <v>0</v>
      </c>
      <c r="AM190" s="132" t="n">
        <f aca="false">CHOOSE($G$3,AF190-AG190,AG190-AF190)</f>
        <v>0</v>
      </c>
      <c r="AN190" s="132" t="n">
        <f aca="false">CHOOSE($G$3,AI190-AJ190,AJ190-AI190)</f>
        <v>0</v>
      </c>
      <c r="AO190" s="148" t="n">
        <f aca="false">SUM(AL190:AN190)</f>
        <v>0</v>
      </c>
      <c r="AQ190" s="132" t="n">
        <f aca="false">CHOOSE($G$3,AB190-AC190,AC190-AB190)</f>
        <v>0</v>
      </c>
      <c r="AR190" s="132" t="n">
        <f aca="false">CHOOSE($G$3,AE190-AF190,AF190-AE190)</f>
        <v>0</v>
      </c>
      <c r="AS190" s="132" t="n">
        <f aca="false">CHOOSE($G$3,AH190-AI190,AI190-AH190)</f>
        <v>0</v>
      </c>
      <c r="AT190" s="148" t="n">
        <f aca="false">AQ190+AR190+AS190</f>
        <v>0</v>
      </c>
      <c r="AU190" s="148"/>
      <c r="AV190" s="133" t="n">
        <f aca="false">AT190+AO190</f>
        <v>0</v>
      </c>
      <c r="AX190" s="133" t="n">
        <f aca="false">AJ190+AG190+AD190</f>
        <v>0</v>
      </c>
      <c r="AY190" s="149"/>
      <c r="AZ190" s="76" t="n">
        <f aca="false">R190*E190</f>
        <v>0</v>
      </c>
    </row>
    <row r="191" customFormat="false" ht="12" hidden="false" customHeight="true" outlineLevel="0" collapsed="false">
      <c r="A191" s="138" t="n">
        <f aca="false">EDATE(A190,1)</f>
        <v>42491</v>
      </c>
      <c r="B191" s="139" t="n">
        <f aca="false">VLOOKUP($A191,Table2,MATCH(I$3,Curves2,0))</f>
        <v>0</v>
      </c>
      <c r="C191" s="140"/>
      <c r="D191" s="141" t="n">
        <f aca="false">B191+C191</f>
        <v>0</v>
      </c>
      <c r="E191" s="126" t="n">
        <f aca="false">IF(Y191=0,0,IF(AND(Y191=1,$H$3=1),D191*T191,IF($H$3=2,D191,"N/A")))</f>
        <v>0</v>
      </c>
      <c r="F191" s="126" t="n">
        <f aca="false">E191*X191</f>
        <v>0</v>
      </c>
      <c r="G191" s="142" t="n">
        <f aca="false">VLOOKUP($A191,Table,MATCH(G$4,Curves,0))</f>
        <v>3.987</v>
      </c>
      <c r="H191" s="143" t="n">
        <f aca="false">G191</f>
        <v>3.987</v>
      </c>
      <c r="I191" s="142" t="n">
        <f aca="false">VLOOKUP($A191,Table1,MATCH(I$3,Curves1,0))</f>
        <v>0</v>
      </c>
      <c r="J191" s="142" t="n">
        <f aca="false">VLOOKUP($A191,Table,MATCH(J$4,Curves,0))</f>
        <v>-0.0235</v>
      </c>
      <c r="K191" s="143" t="n">
        <f aca="false">J191</f>
        <v>-0.0235</v>
      </c>
      <c r="L191" s="144" t="n">
        <v>0</v>
      </c>
      <c r="M191" s="142" t="n">
        <f aca="false">VLOOKUP($A191,Table,MATCH(M$4,Curves,0))</f>
        <v>0.0075</v>
      </c>
      <c r="N191" s="143" t="n">
        <f aca="false">M191</f>
        <v>0.0075</v>
      </c>
      <c r="O191" s="144" t="n">
        <v>0</v>
      </c>
      <c r="P191" s="145"/>
      <c r="Q191" s="144" t="n">
        <f aca="false">M191+J191+G191</f>
        <v>3.971</v>
      </c>
      <c r="R191" s="144" t="n">
        <f aca="false">O191+L191+I191</f>
        <v>0</v>
      </c>
      <c r="S191" s="145"/>
      <c r="T191" s="71" t="n">
        <f aca="false">A192-A191</f>
        <v>31</v>
      </c>
      <c r="U191" s="146" t="n">
        <f aca="false">CHOOSE(F$3,A192+24,A191)</f>
        <v>42546</v>
      </c>
      <c r="V191" s="71" t="n">
        <f aca="false">U191-C$3</f>
        <v>5658</v>
      </c>
      <c r="W191" s="142" t="n">
        <f aca="false">VLOOKUP($A191,Table,MATCH(W$4,Curves,0))</f>
        <v>0.058966861357273</v>
      </c>
      <c r="X191" s="147" t="n">
        <f aca="false">1/(1+CHOOSE(F$3,(W192+($K$3/10000))/2,(W191+($K$3/10000))/2))^(2*V191/365.25)</f>
        <v>0.406474229923581</v>
      </c>
      <c r="Y191" s="71" t="n">
        <f aca="false">IF(AND(mthbeg&lt;=A191,mthend&gt;=A191),1,0)</f>
        <v>0</v>
      </c>
      <c r="Z191" s="71" t="n">
        <f aca="false">T191*Y191</f>
        <v>0</v>
      </c>
      <c r="AB191" s="132" t="n">
        <f aca="false">F191*G191</f>
        <v>0</v>
      </c>
      <c r="AC191" s="132" t="n">
        <f aca="false">$F191*H191</f>
        <v>0</v>
      </c>
      <c r="AD191" s="132" t="n">
        <f aca="false">$F191*I191</f>
        <v>0</v>
      </c>
      <c r="AE191" s="132" t="n">
        <f aca="false">$F191*J191</f>
        <v>-0</v>
      </c>
      <c r="AF191" s="132" t="n">
        <f aca="false">$F191*K191</f>
        <v>-0</v>
      </c>
      <c r="AG191" s="132" t="n">
        <f aca="false">$F191*L191</f>
        <v>0</v>
      </c>
      <c r="AH191" s="132" t="n">
        <f aca="false">$F191*M191</f>
        <v>0</v>
      </c>
      <c r="AI191" s="132" t="n">
        <f aca="false">$F191*N191</f>
        <v>0</v>
      </c>
      <c r="AJ191" s="132" t="n">
        <f aca="false">F191*O191</f>
        <v>0</v>
      </c>
      <c r="AK191" s="137"/>
      <c r="AL191" s="132" t="n">
        <f aca="false">CHOOSE($G$3,AC191-AD191,AD191-AC191)</f>
        <v>0</v>
      </c>
      <c r="AM191" s="132" t="n">
        <f aca="false">CHOOSE($G$3,AF191-AG191,AG191-AF191)</f>
        <v>0</v>
      </c>
      <c r="AN191" s="132" t="n">
        <f aca="false">CHOOSE($G$3,AI191-AJ191,AJ191-AI191)</f>
        <v>0</v>
      </c>
      <c r="AO191" s="148" t="n">
        <f aca="false">SUM(AL191:AN191)</f>
        <v>0</v>
      </c>
      <c r="AQ191" s="132" t="n">
        <f aca="false">CHOOSE($G$3,AB191-AC191,AC191-AB191)</f>
        <v>0</v>
      </c>
      <c r="AR191" s="132" t="n">
        <f aca="false">CHOOSE($G$3,AE191-AF191,AF191-AE191)</f>
        <v>0</v>
      </c>
      <c r="AS191" s="132" t="n">
        <f aca="false">CHOOSE($G$3,AH191-AI191,AI191-AH191)</f>
        <v>0</v>
      </c>
      <c r="AT191" s="148" t="n">
        <f aca="false">AQ191+AR191+AS191</f>
        <v>0</v>
      </c>
      <c r="AU191" s="148"/>
      <c r="AV191" s="133" t="n">
        <f aca="false">AT191+AO191</f>
        <v>0</v>
      </c>
      <c r="AX191" s="133" t="n">
        <f aca="false">AJ191+AG191+AD191</f>
        <v>0</v>
      </c>
      <c r="AY191" s="149"/>
      <c r="AZ191" s="76" t="n">
        <f aca="false">R191*E191</f>
        <v>0</v>
      </c>
    </row>
    <row r="192" customFormat="false" ht="12" hidden="false" customHeight="true" outlineLevel="0" collapsed="false">
      <c r="A192" s="138" t="n">
        <f aca="false">EDATE(A191,1)</f>
        <v>42522</v>
      </c>
      <c r="B192" s="139" t="n">
        <f aca="false">VLOOKUP($A192,Table2,MATCH(I$3,Curves2,0))</f>
        <v>0</v>
      </c>
      <c r="C192" s="140"/>
      <c r="D192" s="141" t="n">
        <f aca="false">B192+C192</f>
        <v>0</v>
      </c>
      <c r="E192" s="126" t="n">
        <f aca="false">IF(Y192=0,0,IF(AND(Y192=1,$H$3=1),D192*T192,IF($H$3=2,D192,"N/A")))</f>
        <v>0</v>
      </c>
      <c r="F192" s="126" t="n">
        <f aca="false">E192*X192</f>
        <v>0</v>
      </c>
      <c r="G192" s="142" t="n">
        <f aca="false">VLOOKUP($A192,Table,MATCH(G$4,Curves,0))</f>
        <v>3.987</v>
      </c>
      <c r="H192" s="143" t="n">
        <f aca="false">G192</f>
        <v>3.987</v>
      </c>
      <c r="I192" s="142" t="n">
        <f aca="false">VLOOKUP($A192,Table1,MATCH(I$3,Curves1,0))</f>
        <v>0</v>
      </c>
      <c r="J192" s="142" t="n">
        <f aca="false">VLOOKUP($A192,Table,MATCH(J$4,Curves,0))</f>
        <v>-0.0235</v>
      </c>
      <c r="K192" s="143" t="n">
        <f aca="false">J192</f>
        <v>-0.0235</v>
      </c>
      <c r="L192" s="144" t="n">
        <v>0</v>
      </c>
      <c r="M192" s="142" t="n">
        <f aca="false">VLOOKUP($A192,Table,MATCH(M$4,Curves,0))</f>
        <v>0.0075</v>
      </c>
      <c r="N192" s="143" t="n">
        <f aca="false">M192</f>
        <v>0.0075</v>
      </c>
      <c r="O192" s="144" t="n">
        <v>0</v>
      </c>
      <c r="P192" s="145"/>
      <c r="Q192" s="144" t="n">
        <f aca="false">M192+J192+G192</f>
        <v>3.971</v>
      </c>
      <c r="R192" s="144" t="n">
        <f aca="false">O192+L192+I192</f>
        <v>0</v>
      </c>
      <c r="S192" s="145"/>
      <c r="T192" s="71" t="n">
        <f aca="false">A193-A192</f>
        <v>30</v>
      </c>
      <c r="U192" s="146" t="n">
        <f aca="false">CHOOSE(F$3,A193+24,A192)</f>
        <v>42576</v>
      </c>
      <c r="V192" s="71" t="n">
        <f aca="false">U192-C$3</f>
        <v>5688</v>
      </c>
      <c r="W192" s="142" t="n">
        <f aca="false">VLOOKUP($A192,Table,MATCH(W$4,Curves,0))</f>
        <v>0.058966861357273</v>
      </c>
      <c r="X192" s="147" t="n">
        <f aca="false">1/(1+CHOOSE(F$3,(W193+($K$3/10000))/2,(W192+($K$3/10000))/2))^(2*V192/365.25)</f>
        <v>0.404538650419448</v>
      </c>
      <c r="Y192" s="71" t="n">
        <f aca="false">IF(AND(mthbeg&lt;=A192,mthend&gt;=A192),1,0)</f>
        <v>0</v>
      </c>
      <c r="Z192" s="71" t="n">
        <f aca="false">T192*Y192</f>
        <v>0</v>
      </c>
      <c r="AB192" s="132" t="n">
        <f aca="false">F192*G192</f>
        <v>0</v>
      </c>
      <c r="AC192" s="132" t="n">
        <f aca="false">$F192*H192</f>
        <v>0</v>
      </c>
      <c r="AD192" s="132" t="n">
        <f aca="false">$F192*I192</f>
        <v>0</v>
      </c>
      <c r="AE192" s="132" t="n">
        <f aca="false">$F192*J192</f>
        <v>-0</v>
      </c>
      <c r="AF192" s="132" t="n">
        <f aca="false">$F192*K192</f>
        <v>-0</v>
      </c>
      <c r="AG192" s="132" t="n">
        <f aca="false">$F192*L192</f>
        <v>0</v>
      </c>
      <c r="AH192" s="132" t="n">
        <f aca="false">$F192*M192</f>
        <v>0</v>
      </c>
      <c r="AI192" s="132" t="n">
        <f aca="false">$F192*N192</f>
        <v>0</v>
      </c>
      <c r="AJ192" s="132" t="n">
        <f aca="false">F192*O192</f>
        <v>0</v>
      </c>
      <c r="AK192" s="137"/>
      <c r="AL192" s="132" t="n">
        <f aca="false">CHOOSE($G$3,AC192-AD192,AD192-AC192)</f>
        <v>0</v>
      </c>
      <c r="AM192" s="132" t="n">
        <f aca="false">CHOOSE($G$3,AF192-AG192,AG192-AF192)</f>
        <v>0</v>
      </c>
      <c r="AN192" s="132" t="n">
        <f aca="false">CHOOSE($G$3,AI192-AJ192,AJ192-AI192)</f>
        <v>0</v>
      </c>
      <c r="AO192" s="148" t="n">
        <f aca="false">SUM(AL192:AN192)</f>
        <v>0</v>
      </c>
      <c r="AQ192" s="132" t="n">
        <f aca="false">CHOOSE($G$3,AB192-AC192,AC192-AB192)</f>
        <v>0</v>
      </c>
      <c r="AR192" s="132" t="n">
        <f aca="false">CHOOSE($G$3,AE192-AF192,AF192-AE192)</f>
        <v>0</v>
      </c>
      <c r="AS192" s="132" t="n">
        <f aca="false">CHOOSE($G$3,AH192-AI192,AI192-AH192)</f>
        <v>0</v>
      </c>
      <c r="AT192" s="148" t="n">
        <f aca="false">AQ192+AR192+AS192</f>
        <v>0</v>
      </c>
      <c r="AU192" s="148"/>
      <c r="AV192" s="133" t="n">
        <f aca="false">AT192+AO192</f>
        <v>0</v>
      </c>
      <c r="AX192" s="133" t="n">
        <f aca="false">AJ192+AG192+AD192</f>
        <v>0</v>
      </c>
      <c r="AY192" s="149"/>
      <c r="AZ192" s="76" t="n">
        <f aca="false">R192*E192</f>
        <v>0</v>
      </c>
    </row>
    <row r="193" customFormat="false" ht="12" hidden="false" customHeight="true" outlineLevel="0" collapsed="false">
      <c r="A193" s="138" t="n">
        <f aca="false">EDATE(A192,1)</f>
        <v>42552</v>
      </c>
      <c r="B193" s="139" t="n">
        <f aca="false">VLOOKUP($A193,Table2,MATCH(I$3,Curves2,0))</f>
        <v>0</v>
      </c>
      <c r="C193" s="140"/>
      <c r="D193" s="141" t="n">
        <f aca="false">B193+C193</f>
        <v>0</v>
      </c>
      <c r="E193" s="126" t="n">
        <f aca="false">IF(Y193=0,0,IF(AND(Y193=1,$H$3=1),D193*T193,IF($H$3=2,D193,"N/A")))</f>
        <v>0</v>
      </c>
      <c r="F193" s="126" t="n">
        <f aca="false">E193*X193</f>
        <v>0</v>
      </c>
      <c r="G193" s="142" t="n">
        <f aca="false">VLOOKUP($A193,Table,MATCH(G$4,Curves,0))</f>
        <v>3.987</v>
      </c>
      <c r="H193" s="143" t="n">
        <f aca="false">G193</f>
        <v>3.987</v>
      </c>
      <c r="I193" s="142" t="n">
        <f aca="false">VLOOKUP($A193,Table1,MATCH(I$3,Curves1,0))</f>
        <v>0</v>
      </c>
      <c r="J193" s="142" t="n">
        <f aca="false">VLOOKUP($A193,Table,MATCH(J$4,Curves,0))</f>
        <v>-0.0235</v>
      </c>
      <c r="K193" s="143" t="n">
        <f aca="false">J193</f>
        <v>-0.0235</v>
      </c>
      <c r="L193" s="144" t="n">
        <v>0</v>
      </c>
      <c r="M193" s="142" t="n">
        <f aca="false">VLOOKUP($A193,Table,MATCH(M$4,Curves,0))</f>
        <v>0.0075</v>
      </c>
      <c r="N193" s="143" t="n">
        <f aca="false">M193</f>
        <v>0.0075</v>
      </c>
      <c r="O193" s="144" t="n">
        <v>0</v>
      </c>
      <c r="P193" s="145"/>
      <c r="Q193" s="144" t="n">
        <f aca="false">M193+J193+G193</f>
        <v>3.971</v>
      </c>
      <c r="R193" s="144" t="n">
        <f aca="false">O193+L193+I193</f>
        <v>0</v>
      </c>
      <c r="S193" s="145"/>
      <c r="T193" s="71" t="n">
        <f aca="false">A194-A193</f>
        <v>31</v>
      </c>
      <c r="U193" s="146" t="n">
        <f aca="false">CHOOSE(F$3,A194+24,A193)</f>
        <v>42607</v>
      </c>
      <c r="V193" s="71" t="n">
        <f aca="false">U193-C$3</f>
        <v>5719</v>
      </c>
      <c r="W193" s="142" t="n">
        <f aca="false">VLOOKUP($A193,Table,MATCH(W$4,Curves,0))</f>
        <v>0.058966861357273</v>
      </c>
      <c r="X193" s="147" t="n">
        <f aca="false">1/(1+CHOOSE(F$3,(W194+($K$3/10000))/2,(W193+($K$3/10000))/2))^(2*V193/365.25)</f>
        <v>0.402548234043333</v>
      </c>
      <c r="Y193" s="71" t="n">
        <f aca="false">IF(AND(mthbeg&lt;=A193,mthend&gt;=A193),1,0)</f>
        <v>0</v>
      </c>
      <c r="Z193" s="71" t="n">
        <f aca="false">T193*Y193</f>
        <v>0</v>
      </c>
      <c r="AB193" s="132" t="n">
        <f aca="false">F193*G193</f>
        <v>0</v>
      </c>
      <c r="AC193" s="132" t="n">
        <f aca="false">$F193*H193</f>
        <v>0</v>
      </c>
      <c r="AD193" s="132" t="n">
        <f aca="false">$F193*I193</f>
        <v>0</v>
      </c>
      <c r="AE193" s="132" t="n">
        <f aca="false">$F193*J193</f>
        <v>-0</v>
      </c>
      <c r="AF193" s="132" t="n">
        <f aca="false">$F193*K193</f>
        <v>-0</v>
      </c>
      <c r="AG193" s="132" t="n">
        <f aca="false">$F193*L193</f>
        <v>0</v>
      </c>
      <c r="AH193" s="132" t="n">
        <f aca="false">$F193*M193</f>
        <v>0</v>
      </c>
      <c r="AI193" s="132" t="n">
        <f aca="false">$F193*N193</f>
        <v>0</v>
      </c>
      <c r="AJ193" s="132" t="n">
        <f aca="false">F193*O193</f>
        <v>0</v>
      </c>
      <c r="AK193" s="137"/>
      <c r="AL193" s="132" t="n">
        <f aca="false">CHOOSE($G$3,AC193-AD193,AD193-AC193)</f>
        <v>0</v>
      </c>
      <c r="AM193" s="132" t="n">
        <f aca="false">CHOOSE($G$3,AF193-AG193,AG193-AF193)</f>
        <v>0</v>
      </c>
      <c r="AN193" s="132" t="n">
        <f aca="false">CHOOSE($G$3,AI193-AJ193,AJ193-AI193)</f>
        <v>0</v>
      </c>
      <c r="AO193" s="148" t="n">
        <f aca="false">SUM(AL193:AN193)</f>
        <v>0</v>
      </c>
      <c r="AQ193" s="132" t="n">
        <f aca="false">CHOOSE($G$3,AB193-AC193,AC193-AB193)</f>
        <v>0</v>
      </c>
      <c r="AR193" s="132" t="n">
        <f aca="false">CHOOSE($G$3,AE193-AF193,AF193-AE193)</f>
        <v>0</v>
      </c>
      <c r="AS193" s="132" t="n">
        <f aca="false">CHOOSE($G$3,AH193-AI193,AI193-AH193)</f>
        <v>0</v>
      </c>
      <c r="AT193" s="148" t="n">
        <f aca="false">AQ193+AR193+AS193</f>
        <v>0</v>
      </c>
      <c r="AU193" s="148"/>
      <c r="AV193" s="133" t="n">
        <f aca="false">AT193+AO193</f>
        <v>0</v>
      </c>
      <c r="AX193" s="133" t="n">
        <f aca="false">AJ193+AG193+AD193</f>
        <v>0</v>
      </c>
      <c r="AY193" s="149"/>
      <c r="AZ193" s="76" t="n">
        <f aca="false">R193*E193</f>
        <v>0</v>
      </c>
    </row>
    <row r="194" customFormat="false" ht="12" hidden="false" customHeight="true" outlineLevel="0" collapsed="false">
      <c r="A194" s="138" t="n">
        <f aca="false">EDATE(A193,1)</f>
        <v>42583</v>
      </c>
      <c r="B194" s="139" t="n">
        <f aca="false">VLOOKUP($A194,Table2,MATCH(I$3,Curves2,0))</f>
        <v>0</v>
      </c>
      <c r="C194" s="140"/>
      <c r="D194" s="141" t="n">
        <f aca="false">B194+C194</f>
        <v>0</v>
      </c>
      <c r="E194" s="126" t="n">
        <f aca="false">IF(Y194=0,0,IF(AND(Y194=1,$H$3=1),D194*T194,IF($H$3=2,D194,"N/A")))</f>
        <v>0</v>
      </c>
      <c r="F194" s="126" t="n">
        <f aca="false">E194*X194</f>
        <v>0</v>
      </c>
      <c r="G194" s="142" t="n">
        <f aca="false">VLOOKUP($A194,Table,MATCH(G$4,Curves,0))</f>
        <v>3.987</v>
      </c>
      <c r="H194" s="143" t="n">
        <f aca="false">G194</f>
        <v>3.987</v>
      </c>
      <c r="I194" s="142" t="n">
        <f aca="false">VLOOKUP($A194,Table1,MATCH(I$3,Curves1,0))</f>
        <v>0</v>
      </c>
      <c r="J194" s="142" t="n">
        <f aca="false">VLOOKUP($A194,Table,MATCH(J$4,Curves,0))</f>
        <v>-0.0235</v>
      </c>
      <c r="K194" s="143" t="n">
        <f aca="false">J194</f>
        <v>-0.0235</v>
      </c>
      <c r="L194" s="144" t="n">
        <v>0</v>
      </c>
      <c r="M194" s="142" t="n">
        <f aca="false">VLOOKUP($A194,Table,MATCH(M$4,Curves,0))</f>
        <v>0.0075</v>
      </c>
      <c r="N194" s="143" t="n">
        <f aca="false">M194</f>
        <v>0.0075</v>
      </c>
      <c r="O194" s="144" t="n">
        <v>0</v>
      </c>
      <c r="P194" s="145"/>
      <c r="Q194" s="144" t="n">
        <f aca="false">M194+J194+G194</f>
        <v>3.971</v>
      </c>
      <c r="R194" s="144" t="n">
        <f aca="false">O194+L194+I194</f>
        <v>0</v>
      </c>
      <c r="S194" s="145"/>
      <c r="T194" s="71" t="n">
        <f aca="false">A195-A194</f>
        <v>31</v>
      </c>
      <c r="U194" s="146" t="n">
        <f aca="false">CHOOSE(F$3,A195+24,A194)</f>
        <v>42638</v>
      </c>
      <c r="V194" s="71" t="n">
        <f aca="false">U194-C$3</f>
        <v>5750</v>
      </c>
      <c r="W194" s="142" t="n">
        <f aca="false">VLOOKUP($A194,Table,MATCH(W$4,Curves,0))</f>
        <v>0.058966861357273</v>
      </c>
      <c r="X194" s="147" t="n">
        <f aca="false">1/(1+CHOOSE(F$3,(W195+($K$3/10000))/2,(W194+($K$3/10000))/2))^(2*V194/365.25)</f>
        <v>0.400567610939989</v>
      </c>
      <c r="Y194" s="71" t="n">
        <f aca="false">IF(AND(mthbeg&lt;=A194,mthend&gt;=A194),1,0)</f>
        <v>0</v>
      </c>
      <c r="Z194" s="71" t="n">
        <f aca="false">T194*Y194</f>
        <v>0</v>
      </c>
      <c r="AB194" s="132" t="n">
        <f aca="false">F194*G194</f>
        <v>0</v>
      </c>
      <c r="AC194" s="132" t="n">
        <f aca="false">$F194*H194</f>
        <v>0</v>
      </c>
      <c r="AD194" s="132" t="n">
        <f aca="false">$F194*I194</f>
        <v>0</v>
      </c>
      <c r="AE194" s="132" t="n">
        <f aca="false">$F194*J194</f>
        <v>-0</v>
      </c>
      <c r="AF194" s="132" t="n">
        <f aca="false">$F194*K194</f>
        <v>-0</v>
      </c>
      <c r="AG194" s="132" t="n">
        <f aca="false">$F194*L194</f>
        <v>0</v>
      </c>
      <c r="AH194" s="132" t="n">
        <f aca="false">$F194*M194</f>
        <v>0</v>
      </c>
      <c r="AI194" s="132" t="n">
        <f aca="false">$F194*N194</f>
        <v>0</v>
      </c>
      <c r="AJ194" s="132" t="n">
        <f aca="false">F194*O194</f>
        <v>0</v>
      </c>
      <c r="AK194" s="137"/>
      <c r="AL194" s="132" t="n">
        <f aca="false">CHOOSE($G$3,AC194-AD194,AD194-AC194)</f>
        <v>0</v>
      </c>
      <c r="AM194" s="132" t="n">
        <f aca="false">CHOOSE($G$3,AF194-AG194,AG194-AF194)</f>
        <v>0</v>
      </c>
      <c r="AN194" s="132" t="n">
        <f aca="false">CHOOSE($G$3,AI194-AJ194,AJ194-AI194)</f>
        <v>0</v>
      </c>
      <c r="AO194" s="148" t="n">
        <f aca="false">SUM(AL194:AN194)</f>
        <v>0</v>
      </c>
      <c r="AQ194" s="132" t="n">
        <f aca="false">CHOOSE($G$3,AB194-AC194,AC194-AB194)</f>
        <v>0</v>
      </c>
      <c r="AR194" s="132" t="n">
        <f aca="false">CHOOSE($G$3,AE194-AF194,AF194-AE194)</f>
        <v>0</v>
      </c>
      <c r="AS194" s="132" t="n">
        <f aca="false">CHOOSE($G$3,AH194-AI194,AI194-AH194)</f>
        <v>0</v>
      </c>
      <c r="AT194" s="148" t="n">
        <f aca="false">AQ194+AR194+AS194</f>
        <v>0</v>
      </c>
      <c r="AU194" s="148"/>
      <c r="AV194" s="133" t="n">
        <f aca="false">AT194+AO194</f>
        <v>0</v>
      </c>
      <c r="AX194" s="133" t="n">
        <f aca="false">AJ194+AG194+AD194</f>
        <v>0</v>
      </c>
      <c r="AY194" s="149"/>
      <c r="AZ194" s="76" t="n">
        <f aca="false">R194*E194</f>
        <v>0</v>
      </c>
    </row>
    <row r="195" customFormat="false" ht="12" hidden="false" customHeight="true" outlineLevel="0" collapsed="false">
      <c r="A195" s="138" t="n">
        <f aca="false">EDATE(A194,1)</f>
        <v>42614</v>
      </c>
      <c r="B195" s="139" t="n">
        <f aca="false">VLOOKUP($A195,Table2,MATCH(I$3,Curves2,0))</f>
        <v>0</v>
      </c>
      <c r="C195" s="140"/>
      <c r="D195" s="141" t="n">
        <f aca="false">B195+C195</f>
        <v>0</v>
      </c>
      <c r="E195" s="126" t="n">
        <f aca="false">IF(Y195=0,0,IF(AND(Y195=1,$H$3=1),D195*T195,IF($H$3=2,D195,"N/A")))</f>
        <v>0</v>
      </c>
      <c r="F195" s="126" t="n">
        <f aca="false">E195*X195</f>
        <v>0</v>
      </c>
      <c r="G195" s="142" t="n">
        <f aca="false">VLOOKUP($A195,Table,MATCH(G$4,Curves,0))</f>
        <v>3.987</v>
      </c>
      <c r="H195" s="143" t="n">
        <f aca="false">G195</f>
        <v>3.987</v>
      </c>
      <c r="I195" s="142" t="n">
        <f aca="false">VLOOKUP($A195,Table1,MATCH(I$3,Curves1,0))</f>
        <v>0</v>
      </c>
      <c r="J195" s="142" t="n">
        <f aca="false">VLOOKUP($A195,Table,MATCH(J$4,Curves,0))</f>
        <v>-0.0235</v>
      </c>
      <c r="K195" s="143" t="n">
        <f aca="false">J195</f>
        <v>-0.0235</v>
      </c>
      <c r="L195" s="144" t="n">
        <v>0</v>
      </c>
      <c r="M195" s="142" t="n">
        <f aca="false">VLOOKUP($A195,Table,MATCH(M$4,Curves,0))</f>
        <v>0.0075</v>
      </c>
      <c r="N195" s="143" t="n">
        <f aca="false">M195</f>
        <v>0.0075</v>
      </c>
      <c r="O195" s="144" t="n">
        <v>0</v>
      </c>
      <c r="P195" s="145"/>
      <c r="Q195" s="144" t="n">
        <f aca="false">M195+J195+G195</f>
        <v>3.971</v>
      </c>
      <c r="R195" s="144" t="n">
        <f aca="false">O195+L195+I195</f>
        <v>0</v>
      </c>
      <c r="S195" s="145"/>
      <c r="T195" s="71" t="n">
        <f aca="false">A196-A195</f>
        <v>30</v>
      </c>
      <c r="U195" s="146" t="n">
        <f aca="false">CHOOSE(F$3,A196+24,A195)</f>
        <v>42668</v>
      </c>
      <c r="V195" s="71" t="n">
        <f aca="false">U195-C$3</f>
        <v>5780</v>
      </c>
      <c r="W195" s="142" t="n">
        <f aca="false">VLOOKUP($A195,Table,MATCH(W$4,Curves,0))</f>
        <v>0.058966861357273</v>
      </c>
      <c r="X195" s="147" t="n">
        <f aca="false">1/(1+CHOOSE(F$3,(W196+($K$3/10000))/2,(W195+($K$3/10000))/2))^(2*V195/365.25)</f>
        <v>0.398660158017572</v>
      </c>
      <c r="Y195" s="71" t="n">
        <f aca="false">IF(AND(mthbeg&lt;=A195,mthend&gt;=A195),1,0)</f>
        <v>0</v>
      </c>
      <c r="Z195" s="71" t="n">
        <f aca="false">T195*Y195</f>
        <v>0</v>
      </c>
      <c r="AB195" s="132" t="n">
        <f aca="false">F195*G195</f>
        <v>0</v>
      </c>
      <c r="AC195" s="132" t="n">
        <f aca="false">$F195*H195</f>
        <v>0</v>
      </c>
      <c r="AD195" s="132" t="n">
        <f aca="false">$F195*I195</f>
        <v>0</v>
      </c>
      <c r="AE195" s="132" t="n">
        <f aca="false">$F195*J195</f>
        <v>-0</v>
      </c>
      <c r="AF195" s="132" t="n">
        <f aca="false">$F195*K195</f>
        <v>-0</v>
      </c>
      <c r="AG195" s="132" t="n">
        <f aca="false">$F195*L195</f>
        <v>0</v>
      </c>
      <c r="AH195" s="132" t="n">
        <f aca="false">$F195*M195</f>
        <v>0</v>
      </c>
      <c r="AI195" s="132" t="n">
        <f aca="false">$F195*N195</f>
        <v>0</v>
      </c>
      <c r="AJ195" s="132" t="n">
        <f aca="false">F195*O195</f>
        <v>0</v>
      </c>
      <c r="AK195" s="137"/>
      <c r="AL195" s="132" t="n">
        <f aca="false">CHOOSE($G$3,AC195-AD195,AD195-AC195)</f>
        <v>0</v>
      </c>
      <c r="AM195" s="132" t="n">
        <f aca="false">CHOOSE($G$3,AF195-AG195,AG195-AF195)</f>
        <v>0</v>
      </c>
      <c r="AN195" s="132" t="n">
        <f aca="false">CHOOSE($G$3,AI195-AJ195,AJ195-AI195)</f>
        <v>0</v>
      </c>
      <c r="AO195" s="148" t="n">
        <f aca="false">SUM(AL195:AN195)</f>
        <v>0</v>
      </c>
      <c r="AQ195" s="132" t="n">
        <f aca="false">CHOOSE($G$3,AB195-AC195,AC195-AB195)</f>
        <v>0</v>
      </c>
      <c r="AR195" s="132" t="n">
        <f aca="false">CHOOSE($G$3,AE195-AF195,AF195-AE195)</f>
        <v>0</v>
      </c>
      <c r="AS195" s="132" t="n">
        <f aca="false">CHOOSE($G$3,AH195-AI195,AI195-AH195)</f>
        <v>0</v>
      </c>
      <c r="AT195" s="148" t="n">
        <f aca="false">AQ195+AR195+AS195</f>
        <v>0</v>
      </c>
      <c r="AU195" s="148"/>
      <c r="AV195" s="133" t="n">
        <f aca="false">AT195+AO195</f>
        <v>0</v>
      </c>
      <c r="AX195" s="133" t="n">
        <f aca="false">AJ195+AG195+AD195</f>
        <v>0</v>
      </c>
      <c r="AY195" s="149"/>
      <c r="AZ195" s="76" t="n">
        <f aca="false">R195*E195</f>
        <v>0</v>
      </c>
    </row>
    <row r="196" customFormat="false" ht="12" hidden="false" customHeight="true" outlineLevel="0" collapsed="false">
      <c r="A196" s="138" t="n">
        <f aca="false">EDATE(A195,1)</f>
        <v>42644</v>
      </c>
      <c r="B196" s="139" t="n">
        <f aca="false">VLOOKUP($A196,Table2,MATCH(I$3,Curves2,0))</f>
        <v>0</v>
      </c>
      <c r="C196" s="140"/>
      <c r="D196" s="141" t="n">
        <f aca="false">B196+C196</f>
        <v>0</v>
      </c>
      <c r="E196" s="126" t="n">
        <f aca="false">IF(Y196=0,0,IF(AND(Y196=1,$H$3=1),D196*T196,IF($H$3=2,D196,"N/A")))</f>
        <v>0</v>
      </c>
      <c r="F196" s="126" t="n">
        <f aca="false">E196*X196</f>
        <v>0</v>
      </c>
      <c r="G196" s="142" t="n">
        <f aca="false">VLOOKUP($A196,Table,MATCH(G$4,Curves,0))</f>
        <v>3.987</v>
      </c>
      <c r="H196" s="143" t="n">
        <f aca="false">G196</f>
        <v>3.987</v>
      </c>
      <c r="I196" s="142" t="n">
        <f aca="false">VLOOKUP($A196,Table1,MATCH(I$3,Curves1,0))</f>
        <v>0</v>
      </c>
      <c r="J196" s="142" t="n">
        <f aca="false">VLOOKUP($A196,Table,MATCH(J$4,Curves,0))</f>
        <v>-0.0235</v>
      </c>
      <c r="K196" s="143" t="n">
        <f aca="false">J196</f>
        <v>-0.0235</v>
      </c>
      <c r="L196" s="144" t="n">
        <v>0</v>
      </c>
      <c r="M196" s="142" t="n">
        <f aca="false">VLOOKUP($A196,Table,MATCH(M$4,Curves,0))</f>
        <v>0.0075</v>
      </c>
      <c r="N196" s="143" t="n">
        <f aca="false">M196</f>
        <v>0.0075</v>
      </c>
      <c r="O196" s="144" t="n">
        <v>0</v>
      </c>
      <c r="P196" s="145"/>
      <c r="Q196" s="144" t="n">
        <f aca="false">M196+J196+G196</f>
        <v>3.971</v>
      </c>
      <c r="R196" s="144" t="n">
        <f aca="false">O196+L196+I196</f>
        <v>0</v>
      </c>
      <c r="S196" s="145"/>
      <c r="T196" s="71" t="n">
        <f aca="false">A197-A196</f>
        <v>31</v>
      </c>
      <c r="U196" s="146" t="n">
        <f aca="false">CHOOSE(F$3,A197+24,A196)</f>
        <v>42699</v>
      </c>
      <c r="V196" s="71" t="n">
        <f aca="false">U196-C$3</f>
        <v>5811</v>
      </c>
      <c r="W196" s="142" t="n">
        <f aca="false">VLOOKUP($A196,Table,MATCH(W$4,Curves,0))</f>
        <v>0.058966861357273</v>
      </c>
      <c r="X196" s="147" t="n">
        <f aca="false">1/(1+CHOOSE(F$3,(W197+($K$3/10000))/2,(W196+($K$3/10000))/2))^(2*V196/365.25)</f>
        <v>0.39669866507691</v>
      </c>
      <c r="Y196" s="71" t="n">
        <f aca="false">IF(AND(mthbeg&lt;=A196,mthend&gt;=A196),1,0)</f>
        <v>0</v>
      </c>
      <c r="Z196" s="71" t="n">
        <f aca="false">T196*Y196</f>
        <v>0</v>
      </c>
      <c r="AB196" s="132" t="n">
        <f aca="false">F196*G196</f>
        <v>0</v>
      </c>
      <c r="AC196" s="132" t="n">
        <f aca="false">$F196*H196</f>
        <v>0</v>
      </c>
      <c r="AD196" s="132" t="n">
        <f aca="false">$F196*I196</f>
        <v>0</v>
      </c>
      <c r="AE196" s="132" t="n">
        <f aca="false">$F196*J196</f>
        <v>-0</v>
      </c>
      <c r="AF196" s="132" t="n">
        <f aca="false">$F196*K196</f>
        <v>-0</v>
      </c>
      <c r="AG196" s="132" t="n">
        <f aca="false">$F196*L196</f>
        <v>0</v>
      </c>
      <c r="AH196" s="132" t="n">
        <f aca="false">$F196*M196</f>
        <v>0</v>
      </c>
      <c r="AI196" s="132" t="n">
        <f aca="false">$F196*N196</f>
        <v>0</v>
      </c>
      <c r="AJ196" s="132" t="n">
        <f aca="false">F196*O196</f>
        <v>0</v>
      </c>
      <c r="AK196" s="137"/>
      <c r="AL196" s="132" t="n">
        <f aca="false">CHOOSE($G$3,AC196-AD196,AD196-AC196)</f>
        <v>0</v>
      </c>
      <c r="AM196" s="132" t="n">
        <f aca="false">CHOOSE($G$3,AF196-AG196,AG196-AF196)</f>
        <v>0</v>
      </c>
      <c r="AN196" s="132" t="n">
        <f aca="false">CHOOSE($G$3,AI196-AJ196,AJ196-AI196)</f>
        <v>0</v>
      </c>
      <c r="AO196" s="148" t="n">
        <f aca="false">SUM(AL196:AN196)</f>
        <v>0</v>
      </c>
      <c r="AQ196" s="132" t="n">
        <f aca="false">CHOOSE($G$3,AB196-AC196,AC196-AB196)</f>
        <v>0</v>
      </c>
      <c r="AR196" s="132" t="n">
        <f aca="false">CHOOSE($G$3,AE196-AF196,AF196-AE196)</f>
        <v>0</v>
      </c>
      <c r="AS196" s="132" t="n">
        <f aca="false">CHOOSE($G$3,AH196-AI196,AI196-AH196)</f>
        <v>0</v>
      </c>
      <c r="AT196" s="148" t="n">
        <f aca="false">AQ196+AR196+AS196</f>
        <v>0</v>
      </c>
      <c r="AU196" s="148"/>
      <c r="AV196" s="133" t="n">
        <f aca="false">AT196+AO196</f>
        <v>0</v>
      </c>
      <c r="AX196" s="133" t="n">
        <f aca="false">AJ196+AG196+AD196</f>
        <v>0</v>
      </c>
      <c r="AY196" s="149"/>
      <c r="AZ196" s="76" t="n">
        <f aca="false">R196*E196</f>
        <v>0</v>
      </c>
    </row>
    <row r="197" customFormat="false" ht="12" hidden="false" customHeight="true" outlineLevel="0" collapsed="false">
      <c r="A197" s="138" t="n">
        <f aca="false">EDATE(A196,1)</f>
        <v>42675</v>
      </c>
      <c r="B197" s="139" t="n">
        <f aca="false">VLOOKUP($A197,Table2,MATCH(I$3,Curves2,0))</f>
        <v>0</v>
      </c>
      <c r="C197" s="140"/>
      <c r="D197" s="141" t="n">
        <f aca="false">B197+C197</f>
        <v>0</v>
      </c>
      <c r="E197" s="126" t="n">
        <f aca="false">IF(Y197=0,0,IF(AND(Y197=1,$H$3=1),D197*T197,IF($H$3=2,D197,"N/A")))</f>
        <v>0</v>
      </c>
      <c r="F197" s="126" t="n">
        <f aca="false">E197*X197</f>
        <v>0</v>
      </c>
      <c r="G197" s="142" t="n">
        <f aca="false">VLOOKUP($A197,Table,MATCH(G$4,Curves,0))</f>
        <v>3.987</v>
      </c>
      <c r="H197" s="143" t="n">
        <f aca="false">G197</f>
        <v>3.987</v>
      </c>
      <c r="I197" s="142" t="n">
        <f aca="false">VLOOKUP($A197,Table1,MATCH(I$3,Curves1,0))</f>
        <v>0</v>
      </c>
      <c r="J197" s="142" t="n">
        <f aca="false">VLOOKUP($A197,Table,MATCH(J$4,Curves,0))</f>
        <v>-0.0235</v>
      </c>
      <c r="K197" s="143" t="n">
        <f aca="false">J197</f>
        <v>-0.0235</v>
      </c>
      <c r="L197" s="144" t="n">
        <v>0</v>
      </c>
      <c r="M197" s="142" t="n">
        <f aca="false">VLOOKUP($A197,Table,MATCH(M$4,Curves,0))</f>
        <v>0.0075</v>
      </c>
      <c r="N197" s="143" t="n">
        <f aca="false">M197</f>
        <v>0.0075</v>
      </c>
      <c r="O197" s="144" t="n">
        <v>0</v>
      </c>
      <c r="P197" s="145"/>
      <c r="Q197" s="144" t="n">
        <f aca="false">M197+J197+G197</f>
        <v>3.971</v>
      </c>
      <c r="R197" s="144" t="n">
        <f aca="false">O197+L197+I197</f>
        <v>0</v>
      </c>
      <c r="S197" s="145"/>
      <c r="T197" s="71" t="n">
        <f aca="false">A198-A197</f>
        <v>30</v>
      </c>
      <c r="U197" s="146" t="n">
        <f aca="false">CHOOSE(F$3,A198+24,A197)</f>
        <v>42729</v>
      </c>
      <c r="V197" s="71" t="n">
        <f aca="false">U197-C$3</f>
        <v>5841</v>
      </c>
      <c r="W197" s="142" t="n">
        <f aca="false">VLOOKUP($A197,Table,MATCH(W$4,Curves,0))</f>
        <v>0.058966861357273</v>
      </c>
      <c r="X197" s="147" t="n">
        <f aca="false">1/(1+CHOOSE(F$3,(W198+($K$3/10000))/2,(W197+($K$3/10000))/2))^(2*V197/365.25)</f>
        <v>0.394809635591365</v>
      </c>
      <c r="Y197" s="71" t="n">
        <f aca="false">IF(AND(mthbeg&lt;=A197,mthend&gt;=A197),1,0)</f>
        <v>0</v>
      </c>
      <c r="Z197" s="71" t="n">
        <f aca="false">T197*Y197</f>
        <v>0</v>
      </c>
      <c r="AB197" s="132" t="n">
        <f aca="false">F197*G197</f>
        <v>0</v>
      </c>
      <c r="AC197" s="132" t="n">
        <f aca="false">$F197*H197</f>
        <v>0</v>
      </c>
      <c r="AD197" s="132" t="n">
        <f aca="false">$F197*I197</f>
        <v>0</v>
      </c>
      <c r="AE197" s="132" t="n">
        <f aca="false">$F197*J197</f>
        <v>-0</v>
      </c>
      <c r="AF197" s="132" t="n">
        <f aca="false">$F197*K197</f>
        <v>-0</v>
      </c>
      <c r="AG197" s="132" t="n">
        <f aca="false">$F197*L197</f>
        <v>0</v>
      </c>
      <c r="AH197" s="132" t="n">
        <f aca="false">$F197*M197</f>
        <v>0</v>
      </c>
      <c r="AI197" s="132" t="n">
        <f aca="false">$F197*N197</f>
        <v>0</v>
      </c>
      <c r="AJ197" s="132" t="n">
        <f aca="false">F197*O197</f>
        <v>0</v>
      </c>
      <c r="AK197" s="137"/>
      <c r="AL197" s="132" t="n">
        <f aca="false">CHOOSE($G$3,AC197-AD197,AD197-AC197)</f>
        <v>0</v>
      </c>
      <c r="AM197" s="132" t="n">
        <f aca="false">CHOOSE($G$3,AF197-AG197,AG197-AF197)</f>
        <v>0</v>
      </c>
      <c r="AN197" s="132" t="n">
        <f aca="false">CHOOSE($G$3,AI197-AJ197,AJ197-AI197)</f>
        <v>0</v>
      </c>
      <c r="AO197" s="148" t="n">
        <f aca="false">SUM(AL197:AN197)</f>
        <v>0</v>
      </c>
      <c r="AQ197" s="132" t="n">
        <f aca="false">CHOOSE($G$3,AB197-AC197,AC197-AB197)</f>
        <v>0</v>
      </c>
      <c r="AR197" s="132" t="n">
        <f aca="false">CHOOSE($G$3,AE197-AF197,AF197-AE197)</f>
        <v>0</v>
      </c>
      <c r="AS197" s="132" t="n">
        <f aca="false">CHOOSE($G$3,AH197-AI197,AI197-AH197)</f>
        <v>0</v>
      </c>
      <c r="AT197" s="148" t="n">
        <f aca="false">AQ197+AR197+AS197</f>
        <v>0</v>
      </c>
      <c r="AU197" s="148"/>
      <c r="AV197" s="133" t="n">
        <f aca="false">AT197+AO197</f>
        <v>0</v>
      </c>
      <c r="AX197" s="133" t="n">
        <f aca="false">AJ197+AG197+AD197</f>
        <v>0</v>
      </c>
      <c r="AY197" s="149"/>
      <c r="AZ197" s="76" t="n">
        <f aca="false">R197*E197</f>
        <v>0</v>
      </c>
    </row>
    <row r="198" customFormat="false" ht="12" hidden="false" customHeight="true" outlineLevel="0" collapsed="false">
      <c r="A198" s="138" t="n">
        <f aca="false">EDATE(A197,1)</f>
        <v>42705</v>
      </c>
      <c r="B198" s="139" t="n">
        <f aca="false">VLOOKUP($A198,Table2,MATCH(I$3,Curves2,0))</f>
        <v>0</v>
      </c>
      <c r="C198" s="140"/>
      <c r="D198" s="141" t="n">
        <f aca="false">B198+C198</f>
        <v>0</v>
      </c>
      <c r="E198" s="126" t="n">
        <f aca="false">IF(Y198=0,0,IF(AND(Y198=1,$H$3=1),D198*T198,IF($H$3=2,D198,"N/A")))</f>
        <v>0</v>
      </c>
      <c r="F198" s="126" t="n">
        <f aca="false">E198*X198</f>
        <v>0</v>
      </c>
      <c r="G198" s="142" t="n">
        <f aca="false">VLOOKUP($A198,Table,MATCH(G$4,Curves,0))</f>
        <v>3.987</v>
      </c>
      <c r="H198" s="143" t="n">
        <f aca="false">G198</f>
        <v>3.987</v>
      </c>
      <c r="I198" s="142" t="n">
        <f aca="false">VLOOKUP($A198,Table1,MATCH(I$3,Curves1,0))</f>
        <v>0</v>
      </c>
      <c r="J198" s="142" t="n">
        <f aca="false">VLOOKUP($A198,Table,MATCH(J$4,Curves,0))</f>
        <v>-0.0235</v>
      </c>
      <c r="K198" s="143" t="n">
        <f aca="false">J198</f>
        <v>-0.0235</v>
      </c>
      <c r="L198" s="144" t="n">
        <v>0</v>
      </c>
      <c r="M198" s="142" t="n">
        <f aca="false">VLOOKUP($A198,Table,MATCH(M$4,Curves,0))</f>
        <v>0.0075</v>
      </c>
      <c r="N198" s="143" t="n">
        <f aca="false">M198</f>
        <v>0.0075</v>
      </c>
      <c r="O198" s="144" t="n">
        <v>0</v>
      </c>
      <c r="P198" s="145"/>
      <c r="Q198" s="144" t="n">
        <f aca="false">M198+J198+G198</f>
        <v>3.971</v>
      </c>
      <c r="R198" s="144" t="n">
        <f aca="false">O198+L198+I198</f>
        <v>0</v>
      </c>
      <c r="S198" s="145"/>
      <c r="T198" s="71" t="n">
        <f aca="false">A199-A198</f>
        <v>31</v>
      </c>
      <c r="U198" s="146" t="n">
        <f aca="false">CHOOSE(F$3,A199+24,A198)</f>
        <v>42760</v>
      </c>
      <c r="V198" s="71" t="n">
        <f aca="false">U198-C$3</f>
        <v>5872</v>
      </c>
      <c r="W198" s="142" t="n">
        <f aca="false">VLOOKUP($A198,Table,MATCH(W$4,Curves,0))</f>
        <v>0.058966861357273</v>
      </c>
      <c r="X198" s="147" t="n">
        <f aca="false">1/(1+CHOOSE(F$3,(W199+($K$3/10000))/2,(W198+($K$3/10000))/2))^(2*V198/365.25)</f>
        <v>0.39286708804167</v>
      </c>
      <c r="Y198" s="71" t="n">
        <f aca="false">IF(AND(mthbeg&lt;=A198,mthend&gt;=A198),1,0)</f>
        <v>0</v>
      </c>
      <c r="Z198" s="71" t="n">
        <f aca="false">T198*Y198</f>
        <v>0</v>
      </c>
      <c r="AB198" s="132" t="n">
        <f aca="false">F198*G198</f>
        <v>0</v>
      </c>
      <c r="AC198" s="132" t="n">
        <f aca="false">$F198*H198</f>
        <v>0</v>
      </c>
      <c r="AD198" s="132" t="n">
        <f aca="false">$F198*I198</f>
        <v>0</v>
      </c>
      <c r="AE198" s="132" t="n">
        <f aca="false">$F198*J198</f>
        <v>-0</v>
      </c>
      <c r="AF198" s="132" t="n">
        <f aca="false">$F198*K198</f>
        <v>-0</v>
      </c>
      <c r="AG198" s="132" t="n">
        <f aca="false">$F198*L198</f>
        <v>0</v>
      </c>
      <c r="AH198" s="132" t="n">
        <f aca="false">$F198*M198</f>
        <v>0</v>
      </c>
      <c r="AI198" s="132" t="n">
        <f aca="false">$F198*N198</f>
        <v>0</v>
      </c>
      <c r="AJ198" s="132" t="n">
        <f aca="false">F198*O198</f>
        <v>0</v>
      </c>
      <c r="AK198" s="137"/>
      <c r="AL198" s="132" t="n">
        <f aca="false">CHOOSE($G$3,AC198-AD198,AD198-AC198)</f>
        <v>0</v>
      </c>
      <c r="AM198" s="132" t="n">
        <f aca="false">CHOOSE($G$3,AF198-AG198,AG198-AF198)</f>
        <v>0</v>
      </c>
      <c r="AN198" s="132" t="n">
        <f aca="false">CHOOSE($G$3,AI198-AJ198,AJ198-AI198)</f>
        <v>0</v>
      </c>
      <c r="AO198" s="148" t="n">
        <f aca="false">SUM(AL198:AN198)</f>
        <v>0</v>
      </c>
      <c r="AQ198" s="132" t="n">
        <f aca="false">CHOOSE($G$3,AB198-AC198,AC198-AB198)</f>
        <v>0</v>
      </c>
      <c r="AR198" s="132" t="n">
        <f aca="false">CHOOSE($G$3,AE198-AF198,AF198-AE198)</f>
        <v>0</v>
      </c>
      <c r="AS198" s="132" t="n">
        <f aca="false">CHOOSE($G$3,AH198-AI198,AI198-AH198)</f>
        <v>0</v>
      </c>
      <c r="AT198" s="148" t="n">
        <f aca="false">AQ198+AR198+AS198</f>
        <v>0</v>
      </c>
      <c r="AU198" s="148"/>
      <c r="AV198" s="133" t="n">
        <f aca="false">AT198+AO198</f>
        <v>0</v>
      </c>
      <c r="AX198" s="133" t="n">
        <f aca="false">AJ198+AG198+AD198</f>
        <v>0</v>
      </c>
      <c r="AY198" s="149"/>
      <c r="AZ198" s="76" t="n">
        <f aca="false">R198*E198</f>
        <v>0</v>
      </c>
    </row>
    <row r="199" customFormat="false" ht="12" hidden="false" customHeight="true" outlineLevel="0" collapsed="false">
      <c r="A199" s="138" t="n">
        <f aca="false">EDATE(A198,1)</f>
        <v>42736</v>
      </c>
      <c r="B199" s="139" t="n">
        <f aca="false">VLOOKUP($A199,Table2,MATCH(I$3,Curves2,0))</f>
        <v>0</v>
      </c>
      <c r="C199" s="140"/>
      <c r="D199" s="141" t="n">
        <f aca="false">B199+C199</f>
        <v>0</v>
      </c>
      <c r="E199" s="126" t="n">
        <f aca="false">IF(Y199=0,0,IF(AND(Y199=1,$H$3=1),D199*T199,IF($H$3=2,D199,"N/A")))</f>
        <v>0</v>
      </c>
      <c r="F199" s="126" t="n">
        <f aca="false">E199*X199</f>
        <v>0</v>
      </c>
      <c r="G199" s="142" t="n">
        <f aca="false">VLOOKUP($A199,Table,MATCH(G$4,Curves,0))</f>
        <v>3.987</v>
      </c>
      <c r="H199" s="143" t="n">
        <f aca="false">G199</f>
        <v>3.987</v>
      </c>
      <c r="I199" s="142" t="n">
        <f aca="false">VLOOKUP($A199,Table1,MATCH(I$3,Curves1,0))</f>
        <v>0</v>
      </c>
      <c r="J199" s="142" t="n">
        <f aca="false">VLOOKUP($A199,Table,MATCH(J$4,Curves,0))</f>
        <v>-0.0235</v>
      </c>
      <c r="K199" s="143" t="n">
        <f aca="false">J199</f>
        <v>-0.0235</v>
      </c>
      <c r="L199" s="144" t="n">
        <v>0</v>
      </c>
      <c r="M199" s="142" t="n">
        <f aca="false">VLOOKUP($A199,Table,MATCH(M$4,Curves,0))</f>
        <v>0.0075</v>
      </c>
      <c r="N199" s="143" t="n">
        <f aca="false">M199</f>
        <v>0.0075</v>
      </c>
      <c r="O199" s="144" t="n">
        <v>0</v>
      </c>
      <c r="P199" s="145"/>
      <c r="Q199" s="144" t="n">
        <f aca="false">M199+J199+G199</f>
        <v>3.971</v>
      </c>
      <c r="R199" s="144" t="n">
        <f aca="false">O199+L199+I199</f>
        <v>0</v>
      </c>
      <c r="S199" s="145"/>
      <c r="T199" s="71" t="n">
        <f aca="false">A200-A199</f>
        <v>31</v>
      </c>
      <c r="U199" s="146" t="n">
        <f aca="false">CHOOSE(F$3,A200+24,A199)</f>
        <v>42791</v>
      </c>
      <c r="V199" s="71" t="n">
        <f aca="false">U199-C$3</f>
        <v>5903</v>
      </c>
      <c r="W199" s="142" t="n">
        <f aca="false">VLOOKUP($A199,Table,MATCH(W$4,Curves,0))</f>
        <v>0.058966861357273</v>
      </c>
      <c r="X199" s="147" t="n">
        <f aca="false">1/(1+CHOOSE(F$3,(W200+($K$3/10000))/2,(W199+($K$3/10000))/2))^(2*V199/365.25)</f>
        <v>0.390934098239919</v>
      </c>
      <c r="Y199" s="71" t="n">
        <f aca="false">IF(AND(mthbeg&lt;=A199,mthend&gt;=A199),1,0)</f>
        <v>0</v>
      </c>
      <c r="Z199" s="71" t="n">
        <f aca="false">T199*Y199</f>
        <v>0</v>
      </c>
      <c r="AB199" s="132" t="n">
        <f aca="false">F199*G199</f>
        <v>0</v>
      </c>
      <c r="AC199" s="132" t="n">
        <f aca="false">$F199*H199</f>
        <v>0</v>
      </c>
      <c r="AD199" s="132" t="n">
        <f aca="false">$F199*I199</f>
        <v>0</v>
      </c>
      <c r="AE199" s="132" t="n">
        <f aca="false">$F199*J199</f>
        <v>-0</v>
      </c>
      <c r="AF199" s="132" t="n">
        <f aca="false">$F199*K199</f>
        <v>-0</v>
      </c>
      <c r="AG199" s="132" t="n">
        <f aca="false">$F199*L199</f>
        <v>0</v>
      </c>
      <c r="AH199" s="132" t="n">
        <f aca="false">$F199*M199</f>
        <v>0</v>
      </c>
      <c r="AI199" s="132" t="n">
        <f aca="false">$F199*N199</f>
        <v>0</v>
      </c>
      <c r="AJ199" s="132" t="n">
        <f aca="false">F199*O199</f>
        <v>0</v>
      </c>
      <c r="AK199" s="137"/>
      <c r="AL199" s="132" t="n">
        <f aca="false">CHOOSE($G$3,AC199-AD199,AD199-AC199)</f>
        <v>0</v>
      </c>
      <c r="AM199" s="132" t="n">
        <f aca="false">CHOOSE($G$3,AF199-AG199,AG199-AF199)</f>
        <v>0</v>
      </c>
      <c r="AN199" s="132" t="n">
        <f aca="false">CHOOSE($G$3,AI199-AJ199,AJ199-AI199)</f>
        <v>0</v>
      </c>
      <c r="AO199" s="148" t="n">
        <f aca="false">SUM(AL199:AN199)</f>
        <v>0</v>
      </c>
      <c r="AQ199" s="132" t="n">
        <f aca="false">CHOOSE($G$3,AB199-AC199,AC199-AB199)</f>
        <v>0</v>
      </c>
      <c r="AR199" s="132" t="n">
        <f aca="false">CHOOSE($G$3,AE199-AF199,AF199-AE199)</f>
        <v>0</v>
      </c>
      <c r="AS199" s="132" t="n">
        <f aca="false">CHOOSE($G$3,AH199-AI199,AI199-AH199)</f>
        <v>0</v>
      </c>
      <c r="AT199" s="148" t="n">
        <f aca="false">AQ199+AR199+AS199</f>
        <v>0</v>
      </c>
      <c r="AU199" s="148"/>
      <c r="AV199" s="133" t="n">
        <f aca="false">AT199+AO199</f>
        <v>0</v>
      </c>
      <c r="AX199" s="133" t="n">
        <f aca="false">AJ199+AG199+AD199</f>
        <v>0</v>
      </c>
      <c r="AY199" s="149"/>
      <c r="AZ199" s="76" t="n">
        <f aca="false">R199*E199</f>
        <v>0</v>
      </c>
    </row>
    <row r="200" customFormat="false" ht="12" hidden="false" customHeight="true" outlineLevel="0" collapsed="false">
      <c r="A200" s="138" t="n">
        <f aca="false">EDATE(A199,1)</f>
        <v>42767</v>
      </c>
      <c r="B200" s="139" t="n">
        <f aca="false">VLOOKUP($A200,Table2,MATCH(I$3,Curves2,0))</f>
        <v>0</v>
      </c>
      <c r="C200" s="140"/>
      <c r="D200" s="141" t="n">
        <f aca="false">B200+C200</f>
        <v>0</v>
      </c>
      <c r="E200" s="126" t="n">
        <f aca="false">IF(Y200=0,0,IF(AND(Y200=1,$H$3=1),D200*T200,IF($H$3=2,D200,"N/A")))</f>
        <v>0</v>
      </c>
      <c r="F200" s="126" t="n">
        <f aca="false">E200*X200</f>
        <v>0</v>
      </c>
      <c r="G200" s="142" t="n">
        <f aca="false">VLOOKUP($A200,Table,MATCH(G$4,Curves,0))</f>
        <v>3.987</v>
      </c>
      <c r="H200" s="143" t="n">
        <f aca="false">G200</f>
        <v>3.987</v>
      </c>
      <c r="I200" s="142" t="n">
        <f aca="false">VLOOKUP($A200,Table1,MATCH(I$3,Curves1,0))</f>
        <v>0</v>
      </c>
      <c r="J200" s="142" t="n">
        <f aca="false">VLOOKUP($A200,Table,MATCH(J$4,Curves,0))</f>
        <v>-0.0235</v>
      </c>
      <c r="K200" s="143" t="n">
        <f aca="false">J200</f>
        <v>-0.0235</v>
      </c>
      <c r="L200" s="144" t="n">
        <v>0</v>
      </c>
      <c r="M200" s="142" t="n">
        <f aca="false">VLOOKUP($A200,Table,MATCH(M$4,Curves,0))</f>
        <v>0.0075</v>
      </c>
      <c r="N200" s="143" t="n">
        <f aca="false">M200</f>
        <v>0.0075</v>
      </c>
      <c r="O200" s="144" t="n">
        <v>0</v>
      </c>
      <c r="P200" s="145"/>
      <c r="Q200" s="144" t="n">
        <f aca="false">M200+J200+G200</f>
        <v>3.971</v>
      </c>
      <c r="R200" s="144" t="n">
        <f aca="false">O200+L200+I200</f>
        <v>0</v>
      </c>
      <c r="S200" s="145"/>
      <c r="T200" s="71" t="n">
        <f aca="false">A201-A200</f>
        <v>28</v>
      </c>
      <c r="U200" s="146" t="n">
        <f aca="false">CHOOSE(F$3,A201+24,A200)</f>
        <v>42819</v>
      </c>
      <c r="V200" s="71" t="n">
        <f aca="false">U200-C$3</f>
        <v>5931</v>
      </c>
      <c r="W200" s="142" t="n">
        <f aca="false">VLOOKUP($A200,Table,MATCH(W$4,Curves,0))</f>
        <v>0.058966861357273</v>
      </c>
      <c r="X200" s="147" t="n">
        <f aca="false">1/(1+CHOOSE(F$3,(W201+($K$3/10000))/2,(W200+($K$3/10000))/2))^(2*V200/365.25)</f>
        <v>0.389196347934837</v>
      </c>
      <c r="Y200" s="71" t="n">
        <f aca="false">IF(AND(mthbeg&lt;=A200,mthend&gt;=A200),1,0)</f>
        <v>0</v>
      </c>
      <c r="Z200" s="71" t="n">
        <f aca="false">T200*Y200</f>
        <v>0</v>
      </c>
      <c r="AB200" s="132" t="n">
        <f aca="false">F200*G200</f>
        <v>0</v>
      </c>
      <c r="AC200" s="132" t="n">
        <f aca="false">$F200*H200</f>
        <v>0</v>
      </c>
      <c r="AD200" s="132" t="n">
        <f aca="false">$F200*I200</f>
        <v>0</v>
      </c>
      <c r="AE200" s="132" t="n">
        <f aca="false">$F200*J200</f>
        <v>-0</v>
      </c>
      <c r="AF200" s="132" t="n">
        <f aca="false">$F200*K200</f>
        <v>-0</v>
      </c>
      <c r="AG200" s="132" t="n">
        <f aca="false">$F200*L200</f>
        <v>0</v>
      </c>
      <c r="AH200" s="132" t="n">
        <f aca="false">$F200*M200</f>
        <v>0</v>
      </c>
      <c r="AI200" s="132" t="n">
        <f aca="false">$F200*N200</f>
        <v>0</v>
      </c>
      <c r="AJ200" s="132" t="n">
        <f aca="false">F200*O200</f>
        <v>0</v>
      </c>
      <c r="AK200" s="137"/>
      <c r="AL200" s="132" t="n">
        <f aca="false">CHOOSE($G$3,AC200-AD200,AD200-AC200)</f>
        <v>0</v>
      </c>
      <c r="AM200" s="132" t="n">
        <f aca="false">CHOOSE($G$3,AF200-AG200,AG200-AF200)</f>
        <v>0</v>
      </c>
      <c r="AN200" s="132" t="n">
        <f aca="false">CHOOSE($G$3,AI200-AJ200,AJ200-AI200)</f>
        <v>0</v>
      </c>
      <c r="AO200" s="148" t="n">
        <f aca="false">SUM(AL200:AN200)</f>
        <v>0</v>
      </c>
      <c r="AQ200" s="132" t="n">
        <f aca="false">CHOOSE($G$3,AB200-AC200,AC200-AB200)</f>
        <v>0</v>
      </c>
      <c r="AR200" s="132" t="n">
        <f aca="false">CHOOSE($G$3,AE200-AF200,AF200-AE200)</f>
        <v>0</v>
      </c>
      <c r="AS200" s="132" t="n">
        <f aca="false">CHOOSE($G$3,AH200-AI200,AI200-AH200)</f>
        <v>0</v>
      </c>
      <c r="AT200" s="148" t="n">
        <f aca="false">AQ200+AR200+AS200</f>
        <v>0</v>
      </c>
      <c r="AU200" s="148"/>
      <c r="AV200" s="133" t="n">
        <f aca="false">AT200+AO200</f>
        <v>0</v>
      </c>
      <c r="AX200" s="133" t="n">
        <f aca="false">AJ200+AG200+AD200</f>
        <v>0</v>
      </c>
      <c r="AY200" s="149"/>
      <c r="AZ200" s="76" t="n">
        <f aca="false">R200*E200</f>
        <v>0</v>
      </c>
    </row>
    <row r="201" customFormat="false" ht="12" hidden="false" customHeight="true" outlineLevel="0" collapsed="false">
      <c r="A201" s="138" t="n">
        <f aca="false">EDATE(A200,1)</f>
        <v>42795</v>
      </c>
      <c r="B201" s="139" t="n">
        <f aca="false">VLOOKUP($A201,Table2,MATCH(I$3,Curves2,0))</f>
        <v>0</v>
      </c>
      <c r="C201" s="140"/>
      <c r="D201" s="141" t="n">
        <f aca="false">B201+C201</f>
        <v>0</v>
      </c>
      <c r="E201" s="126" t="n">
        <f aca="false">IF(Y201=0,0,IF(AND(Y201=1,$H$3=1),D201*T201,IF($H$3=2,D201,"N/A")))</f>
        <v>0</v>
      </c>
      <c r="F201" s="126" t="n">
        <f aca="false">E201*X201</f>
        <v>0</v>
      </c>
      <c r="G201" s="142" t="n">
        <f aca="false">VLOOKUP($A201,Table,MATCH(G$4,Curves,0))</f>
        <v>3.987</v>
      </c>
      <c r="H201" s="143" t="n">
        <f aca="false">G201</f>
        <v>3.987</v>
      </c>
      <c r="I201" s="142" t="n">
        <f aca="false">VLOOKUP($A201,Table1,MATCH(I$3,Curves1,0))</f>
        <v>0</v>
      </c>
      <c r="J201" s="142" t="n">
        <f aca="false">VLOOKUP($A201,Table,MATCH(J$4,Curves,0))</f>
        <v>-0.0235</v>
      </c>
      <c r="K201" s="143" t="n">
        <f aca="false">J201</f>
        <v>-0.0235</v>
      </c>
      <c r="L201" s="144" t="n">
        <v>0</v>
      </c>
      <c r="M201" s="142" t="n">
        <f aca="false">VLOOKUP($A201,Table,MATCH(M$4,Curves,0))</f>
        <v>0.0075</v>
      </c>
      <c r="N201" s="143" t="n">
        <f aca="false">M201</f>
        <v>0.0075</v>
      </c>
      <c r="O201" s="144" t="n">
        <v>0</v>
      </c>
      <c r="P201" s="145"/>
      <c r="Q201" s="144" t="n">
        <f aca="false">M201+J201+G201</f>
        <v>3.971</v>
      </c>
      <c r="R201" s="144" t="n">
        <f aca="false">O201+L201+I201</f>
        <v>0</v>
      </c>
      <c r="S201" s="145"/>
      <c r="T201" s="71" t="n">
        <f aca="false">A202-A201</f>
        <v>31</v>
      </c>
      <c r="U201" s="146" t="n">
        <f aca="false">CHOOSE(F$3,A202+24,A201)</f>
        <v>42850</v>
      </c>
      <c r="V201" s="71" t="n">
        <f aca="false">U201-C$3</f>
        <v>5962</v>
      </c>
      <c r="W201" s="142" t="n">
        <f aca="false">VLOOKUP($A201,Table,MATCH(W$4,Curves,0))</f>
        <v>0.058966861357273</v>
      </c>
      <c r="X201" s="147" t="n">
        <f aca="false">1/(1+CHOOSE(F$3,(W202+($K$3/10000))/2,(W201+($K$3/10000))/2))^(2*V201/365.25)</f>
        <v>0.387281418956727</v>
      </c>
      <c r="Y201" s="71" t="n">
        <f aca="false">IF(AND(mthbeg&lt;=A201,mthend&gt;=A201),1,0)</f>
        <v>0</v>
      </c>
      <c r="Z201" s="71" t="n">
        <f aca="false">T201*Y201</f>
        <v>0</v>
      </c>
      <c r="AB201" s="132" t="n">
        <f aca="false">F201*G201</f>
        <v>0</v>
      </c>
      <c r="AC201" s="132" t="n">
        <f aca="false">$F201*H201</f>
        <v>0</v>
      </c>
      <c r="AD201" s="132" t="n">
        <f aca="false">$F201*I201</f>
        <v>0</v>
      </c>
      <c r="AE201" s="132" t="n">
        <f aca="false">$F201*J201</f>
        <v>-0</v>
      </c>
      <c r="AF201" s="132" t="n">
        <f aca="false">$F201*K201</f>
        <v>-0</v>
      </c>
      <c r="AG201" s="132" t="n">
        <f aca="false">$F201*L201</f>
        <v>0</v>
      </c>
      <c r="AH201" s="132" t="n">
        <f aca="false">$F201*M201</f>
        <v>0</v>
      </c>
      <c r="AI201" s="132" t="n">
        <f aca="false">$F201*N201</f>
        <v>0</v>
      </c>
      <c r="AJ201" s="132" t="n">
        <f aca="false">F201*O201</f>
        <v>0</v>
      </c>
      <c r="AK201" s="137"/>
      <c r="AL201" s="132" t="n">
        <f aca="false">CHOOSE($G$3,AC201-AD201,AD201-AC201)</f>
        <v>0</v>
      </c>
      <c r="AM201" s="132" t="n">
        <f aca="false">CHOOSE($G$3,AF201-AG201,AG201-AF201)</f>
        <v>0</v>
      </c>
      <c r="AN201" s="132" t="n">
        <f aca="false">CHOOSE($G$3,AI201-AJ201,AJ201-AI201)</f>
        <v>0</v>
      </c>
      <c r="AO201" s="148" t="n">
        <f aca="false">SUM(AL201:AN201)</f>
        <v>0</v>
      </c>
      <c r="AQ201" s="132" t="n">
        <f aca="false">CHOOSE($G$3,AB201-AC201,AC201-AB201)</f>
        <v>0</v>
      </c>
      <c r="AR201" s="132" t="n">
        <f aca="false">CHOOSE($G$3,AE201-AF201,AF201-AE201)</f>
        <v>0</v>
      </c>
      <c r="AS201" s="132" t="n">
        <f aca="false">CHOOSE($G$3,AH201-AI201,AI201-AH201)</f>
        <v>0</v>
      </c>
      <c r="AT201" s="148" t="n">
        <f aca="false">AQ201+AR201+AS201</f>
        <v>0</v>
      </c>
      <c r="AU201" s="148"/>
      <c r="AV201" s="133" t="n">
        <f aca="false">AT201+AO201</f>
        <v>0</v>
      </c>
      <c r="AX201" s="133" t="n">
        <f aca="false">AJ201+AG201+AD201</f>
        <v>0</v>
      </c>
      <c r="AY201" s="149"/>
      <c r="AZ201" s="76" t="n">
        <f aca="false">R201*E201</f>
        <v>0</v>
      </c>
    </row>
    <row r="202" customFormat="false" ht="12" hidden="false" customHeight="true" outlineLevel="0" collapsed="false">
      <c r="A202" s="138" t="n">
        <f aca="false">EDATE(A201,1)</f>
        <v>42826</v>
      </c>
      <c r="B202" s="139" t="n">
        <f aca="false">VLOOKUP($A202,Table2,MATCH(I$3,Curves2,0))</f>
        <v>0</v>
      </c>
      <c r="C202" s="140"/>
      <c r="D202" s="141" t="n">
        <f aca="false">B202+C202</f>
        <v>0</v>
      </c>
      <c r="E202" s="126" t="n">
        <f aca="false">IF(Y202=0,0,IF(AND(Y202=1,$H$3=1),D202*T202,IF($H$3=2,D202,"N/A")))</f>
        <v>0</v>
      </c>
      <c r="F202" s="126" t="n">
        <f aca="false">E202*X202</f>
        <v>0</v>
      </c>
      <c r="G202" s="142" t="n">
        <f aca="false">VLOOKUP($A202,Table,MATCH(G$4,Curves,0))</f>
        <v>3.987</v>
      </c>
      <c r="H202" s="143" t="n">
        <f aca="false">G202</f>
        <v>3.987</v>
      </c>
      <c r="I202" s="142" t="n">
        <f aca="false">VLOOKUP($A202,Table1,MATCH(I$3,Curves1,0))</f>
        <v>0</v>
      </c>
      <c r="J202" s="142" t="n">
        <f aca="false">VLOOKUP($A202,Table,MATCH(J$4,Curves,0))</f>
        <v>-0.0235</v>
      </c>
      <c r="K202" s="143" t="n">
        <f aca="false">J202</f>
        <v>-0.0235</v>
      </c>
      <c r="L202" s="144" t="n">
        <v>0</v>
      </c>
      <c r="M202" s="142" t="n">
        <f aca="false">VLOOKUP($A202,Table,MATCH(M$4,Curves,0))</f>
        <v>0.0075</v>
      </c>
      <c r="N202" s="143" t="n">
        <f aca="false">M202</f>
        <v>0.0075</v>
      </c>
      <c r="O202" s="144" t="n">
        <v>0</v>
      </c>
      <c r="P202" s="145"/>
      <c r="Q202" s="144" t="n">
        <f aca="false">M202+J202+G202</f>
        <v>3.971</v>
      </c>
      <c r="R202" s="144" t="n">
        <f aca="false">O202+L202+I202</f>
        <v>0</v>
      </c>
      <c r="S202" s="145"/>
      <c r="T202" s="71" t="n">
        <f aca="false">A203-A202</f>
        <v>30</v>
      </c>
      <c r="U202" s="146" t="n">
        <f aca="false">CHOOSE(F$3,A203+24,A202)</f>
        <v>42880</v>
      </c>
      <c r="V202" s="71" t="n">
        <f aca="false">U202-C$3</f>
        <v>5992</v>
      </c>
      <c r="W202" s="142" t="n">
        <f aca="false">VLOOKUP($A202,Table,MATCH(W$4,Curves,0))</f>
        <v>0.058966861357273</v>
      </c>
      <c r="X202" s="147" t="n">
        <f aca="false">1/(1+CHOOSE(F$3,(W203+($K$3/10000))/2,(W202+($K$3/10000))/2))^(2*V202/365.25)</f>
        <v>0.385437233220758</v>
      </c>
      <c r="Y202" s="71" t="n">
        <f aca="false">IF(AND(mthbeg&lt;=A202,mthend&gt;=A202),1,0)</f>
        <v>0</v>
      </c>
      <c r="Z202" s="71" t="n">
        <f aca="false">T202*Y202</f>
        <v>0</v>
      </c>
      <c r="AB202" s="132" t="n">
        <f aca="false">F202*G202</f>
        <v>0</v>
      </c>
      <c r="AC202" s="132" t="n">
        <f aca="false">$F202*H202</f>
        <v>0</v>
      </c>
      <c r="AD202" s="132" t="n">
        <f aca="false">$F202*I202</f>
        <v>0</v>
      </c>
      <c r="AE202" s="132" t="n">
        <f aca="false">$F202*J202</f>
        <v>-0</v>
      </c>
      <c r="AF202" s="132" t="n">
        <f aca="false">$F202*K202</f>
        <v>-0</v>
      </c>
      <c r="AG202" s="132" t="n">
        <f aca="false">$F202*L202</f>
        <v>0</v>
      </c>
      <c r="AH202" s="132" t="n">
        <f aca="false">$F202*M202</f>
        <v>0</v>
      </c>
      <c r="AI202" s="132" t="n">
        <f aca="false">$F202*N202</f>
        <v>0</v>
      </c>
      <c r="AJ202" s="132" t="n">
        <f aca="false">F202*O202</f>
        <v>0</v>
      </c>
      <c r="AK202" s="137"/>
      <c r="AL202" s="132" t="n">
        <f aca="false">CHOOSE($G$3,AC202-AD202,AD202-AC202)</f>
        <v>0</v>
      </c>
      <c r="AM202" s="132" t="n">
        <f aca="false">CHOOSE($G$3,AF202-AG202,AG202-AF202)</f>
        <v>0</v>
      </c>
      <c r="AN202" s="132" t="n">
        <f aca="false">CHOOSE($G$3,AI202-AJ202,AJ202-AI202)</f>
        <v>0</v>
      </c>
      <c r="AO202" s="148" t="n">
        <f aca="false">SUM(AL202:AN202)</f>
        <v>0</v>
      </c>
      <c r="AQ202" s="132" t="n">
        <f aca="false">CHOOSE($G$3,AB202-AC202,AC202-AB202)</f>
        <v>0</v>
      </c>
      <c r="AR202" s="132" t="n">
        <f aca="false">CHOOSE($G$3,AE202-AF202,AF202-AE202)</f>
        <v>0</v>
      </c>
      <c r="AS202" s="132" t="n">
        <f aca="false">CHOOSE($G$3,AH202-AI202,AI202-AH202)</f>
        <v>0</v>
      </c>
      <c r="AT202" s="148" t="n">
        <f aca="false">AQ202+AR202+AS202</f>
        <v>0</v>
      </c>
      <c r="AU202" s="148"/>
      <c r="AV202" s="133" t="n">
        <f aca="false">AT202+AO202</f>
        <v>0</v>
      </c>
      <c r="AX202" s="133" t="n">
        <f aca="false">AJ202+AG202+AD202</f>
        <v>0</v>
      </c>
      <c r="AY202" s="149"/>
      <c r="AZ202" s="76" t="n">
        <f aca="false">R202*E202</f>
        <v>0</v>
      </c>
    </row>
    <row r="203" customFormat="false" ht="12" hidden="false" customHeight="true" outlineLevel="0" collapsed="false">
      <c r="A203" s="138" t="n">
        <f aca="false">EDATE(A202,1)</f>
        <v>42856</v>
      </c>
      <c r="B203" s="139" t="n">
        <f aca="false">VLOOKUP($A203,Table2,MATCH(I$3,Curves2,0))</f>
        <v>0</v>
      </c>
      <c r="C203" s="140"/>
      <c r="D203" s="141" t="n">
        <f aca="false">B203+C203</f>
        <v>0</v>
      </c>
      <c r="E203" s="126" t="n">
        <f aca="false">IF(Y203=0,0,IF(AND(Y203=1,$H$3=1),D203*T203,IF($H$3=2,D203,"N/A")))</f>
        <v>0</v>
      </c>
      <c r="F203" s="126" t="n">
        <f aca="false">E203*X203</f>
        <v>0</v>
      </c>
      <c r="G203" s="142" t="n">
        <f aca="false">VLOOKUP($A203,Table,MATCH(G$4,Curves,0))</f>
        <v>3.987</v>
      </c>
      <c r="H203" s="143" t="n">
        <f aca="false">G203</f>
        <v>3.987</v>
      </c>
      <c r="I203" s="142" t="n">
        <f aca="false">VLOOKUP($A203,Table1,MATCH(I$3,Curves1,0))</f>
        <v>0</v>
      </c>
      <c r="J203" s="142" t="n">
        <f aca="false">VLOOKUP($A203,Table,MATCH(J$4,Curves,0))</f>
        <v>-0.0235</v>
      </c>
      <c r="K203" s="143" t="n">
        <f aca="false">J203</f>
        <v>-0.0235</v>
      </c>
      <c r="L203" s="144" t="n">
        <v>0</v>
      </c>
      <c r="M203" s="142" t="n">
        <f aca="false">VLOOKUP($A203,Table,MATCH(M$4,Curves,0))</f>
        <v>0.0075</v>
      </c>
      <c r="N203" s="143" t="n">
        <f aca="false">M203</f>
        <v>0.0075</v>
      </c>
      <c r="O203" s="144" t="n">
        <v>0</v>
      </c>
      <c r="P203" s="145"/>
      <c r="Q203" s="144" t="n">
        <f aca="false">M203+J203+G203</f>
        <v>3.971</v>
      </c>
      <c r="R203" s="144" t="n">
        <f aca="false">O203+L203+I203</f>
        <v>0</v>
      </c>
      <c r="S203" s="145"/>
      <c r="T203" s="71" t="n">
        <f aca="false">A204-A203</f>
        <v>31</v>
      </c>
      <c r="U203" s="146" t="n">
        <f aca="false">CHOOSE(F$3,A204+24,A203)</f>
        <v>42911</v>
      </c>
      <c r="V203" s="71" t="n">
        <f aca="false">U203-C$3</f>
        <v>6023</v>
      </c>
      <c r="W203" s="142" t="n">
        <f aca="false">VLOOKUP($A203,Table,MATCH(W$4,Curves,0))</f>
        <v>0.058966861357273</v>
      </c>
      <c r="X203" s="147" t="n">
        <f aca="false">1/(1+CHOOSE(F$3,(W204+($K$3/10000))/2,(W203+($K$3/10000))/2))^(2*V203/365.25)</f>
        <v>0.383540799888191</v>
      </c>
      <c r="Y203" s="71" t="n">
        <f aca="false">IF(AND(mthbeg&lt;=A203,mthend&gt;=A203),1,0)</f>
        <v>0</v>
      </c>
      <c r="Z203" s="71" t="n">
        <f aca="false">T203*Y203</f>
        <v>0</v>
      </c>
      <c r="AB203" s="132" t="n">
        <f aca="false">F203*G203</f>
        <v>0</v>
      </c>
      <c r="AC203" s="132" t="n">
        <f aca="false">$F203*H203</f>
        <v>0</v>
      </c>
      <c r="AD203" s="132" t="n">
        <f aca="false">$F203*I203</f>
        <v>0</v>
      </c>
      <c r="AE203" s="132" t="n">
        <f aca="false">$F203*J203</f>
        <v>-0</v>
      </c>
      <c r="AF203" s="132" t="n">
        <f aca="false">$F203*K203</f>
        <v>-0</v>
      </c>
      <c r="AG203" s="132" t="n">
        <f aca="false">$F203*L203</f>
        <v>0</v>
      </c>
      <c r="AH203" s="132" t="n">
        <f aca="false">$F203*M203</f>
        <v>0</v>
      </c>
      <c r="AI203" s="132" t="n">
        <f aca="false">$F203*N203</f>
        <v>0</v>
      </c>
      <c r="AJ203" s="132" t="n">
        <f aca="false">F203*O203</f>
        <v>0</v>
      </c>
      <c r="AK203" s="137"/>
      <c r="AL203" s="132" t="n">
        <f aca="false">CHOOSE($G$3,AC203-AD203,AD203-AC203)</f>
        <v>0</v>
      </c>
      <c r="AM203" s="132" t="n">
        <f aca="false">CHOOSE($G$3,AF203-AG203,AG203-AF203)</f>
        <v>0</v>
      </c>
      <c r="AN203" s="132" t="n">
        <f aca="false">CHOOSE($G$3,AI203-AJ203,AJ203-AI203)</f>
        <v>0</v>
      </c>
      <c r="AO203" s="148" t="n">
        <f aca="false">SUM(AL203:AN203)</f>
        <v>0</v>
      </c>
      <c r="AQ203" s="132" t="n">
        <f aca="false">CHOOSE($G$3,AB203-AC203,AC203-AB203)</f>
        <v>0</v>
      </c>
      <c r="AR203" s="132" t="n">
        <f aca="false">CHOOSE($G$3,AE203-AF203,AF203-AE203)</f>
        <v>0</v>
      </c>
      <c r="AS203" s="132" t="n">
        <f aca="false">CHOOSE($G$3,AH203-AI203,AI203-AH203)</f>
        <v>0</v>
      </c>
      <c r="AT203" s="148" t="n">
        <f aca="false">AQ203+AR203+AS203</f>
        <v>0</v>
      </c>
      <c r="AU203" s="148"/>
      <c r="AV203" s="133" t="n">
        <f aca="false">AT203+AO203</f>
        <v>0</v>
      </c>
      <c r="AX203" s="133" t="n">
        <f aca="false">AJ203+AG203+AD203</f>
        <v>0</v>
      </c>
      <c r="AY203" s="149"/>
      <c r="AZ203" s="76" t="n">
        <f aca="false">R203*E203</f>
        <v>0</v>
      </c>
    </row>
    <row r="204" customFormat="false" ht="12" hidden="false" customHeight="true" outlineLevel="0" collapsed="false">
      <c r="A204" s="138" t="n">
        <f aca="false">EDATE(A203,1)</f>
        <v>42887</v>
      </c>
      <c r="B204" s="139" t="n">
        <f aca="false">VLOOKUP($A204,Table2,MATCH(I$3,Curves2,0))</f>
        <v>0</v>
      </c>
      <c r="C204" s="140"/>
      <c r="D204" s="141" t="n">
        <f aca="false">B204+C204</f>
        <v>0</v>
      </c>
      <c r="E204" s="126" t="n">
        <f aca="false">IF(Y204=0,0,IF(AND(Y204=1,$H$3=1),D204*T204,IF($H$3=2,D204,"N/A")))</f>
        <v>0</v>
      </c>
      <c r="F204" s="126" t="n">
        <f aca="false">E204*X204</f>
        <v>0</v>
      </c>
      <c r="G204" s="142" t="n">
        <f aca="false">VLOOKUP($A204,Table,MATCH(G$4,Curves,0))</f>
        <v>3.987</v>
      </c>
      <c r="H204" s="143" t="n">
        <f aca="false">G204</f>
        <v>3.987</v>
      </c>
      <c r="I204" s="142" t="n">
        <f aca="false">VLOOKUP($A204,Table1,MATCH(I$3,Curves1,0))</f>
        <v>0</v>
      </c>
      <c r="J204" s="142" t="n">
        <f aca="false">VLOOKUP($A204,Table,MATCH(J$4,Curves,0))</f>
        <v>-0.0235</v>
      </c>
      <c r="K204" s="143" t="n">
        <f aca="false">J204</f>
        <v>-0.0235</v>
      </c>
      <c r="L204" s="144" t="n">
        <v>0</v>
      </c>
      <c r="M204" s="142" t="n">
        <f aca="false">VLOOKUP($A204,Table,MATCH(M$4,Curves,0))</f>
        <v>0.0075</v>
      </c>
      <c r="N204" s="143" t="n">
        <f aca="false">M204</f>
        <v>0.0075</v>
      </c>
      <c r="O204" s="144" t="n">
        <v>0</v>
      </c>
      <c r="P204" s="145"/>
      <c r="Q204" s="144" t="n">
        <f aca="false">M204+J204+G204</f>
        <v>3.971</v>
      </c>
      <c r="R204" s="144" t="n">
        <f aca="false">O204+L204+I204</f>
        <v>0</v>
      </c>
      <c r="S204" s="145"/>
      <c r="T204" s="71" t="n">
        <f aca="false">A205-A204</f>
        <v>30</v>
      </c>
      <c r="U204" s="146" t="n">
        <f aca="false">CHOOSE(F$3,A205+24,A204)</f>
        <v>42941</v>
      </c>
      <c r="V204" s="71" t="n">
        <f aca="false">U204-C$3</f>
        <v>6053</v>
      </c>
      <c r="W204" s="142" t="n">
        <f aca="false">VLOOKUP($A204,Table,MATCH(W$4,Curves,0))</f>
        <v>0.058966861357273</v>
      </c>
      <c r="X204" s="147" t="n">
        <f aca="false">1/(1+CHOOSE(F$3,(W205+($K$3/10000))/2,(W204+($K$3/10000))/2))^(2*V204/365.25)</f>
        <v>0.38171442651293</v>
      </c>
      <c r="Y204" s="71" t="n">
        <f aca="false">IF(AND(mthbeg&lt;=A204,mthend&gt;=A204),1,0)</f>
        <v>0</v>
      </c>
      <c r="Z204" s="71" t="n">
        <f aca="false">T204*Y204</f>
        <v>0</v>
      </c>
      <c r="AB204" s="132" t="n">
        <f aca="false">F204*G204</f>
        <v>0</v>
      </c>
      <c r="AC204" s="132" t="n">
        <f aca="false">$F204*H204</f>
        <v>0</v>
      </c>
      <c r="AD204" s="132" t="n">
        <f aca="false">$F204*I204</f>
        <v>0</v>
      </c>
      <c r="AE204" s="132" t="n">
        <f aca="false">$F204*J204</f>
        <v>-0</v>
      </c>
      <c r="AF204" s="132" t="n">
        <f aca="false">$F204*K204</f>
        <v>-0</v>
      </c>
      <c r="AG204" s="132" t="n">
        <f aca="false">$F204*L204</f>
        <v>0</v>
      </c>
      <c r="AH204" s="132" t="n">
        <f aca="false">$F204*M204</f>
        <v>0</v>
      </c>
      <c r="AI204" s="132" t="n">
        <f aca="false">$F204*N204</f>
        <v>0</v>
      </c>
      <c r="AJ204" s="132" t="n">
        <f aca="false">F204*O204</f>
        <v>0</v>
      </c>
      <c r="AK204" s="137"/>
      <c r="AL204" s="132" t="n">
        <f aca="false">CHOOSE($G$3,AC204-AD204,AD204-AC204)</f>
        <v>0</v>
      </c>
      <c r="AM204" s="132" t="n">
        <f aca="false">CHOOSE($G$3,AF204-AG204,AG204-AF204)</f>
        <v>0</v>
      </c>
      <c r="AN204" s="132" t="n">
        <f aca="false">CHOOSE($G$3,AI204-AJ204,AJ204-AI204)</f>
        <v>0</v>
      </c>
      <c r="AO204" s="148" t="n">
        <f aca="false">SUM(AL204:AN204)</f>
        <v>0</v>
      </c>
      <c r="AQ204" s="132" t="n">
        <f aca="false">CHOOSE($G$3,AB204-AC204,AC204-AB204)</f>
        <v>0</v>
      </c>
      <c r="AR204" s="132" t="n">
        <f aca="false">CHOOSE($G$3,AE204-AF204,AF204-AE204)</f>
        <v>0</v>
      </c>
      <c r="AS204" s="132" t="n">
        <f aca="false">CHOOSE($G$3,AH204-AI204,AI204-AH204)</f>
        <v>0</v>
      </c>
      <c r="AT204" s="148" t="n">
        <f aca="false">AQ204+AR204+AS204</f>
        <v>0</v>
      </c>
      <c r="AU204" s="148"/>
      <c r="AV204" s="133" t="n">
        <f aca="false">AT204+AO204</f>
        <v>0</v>
      </c>
      <c r="AX204" s="133" t="n">
        <f aca="false">AJ204+AG204+AD204</f>
        <v>0</v>
      </c>
      <c r="AY204" s="149"/>
      <c r="AZ204" s="76" t="n">
        <f aca="false">R204*E204</f>
        <v>0</v>
      </c>
    </row>
    <row r="205" customFormat="false" ht="12" hidden="false" customHeight="true" outlineLevel="0" collapsed="false">
      <c r="A205" s="138" t="n">
        <f aca="false">EDATE(A204,1)</f>
        <v>42917</v>
      </c>
      <c r="B205" s="139" t="n">
        <f aca="false">VLOOKUP($A205,Table2,MATCH(I$3,Curves2,0))</f>
        <v>0</v>
      </c>
      <c r="C205" s="140"/>
      <c r="D205" s="141" t="n">
        <f aca="false">B205+C205</f>
        <v>0</v>
      </c>
      <c r="E205" s="126" t="n">
        <f aca="false">IF(Y205=0,0,IF(AND(Y205=1,$H$3=1),D205*T205,IF($H$3=2,D205,"N/A")))</f>
        <v>0</v>
      </c>
      <c r="F205" s="126" t="n">
        <f aca="false">E205*X205</f>
        <v>0</v>
      </c>
      <c r="G205" s="142" t="n">
        <f aca="false">VLOOKUP($A205,Table,MATCH(G$4,Curves,0))</f>
        <v>3.987</v>
      </c>
      <c r="H205" s="143" t="n">
        <f aca="false">G205</f>
        <v>3.987</v>
      </c>
      <c r="I205" s="142" t="n">
        <f aca="false">VLOOKUP($A205,Table1,MATCH(I$3,Curves1,0))</f>
        <v>0</v>
      </c>
      <c r="J205" s="142" t="n">
        <f aca="false">VLOOKUP($A205,Table,MATCH(J$4,Curves,0))</f>
        <v>-0.0235</v>
      </c>
      <c r="K205" s="143" t="n">
        <f aca="false">J205</f>
        <v>-0.0235</v>
      </c>
      <c r="L205" s="144" t="n">
        <v>0</v>
      </c>
      <c r="M205" s="142" t="n">
        <f aca="false">VLOOKUP($A205,Table,MATCH(M$4,Curves,0))</f>
        <v>0.0075</v>
      </c>
      <c r="N205" s="143" t="n">
        <f aca="false">M205</f>
        <v>0.0075</v>
      </c>
      <c r="O205" s="144" t="n">
        <v>0</v>
      </c>
      <c r="P205" s="145"/>
      <c r="Q205" s="144" t="n">
        <f aca="false">M205+J205+G205</f>
        <v>3.971</v>
      </c>
      <c r="R205" s="144" t="n">
        <f aca="false">O205+L205+I205</f>
        <v>0</v>
      </c>
      <c r="S205" s="145"/>
      <c r="T205" s="71" t="n">
        <f aca="false">A206-A205</f>
        <v>31</v>
      </c>
      <c r="U205" s="146" t="n">
        <f aca="false">CHOOSE(F$3,A206+24,A205)</f>
        <v>42972</v>
      </c>
      <c r="V205" s="71" t="n">
        <f aca="false">U205-C$3</f>
        <v>6084</v>
      </c>
      <c r="W205" s="142" t="n">
        <f aca="false">VLOOKUP($A205,Table,MATCH(W$4,Curves,0))</f>
        <v>0.058966861357273</v>
      </c>
      <c r="X205" s="147" t="n">
        <f aca="false">1/(1+CHOOSE(F$3,(W206+($K$3/10000))/2,(W205+($K$3/10000))/2))^(2*V205/365.25)</f>
        <v>0.379836310182777</v>
      </c>
      <c r="Y205" s="71" t="n">
        <f aca="false">IF(AND(mthbeg&lt;=A205,mthend&gt;=A205),1,0)</f>
        <v>0</v>
      </c>
      <c r="Z205" s="71" t="n">
        <f aca="false">T205*Y205</f>
        <v>0</v>
      </c>
      <c r="AB205" s="132" t="n">
        <f aca="false">F205*G205</f>
        <v>0</v>
      </c>
      <c r="AC205" s="132" t="n">
        <f aca="false">$F205*H205</f>
        <v>0</v>
      </c>
      <c r="AD205" s="132" t="n">
        <f aca="false">$F205*I205</f>
        <v>0</v>
      </c>
      <c r="AE205" s="132" t="n">
        <f aca="false">$F205*J205</f>
        <v>-0</v>
      </c>
      <c r="AF205" s="132" t="n">
        <f aca="false">$F205*K205</f>
        <v>-0</v>
      </c>
      <c r="AG205" s="132" t="n">
        <f aca="false">$F205*L205</f>
        <v>0</v>
      </c>
      <c r="AH205" s="132" t="n">
        <f aca="false">$F205*M205</f>
        <v>0</v>
      </c>
      <c r="AI205" s="132" t="n">
        <f aca="false">$F205*N205</f>
        <v>0</v>
      </c>
      <c r="AJ205" s="132" t="n">
        <f aca="false">F205*O205</f>
        <v>0</v>
      </c>
      <c r="AK205" s="137"/>
      <c r="AL205" s="132" t="n">
        <f aca="false">CHOOSE($G$3,AC205-AD205,AD205-AC205)</f>
        <v>0</v>
      </c>
      <c r="AM205" s="132" t="n">
        <f aca="false">CHOOSE($G$3,AF205-AG205,AG205-AF205)</f>
        <v>0</v>
      </c>
      <c r="AN205" s="132" t="n">
        <f aca="false">CHOOSE($G$3,AI205-AJ205,AJ205-AI205)</f>
        <v>0</v>
      </c>
      <c r="AO205" s="148" t="n">
        <f aca="false">SUM(AL205:AN205)</f>
        <v>0</v>
      </c>
      <c r="AQ205" s="132" t="n">
        <f aca="false">CHOOSE($G$3,AB205-AC205,AC205-AB205)</f>
        <v>0</v>
      </c>
      <c r="AR205" s="132" t="n">
        <f aca="false">CHOOSE($G$3,AE205-AF205,AF205-AE205)</f>
        <v>0</v>
      </c>
      <c r="AS205" s="132" t="n">
        <f aca="false">CHOOSE($G$3,AH205-AI205,AI205-AH205)</f>
        <v>0</v>
      </c>
      <c r="AT205" s="148" t="n">
        <f aca="false">AQ205+AR205+AS205</f>
        <v>0</v>
      </c>
      <c r="AU205" s="148"/>
      <c r="AV205" s="133" t="n">
        <f aca="false">AT205+AO205</f>
        <v>0</v>
      </c>
      <c r="AX205" s="133" t="n">
        <f aca="false">AJ205+AG205+AD205</f>
        <v>0</v>
      </c>
      <c r="AY205" s="149"/>
      <c r="AZ205" s="76" t="n">
        <f aca="false">R205*E205</f>
        <v>0</v>
      </c>
    </row>
    <row r="206" customFormat="false" ht="12" hidden="false" customHeight="true" outlineLevel="0" collapsed="false">
      <c r="A206" s="138" t="n">
        <f aca="false">EDATE(A205,1)</f>
        <v>42948</v>
      </c>
      <c r="B206" s="139" t="n">
        <f aca="false">VLOOKUP($A206,Table2,MATCH(I$3,Curves2,0))</f>
        <v>0</v>
      </c>
      <c r="C206" s="140"/>
      <c r="D206" s="141" t="n">
        <f aca="false">B206+C206</f>
        <v>0</v>
      </c>
      <c r="E206" s="126" t="n">
        <f aca="false">IF(Y206=0,0,IF(AND(Y206=1,$H$3=1),D206*T206,IF($H$3=2,D206,"N/A")))</f>
        <v>0</v>
      </c>
      <c r="F206" s="126" t="n">
        <f aca="false">E206*X206</f>
        <v>0</v>
      </c>
      <c r="G206" s="142" t="n">
        <f aca="false">VLOOKUP($A206,Table,MATCH(G$4,Curves,0))</f>
        <v>3.987</v>
      </c>
      <c r="H206" s="143" t="n">
        <f aca="false">G206</f>
        <v>3.987</v>
      </c>
      <c r="I206" s="142" t="n">
        <f aca="false">VLOOKUP($A206,Table1,MATCH(I$3,Curves1,0))</f>
        <v>0</v>
      </c>
      <c r="J206" s="142" t="n">
        <f aca="false">VLOOKUP($A206,Table,MATCH(J$4,Curves,0))</f>
        <v>-0.0235</v>
      </c>
      <c r="K206" s="143" t="n">
        <f aca="false">J206</f>
        <v>-0.0235</v>
      </c>
      <c r="L206" s="144" t="n">
        <v>0</v>
      </c>
      <c r="M206" s="142" t="n">
        <f aca="false">VLOOKUP($A206,Table,MATCH(M$4,Curves,0))</f>
        <v>0.0075</v>
      </c>
      <c r="N206" s="143" t="n">
        <f aca="false">M206</f>
        <v>0.0075</v>
      </c>
      <c r="O206" s="144" t="n">
        <v>0</v>
      </c>
      <c r="P206" s="145"/>
      <c r="Q206" s="144" t="n">
        <f aca="false">M206+J206+G206</f>
        <v>3.971</v>
      </c>
      <c r="R206" s="144" t="n">
        <f aca="false">O206+L206+I206</f>
        <v>0</v>
      </c>
      <c r="S206" s="145"/>
      <c r="T206" s="71" t="n">
        <f aca="false">A207-A206</f>
        <v>31</v>
      </c>
      <c r="U206" s="146" t="n">
        <f aca="false">CHOOSE(F$3,A207+24,A206)</f>
        <v>43003</v>
      </c>
      <c r="V206" s="71" t="n">
        <f aca="false">U206-C$3</f>
        <v>6115</v>
      </c>
      <c r="W206" s="142" t="n">
        <f aca="false">VLOOKUP($A206,Table,MATCH(W$4,Curves,0))</f>
        <v>0.058966861357273</v>
      </c>
      <c r="X206" s="147" t="n">
        <f aca="false">1/(1+CHOOSE(F$3,(W207+($K$3/10000))/2,(W206+($K$3/10000))/2))^(2*V206/365.25)</f>
        <v>0.377967434585236</v>
      </c>
      <c r="Y206" s="71" t="n">
        <f aca="false">IF(AND(mthbeg&lt;=A206,mthend&gt;=A206),1,0)</f>
        <v>0</v>
      </c>
      <c r="Z206" s="71" t="n">
        <f aca="false">T206*Y206</f>
        <v>0</v>
      </c>
      <c r="AB206" s="132" t="n">
        <f aca="false">F206*G206</f>
        <v>0</v>
      </c>
      <c r="AC206" s="132" t="n">
        <f aca="false">$F206*H206</f>
        <v>0</v>
      </c>
      <c r="AD206" s="132" t="n">
        <f aca="false">$F206*I206</f>
        <v>0</v>
      </c>
      <c r="AE206" s="132" t="n">
        <f aca="false">$F206*J206</f>
        <v>-0</v>
      </c>
      <c r="AF206" s="132" t="n">
        <f aca="false">$F206*K206</f>
        <v>-0</v>
      </c>
      <c r="AG206" s="132" t="n">
        <f aca="false">$F206*L206</f>
        <v>0</v>
      </c>
      <c r="AH206" s="132" t="n">
        <f aca="false">$F206*M206</f>
        <v>0</v>
      </c>
      <c r="AI206" s="132" t="n">
        <f aca="false">$F206*N206</f>
        <v>0</v>
      </c>
      <c r="AJ206" s="132" t="n">
        <f aca="false">F206*O206</f>
        <v>0</v>
      </c>
      <c r="AK206" s="137"/>
      <c r="AL206" s="132" t="n">
        <f aca="false">CHOOSE($G$3,AC206-AD206,AD206-AC206)</f>
        <v>0</v>
      </c>
      <c r="AM206" s="132" t="n">
        <f aca="false">CHOOSE($G$3,AF206-AG206,AG206-AF206)</f>
        <v>0</v>
      </c>
      <c r="AN206" s="132" t="n">
        <f aca="false">CHOOSE($G$3,AI206-AJ206,AJ206-AI206)</f>
        <v>0</v>
      </c>
      <c r="AO206" s="148" t="n">
        <f aca="false">SUM(AL206:AN206)</f>
        <v>0</v>
      </c>
      <c r="AQ206" s="132" t="n">
        <f aca="false">CHOOSE($G$3,AB206-AC206,AC206-AB206)</f>
        <v>0</v>
      </c>
      <c r="AR206" s="132" t="n">
        <f aca="false">CHOOSE($G$3,AE206-AF206,AF206-AE206)</f>
        <v>0</v>
      </c>
      <c r="AS206" s="132" t="n">
        <f aca="false">CHOOSE($G$3,AH206-AI206,AI206-AH206)</f>
        <v>0</v>
      </c>
      <c r="AT206" s="148" t="n">
        <f aca="false">AQ206+AR206+AS206</f>
        <v>0</v>
      </c>
      <c r="AU206" s="148"/>
      <c r="AV206" s="133" t="n">
        <f aca="false">AT206+AO206</f>
        <v>0</v>
      </c>
      <c r="AX206" s="133" t="n">
        <f aca="false">AJ206+AG206+AD206</f>
        <v>0</v>
      </c>
      <c r="AY206" s="149"/>
      <c r="AZ206" s="76" t="n">
        <f aca="false">R206*E206</f>
        <v>0</v>
      </c>
    </row>
    <row r="207" customFormat="false" ht="12" hidden="false" customHeight="true" outlineLevel="0" collapsed="false">
      <c r="A207" s="138" t="n">
        <f aca="false">EDATE(A206,1)</f>
        <v>42979</v>
      </c>
      <c r="B207" s="139" t="n">
        <f aca="false">VLOOKUP($A207,Table2,MATCH(I$3,Curves2,0))</f>
        <v>0</v>
      </c>
      <c r="C207" s="140"/>
      <c r="D207" s="141" t="n">
        <f aca="false">B207+C207</f>
        <v>0</v>
      </c>
      <c r="E207" s="126" t="n">
        <f aca="false">IF(Y207=0,0,IF(AND(Y207=1,$H$3=1),D207*T207,IF($H$3=2,D207,"N/A")))</f>
        <v>0</v>
      </c>
      <c r="F207" s="126" t="n">
        <f aca="false">E207*X207</f>
        <v>0</v>
      </c>
      <c r="G207" s="142" t="n">
        <f aca="false">VLOOKUP($A207,Table,MATCH(G$4,Curves,0))</f>
        <v>3.987</v>
      </c>
      <c r="H207" s="143" t="n">
        <f aca="false">G207</f>
        <v>3.987</v>
      </c>
      <c r="I207" s="142" t="n">
        <f aca="false">VLOOKUP($A207,Table1,MATCH(I$3,Curves1,0))</f>
        <v>0</v>
      </c>
      <c r="J207" s="142" t="n">
        <f aca="false">VLOOKUP($A207,Table,MATCH(J$4,Curves,0))</f>
        <v>-0.0235</v>
      </c>
      <c r="K207" s="143" t="n">
        <f aca="false">J207</f>
        <v>-0.0235</v>
      </c>
      <c r="L207" s="144" t="n">
        <v>0</v>
      </c>
      <c r="M207" s="142" t="n">
        <f aca="false">VLOOKUP($A207,Table,MATCH(M$4,Curves,0))</f>
        <v>0.0075</v>
      </c>
      <c r="N207" s="143" t="n">
        <f aca="false">M207</f>
        <v>0.0075</v>
      </c>
      <c r="O207" s="144" t="n">
        <v>0</v>
      </c>
      <c r="P207" s="145"/>
      <c r="Q207" s="144" t="n">
        <f aca="false">M207+J207+G207</f>
        <v>3.971</v>
      </c>
      <c r="R207" s="144" t="n">
        <f aca="false">O207+L207+I207</f>
        <v>0</v>
      </c>
      <c r="S207" s="145"/>
      <c r="T207" s="71" t="n">
        <f aca="false">A208-A207</f>
        <v>30</v>
      </c>
      <c r="U207" s="146" t="n">
        <f aca="false">CHOOSE(F$3,A208+24,A207)</f>
        <v>43033</v>
      </c>
      <c r="V207" s="71" t="n">
        <f aca="false">U207-C$3</f>
        <v>6145</v>
      </c>
      <c r="W207" s="142" t="n">
        <f aca="false">VLOOKUP($A207,Table,MATCH(W$4,Curves,0))</f>
        <v>0.058966861357273</v>
      </c>
      <c r="X207" s="147" t="n">
        <f aca="false">1/(1+CHOOSE(F$3,(W208+($K$3/10000))/2,(W207+($K$3/10000))/2))^(2*V207/365.25)</f>
        <v>0.376167600879295</v>
      </c>
      <c r="Y207" s="71" t="n">
        <f aca="false">IF(AND(mthbeg&lt;=A207,mthend&gt;=A207),1,0)</f>
        <v>0</v>
      </c>
      <c r="Z207" s="71" t="n">
        <f aca="false">T207*Y207</f>
        <v>0</v>
      </c>
      <c r="AB207" s="132" t="n">
        <f aca="false">F207*G207</f>
        <v>0</v>
      </c>
      <c r="AC207" s="132" t="n">
        <f aca="false">$F207*H207</f>
        <v>0</v>
      </c>
      <c r="AD207" s="132" t="n">
        <f aca="false">$F207*I207</f>
        <v>0</v>
      </c>
      <c r="AE207" s="132" t="n">
        <f aca="false">$F207*J207</f>
        <v>-0</v>
      </c>
      <c r="AF207" s="132" t="n">
        <f aca="false">$F207*K207</f>
        <v>-0</v>
      </c>
      <c r="AG207" s="132" t="n">
        <f aca="false">$F207*L207</f>
        <v>0</v>
      </c>
      <c r="AH207" s="132" t="n">
        <f aca="false">$F207*M207</f>
        <v>0</v>
      </c>
      <c r="AI207" s="132" t="n">
        <f aca="false">$F207*N207</f>
        <v>0</v>
      </c>
      <c r="AJ207" s="132" t="n">
        <f aca="false">F207*O207</f>
        <v>0</v>
      </c>
      <c r="AK207" s="137"/>
      <c r="AL207" s="132" t="n">
        <f aca="false">CHOOSE($G$3,AC207-AD207,AD207-AC207)</f>
        <v>0</v>
      </c>
      <c r="AM207" s="132" t="n">
        <f aca="false">CHOOSE($G$3,AF207-AG207,AG207-AF207)</f>
        <v>0</v>
      </c>
      <c r="AN207" s="132" t="n">
        <f aca="false">CHOOSE($G$3,AI207-AJ207,AJ207-AI207)</f>
        <v>0</v>
      </c>
      <c r="AO207" s="148" t="n">
        <f aca="false">SUM(AL207:AN207)</f>
        <v>0</v>
      </c>
      <c r="AQ207" s="132" t="n">
        <f aca="false">CHOOSE($G$3,AB207-AC207,AC207-AB207)</f>
        <v>0</v>
      </c>
      <c r="AR207" s="132" t="n">
        <f aca="false">CHOOSE($G$3,AE207-AF207,AF207-AE207)</f>
        <v>0</v>
      </c>
      <c r="AS207" s="132" t="n">
        <f aca="false">CHOOSE($G$3,AH207-AI207,AI207-AH207)</f>
        <v>0</v>
      </c>
      <c r="AT207" s="148" t="n">
        <f aca="false">AQ207+AR207+AS207</f>
        <v>0</v>
      </c>
      <c r="AU207" s="148"/>
      <c r="AV207" s="133" t="n">
        <f aca="false">AT207+AO207</f>
        <v>0</v>
      </c>
      <c r="AX207" s="133" t="n">
        <f aca="false">AJ207+AG207+AD207</f>
        <v>0</v>
      </c>
      <c r="AY207" s="149"/>
      <c r="AZ207" s="76" t="n">
        <f aca="false">R207*E207</f>
        <v>0</v>
      </c>
    </row>
    <row r="208" customFormat="false" ht="12" hidden="false" customHeight="true" outlineLevel="0" collapsed="false">
      <c r="A208" s="138" t="n">
        <f aca="false">EDATE(A207,1)</f>
        <v>43009</v>
      </c>
      <c r="B208" s="139" t="n">
        <f aca="false">VLOOKUP($A208,Table2,MATCH(I$3,Curves2,0))</f>
        <v>0</v>
      </c>
      <c r="C208" s="140"/>
      <c r="D208" s="141" t="n">
        <f aca="false">B208+C208</f>
        <v>0</v>
      </c>
      <c r="E208" s="126" t="n">
        <f aca="false">IF(Y208=0,0,IF(AND(Y208=1,$H$3=1),D208*T208,IF($H$3=2,D208,"N/A")))</f>
        <v>0</v>
      </c>
      <c r="F208" s="126" t="n">
        <f aca="false">E208*X208</f>
        <v>0</v>
      </c>
      <c r="G208" s="142" t="n">
        <f aca="false">VLOOKUP($A208,Table,MATCH(G$4,Curves,0))</f>
        <v>3.987</v>
      </c>
      <c r="H208" s="143" t="n">
        <f aca="false">G208</f>
        <v>3.987</v>
      </c>
      <c r="I208" s="142" t="n">
        <f aca="false">VLOOKUP($A208,Table1,MATCH(I$3,Curves1,0))</f>
        <v>0</v>
      </c>
      <c r="J208" s="142" t="n">
        <f aca="false">VLOOKUP($A208,Table,MATCH(J$4,Curves,0))</f>
        <v>-0.0235</v>
      </c>
      <c r="K208" s="143" t="n">
        <f aca="false">J208</f>
        <v>-0.0235</v>
      </c>
      <c r="L208" s="144" t="n">
        <v>0</v>
      </c>
      <c r="M208" s="142" t="n">
        <f aca="false">VLOOKUP($A208,Table,MATCH(M$4,Curves,0))</f>
        <v>0.0075</v>
      </c>
      <c r="N208" s="143" t="n">
        <f aca="false">M208</f>
        <v>0.0075</v>
      </c>
      <c r="O208" s="144" t="n">
        <v>0</v>
      </c>
      <c r="P208" s="145"/>
      <c r="Q208" s="144" t="n">
        <f aca="false">M208+J208+G208</f>
        <v>3.971</v>
      </c>
      <c r="R208" s="144" t="n">
        <f aca="false">O208+L208+I208</f>
        <v>0</v>
      </c>
      <c r="S208" s="145"/>
      <c r="T208" s="71" t="n">
        <f aca="false">A209-A208</f>
        <v>31</v>
      </c>
      <c r="U208" s="146" t="n">
        <f aca="false">CHOOSE(F$3,A209+24,A208)</f>
        <v>43064</v>
      </c>
      <c r="V208" s="71" t="n">
        <f aca="false">U208-C$3</f>
        <v>6176</v>
      </c>
      <c r="W208" s="142" t="n">
        <f aca="false">VLOOKUP($A208,Table,MATCH(W$4,Curves,0))</f>
        <v>0.058966861357273</v>
      </c>
      <c r="X208" s="147" t="n">
        <f aca="false">1/(1+CHOOSE(F$3,(W209+($K$3/10000))/2,(W208+($K$3/10000))/2))^(2*V208/365.25)</f>
        <v>0.374316776113409</v>
      </c>
      <c r="Y208" s="71" t="n">
        <f aca="false">IF(AND(mthbeg&lt;=A208,mthend&gt;=A208),1,0)</f>
        <v>0</v>
      </c>
      <c r="Z208" s="71" t="n">
        <f aca="false">T208*Y208</f>
        <v>0</v>
      </c>
      <c r="AB208" s="132" t="n">
        <f aca="false">F208*G208</f>
        <v>0</v>
      </c>
      <c r="AC208" s="132" t="n">
        <f aca="false">$F208*H208</f>
        <v>0</v>
      </c>
      <c r="AD208" s="132" t="n">
        <f aca="false">$F208*I208</f>
        <v>0</v>
      </c>
      <c r="AE208" s="132" t="n">
        <f aca="false">$F208*J208</f>
        <v>-0</v>
      </c>
      <c r="AF208" s="132" t="n">
        <f aca="false">$F208*K208</f>
        <v>-0</v>
      </c>
      <c r="AG208" s="132" t="n">
        <f aca="false">$F208*L208</f>
        <v>0</v>
      </c>
      <c r="AH208" s="132" t="n">
        <f aca="false">$F208*M208</f>
        <v>0</v>
      </c>
      <c r="AI208" s="132" t="n">
        <f aca="false">$F208*N208</f>
        <v>0</v>
      </c>
      <c r="AJ208" s="132" t="n">
        <f aca="false">F208*O208</f>
        <v>0</v>
      </c>
      <c r="AK208" s="137"/>
      <c r="AL208" s="132" t="n">
        <f aca="false">CHOOSE($G$3,AC208-AD208,AD208-AC208)</f>
        <v>0</v>
      </c>
      <c r="AM208" s="132" t="n">
        <f aca="false">CHOOSE($G$3,AF208-AG208,AG208-AF208)</f>
        <v>0</v>
      </c>
      <c r="AN208" s="132" t="n">
        <f aca="false">CHOOSE($G$3,AI208-AJ208,AJ208-AI208)</f>
        <v>0</v>
      </c>
      <c r="AO208" s="148" t="n">
        <f aca="false">SUM(AL208:AN208)</f>
        <v>0</v>
      </c>
      <c r="AQ208" s="132" t="n">
        <f aca="false">CHOOSE($G$3,AB208-AC208,AC208-AB208)</f>
        <v>0</v>
      </c>
      <c r="AR208" s="132" t="n">
        <f aca="false">CHOOSE($G$3,AE208-AF208,AF208-AE208)</f>
        <v>0</v>
      </c>
      <c r="AS208" s="132" t="n">
        <f aca="false">CHOOSE($G$3,AH208-AI208,AI208-AH208)</f>
        <v>0</v>
      </c>
      <c r="AT208" s="148" t="n">
        <f aca="false">AQ208+AR208+AS208</f>
        <v>0</v>
      </c>
      <c r="AU208" s="148"/>
      <c r="AV208" s="133" t="n">
        <f aca="false">AT208+AO208</f>
        <v>0</v>
      </c>
      <c r="AX208" s="133" t="n">
        <f aca="false">AJ208+AG208+AD208</f>
        <v>0</v>
      </c>
      <c r="AY208" s="149"/>
      <c r="AZ208" s="76" t="n">
        <f aca="false">R208*E208</f>
        <v>0</v>
      </c>
    </row>
    <row r="209" customFormat="false" ht="12" hidden="false" customHeight="true" outlineLevel="0" collapsed="false">
      <c r="A209" s="138" t="n">
        <f aca="false">EDATE(A208,1)</f>
        <v>43040</v>
      </c>
      <c r="B209" s="139" t="n">
        <f aca="false">VLOOKUP($A209,Table2,MATCH(I$3,Curves2,0))</f>
        <v>0</v>
      </c>
      <c r="C209" s="140"/>
      <c r="D209" s="141" t="n">
        <f aca="false">B209+C209</f>
        <v>0</v>
      </c>
      <c r="E209" s="126" t="n">
        <f aca="false">IF(Y209=0,0,IF(AND(Y209=1,$H$3=1),D209*T209,IF($H$3=2,D209,"N/A")))</f>
        <v>0</v>
      </c>
      <c r="F209" s="126" t="n">
        <f aca="false">E209*X209</f>
        <v>0</v>
      </c>
      <c r="G209" s="142" t="n">
        <f aca="false">VLOOKUP($A209,Table,MATCH(G$4,Curves,0))</f>
        <v>3.987</v>
      </c>
      <c r="H209" s="143" t="n">
        <f aca="false">G209</f>
        <v>3.987</v>
      </c>
      <c r="I209" s="142" t="n">
        <f aca="false">VLOOKUP($A209,Table1,MATCH(I$3,Curves1,0))</f>
        <v>0</v>
      </c>
      <c r="J209" s="142" t="n">
        <f aca="false">VLOOKUP($A209,Table,MATCH(J$4,Curves,0))</f>
        <v>-0.0235</v>
      </c>
      <c r="K209" s="143" t="n">
        <f aca="false">J209</f>
        <v>-0.0235</v>
      </c>
      <c r="L209" s="144" t="n">
        <v>0</v>
      </c>
      <c r="M209" s="142" t="n">
        <f aca="false">VLOOKUP($A209,Table,MATCH(M$4,Curves,0))</f>
        <v>0.0075</v>
      </c>
      <c r="N209" s="143" t="n">
        <f aca="false">M209</f>
        <v>0.0075</v>
      </c>
      <c r="O209" s="144" t="n">
        <v>0</v>
      </c>
      <c r="P209" s="145"/>
      <c r="Q209" s="144" t="n">
        <f aca="false">M209+J209+G209</f>
        <v>3.971</v>
      </c>
      <c r="R209" s="144" t="n">
        <f aca="false">O209+L209+I209</f>
        <v>0</v>
      </c>
      <c r="S209" s="145"/>
      <c r="T209" s="71" t="n">
        <f aca="false">A210-A209</f>
        <v>30</v>
      </c>
      <c r="U209" s="146" t="n">
        <f aca="false">CHOOSE(F$3,A210+24,A209)</f>
        <v>43094</v>
      </c>
      <c r="V209" s="71" t="n">
        <f aca="false">U209-C$3</f>
        <v>6206</v>
      </c>
      <c r="W209" s="142" t="n">
        <f aca="false">VLOOKUP($A209,Table,MATCH(W$4,Curves,0))</f>
        <v>0.058966861357273</v>
      </c>
      <c r="X209" s="147" t="n">
        <f aca="false">1/(1+CHOOSE(F$3,(W210+($K$3/10000))/2,(W209+($K$3/10000))/2))^(2*V209/365.25)</f>
        <v>0.372534326387053</v>
      </c>
      <c r="Y209" s="71" t="n">
        <f aca="false">IF(AND(mthbeg&lt;=A209,mthend&gt;=A209),1,0)</f>
        <v>0</v>
      </c>
      <c r="Z209" s="71" t="n">
        <f aca="false">T209*Y209</f>
        <v>0</v>
      </c>
      <c r="AB209" s="132" t="n">
        <f aca="false">F209*G209</f>
        <v>0</v>
      </c>
      <c r="AC209" s="132" t="n">
        <f aca="false">$F209*H209</f>
        <v>0</v>
      </c>
      <c r="AD209" s="132" t="n">
        <f aca="false">$F209*I209</f>
        <v>0</v>
      </c>
      <c r="AE209" s="132" t="n">
        <f aca="false">$F209*J209</f>
        <v>-0</v>
      </c>
      <c r="AF209" s="132" t="n">
        <f aca="false">$F209*K209</f>
        <v>-0</v>
      </c>
      <c r="AG209" s="132" t="n">
        <f aca="false">$F209*L209</f>
        <v>0</v>
      </c>
      <c r="AH209" s="132" t="n">
        <f aca="false">$F209*M209</f>
        <v>0</v>
      </c>
      <c r="AI209" s="132" t="n">
        <f aca="false">$F209*N209</f>
        <v>0</v>
      </c>
      <c r="AJ209" s="132" t="n">
        <f aca="false">F209*O209</f>
        <v>0</v>
      </c>
      <c r="AK209" s="137"/>
      <c r="AL209" s="132" t="n">
        <f aca="false">CHOOSE($G$3,AC209-AD209,AD209-AC209)</f>
        <v>0</v>
      </c>
      <c r="AM209" s="132" t="n">
        <f aca="false">CHOOSE($G$3,AF209-AG209,AG209-AF209)</f>
        <v>0</v>
      </c>
      <c r="AN209" s="132" t="n">
        <f aca="false">CHOOSE($G$3,AI209-AJ209,AJ209-AI209)</f>
        <v>0</v>
      </c>
      <c r="AO209" s="148" t="n">
        <f aca="false">SUM(AL209:AN209)</f>
        <v>0</v>
      </c>
      <c r="AQ209" s="132" t="n">
        <f aca="false">CHOOSE($G$3,AB209-AC209,AC209-AB209)</f>
        <v>0</v>
      </c>
      <c r="AR209" s="132" t="n">
        <f aca="false">CHOOSE($G$3,AE209-AF209,AF209-AE209)</f>
        <v>0</v>
      </c>
      <c r="AS209" s="132" t="n">
        <f aca="false">CHOOSE($G$3,AH209-AI209,AI209-AH209)</f>
        <v>0</v>
      </c>
      <c r="AT209" s="148" t="n">
        <f aca="false">AQ209+AR209+AS209</f>
        <v>0</v>
      </c>
      <c r="AU209" s="148"/>
      <c r="AV209" s="133" t="n">
        <f aca="false">AT209+AO209</f>
        <v>0</v>
      </c>
      <c r="AX209" s="133" t="n">
        <f aca="false">AJ209+AG209+AD209</f>
        <v>0</v>
      </c>
      <c r="AY209" s="149"/>
      <c r="AZ209" s="76" t="n">
        <f aca="false">R209*E209</f>
        <v>0</v>
      </c>
    </row>
    <row r="210" customFormat="false" ht="12" hidden="false" customHeight="true" outlineLevel="0" collapsed="false">
      <c r="A210" s="138" t="n">
        <f aca="false">EDATE(A209,1)</f>
        <v>43070</v>
      </c>
      <c r="B210" s="139" t="n">
        <f aca="false">VLOOKUP($A210,Table2,MATCH(I$3,Curves2,0))</f>
        <v>0</v>
      </c>
      <c r="C210" s="140"/>
      <c r="D210" s="141" t="n">
        <f aca="false">B210+C210</f>
        <v>0</v>
      </c>
      <c r="E210" s="126" t="n">
        <f aca="false">IF(Y210=0,0,IF(AND(Y210=1,$H$3=1),D210*T210,IF($H$3=2,D210,"N/A")))</f>
        <v>0</v>
      </c>
      <c r="F210" s="126" t="n">
        <f aca="false">E210*X210</f>
        <v>0</v>
      </c>
      <c r="G210" s="142" t="n">
        <f aca="false">VLOOKUP($A210,Table,MATCH(G$4,Curves,0))</f>
        <v>3.987</v>
      </c>
      <c r="H210" s="143" t="n">
        <f aca="false">G210</f>
        <v>3.987</v>
      </c>
      <c r="I210" s="142" t="n">
        <f aca="false">VLOOKUP($A210,Table1,MATCH(I$3,Curves1,0))</f>
        <v>0</v>
      </c>
      <c r="J210" s="142" t="n">
        <f aca="false">VLOOKUP($A210,Table,MATCH(J$4,Curves,0))</f>
        <v>-0.0235</v>
      </c>
      <c r="K210" s="143" t="n">
        <f aca="false">J210</f>
        <v>-0.0235</v>
      </c>
      <c r="L210" s="144" t="n">
        <v>0</v>
      </c>
      <c r="M210" s="142" t="n">
        <f aca="false">VLOOKUP($A210,Table,MATCH(M$4,Curves,0))</f>
        <v>0.0075</v>
      </c>
      <c r="N210" s="143" t="n">
        <f aca="false">M210</f>
        <v>0.0075</v>
      </c>
      <c r="O210" s="144" t="n">
        <v>0</v>
      </c>
      <c r="P210" s="145"/>
      <c r="Q210" s="144" t="n">
        <f aca="false">M210+J210+G210</f>
        <v>3.971</v>
      </c>
      <c r="R210" s="144" t="n">
        <f aca="false">O210+L210+I210</f>
        <v>0</v>
      </c>
      <c r="S210" s="145"/>
      <c r="T210" s="71" t="n">
        <f aca="false">A211-A210</f>
        <v>31</v>
      </c>
      <c r="U210" s="146" t="n">
        <f aca="false">CHOOSE(F$3,A211+24,A210)</f>
        <v>43125</v>
      </c>
      <c r="V210" s="71" t="n">
        <f aca="false">U210-C$3</f>
        <v>6237</v>
      </c>
      <c r="W210" s="142" t="n">
        <f aca="false">VLOOKUP($A210,Table,MATCH(W$4,Curves,0))</f>
        <v>0.058966861357273</v>
      </c>
      <c r="X210" s="147" t="n">
        <f aca="false">1/(1+CHOOSE(F$3,(W211+($K$3/10000))/2,(W210+($K$3/10000))/2))^(2*V210/365.25)</f>
        <v>0.370701378106</v>
      </c>
      <c r="Y210" s="71" t="n">
        <f aca="false">IF(AND(mthbeg&lt;=A210,mthend&gt;=A210),1,0)</f>
        <v>0</v>
      </c>
      <c r="Z210" s="71" t="n">
        <f aca="false">T210*Y210</f>
        <v>0</v>
      </c>
      <c r="AB210" s="132" t="n">
        <f aca="false">F210*G210</f>
        <v>0</v>
      </c>
      <c r="AC210" s="132" t="n">
        <f aca="false">$F210*H210</f>
        <v>0</v>
      </c>
      <c r="AD210" s="132" t="n">
        <f aca="false">$F210*I210</f>
        <v>0</v>
      </c>
      <c r="AE210" s="132" t="n">
        <f aca="false">$F210*J210</f>
        <v>-0</v>
      </c>
      <c r="AF210" s="132" t="n">
        <f aca="false">$F210*K210</f>
        <v>-0</v>
      </c>
      <c r="AG210" s="132" t="n">
        <f aca="false">$F210*L210</f>
        <v>0</v>
      </c>
      <c r="AH210" s="132" t="n">
        <f aca="false">$F210*M210</f>
        <v>0</v>
      </c>
      <c r="AI210" s="132" t="n">
        <f aca="false">$F210*N210</f>
        <v>0</v>
      </c>
      <c r="AJ210" s="132" t="n">
        <f aca="false">F210*O210</f>
        <v>0</v>
      </c>
      <c r="AK210" s="137"/>
      <c r="AL210" s="132" t="n">
        <f aca="false">CHOOSE($G$3,AC210-AD210,AD210-AC210)</f>
        <v>0</v>
      </c>
      <c r="AM210" s="132" t="n">
        <f aca="false">CHOOSE($G$3,AF210-AG210,AG210-AF210)</f>
        <v>0</v>
      </c>
      <c r="AN210" s="132" t="n">
        <f aca="false">CHOOSE($G$3,AI210-AJ210,AJ210-AI210)</f>
        <v>0</v>
      </c>
      <c r="AO210" s="148" t="n">
        <f aca="false">SUM(AL210:AN210)</f>
        <v>0</v>
      </c>
      <c r="AQ210" s="132" t="n">
        <f aca="false">CHOOSE($G$3,AB210-AC210,AC210-AB210)</f>
        <v>0</v>
      </c>
      <c r="AR210" s="132" t="n">
        <f aca="false">CHOOSE($G$3,AE210-AF210,AF210-AE210)</f>
        <v>0</v>
      </c>
      <c r="AS210" s="132" t="n">
        <f aca="false">CHOOSE($G$3,AH210-AI210,AI210-AH210)</f>
        <v>0</v>
      </c>
      <c r="AT210" s="148" t="n">
        <f aca="false">AQ210+AR210+AS210</f>
        <v>0</v>
      </c>
      <c r="AU210" s="148"/>
      <c r="AV210" s="133" t="n">
        <f aca="false">AT210+AO210</f>
        <v>0</v>
      </c>
      <c r="AX210" s="133" t="n">
        <f aca="false">AJ210+AG210+AD210</f>
        <v>0</v>
      </c>
      <c r="AY210" s="149"/>
      <c r="AZ210" s="76" t="n">
        <f aca="false">R210*E210</f>
        <v>0</v>
      </c>
    </row>
    <row r="211" customFormat="false" ht="12" hidden="false" customHeight="true" outlineLevel="0" collapsed="false">
      <c r="A211" s="138" t="n">
        <f aca="false">EDATE(A210,1)</f>
        <v>43101</v>
      </c>
      <c r="B211" s="139" t="n">
        <f aca="false">VLOOKUP($A211,Table2,MATCH(I$3,Curves2,0))</f>
        <v>0</v>
      </c>
      <c r="C211" s="140"/>
      <c r="D211" s="141" t="n">
        <f aca="false">B211+C211</f>
        <v>0</v>
      </c>
      <c r="E211" s="126" t="n">
        <f aca="false">IF(Y211=0,0,IF(AND(Y211=1,$H$3=1),D211*T211,IF($H$3=2,D211,"N/A")))</f>
        <v>0</v>
      </c>
      <c r="F211" s="126" t="n">
        <f aca="false">E211*X211</f>
        <v>0</v>
      </c>
      <c r="G211" s="142" t="n">
        <f aca="false">VLOOKUP($A211,Table,MATCH(G$4,Curves,0))</f>
        <v>3.987</v>
      </c>
      <c r="H211" s="143" t="n">
        <f aca="false">G211</f>
        <v>3.987</v>
      </c>
      <c r="I211" s="142" t="n">
        <f aca="false">VLOOKUP($A211,Table1,MATCH(I$3,Curves1,0))</f>
        <v>0</v>
      </c>
      <c r="J211" s="142" t="n">
        <f aca="false">VLOOKUP($A211,Table,MATCH(J$4,Curves,0))</f>
        <v>-0.0235</v>
      </c>
      <c r="K211" s="143" t="n">
        <f aca="false">J211</f>
        <v>-0.0235</v>
      </c>
      <c r="L211" s="144" t="n">
        <v>0</v>
      </c>
      <c r="M211" s="142" t="n">
        <f aca="false">VLOOKUP($A211,Table,MATCH(M$4,Curves,0))</f>
        <v>0.0075</v>
      </c>
      <c r="N211" s="143" t="n">
        <f aca="false">M211</f>
        <v>0.0075</v>
      </c>
      <c r="O211" s="144" t="n">
        <v>0</v>
      </c>
      <c r="P211" s="145"/>
      <c r="Q211" s="144" t="n">
        <f aca="false">M211+J211+G211</f>
        <v>3.971</v>
      </c>
      <c r="R211" s="144" t="n">
        <f aca="false">O211+L211+I211</f>
        <v>0</v>
      </c>
      <c r="S211" s="145"/>
      <c r="T211" s="71" t="n">
        <f aca="false">A212-A211</f>
        <v>31</v>
      </c>
      <c r="U211" s="146" t="n">
        <f aca="false">CHOOSE(F$3,A212+24,A211)</f>
        <v>43156</v>
      </c>
      <c r="V211" s="71" t="n">
        <f aca="false">U211-C$3</f>
        <v>6268</v>
      </c>
      <c r="W211" s="142" t="n">
        <f aca="false">VLOOKUP($A211,Table,MATCH(W$4,Curves,0))</f>
        <v>0.058966861357273</v>
      </c>
      <c r="X211" s="147" t="n">
        <f aca="false">1/(1+CHOOSE(F$3,(W212+($K$3/10000))/2,(W211+($K$3/10000))/2))^(2*V211/365.25)</f>
        <v>0.368877448321131</v>
      </c>
      <c r="Y211" s="71" t="n">
        <f aca="false">IF(AND(mthbeg&lt;=A211,mthend&gt;=A211),1,0)</f>
        <v>0</v>
      </c>
      <c r="Z211" s="71" t="n">
        <f aca="false">T211*Y211</f>
        <v>0</v>
      </c>
      <c r="AB211" s="132" t="n">
        <f aca="false">F211*G211</f>
        <v>0</v>
      </c>
      <c r="AC211" s="132" t="n">
        <f aca="false">$F211*H211</f>
        <v>0</v>
      </c>
      <c r="AD211" s="132" t="n">
        <f aca="false">$F211*I211</f>
        <v>0</v>
      </c>
      <c r="AE211" s="132" t="n">
        <f aca="false">$F211*J211</f>
        <v>-0</v>
      </c>
      <c r="AF211" s="132" t="n">
        <f aca="false">$F211*K211</f>
        <v>-0</v>
      </c>
      <c r="AG211" s="132" t="n">
        <f aca="false">$F211*L211</f>
        <v>0</v>
      </c>
      <c r="AH211" s="132" t="n">
        <f aca="false">$F211*M211</f>
        <v>0</v>
      </c>
      <c r="AI211" s="132" t="n">
        <f aca="false">$F211*N211</f>
        <v>0</v>
      </c>
      <c r="AJ211" s="132" t="n">
        <f aca="false">F211*O211</f>
        <v>0</v>
      </c>
      <c r="AK211" s="137"/>
      <c r="AL211" s="132" t="n">
        <f aca="false">CHOOSE($G$3,AC211-AD211,AD211-AC211)</f>
        <v>0</v>
      </c>
      <c r="AM211" s="132" t="n">
        <f aca="false">CHOOSE($G$3,AF211-AG211,AG211-AF211)</f>
        <v>0</v>
      </c>
      <c r="AN211" s="132" t="n">
        <f aca="false">CHOOSE($G$3,AI211-AJ211,AJ211-AI211)</f>
        <v>0</v>
      </c>
      <c r="AO211" s="148" t="n">
        <f aca="false">SUM(AL211:AN211)</f>
        <v>0</v>
      </c>
      <c r="AQ211" s="132" t="n">
        <f aca="false">CHOOSE($G$3,AB211-AC211,AC211-AB211)</f>
        <v>0</v>
      </c>
      <c r="AR211" s="132" t="n">
        <f aca="false">CHOOSE($G$3,AE211-AF211,AF211-AE211)</f>
        <v>0</v>
      </c>
      <c r="AS211" s="132" t="n">
        <f aca="false">CHOOSE($G$3,AH211-AI211,AI211-AH211)</f>
        <v>0</v>
      </c>
      <c r="AT211" s="148" t="n">
        <f aca="false">AQ211+AR211+AS211</f>
        <v>0</v>
      </c>
      <c r="AU211" s="148"/>
      <c r="AV211" s="133" t="n">
        <f aca="false">AT211+AO211</f>
        <v>0</v>
      </c>
      <c r="AX211" s="133" t="n">
        <f aca="false">AJ211+AG211+AD211</f>
        <v>0</v>
      </c>
      <c r="AY211" s="149"/>
      <c r="AZ211" s="76" t="n">
        <f aca="false">R211*E211</f>
        <v>0</v>
      </c>
    </row>
    <row r="212" customFormat="false" ht="12" hidden="false" customHeight="true" outlineLevel="0" collapsed="false">
      <c r="A212" s="138" t="n">
        <f aca="false">EDATE(A211,1)</f>
        <v>43132</v>
      </c>
      <c r="B212" s="139" t="n">
        <f aca="false">VLOOKUP($A212,Table2,MATCH(I$3,Curves2,0))</f>
        <v>0</v>
      </c>
      <c r="C212" s="140"/>
      <c r="D212" s="141" t="n">
        <f aca="false">B212+C212</f>
        <v>0</v>
      </c>
      <c r="E212" s="126" t="n">
        <f aca="false">IF(Y212=0,0,IF(AND(Y212=1,$H$3=1),D212*T212,IF($H$3=2,D212,"N/A")))</f>
        <v>0</v>
      </c>
      <c r="F212" s="126" t="n">
        <f aca="false">E212*X212</f>
        <v>0</v>
      </c>
      <c r="G212" s="142" t="n">
        <f aca="false">VLOOKUP($A212,Table,MATCH(G$4,Curves,0))</f>
        <v>3.987</v>
      </c>
      <c r="H212" s="143" t="n">
        <f aca="false">G212</f>
        <v>3.987</v>
      </c>
      <c r="I212" s="142" t="n">
        <f aca="false">VLOOKUP($A212,Table1,MATCH(I$3,Curves1,0))</f>
        <v>0</v>
      </c>
      <c r="J212" s="142" t="n">
        <f aca="false">VLOOKUP($A212,Table,MATCH(J$4,Curves,0))</f>
        <v>-0.0235</v>
      </c>
      <c r="K212" s="143" t="n">
        <f aca="false">J212</f>
        <v>-0.0235</v>
      </c>
      <c r="L212" s="144" t="n">
        <v>0</v>
      </c>
      <c r="M212" s="142" t="n">
        <f aca="false">VLOOKUP($A212,Table,MATCH(M$4,Curves,0))</f>
        <v>0.0075</v>
      </c>
      <c r="N212" s="143" t="n">
        <f aca="false">M212</f>
        <v>0.0075</v>
      </c>
      <c r="O212" s="144" t="n">
        <v>0</v>
      </c>
      <c r="P212" s="145"/>
      <c r="Q212" s="144" t="n">
        <f aca="false">M212+J212+G212</f>
        <v>3.971</v>
      </c>
      <c r="R212" s="144" t="n">
        <f aca="false">O212+L212+I212</f>
        <v>0</v>
      </c>
      <c r="S212" s="145"/>
      <c r="T212" s="71" t="n">
        <f aca="false">A213-A212</f>
        <v>28</v>
      </c>
      <c r="U212" s="146" t="n">
        <f aca="false">CHOOSE(F$3,A213+24,A212)</f>
        <v>43184</v>
      </c>
      <c r="V212" s="71" t="n">
        <f aca="false">U212-C$3</f>
        <v>6296</v>
      </c>
      <c r="W212" s="142" t="n">
        <f aca="false">VLOOKUP($A212,Table,MATCH(W$4,Curves,0))</f>
        <v>0.058966861357273</v>
      </c>
      <c r="X212" s="147" t="n">
        <f aca="false">1/(1+CHOOSE(F$3,(W213+($K$3/10000))/2,(W212+($K$3/10000))/2))^(2*V212/365.25)</f>
        <v>0.367237742546567</v>
      </c>
      <c r="Y212" s="71" t="n">
        <f aca="false">IF(AND(mthbeg&lt;=A212,mthend&gt;=A212),1,0)</f>
        <v>0</v>
      </c>
      <c r="Z212" s="71" t="n">
        <f aca="false">T212*Y212</f>
        <v>0</v>
      </c>
      <c r="AB212" s="132" t="n">
        <f aca="false">F212*G212</f>
        <v>0</v>
      </c>
      <c r="AC212" s="132" t="n">
        <f aca="false">$F212*H212</f>
        <v>0</v>
      </c>
      <c r="AD212" s="132" t="n">
        <f aca="false">$F212*I212</f>
        <v>0</v>
      </c>
      <c r="AE212" s="132" t="n">
        <f aca="false">$F212*J212</f>
        <v>-0</v>
      </c>
      <c r="AF212" s="132" t="n">
        <f aca="false">$F212*K212</f>
        <v>-0</v>
      </c>
      <c r="AG212" s="132" t="n">
        <f aca="false">$F212*L212</f>
        <v>0</v>
      </c>
      <c r="AH212" s="132" t="n">
        <f aca="false">$F212*M212</f>
        <v>0</v>
      </c>
      <c r="AI212" s="132" t="n">
        <f aca="false">$F212*N212</f>
        <v>0</v>
      </c>
      <c r="AJ212" s="132" t="n">
        <f aca="false">F212*O212</f>
        <v>0</v>
      </c>
      <c r="AK212" s="137"/>
      <c r="AL212" s="132" t="n">
        <f aca="false">CHOOSE($G$3,AC212-AD212,AD212-AC212)</f>
        <v>0</v>
      </c>
      <c r="AM212" s="132" t="n">
        <f aca="false">CHOOSE($G$3,AF212-AG212,AG212-AF212)</f>
        <v>0</v>
      </c>
      <c r="AN212" s="132" t="n">
        <f aca="false">CHOOSE($G$3,AI212-AJ212,AJ212-AI212)</f>
        <v>0</v>
      </c>
      <c r="AO212" s="148" t="n">
        <f aca="false">SUM(AL212:AN212)</f>
        <v>0</v>
      </c>
      <c r="AQ212" s="132" t="n">
        <f aca="false">CHOOSE($G$3,AB212-AC212,AC212-AB212)</f>
        <v>0</v>
      </c>
      <c r="AR212" s="132" t="n">
        <f aca="false">CHOOSE($G$3,AE212-AF212,AF212-AE212)</f>
        <v>0</v>
      </c>
      <c r="AS212" s="132" t="n">
        <f aca="false">CHOOSE($G$3,AH212-AI212,AI212-AH212)</f>
        <v>0</v>
      </c>
      <c r="AT212" s="148" t="n">
        <f aca="false">AQ212+AR212+AS212</f>
        <v>0</v>
      </c>
      <c r="AU212" s="148"/>
      <c r="AV212" s="133" t="n">
        <f aca="false">AT212+AO212</f>
        <v>0</v>
      </c>
      <c r="AX212" s="133" t="n">
        <f aca="false">AJ212+AG212+AD212</f>
        <v>0</v>
      </c>
      <c r="AY212" s="149"/>
      <c r="AZ212" s="76" t="n">
        <f aca="false">R212*E212</f>
        <v>0</v>
      </c>
    </row>
    <row r="213" customFormat="false" ht="12" hidden="false" customHeight="true" outlineLevel="0" collapsed="false">
      <c r="A213" s="138" t="n">
        <f aca="false">EDATE(A212,1)</f>
        <v>43160</v>
      </c>
      <c r="B213" s="139" t="n">
        <f aca="false">VLOOKUP($A213,Table2,MATCH(I$3,Curves2,0))</f>
        <v>0</v>
      </c>
      <c r="C213" s="140"/>
      <c r="D213" s="141" t="n">
        <f aca="false">B213+C213</f>
        <v>0</v>
      </c>
      <c r="E213" s="126" t="n">
        <f aca="false">IF(Y213=0,0,IF(AND(Y213=1,$H$3=1),D213*T213,IF($H$3=2,D213,"N/A")))</f>
        <v>0</v>
      </c>
      <c r="F213" s="126" t="n">
        <f aca="false">E213*X213</f>
        <v>0</v>
      </c>
      <c r="G213" s="142" t="n">
        <f aca="false">VLOOKUP($A213,Table,MATCH(G$4,Curves,0))</f>
        <v>3.987</v>
      </c>
      <c r="H213" s="143" t="n">
        <f aca="false">G213</f>
        <v>3.987</v>
      </c>
      <c r="I213" s="142" t="n">
        <f aca="false">VLOOKUP($A213,Table1,MATCH(I$3,Curves1,0))</f>
        <v>0</v>
      </c>
      <c r="J213" s="142" t="n">
        <f aca="false">VLOOKUP($A213,Table,MATCH(J$4,Curves,0))</f>
        <v>-0.0235</v>
      </c>
      <c r="K213" s="143" t="n">
        <f aca="false">J213</f>
        <v>-0.0235</v>
      </c>
      <c r="L213" s="144" t="n">
        <v>0</v>
      </c>
      <c r="M213" s="142" t="n">
        <f aca="false">VLOOKUP($A213,Table,MATCH(M$4,Curves,0))</f>
        <v>0.0075</v>
      </c>
      <c r="N213" s="143" t="n">
        <f aca="false">M213</f>
        <v>0.0075</v>
      </c>
      <c r="O213" s="144" t="n">
        <v>0</v>
      </c>
      <c r="P213" s="145"/>
      <c r="Q213" s="144" t="n">
        <f aca="false">M213+J213+G213</f>
        <v>3.971</v>
      </c>
      <c r="R213" s="144" t="n">
        <f aca="false">O213+L213+I213</f>
        <v>0</v>
      </c>
      <c r="S213" s="145"/>
      <c r="T213" s="71" t="n">
        <f aca="false">A214-A213</f>
        <v>31</v>
      </c>
      <c r="U213" s="146" t="n">
        <f aca="false">CHOOSE(F$3,A214+24,A213)</f>
        <v>43215</v>
      </c>
      <c r="V213" s="71" t="n">
        <f aca="false">U213-C$3</f>
        <v>6327</v>
      </c>
      <c r="W213" s="142" t="n">
        <f aca="false">VLOOKUP($A213,Table,MATCH(W$4,Curves,0))</f>
        <v>0.058966861357273</v>
      </c>
      <c r="X213" s="147" t="n">
        <f aca="false">1/(1+CHOOSE(F$3,(W214+($K$3/10000))/2,(W213+($K$3/10000))/2))^(2*V213/365.25)</f>
        <v>0.365430854586828</v>
      </c>
      <c r="Y213" s="71" t="n">
        <f aca="false">IF(AND(mthbeg&lt;=A213,mthend&gt;=A213),1,0)</f>
        <v>0</v>
      </c>
      <c r="Z213" s="71" t="n">
        <f aca="false">T213*Y213</f>
        <v>0</v>
      </c>
      <c r="AB213" s="132" t="n">
        <f aca="false">F213*G213</f>
        <v>0</v>
      </c>
      <c r="AC213" s="132" t="n">
        <f aca="false">$F213*H213</f>
        <v>0</v>
      </c>
      <c r="AD213" s="132" t="n">
        <f aca="false">$F213*I213</f>
        <v>0</v>
      </c>
      <c r="AE213" s="132" t="n">
        <f aca="false">$F213*J213</f>
        <v>-0</v>
      </c>
      <c r="AF213" s="132" t="n">
        <f aca="false">$F213*K213</f>
        <v>-0</v>
      </c>
      <c r="AG213" s="132" t="n">
        <f aca="false">$F213*L213</f>
        <v>0</v>
      </c>
      <c r="AH213" s="132" t="n">
        <f aca="false">$F213*M213</f>
        <v>0</v>
      </c>
      <c r="AI213" s="132" t="n">
        <f aca="false">$F213*N213</f>
        <v>0</v>
      </c>
      <c r="AJ213" s="132" t="n">
        <f aca="false">F213*O213</f>
        <v>0</v>
      </c>
      <c r="AK213" s="137"/>
      <c r="AL213" s="132" t="n">
        <f aca="false">CHOOSE($G$3,AC213-AD213,AD213-AC213)</f>
        <v>0</v>
      </c>
      <c r="AM213" s="132" t="n">
        <f aca="false">CHOOSE($G$3,AF213-AG213,AG213-AF213)</f>
        <v>0</v>
      </c>
      <c r="AN213" s="132" t="n">
        <f aca="false">CHOOSE($G$3,AI213-AJ213,AJ213-AI213)</f>
        <v>0</v>
      </c>
      <c r="AO213" s="148" t="n">
        <f aca="false">SUM(AL213:AN213)</f>
        <v>0</v>
      </c>
      <c r="AQ213" s="132" t="n">
        <f aca="false">CHOOSE($G$3,AB213-AC213,AC213-AB213)</f>
        <v>0</v>
      </c>
      <c r="AR213" s="132" t="n">
        <f aca="false">CHOOSE($G$3,AE213-AF213,AF213-AE213)</f>
        <v>0</v>
      </c>
      <c r="AS213" s="132" t="n">
        <f aca="false">CHOOSE($G$3,AH213-AI213,AI213-AH213)</f>
        <v>0</v>
      </c>
      <c r="AT213" s="148" t="n">
        <f aca="false">AQ213+AR213+AS213</f>
        <v>0</v>
      </c>
      <c r="AU213" s="148"/>
      <c r="AV213" s="133" t="n">
        <f aca="false">AT213+AO213</f>
        <v>0</v>
      </c>
      <c r="AX213" s="133" t="n">
        <f aca="false">AJ213+AG213+AD213</f>
        <v>0</v>
      </c>
      <c r="AY213" s="149"/>
      <c r="AZ213" s="76" t="n">
        <f aca="false">R213*E213</f>
        <v>0</v>
      </c>
    </row>
    <row r="214" customFormat="false" ht="12" hidden="false" customHeight="true" outlineLevel="0" collapsed="false">
      <c r="A214" s="138" t="n">
        <f aca="false">EDATE(A213,1)</f>
        <v>43191</v>
      </c>
      <c r="B214" s="139" t="n">
        <f aca="false">VLOOKUP($A214,Table2,MATCH(I$3,Curves2,0))</f>
        <v>0</v>
      </c>
      <c r="C214" s="140"/>
      <c r="D214" s="141" t="n">
        <f aca="false">B214+C214</f>
        <v>0</v>
      </c>
      <c r="E214" s="126" t="n">
        <f aca="false">IF(Y214=0,0,IF(AND(Y214=1,$H$3=1),D214*T214,IF($H$3=2,D214,"N/A")))</f>
        <v>0</v>
      </c>
      <c r="F214" s="126" t="n">
        <f aca="false">E214*X214</f>
        <v>0</v>
      </c>
      <c r="G214" s="142" t="n">
        <f aca="false">VLOOKUP($A214,Table,MATCH(G$4,Curves,0))</f>
        <v>3.987</v>
      </c>
      <c r="H214" s="143" t="n">
        <f aca="false">G214</f>
        <v>3.987</v>
      </c>
      <c r="I214" s="142" t="n">
        <f aca="false">VLOOKUP($A214,Table1,MATCH(I$3,Curves1,0))</f>
        <v>0</v>
      </c>
      <c r="J214" s="142" t="n">
        <f aca="false">VLOOKUP($A214,Table,MATCH(J$4,Curves,0))</f>
        <v>-0.0235</v>
      </c>
      <c r="K214" s="143" t="n">
        <f aca="false">J214</f>
        <v>-0.0235</v>
      </c>
      <c r="L214" s="144" t="n">
        <v>0</v>
      </c>
      <c r="M214" s="142" t="n">
        <f aca="false">VLOOKUP($A214,Table,MATCH(M$4,Curves,0))</f>
        <v>0.0075</v>
      </c>
      <c r="N214" s="143" t="n">
        <f aca="false">M214</f>
        <v>0.0075</v>
      </c>
      <c r="O214" s="144" t="n">
        <v>0</v>
      </c>
      <c r="P214" s="145"/>
      <c r="Q214" s="144" t="n">
        <f aca="false">M214+J214+G214</f>
        <v>3.971</v>
      </c>
      <c r="R214" s="144" t="n">
        <f aca="false">O214+L214+I214</f>
        <v>0</v>
      </c>
      <c r="S214" s="145"/>
      <c r="T214" s="71" t="n">
        <f aca="false">A215-A214</f>
        <v>30</v>
      </c>
      <c r="U214" s="146" t="n">
        <f aca="false">CHOOSE(F$3,A215+24,A214)</f>
        <v>43245</v>
      </c>
      <c r="V214" s="71" t="n">
        <f aca="false">U214-C$3</f>
        <v>6357</v>
      </c>
      <c r="W214" s="142" t="n">
        <f aca="false">VLOOKUP($A214,Table,MATCH(W$4,Curves,0))</f>
        <v>0.058966861357273</v>
      </c>
      <c r="X214" s="147" t="n">
        <f aca="false">1/(1+CHOOSE(F$3,(W215+($K$3/10000))/2,(W214+($K$3/10000))/2))^(2*V214/365.25)</f>
        <v>0.363690718508708</v>
      </c>
      <c r="Y214" s="71" t="n">
        <f aca="false">IF(AND(mthbeg&lt;=A214,mthend&gt;=A214),1,0)</f>
        <v>0</v>
      </c>
      <c r="Z214" s="71" t="n">
        <f aca="false">T214*Y214</f>
        <v>0</v>
      </c>
      <c r="AB214" s="132" t="n">
        <f aca="false">F214*G214</f>
        <v>0</v>
      </c>
      <c r="AC214" s="132" t="n">
        <f aca="false">$F214*H214</f>
        <v>0</v>
      </c>
      <c r="AD214" s="132" t="n">
        <f aca="false">$F214*I214</f>
        <v>0</v>
      </c>
      <c r="AE214" s="132" t="n">
        <f aca="false">$F214*J214</f>
        <v>-0</v>
      </c>
      <c r="AF214" s="132" t="n">
        <f aca="false">$F214*K214</f>
        <v>-0</v>
      </c>
      <c r="AG214" s="132" t="n">
        <f aca="false">$F214*L214</f>
        <v>0</v>
      </c>
      <c r="AH214" s="132" t="n">
        <f aca="false">$F214*M214</f>
        <v>0</v>
      </c>
      <c r="AI214" s="132" t="n">
        <f aca="false">$F214*N214</f>
        <v>0</v>
      </c>
      <c r="AJ214" s="132" t="n">
        <f aca="false">F214*O214</f>
        <v>0</v>
      </c>
      <c r="AK214" s="137"/>
      <c r="AL214" s="132" t="n">
        <f aca="false">CHOOSE($G$3,AC214-AD214,AD214-AC214)</f>
        <v>0</v>
      </c>
      <c r="AM214" s="132" t="n">
        <f aca="false">CHOOSE($G$3,AF214-AG214,AG214-AF214)</f>
        <v>0</v>
      </c>
      <c r="AN214" s="132" t="n">
        <f aca="false">CHOOSE($G$3,AI214-AJ214,AJ214-AI214)</f>
        <v>0</v>
      </c>
      <c r="AO214" s="148" t="n">
        <f aca="false">SUM(AL214:AN214)</f>
        <v>0</v>
      </c>
      <c r="AQ214" s="132" t="n">
        <f aca="false">CHOOSE($G$3,AB214-AC214,AC214-AB214)</f>
        <v>0</v>
      </c>
      <c r="AR214" s="132" t="n">
        <f aca="false">CHOOSE($G$3,AE214-AF214,AF214-AE214)</f>
        <v>0</v>
      </c>
      <c r="AS214" s="132" t="n">
        <f aca="false">CHOOSE($G$3,AH214-AI214,AI214-AH214)</f>
        <v>0</v>
      </c>
      <c r="AT214" s="148" t="n">
        <f aca="false">AQ214+AR214+AS214</f>
        <v>0</v>
      </c>
      <c r="AU214" s="148"/>
      <c r="AV214" s="133" t="n">
        <f aca="false">AT214+AO214</f>
        <v>0</v>
      </c>
      <c r="AX214" s="133" t="n">
        <f aca="false">AJ214+AG214+AD214</f>
        <v>0</v>
      </c>
      <c r="AY214" s="149"/>
      <c r="AZ214" s="76" t="n">
        <f aca="false">R214*E214</f>
        <v>0</v>
      </c>
    </row>
    <row r="215" customFormat="false" ht="12" hidden="false" customHeight="true" outlineLevel="0" collapsed="false">
      <c r="A215" s="138" t="n">
        <f aca="false">EDATE(A214,1)</f>
        <v>43221</v>
      </c>
      <c r="B215" s="139" t="n">
        <f aca="false">VLOOKUP($A215,Table2,MATCH(I$3,Curves2,0))</f>
        <v>0</v>
      </c>
      <c r="C215" s="140"/>
      <c r="D215" s="141" t="n">
        <f aca="false">B215+C215</f>
        <v>0</v>
      </c>
      <c r="E215" s="126" t="n">
        <f aca="false">IF(Y215=0,0,IF(AND(Y215=1,$H$3=1),D215*T215,IF($H$3=2,D215,"N/A")))</f>
        <v>0</v>
      </c>
      <c r="F215" s="126" t="n">
        <f aca="false">E215*X215</f>
        <v>0</v>
      </c>
      <c r="G215" s="142" t="n">
        <f aca="false">VLOOKUP($A215,Table,MATCH(G$4,Curves,0))</f>
        <v>3.987</v>
      </c>
      <c r="H215" s="143" t="n">
        <f aca="false">G215</f>
        <v>3.987</v>
      </c>
      <c r="I215" s="142" t="n">
        <f aca="false">VLOOKUP($A215,Table1,MATCH(I$3,Curves1,0))</f>
        <v>0</v>
      </c>
      <c r="J215" s="142" t="n">
        <f aca="false">VLOOKUP($A215,Table,MATCH(J$4,Curves,0))</f>
        <v>-0.0235</v>
      </c>
      <c r="K215" s="143" t="n">
        <f aca="false">J215</f>
        <v>-0.0235</v>
      </c>
      <c r="L215" s="144" t="n">
        <v>0</v>
      </c>
      <c r="M215" s="142" t="n">
        <f aca="false">VLOOKUP($A215,Table,MATCH(M$4,Curves,0))</f>
        <v>0.0075</v>
      </c>
      <c r="N215" s="143" t="n">
        <f aca="false">M215</f>
        <v>0.0075</v>
      </c>
      <c r="O215" s="144" t="n">
        <v>0</v>
      </c>
      <c r="P215" s="145"/>
      <c r="Q215" s="144" t="n">
        <f aca="false">M215+J215+G215</f>
        <v>3.971</v>
      </c>
      <c r="R215" s="144" t="n">
        <f aca="false">O215+L215+I215</f>
        <v>0</v>
      </c>
      <c r="S215" s="145"/>
      <c r="T215" s="71" t="n">
        <f aca="false">A216-A215</f>
        <v>31</v>
      </c>
      <c r="U215" s="146" t="n">
        <f aca="false">CHOOSE(F$3,A216+24,A215)</f>
        <v>43276</v>
      </c>
      <c r="V215" s="71" t="n">
        <f aca="false">U215-C$3</f>
        <v>6388</v>
      </c>
      <c r="W215" s="142" t="n">
        <f aca="false">VLOOKUP($A215,Table,MATCH(W$4,Curves,0))</f>
        <v>0.058966861357273</v>
      </c>
      <c r="X215" s="147" t="n">
        <f aca="false">1/(1+CHOOSE(F$3,(W216+($K$3/10000))/2,(W215+($K$3/10000))/2))^(2*V215/365.25)</f>
        <v>0.361901282663183</v>
      </c>
      <c r="Y215" s="71" t="n">
        <f aca="false">IF(AND(mthbeg&lt;=A215,mthend&gt;=A215),1,0)</f>
        <v>0</v>
      </c>
      <c r="Z215" s="71" t="n">
        <f aca="false">T215*Y215</f>
        <v>0</v>
      </c>
      <c r="AB215" s="132" t="n">
        <f aca="false">F215*G215</f>
        <v>0</v>
      </c>
      <c r="AC215" s="132" t="n">
        <f aca="false">$F215*H215</f>
        <v>0</v>
      </c>
      <c r="AD215" s="132" t="n">
        <f aca="false">$F215*I215</f>
        <v>0</v>
      </c>
      <c r="AE215" s="132" t="n">
        <f aca="false">$F215*J215</f>
        <v>-0</v>
      </c>
      <c r="AF215" s="132" t="n">
        <f aca="false">$F215*K215</f>
        <v>-0</v>
      </c>
      <c r="AG215" s="132" t="n">
        <f aca="false">$F215*L215</f>
        <v>0</v>
      </c>
      <c r="AH215" s="132" t="n">
        <f aca="false">$F215*M215</f>
        <v>0</v>
      </c>
      <c r="AI215" s="132" t="n">
        <f aca="false">$F215*N215</f>
        <v>0</v>
      </c>
      <c r="AJ215" s="132" t="n">
        <f aca="false">F215*O215</f>
        <v>0</v>
      </c>
      <c r="AK215" s="137"/>
      <c r="AL215" s="132" t="n">
        <f aca="false">CHOOSE($G$3,AC215-AD215,AD215-AC215)</f>
        <v>0</v>
      </c>
      <c r="AM215" s="132" t="n">
        <f aca="false">CHOOSE($G$3,AF215-AG215,AG215-AF215)</f>
        <v>0</v>
      </c>
      <c r="AN215" s="132" t="n">
        <f aca="false">CHOOSE($G$3,AI215-AJ215,AJ215-AI215)</f>
        <v>0</v>
      </c>
      <c r="AO215" s="148" t="n">
        <f aca="false">SUM(AL215:AN215)</f>
        <v>0</v>
      </c>
      <c r="AQ215" s="132" t="n">
        <f aca="false">CHOOSE($G$3,AB215-AC215,AC215-AB215)</f>
        <v>0</v>
      </c>
      <c r="AR215" s="132" t="n">
        <f aca="false">CHOOSE($G$3,AE215-AF215,AF215-AE215)</f>
        <v>0</v>
      </c>
      <c r="AS215" s="132" t="n">
        <f aca="false">CHOOSE($G$3,AH215-AI215,AI215-AH215)</f>
        <v>0</v>
      </c>
      <c r="AT215" s="148" t="n">
        <f aca="false">AQ215+AR215+AS215</f>
        <v>0</v>
      </c>
      <c r="AU215" s="148"/>
      <c r="AV215" s="133" t="n">
        <f aca="false">AT215+AO215</f>
        <v>0</v>
      </c>
      <c r="AX215" s="133" t="n">
        <f aca="false">AJ215+AG215+AD215</f>
        <v>0</v>
      </c>
      <c r="AY215" s="149"/>
      <c r="AZ215" s="76" t="n">
        <f aca="false">R215*E215</f>
        <v>0</v>
      </c>
    </row>
    <row r="216" customFormat="false" ht="12" hidden="false" customHeight="true" outlineLevel="0" collapsed="false">
      <c r="A216" s="138" t="n">
        <f aca="false">EDATE(A215,1)</f>
        <v>43252</v>
      </c>
      <c r="B216" s="139" t="n">
        <f aca="false">VLOOKUP($A216,Table2,MATCH(I$3,Curves2,0))</f>
        <v>0</v>
      </c>
      <c r="C216" s="140"/>
      <c r="D216" s="141" t="n">
        <f aca="false">B216+C216</f>
        <v>0</v>
      </c>
      <c r="E216" s="126" t="n">
        <f aca="false">IF(Y216=0,0,IF(AND(Y216=1,$H$3=1),D216*T216,IF($H$3=2,D216,"N/A")))</f>
        <v>0</v>
      </c>
      <c r="F216" s="126" t="n">
        <f aca="false">E216*X216</f>
        <v>0</v>
      </c>
      <c r="G216" s="142" t="n">
        <f aca="false">VLOOKUP($A216,Table,MATCH(G$4,Curves,0))</f>
        <v>3.987</v>
      </c>
      <c r="H216" s="143" t="n">
        <f aca="false">G216</f>
        <v>3.987</v>
      </c>
      <c r="I216" s="142" t="n">
        <f aca="false">VLOOKUP($A216,Table1,MATCH(I$3,Curves1,0))</f>
        <v>0</v>
      </c>
      <c r="J216" s="142" t="n">
        <f aca="false">VLOOKUP($A216,Table,MATCH(J$4,Curves,0))</f>
        <v>-0.0235</v>
      </c>
      <c r="K216" s="143" t="n">
        <f aca="false">J216</f>
        <v>-0.0235</v>
      </c>
      <c r="L216" s="144" t="n">
        <v>0</v>
      </c>
      <c r="M216" s="142" t="n">
        <f aca="false">VLOOKUP($A216,Table,MATCH(M$4,Curves,0))</f>
        <v>0.0075</v>
      </c>
      <c r="N216" s="143" t="n">
        <f aca="false">M216</f>
        <v>0.0075</v>
      </c>
      <c r="O216" s="144" t="n">
        <v>0</v>
      </c>
      <c r="P216" s="145"/>
      <c r="Q216" s="144" t="n">
        <f aca="false">M216+J216+G216</f>
        <v>3.971</v>
      </c>
      <c r="R216" s="144" t="n">
        <f aca="false">O216+L216+I216</f>
        <v>0</v>
      </c>
      <c r="S216" s="145"/>
      <c r="T216" s="71" t="n">
        <f aca="false">A217-A216</f>
        <v>30</v>
      </c>
      <c r="U216" s="146" t="n">
        <f aca="false">CHOOSE(F$3,A217+24,A216)</f>
        <v>43306</v>
      </c>
      <c r="V216" s="71" t="n">
        <f aca="false">U216-C$3</f>
        <v>6418</v>
      </c>
      <c r="W216" s="142" t="n">
        <f aca="false">VLOOKUP($A216,Table,MATCH(W$4,Curves,0))</f>
        <v>0.058966861357273</v>
      </c>
      <c r="X216" s="147" t="n">
        <f aca="false">1/(1+CHOOSE(F$3,(W217+($K$3/10000))/2,(W216+($K$3/10000))/2))^(2*V216/365.25)</f>
        <v>0.360177953965632</v>
      </c>
      <c r="Y216" s="71" t="n">
        <f aca="false">IF(AND(mthbeg&lt;=A216,mthend&gt;=A216),1,0)</f>
        <v>0</v>
      </c>
      <c r="Z216" s="71" t="n">
        <f aca="false">T216*Y216</f>
        <v>0</v>
      </c>
      <c r="AB216" s="132" t="n">
        <f aca="false">F216*G216</f>
        <v>0</v>
      </c>
      <c r="AC216" s="132" t="n">
        <f aca="false">$F216*H216</f>
        <v>0</v>
      </c>
      <c r="AD216" s="132" t="n">
        <f aca="false">$F216*I216</f>
        <v>0</v>
      </c>
      <c r="AE216" s="132" t="n">
        <f aca="false">$F216*J216</f>
        <v>-0</v>
      </c>
      <c r="AF216" s="132" t="n">
        <f aca="false">$F216*K216</f>
        <v>-0</v>
      </c>
      <c r="AG216" s="132" t="n">
        <f aca="false">$F216*L216</f>
        <v>0</v>
      </c>
      <c r="AH216" s="132" t="n">
        <f aca="false">$F216*M216</f>
        <v>0</v>
      </c>
      <c r="AI216" s="132" t="n">
        <f aca="false">$F216*N216</f>
        <v>0</v>
      </c>
      <c r="AJ216" s="132" t="n">
        <f aca="false">F216*O216</f>
        <v>0</v>
      </c>
      <c r="AK216" s="137"/>
      <c r="AL216" s="132" t="n">
        <f aca="false">CHOOSE($G$3,AC216-AD216,AD216-AC216)</f>
        <v>0</v>
      </c>
      <c r="AM216" s="132" t="n">
        <f aca="false">CHOOSE($G$3,AF216-AG216,AG216-AF216)</f>
        <v>0</v>
      </c>
      <c r="AN216" s="132" t="n">
        <f aca="false">CHOOSE($G$3,AI216-AJ216,AJ216-AI216)</f>
        <v>0</v>
      </c>
      <c r="AO216" s="148" t="n">
        <f aca="false">SUM(AL216:AN216)</f>
        <v>0</v>
      </c>
      <c r="AQ216" s="132" t="n">
        <f aca="false">CHOOSE($G$3,AB216-AC216,AC216-AB216)</f>
        <v>0</v>
      </c>
      <c r="AR216" s="132" t="n">
        <f aca="false">CHOOSE($G$3,AE216-AF216,AF216-AE216)</f>
        <v>0</v>
      </c>
      <c r="AS216" s="132" t="n">
        <f aca="false">CHOOSE($G$3,AH216-AI216,AI216-AH216)</f>
        <v>0</v>
      </c>
      <c r="AT216" s="148" t="n">
        <f aca="false">AQ216+AR216+AS216</f>
        <v>0</v>
      </c>
      <c r="AU216" s="148"/>
      <c r="AV216" s="133" t="n">
        <f aca="false">AT216+AO216</f>
        <v>0</v>
      </c>
      <c r="AX216" s="133" t="n">
        <f aca="false">AJ216+AG216+AD216</f>
        <v>0</v>
      </c>
      <c r="AY216" s="149"/>
      <c r="AZ216" s="76" t="n">
        <f aca="false">R216*E216</f>
        <v>0</v>
      </c>
    </row>
    <row r="217" customFormat="false" ht="12" hidden="false" customHeight="true" outlineLevel="0" collapsed="false">
      <c r="A217" s="138" t="n">
        <f aca="false">EDATE(A216,1)</f>
        <v>43282</v>
      </c>
      <c r="B217" s="139" t="n">
        <f aca="false">VLOOKUP($A217,Table2,MATCH(I$3,Curves2,0))</f>
        <v>0</v>
      </c>
      <c r="C217" s="140"/>
      <c r="D217" s="141" t="n">
        <f aca="false">B217+C217</f>
        <v>0</v>
      </c>
      <c r="E217" s="126" t="n">
        <f aca="false">IF(Y217=0,0,IF(AND(Y217=1,$H$3=1),D217*T217,IF($H$3=2,D217,"N/A")))</f>
        <v>0</v>
      </c>
      <c r="F217" s="126" t="n">
        <f aca="false">E217*X217</f>
        <v>0</v>
      </c>
      <c r="G217" s="142" t="n">
        <f aca="false">VLOOKUP($A217,Table,MATCH(G$4,Curves,0))</f>
        <v>3.987</v>
      </c>
      <c r="H217" s="143" t="n">
        <f aca="false">G217</f>
        <v>3.987</v>
      </c>
      <c r="I217" s="142" t="n">
        <f aca="false">VLOOKUP($A217,Table1,MATCH(I$3,Curves1,0))</f>
        <v>0</v>
      </c>
      <c r="J217" s="142" t="n">
        <f aca="false">VLOOKUP($A217,Table,MATCH(J$4,Curves,0))</f>
        <v>-0.0235</v>
      </c>
      <c r="K217" s="143" t="n">
        <f aca="false">J217</f>
        <v>-0.0235</v>
      </c>
      <c r="L217" s="144" t="n">
        <v>0</v>
      </c>
      <c r="M217" s="142" t="n">
        <f aca="false">VLOOKUP($A217,Table,MATCH(M$4,Curves,0))</f>
        <v>0.0075</v>
      </c>
      <c r="N217" s="143" t="n">
        <f aca="false">M217</f>
        <v>0.0075</v>
      </c>
      <c r="O217" s="144" t="n">
        <v>0</v>
      </c>
      <c r="P217" s="145"/>
      <c r="Q217" s="144" t="n">
        <f aca="false">M217+J217+G217</f>
        <v>3.971</v>
      </c>
      <c r="R217" s="144" t="n">
        <f aca="false">O217+L217+I217</f>
        <v>0</v>
      </c>
      <c r="S217" s="145"/>
      <c r="T217" s="71" t="n">
        <f aca="false">A218-A217</f>
        <v>31</v>
      </c>
      <c r="U217" s="146" t="n">
        <f aca="false">CHOOSE(F$3,A218+24,A217)</f>
        <v>43337</v>
      </c>
      <c r="V217" s="71" t="n">
        <f aca="false">U217-C$3</f>
        <v>6449</v>
      </c>
      <c r="W217" s="142" t="n">
        <f aca="false">VLOOKUP($A217,Table,MATCH(W$4,Curves,0))</f>
        <v>0.058966861357273</v>
      </c>
      <c r="X217" s="147" t="n">
        <f aca="false">1/(1+CHOOSE(F$3,(W218+($K$3/10000))/2,(W217+($K$3/10000))/2))^(2*V217/365.25)</f>
        <v>0.358405801670306</v>
      </c>
      <c r="Y217" s="71" t="n">
        <f aca="false">IF(AND(mthbeg&lt;=A217,mthend&gt;=A217),1,0)</f>
        <v>0</v>
      </c>
      <c r="Z217" s="71" t="n">
        <f aca="false">T217*Y217</f>
        <v>0</v>
      </c>
      <c r="AB217" s="132" t="n">
        <f aca="false">F217*G217</f>
        <v>0</v>
      </c>
      <c r="AC217" s="132" t="n">
        <f aca="false">$F217*H217</f>
        <v>0</v>
      </c>
      <c r="AD217" s="132" t="n">
        <f aca="false">$F217*I217</f>
        <v>0</v>
      </c>
      <c r="AE217" s="132" t="n">
        <f aca="false">$F217*J217</f>
        <v>-0</v>
      </c>
      <c r="AF217" s="132" t="n">
        <f aca="false">$F217*K217</f>
        <v>-0</v>
      </c>
      <c r="AG217" s="132" t="n">
        <f aca="false">$F217*L217</f>
        <v>0</v>
      </c>
      <c r="AH217" s="132" t="n">
        <f aca="false">$F217*M217</f>
        <v>0</v>
      </c>
      <c r="AI217" s="132" t="n">
        <f aca="false">$F217*N217</f>
        <v>0</v>
      </c>
      <c r="AJ217" s="132" t="n">
        <f aca="false">F217*O217</f>
        <v>0</v>
      </c>
      <c r="AK217" s="137"/>
      <c r="AL217" s="132" t="n">
        <f aca="false">CHOOSE($G$3,AC217-AD217,AD217-AC217)</f>
        <v>0</v>
      </c>
      <c r="AM217" s="132" t="n">
        <f aca="false">CHOOSE($G$3,AF217-AG217,AG217-AF217)</f>
        <v>0</v>
      </c>
      <c r="AN217" s="132" t="n">
        <f aca="false">CHOOSE($G$3,AI217-AJ217,AJ217-AI217)</f>
        <v>0</v>
      </c>
      <c r="AO217" s="148" t="n">
        <f aca="false">SUM(AL217:AN217)</f>
        <v>0</v>
      </c>
      <c r="AQ217" s="132" t="n">
        <f aca="false">CHOOSE($G$3,AB217-AC217,AC217-AB217)</f>
        <v>0</v>
      </c>
      <c r="AR217" s="132" t="n">
        <f aca="false">CHOOSE($G$3,AE217-AF217,AF217-AE217)</f>
        <v>0</v>
      </c>
      <c r="AS217" s="132" t="n">
        <f aca="false">CHOOSE($G$3,AH217-AI217,AI217-AH217)</f>
        <v>0</v>
      </c>
      <c r="AT217" s="148" t="n">
        <f aca="false">AQ217+AR217+AS217</f>
        <v>0</v>
      </c>
      <c r="AU217" s="148"/>
      <c r="AV217" s="133" t="n">
        <f aca="false">AT217+AO217</f>
        <v>0</v>
      </c>
      <c r="AX217" s="133" t="n">
        <f aca="false">AJ217+AG217+AD217</f>
        <v>0</v>
      </c>
      <c r="AY217" s="149"/>
      <c r="AZ217" s="76" t="n">
        <f aca="false">R217*E217</f>
        <v>0</v>
      </c>
    </row>
    <row r="218" customFormat="false" ht="12" hidden="false" customHeight="true" outlineLevel="0" collapsed="false">
      <c r="A218" s="138" t="n">
        <f aca="false">EDATE(A217,1)</f>
        <v>43313</v>
      </c>
      <c r="B218" s="139" t="n">
        <f aca="false">VLOOKUP($A218,Table2,MATCH(I$3,Curves2,0))</f>
        <v>0</v>
      </c>
      <c r="C218" s="140"/>
      <c r="D218" s="141" t="n">
        <f aca="false">B218+C218</f>
        <v>0</v>
      </c>
      <c r="E218" s="126" t="n">
        <f aca="false">IF(Y218=0,0,IF(AND(Y218=1,$H$3=1),D218*T218,IF($H$3=2,D218,"N/A")))</f>
        <v>0</v>
      </c>
      <c r="F218" s="126" t="n">
        <f aca="false">E218*X218</f>
        <v>0</v>
      </c>
      <c r="G218" s="142" t="n">
        <f aca="false">VLOOKUP($A218,Table,MATCH(G$4,Curves,0))</f>
        <v>3.987</v>
      </c>
      <c r="H218" s="143" t="n">
        <f aca="false">G218</f>
        <v>3.987</v>
      </c>
      <c r="I218" s="142" t="n">
        <f aca="false">VLOOKUP($A218,Table1,MATCH(I$3,Curves1,0))</f>
        <v>0</v>
      </c>
      <c r="J218" s="142" t="n">
        <f aca="false">VLOOKUP($A218,Table,MATCH(J$4,Curves,0))</f>
        <v>-0.0235</v>
      </c>
      <c r="K218" s="143" t="n">
        <f aca="false">J218</f>
        <v>-0.0235</v>
      </c>
      <c r="L218" s="144" t="n">
        <v>0</v>
      </c>
      <c r="M218" s="142" t="n">
        <f aca="false">VLOOKUP($A218,Table,MATCH(M$4,Curves,0))</f>
        <v>0.0075</v>
      </c>
      <c r="N218" s="143" t="n">
        <f aca="false">M218</f>
        <v>0.0075</v>
      </c>
      <c r="O218" s="144" t="n">
        <v>0</v>
      </c>
      <c r="P218" s="145"/>
      <c r="Q218" s="144" t="n">
        <f aca="false">M218+J218+G218</f>
        <v>3.971</v>
      </c>
      <c r="R218" s="144" t="n">
        <f aca="false">O218+L218+I218</f>
        <v>0</v>
      </c>
      <c r="S218" s="145"/>
      <c r="T218" s="71" t="n">
        <f aca="false">A219-A218</f>
        <v>31</v>
      </c>
      <c r="U218" s="146" t="n">
        <f aca="false">CHOOSE(F$3,A219+24,A218)</f>
        <v>43368</v>
      </c>
      <c r="V218" s="71" t="n">
        <f aca="false">U218-C$3</f>
        <v>6480</v>
      </c>
      <c r="W218" s="142" t="n">
        <f aca="false">VLOOKUP($A218,Table,MATCH(W$4,Curves,0))</f>
        <v>0.058966861357273</v>
      </c>
      <c r="X218" s="147" t="n">
        <f aca="false">1/(1+CHOOSE(F$3,(W219+($K$3/10000))/2,(W218+($K$3/10000))/2))^(2*V218/365.25)</f>
        <v>0.356642368741957</v>
      </c>
      <c r="Y218" s="71" t="n">
        <f aca="false">IF(AND(mthbeg&lt;=A218,mthend&gt;=A218),1,0)</f>
        <v>0</v>
      </c>
      <c r="Z218" s="71" t="n">
        <f aca="false">T218*Y218</f>
        <v>0</v>
      </c>
      <c r="AB218" s="132" t="n">
        <f aca="false">F218*G218</f>
        <v>0</v>
      </c>
      <c r="AC218" s="132" t="n">
        <f aca="false">$F218*H218</f>
        <v>0</v>
      </c>
      <c r="AD218" s="132" t="n">
        <f aca="false">$F218*I218</f>
        <v>0</v>
      </c>
      <c r="AE218" s="132" t="n">
        <f aca="false">$F218*J218</f>
        <v>-0</v>
      </c>
      <c r="AF218" s="132" t="n">
        <f aca="false">$F218*K218</f>
        <v>-0</v>
      </c>
      <c r="AG218" s="132" t="n">
        <f aca="false">$F218*L218</f>
        <v>0</v>
      </c>
      <c r="AH218" s="132" t="n">
        <f aca="false">$F218*M218</f>
        <v>0</v>
      </c>
      <c r="AI218" s="132" t="n">
        <f aca="false">$F218*N218</f>
        <v>0</v>
      </c>
      <c r="AJ218" s="132" t="n">
        <f aca="false">F218*O218</f>
        <v>0</v>
      </c>
      <c r="AK218" s="137"/>
      <c r="AL218" s="132" t="n">
        <f aca="false">CHOOSE($G$3,AC218-AD218,AD218-AC218)</f>
        <v>0</v>
      </c>
      <c r="AM218" s="132" t="n">
        <f aca="false">CHOOSE($G$3,AF218-AG218,AG218-AF218)</f>
        <v>0</v>
      </c>
      <c r="AN218" s="132" t="n">
        <f aca="false">CHOOSE($G$3,AI218-AJ218,AJ218-AI218)</f>
        <v>0</v>
      </c>
      <c r="AO218" s="148" t="n">
        <f aca="false">SUM(AL218:AN218)</f>
        <v>0</v>
      </c>
      <c r="AQ218" s="132" t="n">
        <f aca="false">CHOOSE($G$3,AB218-AC218,AC218-AB218)</f>
        <v>0</v>
      </c>
      <c r="AR218" s="132" t="n">
        <f aca="false">CHOOSE($G$3,AE218-AF218,AF218-AE218)</f>
        <v>0</v>
      </c>
      <c r="AS218" s="132" t="n">
        <f aca="false">CHOOSE($G$3,AH218-AI218,AI218-AH218)</f>
        <v>0</v>
      </c>
      <c r="AT218" s="148" t="n">
        <f aca="false">AQ218+AR218+AS218</f>
        <v>0</v>
      </c>
      <c r="AU218" s="148"/>
      <c r="AV218" s="133" t="n">
        <f aca="false">AT218+AO218</f>
        <v>0</v>
      </c>
      <c r="AX218" s="133" t="n">
        <f aca="false">AJ218+AG218+AD218</f>
        <v>0</v>
      </c>
      <c r="AY218" s="149"/>
      <c r="AZ218" s="76" t="n">
        <f aca="false">R218*E218</f>
        <v>0</v>
      </c>
    </row>
    <row r="219" customFormat="false" ht="12" hidden="false" customHeight="true" outlineLevel="0" collapsed="false">
      <c r="A219" s="138" t="n">
        <f aca="false">EDATE(A218,1)</f>
        <v>43344</v>
      </c>
      <c r="B219" s="139" t="n">
        <f aca="false">VLOOKUP($A219,Table2,MATCH(I$3,Curves2,0))</f>
        <v>0</v>
      </c>
      <c r="C219" s="140"/>
      <c r="D219" s="141" t="n">
        <f aca="false">B219+C219</f>
        <v>0</v>
      </c>
      <c r="E219" s="126" t="n">
        <f aca="false">IF(Y219=0,0,IF(AND(Y219=1,$H$3=1),D219*T219,IF($H$3=2,D219,"N/A")))</f>
        <v>0</v>
      </c>
      <c r="F219" s="126" t="n">
        <f aca="false">E219*X219</f>
        <v>0</v>
      </c>
      <c r="G219" s="142" t="n">
        <f aca="false">VLOOKUP($A219,Table,MATCH(G$4,Curves,0))</f>
        <v>3.987</v>
      </c>
      <c r="H219" s="143" t="n">
        <f aca="false">G219</f>
        <v>3.987</v>
      </c>
      <c r="I219" s="142" t="n">
        <f aca="false">VLOOKUP($A219,Table1,MATCH(I$3,Curves1,0))</f>
        <v>0</v>
      </c>
      <c r="J219" s="142" t="n">
        <f aca="false">VLOOKUP($A219,Table,MATCH(J$4,Curves,0))</f>
        <v>-0.0235</v>
      </c>
      <c r="K219" s="143" t="n">
        <f aca="false">J219</f>
        <v>-0.0235</v>
      </c>
      <c r="L219" s="144" t="n">
        <v>0</v>
      </c>
      <c r="M219" s="142" t="n">
        <f aca="false">VLOOKUP($A219,Table,MATCH(M$4,Curves,0))</f>
        <v>0.0075</v>
      </c>
      <c r="N219" s="143" t="n">
        <f aca="false">M219</f>
        <v>0.0075</v>
      </c>
      <c r="O219" s="144" t="n">
        <v>0</v>
      </c>
      <c r="P219" s="145"/>
      <c r="Q219" s="144" t="n">
        <f aca="false">M219+J219+G219</f>
        <v>3.971</v>
      </c>
      <c r="R219" s="144" t="n">
        <f aca="false">O219+L219+I219</f>
        <v>0</v>
      </c>
      <c r="S219" s="145"/>
      <c r="T219" s="71" t="n">
        <f aca="false">A220-A219</f>
        <v>30</v>
      </c>
      <c r="U219" s="146" t="n">
        <f aca="false">CHOOSE(F$3,A220+24,A219)</f>
        <v>43398</v>
      </c>
      <c r="V219" s="71" t="n">
        <f aca="false">U219-C$3</f>
        <v>6510</v>
      </c>
      <c r="W219" s="142" t="n">
        <f aca="false">VLOOKUP($A219,Table,MATCH(W$4,Curves,0))</f>
        <v>0.058966861357273</v>
      </c>
      <c r="X219" s="147" t="n">
        <f aca="false">1/(1+CHOOSE(F$3,(W220+($K$3/10000))/2,(W219+($K$3/10000))/2))^(2*V219/365.25)</f>
        <v>0.35494408233553</v>
      </c>
      <c r="Y219" s="71" t="n">
        <f aca="false">IF(AND(mthbeg&lt;=A219,mthend&gt;=A219),1,0)</f>
        <v>0</v>
      </c>
      <c r="Z219" s="71" t="n">
        <f aca="false">T219*Y219</f>
        <v>0</v>
      </c>
      <c r="AB219" s="132" t="n">
        <f aca="false">F219*G219</f>
        <v>0</v>
      </c>
      <c r="AC219" s="132" t="n">
        <f aca="false">$F219*H219</f>
        <v>0</v>
      </c>
      <c r="AD219" s="132" t="n">
        <f aca="false">$F219*I219</f>
        <v>0</v>
      </c>
      <c r="AE219" s="132" t="n">
        <f aca="false">$F219*J219</f>
        <v>-0</v>
      </c>
      <c r="AF219" s="132" t="n">
        <f aca="false">$F219*K219</f>
        <v>-0</v>
      </c>
      <c r="AG219" s="132" t="n">
        <f aca="false">$F219*L219</f>
        <v>0</v>
      </c>
      <c r="AH219" s="132" t="n">
        <f aca="false">$F219*M219</f>
        <v>0</v>
      </c>
      <c r="AI219" s="132" t="n">
        <f aca="false">$F219*N219</f>
        <v>0</v>
      </c>
      <c r="AJ219" s="132" t="n">
        <f aca="false">F219*O219</f>
        <v>0</v>
      </c>
      <c r="AK219" s="137"/>
      <c r="AL219" s="132" t="n">
        <f aca="false">CHOOSE($G$3,AC219-AD219,AD219-AC219)</f>
        <v>0</v>
      </c>
      <c r="AM219" s="132" t="n">
        <f aca="false">CHOOSE($G$3,AF219-AG219,AG219-AF219)</f>
        <v>0</v>
      </c>
      <c r="AN219" s="132" t="n">
        <f aca="false">CHOOSE($G$3,AI219-AJ219,AJ219-AI219)</f>
        <v>0</v>
      </c>
      <c r="AO219" s="148" t="n">
        <f aca="false">SUM(AL219:AN219)</f>
        <v>0</v>
      </c>
      <c r="AQ219" s="132" t="n">
        <f aca="false">CHOOSE($G$3,AB219-AC219,AC219-AB219)</f>
        <v>0</v>
      </c>
      <c r="AR219" s="132" t="n">
        <f aca="false">CHOOSE($G$3,AE219-AF219,AF219-AE219)</f>
        <v>0</v>
      </c>
      <c r="AS219" s="132" t="n">
        <f aca="false">CHOOSE($G$3,AH219-AI219,AI219-AH219)</f>
        <v>0</v>
      </c>
      <c r="AT219" s="148" t="n">
        <f aca="false">AQ219+AR219+AS219</f>
        <v>0</v>
      </c>
      <c r="AU219" s="148"/>
      <c r="AV219" s="133" t="n">
        <f aca="false">AT219+AO219</f>
        <v>0</v>
      </c>
      <c r="AX219" s="133" t="n">
        <f aca="false">AJ219+AG219+AD219</f>
        <v>0</v>
      </c>
      <c r="AY219" s="149"/>
      <c r="AZ219" s="76" t="n">
        <f aca="false">R219*E219</f>
        <v>0</v>
      </c>
    </row>
    <row r="220" customFormat="false" ht="12" hidden="false" customHeight="true" outlineLevel="0" collapsed="false">
      <c r="A220" s="138" t="n">
        <f aca="false">EDATE(A219,1)</f>
        <v>43374</v>
      </c>
      <c r="B220" s="139" t="n">
        <f aca="false">VLOOKUP($A220,Table2,MATCH(I$3,Curves2,0))</f>
        <v>0</v>
      </c>
      <c r="C220" s="140"/>
      <c r="D220" s="141" t="n">
        <f aca="false">B220+C220</f>
        <v>0</v>
      </c>
      <c r="E220" s="126" t="n">
        <f aca="false">IF(Y220=0,0,IF(AND(Y220=1,$H$3=1),D220*T220,IF($H$3=2,D220,"N/A")))</f>
        <v>0</v>
      </c>
      <c r="F220" s="126" t="n">
        <f aca="false">E220*X220</f>
        <v>0</v>
      </c>
      <c r="G220" s="142" t="n">
        <f aca="false">VLOOKUP($A220,Table,MATCH(G$4,Curves,0))</f>
        <v>3.987</v>
      </c>
      <c r="H220" s="143" t="n">
        <f aca="false">G220</f>
        <v>3.987</v>
      </c>
      <c r="I220" s="142" t="n">
        <f aca="false">VLOOKUP($A220,Table1,MATCH(I$3,Curves1,0))</f>
        <v>0</v>
      </c>
      <c r="J220" s="142" t="n">
        <f aca="false">VLOOKUP($A220,Table,MATCH(J$4,Curves,0))</f>
        <v>-0.0235</v>
      </c>
      <c r="K220" s="143" t="n">
        <f aca="false">J220</f>
        <v>-0.0235</v>
      </c>
      <c r="L220" s="144" t="n">
        <v>0</v>
      </c>
      <c r="M220" s="142" t="n">
        <f aca="false">VLOOKUP($A220,Table,MATCH(M$4,Curves,0))</f>
        <v>0.0075</v>
      </c>
      <c r="N220" s="143" t="n">
        <f aca="false">M220</f>
        <v>0.0075</v>
      </c>
      <c r="O220" s="144" t="n">
        <v>0</v>
      </c>
      <c r="P220" s="145"/>
      <c r="Q220" s="144" t="n">
        <f aca="false">M220+J220+G220</f>
        <v>3.971</v>
      </c>
      <c r="R220" s="144" t="n">
        <f aca="false">O220+L220+I220</f>
        <v>0</v>
      </c>
      <c r="S220" s="145"/>
      <c r="T220" s="71" t="n">
        <f aca="false">A221-A220</f>
        <v>31</v>
      </c>
      <c r="U220" s="146" t="n">
        <f aca="false">CHOOSE(F$3,A221+24,A220)</f>
        <v>43429</v>
      </c>
      <c r="V220" s="71" t="n">
        <f aca="false">U220-C$3</f>
        <v>6541</v>
      </c>
      <c r="W220" s="142" t="n">
        <f aca="false">VLOOKUP($A220,Table,MATCH(W$4,Curves,0))</f>
        <v>0.058966861357273</v>
      </c>
      <c r="X220" s="147" t="n">
        <f aca="false">1/(1+CHOOSE(F$3,(W221+($K$3/10000))/2,(W220+($K$3/10000))/2))^(2*V220/365.25)</f>
        <v>0.353197681804077</v>
      </c>
      <c r="Y220" s="71" t="n">
        <f aca="false">IF(AND(mthbeg&lt;=A220,mthend&gt;=A220),1,0)</f>
        <v>0</v>
      </c>
      <c r="Z220" s="71" t="n">
        <f aca="false">T220*Y220</f>
        <v>0</v>
      </c>
      <c r="AB220" s="132" t="n">
        <f aca="false">F220*G220</f>
        <v>0</v>
      </c>
      <c r="AC220" s="132" t="n">
        <f aca="false">$F220*H220</f>
        <v>0</v>
      </c>
      <c r="AD220" s="132" t="n">
        <f aca="false">$F220*I220</f>
        <v>0</v>
      </c>
      <c r="AE220" s="132" t="n">
        <f aca="false">$F220*J220</f>
        <v>-0</v>
      </c>
      <c r="AF220" s="132" t="n">
        <f aca="false">$F220*K220</f>
        <v>-0</v>
      </c>
      <c r="AG220" s="132" t="n">
        <f aca="false">$F220*L220</f>
        <v>0</v>
      </c>
      <c r="AH220" s="132" t="n">
        <f aca="false">$F220*M220</f>
        <v>0</v>
      </c>
      <c r="AI220" s="132" t="n">
        <f aca="false">$F220*N220</f>
        <v>0</v>
      </c>
      <c r="AJ220" s="132" t="n">
        <f aca="false">F220*O220</f>
        <v>0</v>
      </c>
      <c r="AK220" s="137"/>
      <c r="AL220" s="132" t="n">
        <f aca="false">CHOOSE($G$3,AC220-AD220,AD220-AC220)</f>
        <v>0</v>
      </c>
      <c r="AM220" s="132" t="n">
        <f aca="false">CHOOSE($G$3,AF220-AG220,AG220-AF220)</f>
        <v>0</v>
      </c>
      <c r="AN220" s="132" t="n">
        <f aca="false">CHOOSE($G$3,AI220-AJ220,AJ220-AI220)</f>
        <v>0</v>
      </c>
      <c r="AO220" s="148" t="n">
        <f aca="false">SUM(AL220:AN220)</f>
        <v>0</v>
      </c>
      <c r="AQ220" s="132" t="n">
        <f aca="false">CHOOSE($G$3,AB220-AC220,AC220-AB220)</f>
        <v>0</v>
      </c>
      <c r="AR220" s="132" t="n">
        <f aca="false">CHOOSE($G$3,AE220-AF220,AF220-AE220)</f>
        <v>0</v>
      </c>
      <c r="AS220" s="132" t="n">
        <f aca="false">CHOOSE($G$3,AH220-AI220,AI220-AH220)</f>
        <v>0</v>
      </c>
      <c r="AT220" s="148" t="n">
        <f aca="false">AQ220+AR220+AS220</f>
        <v>0</v>
      </c>
      <c r="AU220" s="148"/>
      <c r="AV220" s="133" t="n">
        <f aca="false">AT220+AO220</f>
        <v>0</v>
      </c>
      <c r="AX220" s="133" t="n">
        <f aca="false">AJ220+AG220+AD220</f>
        <v>0</v>
      </c>
      <c r="AY220" s="149"/>
      <c r="AZ220" s="76" t="n">
        <f aca="false">R220*E220</f>
        <v>0</v>
      </c>
    </row>
    <row r="221" customFormat="false" ht="12" hidden="false" customHeight="true" outlineLevel="0" collapsed="false">
      <c r="A221" s="138" t="n">
        <f aca="false">EDATE(A220,1)</f>
        <v>43405</v>
      </c>
      <c r="B221" s="139" t="n">
        <f aca="false">VLOOKUP($A221,Table2,MATCH(I$3,Curves2,0))</f>
        <v>0</v>
      </c>
      <c r="C221" s="140"/>
      <c r="D221" s="141" t="n">
        <f aca="false">B221+C221</f>
        <v>0</v>
      </c>
      <c r="E221" s="126" t="n">
        <f aca="false">IF(Y221=0,0,IF(AND(Y221=1,$H$3=1),D221*T221,IF($H$3=2,D221,"N/A")))</f>
        <v>0</v>
      </c>
      <c r="F221" s="126" t="n">
        <f aca="false">E221*X221</f>
        <v>0</v>
      </c>
      <c r="G221" s="142" t="n">
        <f aca="false">VLOOKUP($A221,Table,MATCH(G$4,Curves,0))</f>
        <v>3.987</v>
      </c>
      <c r="H221" s="143" t="n">
        <f aca="false">G221</f>
        <v>3.987</v>
      </c>
      <c r="I221" s="142" t="n">
        <f aca="false">VLOOKUP($A221,Table1,MATCH(I$3,Curves1,0))</f>
        <v>0</v>
      </c>
      <c r="J221" s="142" t="n">
        <f aca="false">VLOOKUP($A221,Table,MATCH(J$4,Curves,0))</f>
        <v>-0.0235</v>
      </c>
      <c r="K221" s="143" t="n">
        <f aca="false">J221</f>
        <v>-0.0235</v>
      </c>
      <c r="L221" s="144" t="n">
        <v>0</v>
      </c>
      <c r="M221" s="142" t="n">
        <f aca="false">VLOOKUP($A221,Table,MATCH(M$4,Curves,0))</f>
        <v>0.0075</v>
      </c>
      <c r="N221" s="143" t="n">
        <f aca="false">M221</f>
        <v>0.0075</v>
      </c>
      <c r="O221" s="144" t="n">
        <v>0</v>
      </c>
      <c r="P221" s="145"/>
      <c r="Q221" s="144" t="n">
        <f aca="false">M221+J221+G221</f>
        <v>3.971</v>
      </c>
      <c r="R221" s="144" t="n">
        <f aca="false">O221+L221+I221</f>
        <v>0</v>
      </c>
      <c r="S221" s="145"/>
      <c r="T221" s="71" t="n">
        <f aca="false">A222-A221</f>
        <v>30</v>
      </c>
      <c r="U221" s="146" t="n">
        <f aca="false">CHOOSE(F$3,A222+24,A221)</f>
        <v>43459</v>
      </c>
      <c r="V221" s="71" t="n">
        <f aca="false">U221-C$3</f>
        <v>6571</v>
      </c>
      <c r="W221" s="142" t="n">
        <f aca="false">VLOOKUP($A221,Table,MATCH(W$4,Curves,0))</f>
        <v>0.058966861357273</v>
      </c>
      <c r="X221" s="147" t="n">
        <f aca="false">1/(1+CHOOSE(F$3,(W222+($K$3/10000))/2,(W221+($K$3/10000))/2))^(2*V221/365.25)</f>
        <v>0.35151579856652</v>
      </c>
      <c r="Y221" s="71" t="n">
        <f aca="false">IF(AND(mthbeg&lt;=A221,mthend&gt;=A221),1,0)</f>
        <v>0</v>
      </c>
      <c r="Z221" s="71" t="n">
        <f aca="false">T221*Y221</f>
        <v>0</v>
      </c>
      <c r="AB221" s="132" t="n">
        <f aca="false">F221*G221</f>
        <v>0</v>
      </c>
      <c r="AC221" s="132" t="n">
        <f aca="false">$F221*H221</f>
        <v>0</v>
      </c>
      <c r="AD221" s="132" t="n">
        <f aca="false">$F221*I221</f>
        <v>0</v>
      </c>
      <c r="AE221" s="132" t="n">
        <f aca="false">$F221*J221</f>
        <v>-0</v>
      </c>
      <c r="AF221" s="132" t="n">
        <f aca="false">$F221*K221</f>
        <v>-0</v>
      </c>
      <c r="AG221" s="132" t="n">
        <f aca="false">$F221*L221</f>
        <v>0</v>
      </c>
      <c r="AH221" s="132" t="n">
        <f aca="false">$F221*M221</f>
        <v>0</v>
      </c>
      <c r="AI221" s="132" t="n">
        <f aca="false">$F221*N221</f>
        <v>0</v>
      </c>
      <c r="AJ221" s="132" t="n">
        <f aca="false">F221*O221</f>
        <v>0</v>
      </c>
      <c r="AK221" s="137"/>
      <c r="AL221" s="132" t="n">
        <f aca="false">CHOOSE($G$3,AC221-AD221,AD221-AC221)</f>
        <v>0</v>
      </c>
      <c r="AM221" s="132" t="n">
        <f aca="false">CHOOSE($G$3,AF221-AG221,AG221-AF221)</f>
        <v>0</v>
      </c>
      <c r="AN221" s="132" t="n">
        <f aca="false">CHOOSE($G$3,AI221-AJ221,AJ221-AI221)</f>
        <v>0</v>
      </c>
      <c r="AO221" s="148" t="n">
        <f aca="false">SUM(AL221:AN221)</f>
        <v>0</v>
      </c>
      <c r="AQ221" s="132" t="n">
        <f aca="false">CHOOSE($G$3,AB221-AC221,AC221-AB221)</f>
        <v>0</v>
      </c>
      <c r="AR221" s="132" t="n">
        <f aca="false">CHOOSE($G$3,AE221-AF221,AF221-AE221)</f>
        <v>0</v>
      </c>
      <c r="AS221" s="132" t="n">
        <f aca="false">CHOOSE($G$3,AH221-AI221,AI221-AH221)</f>
        <v>0</v>
      </c>
      <c r="AT221" s="148" t="n">
        <f aca="false">AQ221+AR221+AS221</f>
        <v>0</v>
      </c>
      <c r="AU221" s="148"/>
      <c r="AV221" s="133" t="n">
        <f aca="false">AT221+AO221</f>
        <v>0</v>
      </c>
      <c r="AX221" s="133" t="n">
        <f aca="false">AJ221+AG221+AD221</f>
        <v>0</v>
      </c>
      <c r="AY221" s="149"/>
      <c r="AZ221" s="76" t="n">
        <f aca="false">R221*E221</f>
        <v>0</v>
      </c>
    </row>
    <row r="222" customFormat="false" ht="12" hidden="false" customHeight="true" outlineLevel="0" collapsed="false">
      <c r="A222" s="138" t="n">
        <f aca="false">EDATE(A221,1)</f>
        <v>43435</v>
      </c>
      <c r="B222" s="139" t="n">
        <f aca="false">VLOOKUP($A222,Table2,MATCH(I$3,Curves2,0))</f>
        <v>0</v>
      </c>
      <c r="C222" s="140"/>
      <c r="D222" s="141" t="n">
        <f aca="false">B222+C222</f>
        <v>0</v>
      </c>
      <c r="E222" s="126" t="n">
        <f aca="false">IF(Y222=0,0,IF(AND(Y222=1,$H$3=1),D222*T222,IF($H$3=2,D222,"N/A")))</f>
        <v>0</v>
      </c>
      <c r="F222" s="126" t="n">
        <f aca="false">E222*X222</f>
        <v>0</v>
      </c>
      <c r="G222" s="142" t="n">
        <f aca="false">VLOOKUP($A222,Table,MATCH(G$4,Curves,0))</f>
        <v>3.987</v>
      </c>
      <c r="H222" s="143" t="n">
        <f aca="false">G222</f>
        <v>3.987</v>
      </c>
      <c r="I222" s="142" t="n">
        <f aca="false">VLOOKUP($A222,Table1,MATCH(I$3,Curves1,0))</f>
        <v>0</v>
      </c>
      <c r="J222" s="142" t="n">
        <f aca="false">VLOOKUP($A222,Table,MATCH(J$4,Curves,0))</f>
        <v>-0.0235</v>
      </c>
      <c r="K222" s="143" t="n">
        <f aca="false">J222</f>
        <v>-0.0235</v>
      </c>
      <c r="L222" s="144" t="n">
        <v>0</v>
      </c>
      <c r="M222" s="142" t="n">
        <f aca="false">VLOOKUP($A222,Table,MATCH(M$4,Curves,0))</f>
        <v>0.0075</v>
      </c>
      <c r="N222" s="143" t="n">
        <f aca="false">M222</f>
        <v>0.0075</v>
      </c>
      <c r="O222" s="144" t="n">
        <v>0</v>
      </c>
      <c r="P222" s="145"/>
      <c r="Q222" s="144" t="n">
        <f aca="false">M222+J222+G222</f>
        <v>3.971</v>
      </c>
      <c r="R222" s="144" t="n">
        <f aca="false">O222+L222+I222</f>
        <v>0</v>
      </c>
      <c r="S222" s="145"/>
      <c r="T222" s="71" t="n">
        <f aca="false">A223-A222</f>
        <v>31</v>
      </c>
      <c r="U222" s="146" t="n">
        <f aca="false">CHOOSE(F$3,A223+24,A222)</f>
        <v>43490</v>
      </c>
      <c r="V222" s="71" t="n">
        <f aca="false">U222-C$3</f>
        <v>6602</v>
      </c>
      <c r="W222" s="142" t="n">
        <f aca="false">VLOOKUP($A222,Table,MATCH(W$4,Curves,0))</f>
        <v>0.058966861357273</v>
      </c>
      <c r="X222" s="147" t="n">
        <f aca="false">1/(1+CHOOSE(F$3,(W223+($K$3/10000))/2,(W222+($K$3/10000))/2))^(2*V222/365.25)</f>
        <v>0.349786265921853</v>
      </c>
      <c r="Y222" s="71" t="n">
        <f aca="false">IF(AND(mthbeg&lt;=A222,mthend&gt;=A222),1,0)</f>
        <v>0</v>
      </c>
      <c r="Z222" s="71" t="n">
        <f aca="false">T222*Y222</f>
        <v>0</v>
      </c>
      <c r="AB222" s="132" t="n">
        <f aca="false">F222*G222</f>
        <v>0</v>
      </c>
      <c r="AC222" s="132" t="n">
        <f aca="false">$F222*H222</f>
        <v>0</v>
      </c>
      <c r="AD222" s="132" t="n">
        <f aca="false">$F222*I222</f>
        <v>0</v>
      </c>
      <c r="AE222" s="132" t="n">
        <f aca="false">$F222*J222</f>
        <v>-0</v>
      </c>
      <c r="AF222" s="132" t="n">
        <f aca="false">$F222*K222</f>
        <v>-0</v>
      </c>
      <c r="AG222" s="132" t="n">
        <f aca="false">$F222*L222</f>
        <v>0</v>
      </c>
      <c r="AH222" s="132" t="n">
        <f aca="false">$F222*M222</f>
        <v>0</v>
      </c>
      <c r="AI222" s="132" t="n">
        <f aca="false">$F222*N222</f>
        <v>0</v>
      </c>
      <c r="AJ222" s="132" t="n">
        <f aca="false">F222*O222</f>
        <v>0</v>
      </c>
      <c r="AK222" s="137"/>
      <c r="AL222" s="132" t="n">
        <f aca="false">CHOOSE($G$3,AC222-AD222,AD222-AC222)</f>
        <v>0</v>
      </c>
      <c r="AM222" s="132" t="n">
        <f aca="false">CHOOSE($G$3,AF222-AG222,AG222-AF222)</f>
        <v>0</v>
      </c>
      <c r="AN222" s="132" t="n">
        <f aca="false">CHOOSE($G$3,AI222-AJ222,AJ222-AI222)</f>
        <v>0</v>
      </c>
      <c r="AO222" s="148" t="n">
        <f aca="false">SUM(AL222:AN222)</f>
        <v>0</v>
      </c>
      <c r="AQ222" s="132" t="n">
        <f aca="false">CHOOSE($G$3,AB222-AC222,AC222-AB222)</f>
        <v>0</v>
      </c>
      <c r="AR222" s="132" t="n">
        <f aca="false">CHOOSE($G$3,AE222-AF222,AF222-AE222)</f>
        <v>0</v>
      </c>
      <c r="AS222" s="132" t="n">
        <f aca="false">CHOOSE($G$3,AH222-AI222,AI222-AH222)</f>
        <v>0</v>
      </c>
      <c r="AT222" s="148" t="n">
        <f aca="false">AQ222+AR222+AS222</f>
        <v>0</v>
      </c>
      <c r="AU222" s="148"/>
      <c r="AV222" s="133" t="n">
        <f aca="false">AT222+AO222</f>
        <v>0</v>
      </c>
      <c r="AX222" s="133" t="n">
        <f aca="false">AJ222+AG222+AD222</f>
        <v>0</v>
      </c>
      <c r="AY222" s="149"/>
      <c r="AZ222" s="76" t="n">
        <f aca="false">R222*E222</f>
        <v>0</v>
      </c>
    </row>
    <row r="223" customFormat="false" ht="12" hidden="false" customHeight="true" outlineLevel="0" collapsed="false">
      <c r="A223" s="138" t="n">
        <f aca="false">EDATE(A222,1)</f>
        <v>43466</v>
      </c>
      <c r="B223" s="139" t="n">
        <f aca="false">VLOOKUP($A223,Table2,MATCH(I$3,Curves2,0))</f>
        <v>0</v>
      </c>
      <c r="C223" s="140"/>
      <c r="D223" s="141" t="n">
        <f aca="false">B223+C223</f>
        <v>0</v>
      </c>
      <c r="E223" s="126" t="n">
        <f aca="false">IF(Y223=0,0,IF(AND(Y223=1,$H$3=1),D223*T223,IF($H$3=2,D223,"N/A")))</f>
        <v>0</v>
      </c>
      <c r="F223" s="126" t="n">
        <f aca="false">E223*X223</f>
        <v>0</v>
      </c>
      <c r="G223" s="142" t="n">
        <f aca="false">VLOOKUP($A223,Table,MATCH(G$4,Curves,0))</f>
        <v>3.987</v>
      </c>
      <c r="H223" s="143" t="n">
        <f aca="false">G223</f>
        <v>3.987</v>
      </c>
      <c r="I223" s="142" t="n">
        <f aca="false">VLOOKUP($A223,Table1,MATCH(I$3,Curves1,0))</f>
        <v>0</v>
      </c>
      <c r="J223" s="142" t="n">
        <f aca="false">VLOOKUP($A223,Table,MATCH(J$4,Curves,0))</f>
        <v>-0.0235</v>
      </c>
      <c r="K223" s="143" t="n">
        <f aca="false">J223</f>
        <v>-0.0235</v>
      </c>
      <c r="L223" s="144" t="n">
        <v>0</v>
      </c>
      <c r="M223" s="142" t="n">
        <f aca="false">VLOOKUP($A223,Table,MATCH(M$4,Curves,0))</f>
        <v>0.0075</v>
      </c>
      <c r="N223" s="143" t="n">
        <f aca="false">M223</f>
        <v>0.0075</v>
      </c>
      <c r="O223" s="144" t="n">
        <v>0</v>
      </c>
      <c r="P223" s="145"/>
      <c r="Q223" s="144" t="n">
        <f aca="false">M223+J223+G223</f>
        <v>3.971</v>
      </c>
      <c r="R223" s="144" t="n">
        <f aca="false">O223+L223+I223</f>
        <v>0</v>
      </c>
      <c r="S223" s="145"/>
      <c r="T223" s="71" t="n">
        <f aca="false">A224-A223</f>
        <v>31</v>
      </c>
      <c r="U223" s="146" t="n">
        <f aca="false">CHOOSE(F$3,A224+24,A223)</f>
        <v>43521</v>
      </c>
      <c r="V223" s="71" t="n">
        <f aca="false">U223-C$3</f>
        <v>6633</v>
      </c>
      <c r="W223" s="142" t="n">
        <f aca="false">VLOOKUP($A223,Table,MATCH(W$4,Curves,0))</f>
        <v>0.058966861357273</v>
      </c>
      <c r="X223" s="147" t="n">
        <f aca="false">1/(1+CHOOSE(F$3,(W224+($K$3/10000))/2,(W223+($K$3/10000))/2))^(2*V223/365.25)</f>
        <v>0.348065242946399</v>
      </c>
      <c r="Y223" s="71" t="n">
        <f aca="false">IF(AND(mthbeg&lt;=A223,mthend&gt;=A223),1,0)</f>
        <v>0</v>
      </c>
      <c r="Z223" s="71" t="n">
        <f aca="false">T223*Y223</f>
        <v>0</v>
      </c>
      <c r="AB223" s="132" t="n">
        <f aca="false">F223*G223</f>
        <v>0</v>
      </c>
      <c r="AC223" s="132" t="n">
        <f aca="false">$F223*H223</f>
        <v>0</v>
      </c>
      <c r="AD223" s="132" t="n">
        <f aca="false">$F223*I223</f>
        <v>0</v>
      </c>
      <c r="AE223" s="132" t="n">
        <f aca="false">$F223*J223</f>
        <v>-0</v>
      </c>
      <c r="AF223" s="132" t="n">
        <f aca="false">$F223*K223</f>
        <v>-0</v>
      </c>
      <c r="AG223" s="132" t="n">
        <f aca="false">$F223*L223</f>
        <v>0</v>
      </c>
      <c r="AH223" s="132" t="n">
        <f aca="false">$F223*M223</f>
        <v>0</v>
      </c>
      <c r="AI223" s="132" t="n">
        <f aca="false">$F223*N223</f>
        <v>0</v>
      </c>
      <c r="AJ223" s="132" t="n">
        <f aca="false">F223*O223</f>
        <v>0</v>
      </c>
      <c r="AK223" s="137"/>
      <c r="AL223" s="132" t="n">
        <f aca="false">CHOOSE($G$3,AC223-AD223,AD223-AC223)</f>
        <v>0</v>
      </c>
      <c r="AM223" s="132" t="n">
        <f aca="false">CHOOSE($G$3,AF223-AG223,AG223-AF223)</f>
        <v>0</v>
      </c>
      <c r="AN223" s="132" t="n">
        <f aca="false">CHOOSE($G$3,AI223-AJ223,AJ223-AI223)</f>
        <v>0</v>
      </c>
      <c r="AO223" s="148" t="n">
        <f aca="false">SUM(AL223:AN223)</f>
        <v>0</v>
      </c>
      <c r="AQ223" s="132" t="n">
        <f aca="false">CHOOSE($G$3,AB223-AC223,AC223-AB223)</f>
        <v>0</v>
      </c>
      <c r="AR223" s="132" t="n">
        <f aca="false">CHOOSE($G$3,AE223-AF223,AF223-AE223)</f>
        <v>0</v>
      </c>
      <c r="AS223" s="132" t="n">
        <f aca="false">CHOOSE($G$3,AH223-AI223,AI223-AH223)</f>
        <v>0</v>
      </c>
      <c r="AT223" s="148" t="n">
        <f aca="false">AQ223+AR223+AS223</f>
        <v>0</v>
      </c>
      <c r="AU223" s="148"/>
      <c r="AV223" s="133" t="n">
        <f aca="false">AT223+AO223</f>
        <v>0</v>
      </c>
      <c r="AX223" s="133" t="n">
        <f aca="false">AJ223+AG223+AD223</f>
        <v>0</v>
      </c>
      <c r="AY223" s="149"/>
      <c r="AZ223" s="76" t="n">
        <f aca="false">R223*E223</f>
        <v>0</v>
      </c>
    </row>
    <row r="224" customFormat="false" ht="12" hidden="false" customHeight="true" outlineLevel="0" collapsed="false">
      <c r="A224" s="138" t="n">
        <f aca="false">EDATE(A223,1)</f>
        <v>43497</v>
      </c>
      <c r="B224" s="139" t="n">
        <f aca="false">VLOOKUP($A224,Table2,MATCH(I$3,Curves2,0))</f>
        <v>0</v>
      </c>
      <c r="C224" s="140"/>
      <c r="D224" s="141" t="n">
        <f aca="false">B224+C224</f>
        <v>0</v>
      </c>
      <c r="E224" s="126" t="n">
        <f aca="false">IF(Y224=0,0,IF(AND(Y224=1,$H$3=1),D224*T224,IF($H$3=2,D224,"N/A")))</f>
        <v>0</v>
      </c>
      <c r="F224" s="126" t="n">
        <f aca="false">E224*X224</f>
        <v>0</v>
      </c>
      <c r="G224" s="142" t="n">
        <f aca="false">VLOOKUP($A224,Table,MATCH(G$4,Curves,0))</f>
        <v>3.987</v>
      </c>
      <c r="H224" s="143" t="n">
        <f aca="false">G224</f>
        <v>3.987</v>
      </c>
      <c r="I224" s="142" t="n">
        <f aca="false">VLOOKUP($A224,Table1,MATCH(I$3,Curves1,0))</f>
        <v>0</v>
      </c>
      <c r="J224" s="142" t="n">
        <f aca="false">VLOOKUP($A224,Table,MATCH(J$4,Curves,0))</f>
        <v>-0.0235</v>
      </c>
      <c r="K224" s="143" t="n">
        <f aca="false">J224</f>
        <v>-0.0235</v>
      </c>
      <c r="L224" s="144" t="n">
        <v>0</v>
      </c>
      <c r="M224" s="142" t="n">
        <f aca="false">VLOOKUP($A224,Table,MATCH(M$4,Curves,0))</f>
        <v>0.0075</v>
      </c>
      <c r="N224" s="143" t="n">
        <f aca="false">M224</f>
        <v>0.0075</v>
      </c>
      <c r="O224" s="144" t="n">
        <v>0</v>
      </c>
      <c r="P224" s="145"/>
      <c r="Q224" s="144" t="n">
        <f aca="false">M224+J224+G224</f>
        <v>3.971</v>
      </c>
      <c r="R224" s="144" t="n">
        <f aca="false">O224+L224+I224</f>
        <v>0</v>
      </c>
      <c r="S224" s="145"/>
      <c r="T224" s="71" t="n">
        <f aca="false">A225-A224</f>
        <v>28</v>
      </c>
      <c r="U224" s="146" t="n">
        <f aca="false">CHOOSE(F$3,A225+24,A224)</f>
        <v>43549</v>
      </c>
      <c r="V224" s="71" t="n">
        <f aca="false">U224-C$3</f>
        <v>6661</v>
      </c>
      <c r="W224" s="142" t="n">
        <f aca="false">VLOOKUP($A224,Table,MATCH(W$4,Curves,0))</f>
        <v>0.058966861357273</v>
      </c>
      <c r="X224" s="147" t="n">
        <f aca="false">1/(1+CHOOSE(F$3,(W225+($K$3/10000))/2,(W224+($K$3/10000))/2))^(2*V224/365.25)</f>
        <v>0.346518049992799</v>
      </c>
      <c r="Y224" s="71" t="n">
        <f aca="false">IF(AND(mthbeg&lt;=A224,mthend&gt;=A224),1,0)</f>
        <v>0</v>
      </c>
      <c r="Z224" s="71" t="n">
        <f aca="false">T224*Y224</f>
        <v>0</v>
      </c>
      <c r="AB224" s="132" t="n">
        <f aca="false">F224*G224</f>
        <v>0</v>
      </c>
      <c r="AC224" s="132" t="n">
        <f aca="false">$F224*H224</f>
        <v>0</v>
      </c>
      <c r="AD224" s="132" t="n">
        <f aca="false">$F224*I224</f>
        <v>0</v>
      </c>
      <c r="AE224" s="132" t="n">
        <f aca="false">$F224*J224</f>
        <v>-0</v>
      </c>
      <c r="AF224" s="132" t="n">
        <f aca="false">$F224*K224</f>
        <v>-0</v>
      </c>
      <c r="AG224" s="132" t="n">
        <f aca="false">$F224*L224</f>
        <v>0</v>
      </c>
      <c r="AH224" s="132" t="n">
        <f aca="false">$F224*M224</f>
        <v>0</v>
      </c>
      <c r="AI224" s="132" t="n">
        <f aca="false">$F224*N224</f>
        <v>0</v>
      </c>
      <c r="AJ224" s="132" t="n">
        <f aca="false">F224*O224</f>
        <v>0</v>
      </c>
      <c r="AK224" s="137"/>
      <c r="AL224" s="132" t="n">
        <f aca="false">CHOOSE($G$3,AC224-AD224,AD224-AC224)</f>
        <v>0</v>
      </c>
      <c r="AM224" s="132" t="n">
        <f aca="false">CHOOSE($G$3,AF224-AG224,AG224-AF224)</f>
        <v>0</v>
      </c>
      <c r="AN224" s="132" t="n">
        <f aca="false">CHOOSE($G$3,AI224-AJ224,AJ224-AI224)</f>
        <v>0</v>
      </c>
      <c r="AO224" s="148" t="n">
        <f aca="false">SUM(AL224:AN224)</f>
        <v>0</v>
      </c>
      <c r="AQ224" s="132" t="n">
        <f aca="false">CHOOSE($G$3,AB224-AC224,AC224-AB224)</f>
        <v>0</v>
      </c>
      <c r="AR224" s="132" t="n">
        <f aca="false">CHOOSE($G$3,AE224-AF224,AF224-AE224)</f>
        <v>0</v>
      </c>
      <c r="AS224" s="132" t="n">
        <f aca="false">CHOOSE($G$3,AH224-AI224,AI224-AH224)</f>
        <v>0</v>
      </c>
      <c r="AT224" s="148" t="n">
        <f aca="false">AQ224+AR224+AS224</f>
        <v>0</v>
      </c>
      <c r="AU224" s="148"/>
      <c r="AV224" s="133" t="n">
        <f aca="false">AT224+AO224</f>
        <v>0</v>
      </c>
      <c r="AX224" s="133" t="n">
        <f aca="false">AJ224+AG224+AD224</f>
        <v>0</v>
      </c>
      <c r="AY224" s="149"/>
      <c r="AZ224" s="76" t="n">
        <f aca="false">R224*E224</f>
        <v>0</v>
      </c>
    </row>
    <row r="225" customFormat="false" ht="12" hidden="false" customHeight="true" outlineLevel="0" collapsed="false">
      <c r="A225" s="138" t="n">
        <f aca="false">EDATE(A224,1)</f>
        <v>43525</v>
      </c>
      <c r="B225" s="139" t="n">
        <f aca="false">VLOOKUP($A225,Table2,MATCH(I$3,Curves2,0))</f>
        <v>0</v>
      </c>
      <c r="C225" s="140"/>
      <c r="D225" s="141" t="n">
        <f aca="false">B225+C225</f>
        <v>0</v>
      </c>
      <c r="E225" s="126" t="n">
        <f aca="false">IF(Y225=0,0,IF(AND(Y225=1,$H$3=1),D225*T225,IF($H$3=2,D225,"N/A")))</f>
        <v>0</v>
      </c>
      <c r="F225" s="126" t="n">
        <f aca="false">E225*X225</f>
        <v>0</v>
      </c>
      <c r="G225" s="142" t="n">
        <f aca="false">VLOOKUP($A225,Table,MATCH(G$4,Curves,0))</f>
        <v>3.987</v>
      </c>
      <c r="H225" s="143" t="n">
        <f aca="false">G225</f>
        <v>3.987</v>
      </c>
      <c r="I225" s="142" t="n">
        <f aca="false">VLOOKUP($A225,Table1,MATCH(I$3,Curves1,0))</f>
        <v>0</v>
      </c>
      <c r="J225" s="142" t="n">
        <f aca="false">VLOOKUP($A225,Table,MATCH(J$4,Curves,0))</f>
        <v>-0.0235</v>
      </c>
      <c r="K225" s="143" t="n">
        <f aca="false">J225</f>
        <v>-0.0235</v>
      </c>
      <c r="L225" s="144" t="n">
        <v>0</v>
      </c>
      <c r="M225" s="142" t="n">
        <f aca="false">VLOOKUP($A225,Table,MATCH(M$4,Curves,0))</f>
        <v>0.0075</v>
      </c>
      <c r="N225" s="143" t="n">
        <f aca="false">M225</f>
        <v>0.0075</v>
      </c>
      <c r="O225" s="144" t="n">
        <v>0</v>
      </c>
      <c r="P225" s="145"/>
      <c r="Q225" s="144" t="n">
        <f aca="false">M225+J225+G225</f>
        <v>3.971</v>
      </c>
      <c r="R225" s="144" t="n">
        <f aca="false">O225+L225+I225</f>
        <v>0</v>
      </c>
      <c r="S225" s="145"/>
      <c r="T225" s="71" t="n">
        <f aca="false">A226-A225</f>
        <v>31</v>
      </c>
      <c r="U225" s="146" t="n">
        <f aca="false">CHOOSE(F$3,A226+24,A225)</f>
        <v>43580</v>
      </c>
      <c r="V225" s="71" t="n">
        <f aca="false">U225-C$3</f>
        <v>6692</v>
      </c>
      <c r="W225" s="142" t="n">
        <f aca="false">VLOOKUP($A225,Table,MATCH(W$4,Curves,0))</f>
        <v>0.058966861357273</v>
      </c>
      <c r="X225" s="147" t="n">
        <f aca="false">1/(1+CHOOSE(F$3,(W226+($K$3/10000))/2,(W225+($K$3/10000))/2))^(2*V225/365.25)</f>
        <v>0.344813107336245</v>
      </c>
      <c r="Y225" s="71" t="n">
        <f aca="false">IF(AND(mthbeg&lt;=A225,mthend&gt;=A225),1,0)</f>
        <v>0</v>
      </c>
      <c r="Z225" s="71" t="n">
        <f aca="false">T225*Y225</f>
        <v>0</v>
      </c>
      <c r="AB225" s="132" t="n">
        <f aca="false">F225*G225</f>
        <v>0</v>
      </c>
      <c r="AC225" s="132" t="n">
        <f aca="false">$F225*H225</f>
        <v>0</v>
      </c>
      <c r="AD225" s="132" t="n">
        <f aca="false">$F225*I225</f>
        <v>0</v>
      </c>
      <c r="AE225" s="132" t="n">
        <f aca="false">$F225*J225</f>
        <v>-0</v>
      </c>
      <c r="AF225" s="132" t="n">
        <f aca="false">$F225*K225</f>
        <v>-0</v>
      </c>
      <c r="AG225" s="132" t="n">
        <f aca="false">$F225*L225</f>
        <v>0</v>
      </c>
      <c r="AH225" s="132" t="n">
        <f aca="false">$F225*M225</f>
        <v>0</v>
      </c>
      <c r="AI225" s="132" t="n">
        <f aca="false">$F225*N225</f>
        <v>0</v>
      </c>
      <c r="AJ225" s="132" t="n">
        <f aca="false">F225*O225</f>
        <v>0</v>
      </c>
      <c r="AK225" s="137"/>
      <c r="AL225" s="132" t="n">
        <f aca="false">CHOOSE($G$3,AC225-AD225,AD225-AC225)</f>
        <v>0</v>
      </c>
      <c r="AM225" s="132" t="n">
        <f aca="false">CHOOSE($G$3,AF225-AG225,AG225-AF225)</f>
        <v>0</v>
      </c>
      <c r="AN225" s="132" t="n">
        <f aca="false">CHOOSE($G$3,AI225-AJ225,AJ225-AI225)</f>
        <v>0</v>
      </c>
      <c r="AO225" s="148" t="n">
        <f aca="false">SUM(AL225:AN225)</f>
        <v>0</v>
      </c>
      <c r="AQ225" s="132" t="n">
        <f aca="false">CHOOSE($G$3,AB225-AC225,AC225-AB225)</f>
        <v>0</v>
      </c>
      <c r="AR225" s="132" t="n">
        <f aca="false">CHOOSE($G$3,AE225-AF225,AF225-AE225)</f>
        <v>0</v>
      </c>
      <c r="AS225" s="132" t="n">
        <f aca="false">CHOOSE($G$3,AH225-AI225,AI225-AH225)</f>
        <v>0</v>
      </c>
      <c r="AT225" s="148" t="n">
        <f aca="false">AQ225+AR225+AS225</f>
        <v>0</v>
      </c>
      <c r="AU225" s="148"/>
      <c r="AV225" s="133" t="n">
        <f aca="false">AT225+AO225</f>
        <v>0</v>
      </c>
      <c r="AX225" s="133" t="n">
        <f aca="false">AJ225+AG225+AD225</f>
        <v>0</v>
      </c>
      <c r="AY225" s="149"/>
      <c r="AZ225" s="76" t="n">
        <f aca="false">R225*E225</f>
        <v>0</v>
      </c>
    </row>
    <row r="226" customFormat="false" ht="12" hidden="false" customHeight="true" outlineLevel="0" collapsed="false">
      <c r="A226" s="138" t="n">
        <f aca="false">EDATE(A225,1)</f>
        <v>43556</v>
      </c>
      <c r="B226" s="139" t="n">
        <f aca="false">VLOOKUP($A226,Table2,MATCH(I$3,Curves2,0))</f>
        <v>0</v>
      </c>
      <c r="C226" s="140"/>
      <c r="D226" s="141" t="n">
        <f aca="false">B226+C226</f>
        <v>0</v>
      </c>
      <c r="E226" s="126" t="n">
        <f aca="false">IF(Y226=0,0,IF(AND(Y226=1,$H$3=1),D226*T226,IF($H$3=2,D226,"N/A")))</f>
        <v>0</v>
      </c>
      <c r="F226" s="126" t="n">
        <f aca="false">E226*X226</f>
        <v>0</v>
      </c>
      <c r="G226" s="142" t="n">
        <f aca="false">VLOOKUP($A226,Table,MATCH(G$4,Curves,0))</f>
        <v>3.987</v>
      </c>
      <c r="H226" s="143" t="n">
        <f aca="false">G226</f>
        <v>3.987</v>
      </c>
      <c r="I226" s="142" t="n">
        <f aca="false">VLOOKUP($A226,Table1,MATCH(I$3,Curves1,0))</f>
        <v>0</v>
      </c>
      <c r="J226" s="142" t="n">
        <f aca="false">VLOOKUP($A226,Table,MATCH(J$4,Curves,0))</f>
        <v>-0.0235</v>
      </c>
      <c r="K226" s="143" t="n">
        <f aca="false">J226</f>
        <v>-0.0235</v>
      </c>
      <c r="L226" s="144" t="n">
        <v>0</v>
      </c>
      <c r="M226" s="142" t="n">
        <f aca="false">VLOOKUP($A226,Table,MATCH(M$4,Curves,0))</f>
        <v>0.0075</v>
      </c>
      <c r="N226" s="143" t="n">
        <f aca="false">M226</f>
        <v>0.0075</v>
      </c>
      <c r="O226" s="144" t="n">
        <v>0</v>
      </c>
      <c r="P226" s="145"/>
      <c r="Q226" s="144" t="n">
        <f aca="false">M226+J226+G226</f>
        <v>3.971</v>
      </c>
      <c r="R226" s="144" t="n">
        <f aca="false">O226+L226+I226</f>
        <v>0</v>
      </c>
      <c r="S226" s="145"/>
      <c r="T226" s="71" t="n">
        <f aca="false">A227-A226</f>
        <v>30</v>
      </c>
      <c r="U226" s="146" t="n">
        <f aca="false">CHOOSE(F$3,A227+24,A226)</f>
        <v>43610</v>
      </c>
      <c r="V226" s="71" t="n">
        <f aca="false">U226-C$3</f>
        <v>6722</v>
      </c>
      <c r="W226" s="142" t="n">
        <f aca="false">VLOOKUP($A226,Table,MATCH(W$4,Curves,0))</f>
        <v>0.058966861357273</v>
      </c>
      <c r="X226" s="147" t="n">
        <f aca="false">1/(1+CHOOSE(F$3,(W227+($K$3/10000))/2,(W226+($K$3/10000))/2))^(2*V226/365.25)</f>
        <v>0.343171150394862</v>
      </c>
      <c r="Y226" s="71" t="n">
        <f aca="false">IF(AND(mthbeg&lt;=A226,mthend&gt;=A226),1,0)</f>
        <v>0</v>
      </c>
      <c r="Z226" s="71" t="n">
        <f aca="false">T226*Y226</f>
        <v>0</v>
      </c>
      <c r="AB226" s="132" t="n">
        <f aca="false">F226*G226</f>
        <v>0</v>
      </c>
      <c r="AC226" s="132" t="n">
        <f aca="false">$F226*H226</f>
        <v>0</v>
      </c>
      <c r="AD226" s="132" t="n">
        <f aca="false">$F226*I226</f>
        <v>0</v>
      </c>
      <c r="AE226" s="132" t="n">
        <f aca="false">$F226*J226</f>
        <v>-0</v>
      </c>
      <c r="AF226" s="132" t="n">
        <f aca="false">$F226*K226</f>
        <v>-0</v>
      </c>
      <c r="AG226" s="132" t="n">
        <f aca="false">$F226*L226</f>
        <v>0</v>
      </c>
      <c r="AH226" s="132" t="n">
        <f aca="false">$F226*M226</f>
        <v>0</v>
      </c>
      <c r="AI226" s="132" t="n">
        <f aca="false">$F226*N226</f>
        <v>0</v>
      </c>
      <c r="AJ226" s="132" t="n">
        <f aca="false">F226*O226</f>
        <v>0</v>
      </c>
      <c r="AK226" s="137"/>
      <c r="AL226" s="132" t="n">
        <f aca="false">CHOOSE($G$3,AC226-AD226,AD226-AC226)</f>
        <v>0</v>
      </c>
      <c r="AM226" s="132" t="n">
        <f aca="false">CHOOSE($G$3,AF226-AG226,AG226-AF226)</f>
        <v>0</v>
      </c>
      <c r="AN226" s="132" t="n">
        <f aca="false">CHOOSE($G$3,AI226-AJ226,AJ226-AI226)</f>
        <v>0</v>
      </c>
      <c r="AO226" s="148" t="n">
        <f aca="false">SUM(AL226:AN226)</f>
        <v>0</v>
      </c>
      <c r="AQ226" s="132" t="n">
        <f aca="false">CHOOSE($G$3,AB226-AC226,AC226-AB226)</f>
        <v>0</v>
      </c>
      <c r="AR226" s="132" t="n">
        <f aca="false">CHOOSE($G$3,AE226-AF226,AF226-AE226)</f>
        <v>0</v>
      </c>
      <c r="AS226" s="132" t="n">
        <f aca="false">CHOOSE($G$3,AH226-AI226,AI226-AH226)</f>
        <v>0</v>
      </c>
      <c r="AT226" s="148" t="n">
        <f aca="false">AQ226+AR226+AS226</f>
        <v>0</v>
      </c>
      <c r="AU226" s="148"/>
      <c r="AV226" s="133" t="n">
        <f aca="false">AT226+AO226</f>
        <v>0</v>
      </c>
      <c r="AX226" s="133" t="n">
        <f aca="false">AJ226+AG226+AD226</f>
        <v>0</v>
      </c>
      <c r="AY226" s="149"/>
      <c r="AZ226" s="76" t="n">
        <f aca="false">R226*E226</f>
        <v>0</v>
      </c>
    </row>
    <row r="227" customFormat="false" ht="12" hidden="false" customHeight="true" outlineLevel="0" collapsed="false">
      <c r="A227" s="138" t="n">
        <f aca="false">EDATE(A226,1)</f>
        <v>43586</v>
      </c>
      <c r="B227" s="139" t="n">
        <f aca="false">VLOOKUP($A227,Table2,MATCH(I$3,Curves2,0))</f>
        <v>0</v>
      </c>
      <c r="C227" s="140"/>
      <c r="D227" s="141" t="n">
        <f aca="false">B227+C227</f>
        <v>0</v>
      </c>
      <c r="E227" s="126" t="n">
        <f aca="false">IF(Y227=0,0,IF(AND(Y227=1,$H$3=1),D227*T227,IF($H$3=2,D227,"N/A")))</f>
        <v>0</v>
      </c>
      <c r="F227" s="126" t="n">
        <f aca="false">E227*X227</f>
        <v>0</v>
      </c>
      <c r="G227" s="142" t="n">
        <f aca="false">VLOOKUP($A227,Table,MATCH(G$4,Curves,0))</f>
        <v>3.987</v>
      </c>
      <c r="H227" s="143" t="n">
        <f aca="false">G227</f>
        <v>3.987</v>
      </c>
      <c r="I227" s="142" t="n">
        <f aca="false">VLOOKUP($A227,Table1,MATCH(I$3,Curves1,0))</f>
        <v>0</v>
      </c>
      <c r="J227" s="142" t="n">
        <f aca="false">VLOOKUP($A227,Table,MATCH(J$4,Curves,0))</f>
        <v>-0.0235</v>
      </c>
      <c r="K227" s="143" t="n">
        <f aca="false">J227</f>
        <v>-0.0235</v>
      </c>
      <c r="L227" s="144" t="n">
        <v>0</v>
      </c>
      <c r="M227" s="142" t="n">
        <f aca="false">VLOOKUP($A227,Table,MATCH(M$4,Curves,0))</f>
        <v>0.0075</v>
      </c>
      <c r="N227" s="143" t="n">
        <f aca="false">M227</f>
        <v>0.0075</v>
      </c>
      <c r="O227" s="144" t="n">
        <v>0</v>
      </c>
      <c r="P227" s="145"/>
      <c r="Q227" s="144" t="n">
        <f aca="false">M227+J227+G227</f>
        <v>3.971</v>
      </c>
      <c r="R227" s="144" t="n">
        <f aca="false">O227+L227+I227</f>
        <v>0</v>
      </c>
      <c r="S227" s="145"/>
      <c r="T227" s="71" t="n">
        <f aca="false">A228-A227</f>
        <v>31</v>
      </c>
      <c r="U227" s="146" t="n">
        <f aca="false">CHOOSE(F$3,A228+24,A227)</f>
        <v>43641</v>
      </c>
      <c r="V227" s="71" t="n">
        <f aca="false">U227-C$3</f>
        <v>6753</v>
      </c>
      <c r="W227" s="142" t="n">
        <f aca="false">VLOOKUP($A227,Table,MATCH(W$4,Curves,0))</f>
        <v>0.058966861357273</v>
      </c>
      <c r="X227" s="147" t="n">
        <f aca="false">1/(1+CHOOSE(F$3,(W228+($K$3/10000))/2,(W227+($K$3/10000))/2))^(2*V227/365.25)</f>
        <v>0.341482675197626</v>
      </c>
      <c r="Y227" s="71" t="n">
        <f aca="false">IF(AND(mthbeg&lt;=A227,mthend&gt;=A227),1,0)</f>
        <v>0</v>
      </c>
      <c r="Z227" s="71" t="n">
        <f aca="false">T227*Y227</f>
        <v>0</v>
      </c>
      <c r="AB227" s="132" t="n">
        <f aca="false">F227*G227</f>
        <v>0</v>
      </c>
      <c r="AC227" s="132" t="n">
        <f aca="false">$F227*H227</f>
        <v>0</v>
      </c>
      <c r="AD227" s="132" t="n">
        <f aca="false">$F227*I227</f>
        <v>0</v>
      </c>
      <c r="AE227" s="132" t="n">
        <f aca="false">$F227*J227</f>
        <v>-0</v>
      </c>
      <c r="AF227" s="132" t="n">
        <f aca="false">$F227*K227</f>
        <v>-0</v>
      </c>
      <c r="AG227" s="132" t="n">
        <f aca="false">$F227*L227</f>
        <v>0</v>
      </c>
      <c r="AH227" s="132" t="n">
        <f aca="false">$F227*M227</f>
        <v>0</v>
      </c>
      <c r="AI227" s="132" t="n">
        <f aca="false">$F227*N227</f>
        <v>0</v>
      </c>
      <c r="AJ227" s="132" t="n">
        <f aca="false">F227*O227</f>
        <v>0</v>
      </c>
      <c r="AK227" s="137"/>
      <c r="AL227" s="132" t="n">
        <f aca="false">CHOOSE($G$3,AC227-AD227,AD227-AC227)</f>
        <v>0</v>
      </c>
      <c r="AM227" s="132" t="n">
        <f aca="false">CHOOSE($G$3,AF227-AG227,AG227-AF227)</f>
        <v>0</v>
      </c>
      <c r="AN227" s="132" t="n">
        <f aca="false">CHOOSE($G$3,AI227-AJ227,AJ227-AI227)</f>
        <v>0</v>
      </c>
      <c r="AO227" s="148" t="n">
        <f aca="false">SUM(AL227:AN227)</f>
        <v>0</v>
      </c>
      <c r="AQ227" s="132" t="n">
        <f aca="false">CHOOSE($G$3,AB227-AC227,AC227-AB227)</f>
        <v>0</v>
      </c>
      <c r="AR227" s="132" t="n">
        <f aca="false">CHOOSE($G$3,AE227-AF227,AF227-AE227)</f>
        <v>0</v>
      </c>
      <c r="AS227" s="132" t="n">
        <f aca="false">CHOOSE($G$3,AH227-AI227,AI227-AH227)</f>
        <v>0</v>
      </c>
      <c r="AT227" s="148" t="n">
        <f aca="false">AQ227+AR227+AS227</f>
        <v>0</v>
      </c>
      <c r="AU227" s="148"/>
      <c r="AV227" s="133" t="n">
        <f aca="false">AT227+AO227</f>
        <v>0</v>
      </c>
      <c r="AX227" s="133" t="n">
        <f aca="false">AJ227+AG227+AD227</f>
        <v>0</v>
      </c>
      <c r="AY227" s="149"/>
      <c r="AZ227" s="76" t="n">
        <f aca="false">R227*E227</f>
        <v>0</v>
      </c>
    </row>
    <row r="228" customFormat="false" ht="12" hidden="false" customHeight="true" outlineLevel="0" collapsed="false">
      <c r="A228" s="138" t="n">
        <f aca="false">EDATE(A227,1)</f>
        <v>43617</v>
      </c>
      <c r="B228" s="139" t="n">
        <f aca="false">VLOOKUP($A228,Table2,MATCH(I$3,Curves2,0))</f>
        <v>0</v>
      </c>
      <c r="C228" s="140"/>
      <c r="D228" s="141" t="n">
        <f aca="false">B228+C228</f>
        <v>0</v>
      </c>
      <c r="E228" s="126" t="n">
        <f aca="false">IF(Y228=0,0,IF(AND(Y228=1,$H$3=1),D228*T228,IF($H$3=2,D228,"N/A")))</f>
        <v>0</v>
      </c>
      <c r="F228" s="126" t="n">
        <f aca="false">E228*X228</f>
        <v>0</v>
      </c>
      <c r="G228" s="142" t="n">
        <f aca="false">VLOOKUP($A228,Table,MATCH(G$4,Curves,0))</f>
        <v>3.987</v>
      </c>
      <c r="H228" s="143" t="n">
        <f aca="false">G228</f>
        <v>3.987</v>
      </c>
      <c r="I228" s="142" t="n">
        <f aca="false">VLOOKUP($A228,Table1,MATCH(I$3,Curves1,0))</f>
        <v>0</v>
      </c>
      <c r="J228" s="142" t="n">
        <f aca="false">VLOOKUP($A228,Table,MATCH(J$4,Curves,0))</f>
        <v>-0.0235</v>
      </c>
      <c r="K228" s="143" t="n">
        <f aca="false">J228</f>
        <v>-0.0235</v>
      </c>
      <c r="L228" s="144" t="n">
        <v>0</v>
      </c>
      <c r="M228" s="142" t="n">
        <f aca="false">VLOOKUP($A228,Table,MATCH(M$4,Curves,0))</f>
        <v>0.0075</v>
      </c>
      <c r="N228" s="143" t="n">
        <f aca="false">M228</f>
        <v>0.0075</v>
      </c>
      <c r="O228" s="144" t="n">
        <v>0</v>
      </c>
      <c r="P228" s="145"/>
      <c r="Q228" s="144" t="n">
        <f aca="false">M228+J228+G228</f>
        <v>3.971</v>
      </c>
      <c r="R228" s="144" t="n">
        <f aca="false">O228+L228+I228</f>
        <v>0</v>
      </c>
      <c r="S228" s="145"/>
      <c r="T228" s="71" t="n">
        <f aca="false">A229-A228</f>
        <v>30</v>
      </c>
      <c r="U228" s="146" t="n">
        <f aca="false">CHOOSE(F$3,A229+24,A228)</f>
        <v>43671</v>
      </c>
      <c r="V228" s="71" t="n">
        <f aca="false">U228-C$3</f>
        <v>6783</v>
      </c>
      <c r="W228" s="142" t="n">
        <f aca="false">VLOOKUP($A228,Table,MATCH(W$4,Curves,0))</f>
        <v>0.058966861357273</v>
      </c>
      <c r="X228" s="147" t="n">
        <f aca="false">1/(1+CHOOSE(F$3,(W229+($K$3/10000))/2,(W228+($K$3/10000))/2))^(2*V228/365.25)</f>
        <v>0.339856577358033</v>
      </c>
      <c r="Y228" s="71" t="n">
        <f aca="false">IF(AND(mthbeg&lt;=A228,mthend&gt;=A228),1,0)</f>
        <v>0</v>
      </c>
      <c r="Z228" s="71" t="n">
        <f aca="false">T228*Y228</f>
        <v>0</v>
      </c>
      <c r="AB228" s="132" t="n">
        <f aca="false">F228*G228</f>
        <v>0</v>
      </c>
      <c r="AC228" s="132" t="n">
        <f aca="false">$F228*H228</f>
        <v>0</v>
      </c>
      <c r="AD228" s="132" t="n">
        <f aca="false">$F228*I228</f>
        <v>0</v>
      </c>
      <c r="AE228" s="132" t="n">
        <f aca="false">$F228*J228</f>
        <v>-0</v>
      </c>
      <c r="AF228" s="132" t="n">
        <f aca="false">$F228*K228</f>
        <v>-0</v>
      </c>
      <c r="AG228" s="132" t="n">
        <f aca="false">$F228*L228</f>
        <v>0</v>
      </c>
      <c r="AH228" s="132" t="n">
        <f aca="false">$F228*M228</f>
        <v>0</v>
      </c>
      <c r="AI228" s="132" t="n">
        <f aca="false">$F228*N228</f>
        <v>0</v>
      </c>
      <c r="AJ228" s="132" t="n">
        <f aca="false">F228*O228</f>
        <v>0</v>
      </c>
      <c r="AK228" s="137"/>
      <c r="AL228" s="132" t="n">
        <f aca="false">CHOOSE($G$3,AC228-AD228,AD228-AC228)</f>
        <v>0</v>
      </c>
      <c r="AM228" s="132" t="n">
        <f aca="false">CHOOSE($G$3,AF228-AG228,AG228-AF228)</f>
        <v>0</v>
      </c>
      <c r="AN228" s="132" t="n">
        <f aca="false">CHOOSE($G$3,AI228-AJ228,AJ228-AI228)</f>
        <v>0</v>
      </c>
      <c r="AO228" s="148" t="n">
        <f aca="false">SUM(AL228:AN228)</f>
        <v>0</v>
      </c>
      <c r="AQ228" s="132" t="n">
        <f aca="false">CHOOSE($G$3,AB228-AC228,AC228-AB228)</f>
        <v>0</v>
      </c>
      <c r="AR228" s="132" t="n">
        <f aca="false">CHOOSE($G$3,AE228-AF228,AF228-AE228)</f>
        <v>0</v>
      </c>
      <c r="AS228" s="132" t="n">
        <f aca="false">CHOOSE($G$3,AH228-AI228,AI228-AH228)</f>
        <v>0</v>
      </c>
      <c r="AT228" s="148" t="n">
        <f aca="false">AQ228+AR228+AS228</f>
        <v>0</v>
      </c>
      <c r="AU228" s="148"/>
      <c r="AV228" s="133" t="n">
        <f aca="false">AT228+AO228</f>
        <v>0</v>
      </c>
      <c r="AX228" s="133" t="n">
        <f aca="false">AJ228+AG228+AD228</f>
        <v>0</v>
      </c>
      <c r="AY228" s="149"/>
      <c r="AZ228" s="76" t="n">
        <f aca="false">R228*E228</f>
        <v>0</v>
      </c>
    </row>
    <row r="229" customFormat="false" ht="12" hidden="false" customHeight="true" outlineLevel="0" collapsed="false">
      <c r="A229" s="138" t="n">
        <f aca="false">EDATE(A228,1)</f>
        <v>43647</v>
      </c>
      <c r="B229" s="139" t="n">
        <f aca="false">VLOOKUP($A229,Table2,MATCH(I$3,Curves2,0))</f>
        <v>0</v>
      </c>
      <c r="C229" s="140"/>
      <c r="D229" s="141" t="n">
        <f aca="false">B229+C229</f>
        <v>0</v>
      </c>
      <c r="E229" s="126" t="n">
        <f aca="false">IF(Y229=0,0,IF(AND(Y229=1,$H$3=1),D229*T229,IF($H$3=2,D229,"N/A")))</f>
        <v>0</v>
      </c>
      <c r="F229" s="126" t="n">
        <f aca="false">E229*X229</f>
        <v>0</v>
      </c>
      <c r="G229" s="142" t="n">
        <f aca="false">VLOOKUP($A229,Table,MATCH(G$4,Curves,0))</f>
        <v>3.987</v>
      </c>
      <c r="H229" s="143" t="n">
        <f aca="false">G229</f>
        <v>3.987</v>
      </c>
      <c r="I229" s="142" t="n">
        <f aca="false">VLOOKUP($A229,Table1,MATCH(I$3,Curves1,0))</f>
        <v>0</v>
      </c>
      <c r="J229" s="142" t="n">
        <f aca="false">VLOOKUP($A229,Table,MATCH(J$4,Curves,0))</f>
        <v>-0.0235</v>
      </c>
      <c r="K229" s="143" t="n">
        <f aca="false">J229</f>
        <v>-0.0235</v>
      </c>
      <c r="L229" s="144" t="n">
        <v>0</v>
      </c>
      <c r="M229" s="142" t="n">
        <f aca="false">VLOOKUP($A229,Table,MATCH(M$4,Curves,0))</f>
        <v>0.0075</v>
      </c>
      <c r="N229" s="143" t="n">
        <f aca="false">M229</f>
        <v>0.0075</v>
      </c>
      <c r="O229" s="144" t="n">
        <v>0</v>
      </c>
      <c r="P229" s="145"/>
      <c r="Q229" s="144" t="n">
        <f aca="false">M229+J229+G229</f>
        <v>3.971</v>
      </c>
      <c r="R229" s="144" t="n">
        <f aca="false">O229+L229+I229</f>
        <v>0</v>
      </c>
      <c r="S229" s="145"/>
      <c r="T229" s="71" t="n">
        <f aca="false">A230-A229</f>
        <v>31</v>
      </c>
      <c r="U229" s="146" t="n">
        <f aca="false">CHOOSE(F$3,A230+24,A229)</f>
        <v>43702</v>
      </c>
      <c r="V229" s="71" t="n">
        <f aca="false">U229-C$3</f>
        <v>6814</v>
      </c>
      <c r="W229" s="142" t="n">
        <f aca="false">VLOOKUP($A229,Table,MATCH(W$4,Curves,0))</f>
        <v>0.058966861357273</v>
      </c>
      <c r="X229" s="147" t="n">
        <f aca="false">1/(1+CHOOSE(F$3,(W230+($K$3/10000))/2,(W229+($K$3/10000))/2))^(2*V229/365.25)</f>
        <v>0.338184410566547</v>
      </c>
      <c r="Y229" s="71" t="n">
        <f aca="false">IF(AND(mthbeg&lt;=A229,mthend&gt;=A229),1,0)</f>
        <v>0</v>
      </c>
      <c r="Z229" s="71" t="n">
        <f aca="false">T229*Y229</f>
        <v>0</v>
      </c>
      <c r="AB229" s="132" t="n">
        <f aca="false">F229*G229</f>
        <v>0</v>
      </c>
      <c r="AC229" s="132" t="n">
        <f aca="false">$F229*H229</f>
        <v>0</v>
      </c>
      <c r="AD229" s="132" t="n">
        <f aca="false">$F229*I229</f>
        <v>0</v>
      </c>
      <c r="AE229" s="132" t="n">
        <f aca="false">$F229*J229</f>
        <v>-0</v>
      </c>
      <c r="AF229" s="132" t="n">
        <f aca="false">$F229*K229</f>
        <v>-0</v>
      </c>
      <c r="AG229" s="132" t="n">
        <f aca="false">$F229*L229</f>
        <v>0</v>
      </c>
      <c r="AH229" s="132" t="n">
        <f aca="false">$F229*M229</f>
        <v>0</v>
      </c>
      <c r="AI229" s="132" t="n">
        <f aca="false">$F229*N229</f>
        <v>0</v>
      </c>
      <c r="AJ229" s="132" t="n">
        <f aca="false">F229*O229</f>
        <v>0</v>
      </c>
      <c r="AK229" s="137"/>
      <c r="AL229" s="132" t="n">
        <f aca="false">CHOOSE($G$3,AC229-AD229,AD229-AC229)</f>
        <v>0</v>
      </c>
      <c r="AM229" s="132" t="n">
        <f aca="false">CHOOSE($G$3,AF229-AG229,AG229-AF229)</f>
        <v>0</v>
      </c>
      <c r="AN229" s="132" t="n">
        <f aca="false">CHOOSE($G$3,AI229-AJ229,AJ229-AI229)</f>
        <v>0</v>
      </c>
      <c r="AO229" s="148" t="n">
        <f aca="false">SUM(AL229:AN229)</f>
        <v>0</v>
      </c>
      <c r="AQ229" s="132" t="n">
        <f aca="false">CHOOSE($G$3,AB229-AC229,AC229-AB229)</f>
        <v>0</v>
      </c>
      <c r="AR229" s="132" t="n">
        <f aca="false">CHOOSE($G$3,AE229-AF229,AF229-AE229)</f>
        <v>0</v>
      </c>
      <c r="AS229" s="132" t="n">
        <f aca="false">CHOOSE($G$3,AH229-AI229,AI229-AH229)</f>
        <v>0</v>
      </c>
      <c r="AT229" s="148" t="n">
        <f aca="false">AQ229+AR229+AS229</f>
        <v>0</v>
      </c>
      <c r="AU229" s="148"/>
      <c r="AV229" s="133" t="n">
        <f aca="false">AT229+AO229</f>
        <v>0</v>
      </c>
      <c r="AX229" s="133" t="n">
        <f aca="false">AJ229+AG229+AD229</f>
        <v>0</v>
      </c>
      <c r="AY229" s="149"/>
      <c r="AZ229" s="76" t="n">
        <f aca="false">R229*E229</f>
        <v>0</v>
      </c>
    </row>
    <row r="230" customFormat="false" ht="12" hidden="false" customHeight="true" outlineLevel="0" collapsed="false">
      <c r="A230" s="138" t="n">
        <f aca="false">EDATE(A229,1)</f>
        <v>43678</v>
      </c>
      <c r="B230" s="139" t="n">
        <f aca="false">VLOOKUP($A230,Table2,MATCH(I$3,Curves2,0))</f>
        <v>0</v>
      </c>
      <c r="C230" s="140"/>
      <c r="D230" s="141" t="n">
        <f aca="false">B230+C230</f>
        <v>0</v>
      </c>
      <c r="E230" s="126" t="n">
        <f aca="false">IF(Y230=0,0,IF(AND(Y230=1,$H$3=1),D230*T230,IF($H$3=2,D230,"N/A")))</f>
        <v>0</v>
      </c>
      <c r="F230" s="126" t="n">
        <f aca="false">E230*X230</f>
        <v>0</v>
      </c>
      <c r="G230" s="142" t="n">
        <f aca="false">VLOOKUP($A230,Table,MATCH(G$4,Curves,0))</f>
        <v>3.987</v>
      </c>
      <c r="H230" s="143" t="n">
        <f aca="false">G230</f>
        <v>3.987</v>
      </c>
      <c r="I230" s="142" t="n">
        <f aca="false">VLOOKUP($A230,Table1,MATCH(I$3,Curves1,0))</f>
        <v>0</v>
      </c>
      <c r="J230" s="142" t="n">
        <f aca="false">VLOOKUP($A230,Table,MATCH(J$4,Curves,0))</f>
        <v>-0.0235</v>
      </c>
      <c r="K230" s="143" t="n">
        <f aca="false">J230</f>
        <v>-0.0235</v>
      </c>
      <c r="L230" s="144" t="n">
        <v>0</v>
      </c>
      <c r="M230" s="142" t="n">
        <f aca="false">VLOOKUP($A230,Table,MATCH(M$4,Curves,0))</f>
        <v>0.0075</v>
      </c>
      <c r="N230" s="143" t="n">
        <f aca="false">M230</f>
        <v>0.0075</v>
      </c>
      <c r="O230" s="144" t="n">
        <v>0</v>
      </c>
      <c r="P230" s="145"/>
      <c r="Q230" s="144" t="n">
        <f aca="false">M230+J230+G230</f>
        <v>3.971</v>
      </c>
      <c r="R230" s="144" t="n">
        <f aca="false">O230+L230+I230</f>
        <v>0</v>
      </c>
      <c r="S230" s="145"/>
      <c r="T230" s="71" t="n">
        <f aca="false">A231-A230</f>
        <v>31</v>
      </c>
      <c r="U230" s="146" t="n">
        <f aca="false">CHOOSE(F$3,A231+24,A230)</f>
        <v>43733</v>
      </c>
      <c r="V230" s="71" t="n">
        <f aca="false">U230-C$3</f>
        <v>6845</v>
      </c>
      <c r="W230" s="142" t="n">
        <f aca="false">VLOOKUP($A230,Table,MATCH(W$4,Curves,0))</f>
        <v>0.058966861357273</v>
      </c>
      <c r="X230" s="147" t="n">
        <f aca="false">1/(1+CHOOSE(F$3,(W231+($K$3/10000))/2,(W230+($K$3/10000))/2))^(2*V230/365.25)</f>
        <v>0.336520471192051</v>
      </c>
      <c r="Y230" s="71" t="n">
        <f aca="false">IF(AND(mthbeg&lt;=A230,mthend&gt;=A230),1,0)</f>
        <v>0</v>
      </c>
      <c r="Z230" s="71" t="n">
        <f aca="false">T230*Y230</f>
        <v>0</v>
      </c>
      <c r="AB230" s="132" t="n">
        <f aca="false">F230*G230</f>
        <v>0</v>
      </c>
      <c r="AC230" s="132" t="n">
        <f aca="false">$F230*H230</f>
        <v>0</v>
      </c>
      <c r="AD230" s="132" t="n">
        <f aca="false">$F230*I230</f>
        <v>0</v>
      </c>
      <c r="AE230" s="132" t="n">
        <f aca="false">$F230*J230</f>
        <v>-0</v>
      </c>
      <c r="AF230" s="132" t="n">
        <f aca="false">$F230*K230</f>
        <v>-0</v>
      </c>
      <c r="AG230" s="132" t="n">
        <f aca="false">$F230*L230</f>
        <v>0</v>
      </c>
      <c r="AH230" s="132" t="n">
        <f aca="false">$F230*M230</f>
        <v>0</v>
      </c>
      <c r="AI230" s="132" t="n">
        <f aca="false">$F230*N230</f>
        <v>0</v>
      </c>
      <c r="AJ230" s="132" t="n">
        <f aca="false">F230*O230</f>
        <v>0</v>
      </c>
      <c r="AK230" s="137"/>
      <c r="AL230" s="132" t="n">
        <f aca="false">CHOOSE($G$3,AC230-AD230,AD230-AC230)</f>
        <v>0</v>
      </c>
      <c r="AM230" s="132" t="n">
        <f aca="false">CHOOSE($G$3,AF230-AG230,AG230-AF230)</f>
        <v>0</v>
      </c>
      <c r="AN230" s="132" t="n">
        <f aca="false">CHOOSE($G$3,AI230-AJ230,AJ230-AI230)</f>
        <v>0</v>
      </c>
      <c r="AO230" s="148" t="n">
        <f aca="false">SUM(AL230:AN230)</f>
        <v>0</v>
      </c>
      <c r="AQ230" s="132" t="n">
        <f aca="false">CHOOSE($G$3,AB230-AC230,AC230-AB230)</f>
        <v>0</v>
      </c>
      <c r="AR230" s="132" t="n">
        <f aca="false">CHOOSE($G$3,AE230-AF230,AF230-AE230)</f>
        <v>0</v>
      </c>
      <c r="AS230" s="132" t="n">
        <f aca="false">CHOOSE($G$3,AH230-AI230,AI230-AH230)</f>
        <v>0</v>
      </c>
      <c r="AT230" s="148" t="n">
        <f aca="false">AQ230+AR230+AS230</f>
        <v>0</v>
      </c>
      <c r="AU230" s="148"/>
      <c r="AV230" s="133" t="n">
        <f aca="false">AT230+AO230</f>
        <v>0</v>
      </c>
      <c r="AX230" s="133" t="n">
        <f aca="false">AJ230+AG230+AD230</f>
        <v>0</v>
      </c>
      <c r="AY230" s="149"/>
      <c r="AZ230" s="76" t="n">
        <f aca="false">R230*E230</f>
        <v>0</v>
      </c>
    </row>
    <row r="231" customFormat="false" ht="12" hidden="false" customHeight="true" outlineLevel="0" collapsed="false">
      <c r="A231" s="138" t="n">
        <f aca="false">EDATE(A230,1)</f>
        <v>43709</v>
      </c>
      <c r="B231" s="139" t="n">
        <f aca="false">VLOOKUP($A231,Table2,MATCH(I$3,Curves2,0))</f>
        <v>0</v>
      </c>
      <c r="C231" s="140"/>
      <c r="D231" s="141" t="n">
        <f aca="false">B231+C231</f>
        <v>0</v>
      </c>
      <c r="E231" s="126" t="n">
        <f aca="false">IF(Y231=0,0,IF(AND(Y231=1,$H$3=1),D231*T231,IF($H$3=2,D231,"N/A")))</f>
        <v>0</v>
      </c>
      <c r="F231" s="126" t="n">
        <f aca="false">E231*X231</f>
        <v>0</v>
      </c>
      <c r="G231" s="142" t="n">
        <f aca="false">VLOOKUP($A231,Table,MATCH(G$4,Curves,0))</f>
        <v>3.987</v>
      </c>
      <c r="H231" s="143" t="n">
        <f aca="false">G231</f>
        <v>3.987</v>
      </c>
      <c r="I231" s="142" t="n">
        <f aca="false">VLOOKUP($A231,Table1,MATCH(I$3,Curves1,0))</f>
        <v>0</v>
      </c>
      <c r="J231" s="142" t="n">
        <f aca="false">VLOOKUP($A231,Table,MATCH(J$4,Curves,0))</f>
        <v>-0.0235</v>
      </c>
      <c r="K231" s="143" t="n">
        <f aca="false">J231</f>
        <v>-0.0235</v>
      </c>
      <c r="L231" s="144" t="n">
        <v>0</v>
      </c>
      <c r="M231" s="142" t="n">
        <f aca="false">VLOOKUP($A231,Table,MATCH(M$4,Curves,0))</f>
        <v>0.0075</v>
      </c>
      <c r="N231" s="143" t="n">
        <f aca="false">M231</f>
        <v>0.0075</v>
      </c>
      <c r="O231" s="144" t="n">
        <v>0</v>
      </c>
      <c r="P231" s="145"/>
      <c r="Q231" s="144" t="n">
        <f aca="false">M231+J231+G231</f>
        <v>3.971</v>
      </c>
      <c r="R231" s="144" t="n">
        <f aca="false">O231+L231+I231</f>
        <v>0</v>
      </c>
      <c r="S231" s="145"/>
      <c r="T231" s="71" t="n">
        <f aca="false">A232-A231</f>
        <v>30</v>
      </c>
      <c r="U231" s="146" t="n">
        <f aca="false">CHOOSE(F$3,A232+24,A231)</f>
        <v>43763</v>
      </c>
      <c r="V231" s="71" t="n">
        <f aca="false">U231-C$3</f>
        <v>6875</v>
      </c>
      <c r="W231" s="142" t="n">
        <f aca="false">VLOOKUP($A231,Table,MATCH(W$4,Curves,0))</f>
        <v>0.058966861357273</v>
      </c>
      <c r="X231" s="147" t="n">
        <f aca="false">1/(1+CHOOSE(F$3,(W232+($K$3/10000))/2,(W231+($K$3/10000))/2))^(2*V231/365.25)</f>
        <v>0.33491800274803</v>
      </c>
      <c r="Y231" s="71" t="n">
        <f aca="false">IF(AND(mthbeg&lt;=A231,mthend&gt;=A231),1,0)</f>
        <v>0</v>
      </c>
      <c r="Z231" s="71" t="n">
        <f aca="false">T231*Y231</f>
        <v>0</v>
      </c>
      <c r="AB231" s="132" t="n">
        <f aca="false">F231*G231</f>
        <v>0</v>
      </c>
      <c r="AC231" s="132" t="n">
        <f aca="false">$F231*H231</f>
        <v>0</v>
      </c>
      <c r="AD231" s="132" t="n">
        <f aca="false">$F231*I231</f>
        <v>0</v>
      </c>
      <c r="AE231" s="132" t="n">
        <f aca="false">$F231*J231</f>
        <v>-0</v>
      </c>
      <c r="AF231" s="132" t="n">
        <f aca="false">$F231*K231</f>
        <v>-0</v>
      </c>
      <c r="AG231" s="132" t="n">
        <f aca="false">$F231*L231</f>
        <v>0</v>
      </c>
      <c r="AH231" s="132" t="n">
        <f aca="false">$F231*M231</f>
        <v>0</v>
      </c>
      <c r="AI231" s="132" t="n">
        <f aca="false">$F231*N231</f>
        <v>0</v>
      </c>
      <c r="AJ231" s="132" t="n">
        <f aca="false">F231*O231</f>
        <v>0</v>
      </c>
      <c r="AK231" s="137"/>
      <c r="AL231" s="132" t="n">
        <f aca="false">CHOOSE($G$3,AC231-AD231,AD231-AC231)</f>
        <v>0</v>
      </c>
      <c r="AM231" s="132" t="n">
        <f aca="false">CHOOSE($G$3,AF231-AG231,AG231-AF231)</f>
        <v>0</v>
      </c>
      <c r="AN231" s="132" t="n">
        <f aca="false">CHOOSE($G$3,AI231-AJ231,AJ231-AI231)</f>
        <v>0</v>
      </c>
      <c r="AO231" s="148" t="n">
        <f aca="false">SUM(AL231:AN231)</f>
        <v>0</v>
      </c>
      <c r="AQ231" s="132" t="n">
        <f aca="false">CHOOSE($G$3,AB231-AC231,AC231-AB231)</f>
        <v>0</v>
      </c>
      <c r="AR231" s="132" t="n">
        <f aca="false">CHOOSE($G$3,AE231-AF231,AF231-AE231)</f>
        <v>0</v>
      </c>
      <c r="AS231" s="132" t="n">
        <f aca="false">CHOOSE($G$3,AH231-AI231,AI231-AH231)</f>
        <v>0</v>
      </c>
      <c r="AT231" s="148" t="n">
        <f aca="false">AQ231+AR231+AS231</f>
        <v>0</v>
      </c>
      <c r="AU231" s="148"/>
      <c r="AV231" s="133" t="n">
        <f aca="false">AT231+AO231</f>
        <v>0</v>
      </c>
      <c r="AX231" s="133" t="n">
        <f aca="false">AJ231+AG231+AD231</f>
        <v>0</v>
      </c>
      <c r="AY231" s="149"/>
      <c r="AZ231" s="76" t="n">
        <f aca="false">R231*E231</f>
        <v>0</v>
      </c>
    </row>
    <row r="232" customFormat="false" ht="12" hidden="false" customHeight="true" outlineLevel="0" collapsed="false">
      <c r="A232" s="138" t="n">
        <f aca="false">EDATE(A231,1)</f>
        <v>43739</v>
      </c>
      <c r="B232" s="139" t="n">
        <f aca="false">VLOOKUP($A232,Table2,MATCH(I$3,Curves2,0))</f>
        <v>0</v>
      </c>
      <c r="C232" s="140"/>
      <c r="D232" s="141" t="n">
        <f aca="false">B232+C232</f>
        <v>0</v>
      </c>
      <c r="E232" s="126" t="n">
        <f aca="false">IF(Y232=0,0,IF(AND(Y232=1,$H$3=1),D232*T232,IF($H$3=2,D232,"N/A")))</f>
        <v>0</v>
      </c>
      <c r="F232" s="126" t="n">
        <f aca="false">E232*X232</f>
        <v>0</v>
      </c>
      <c r="G232" s="142" t="n">
        <f aca="false">VLOOKUP($A232,Table,MATCH(G$4,Curves,0))</f>
        <v>3.987</v>
      </c>
      <c r="H232" s="143" t="n">
        <f aca="false">G232</f>
        <v>3.987</v>
      </c>
      <c r="I232" s="142" t="n">
        <f aca="false">VLOOKUP($A232,Table1,MATCH(I$3,Curves1,0))</f>
        <v>0</v>
      </c>
      <c r="J232" s="142" t="n">
        <f aca="false">VLOOKUP($A232,Table,MATCH(J$4,Curves,0))</f>
        <v>-0.0235</v>
      </c>
      <c r="K232" s="143" t="n">
        <f aca="false">J232</f>
        <v>-0.0235</v>
      </c>
      <c r="L232" s="144" t="n">
        <v>0</v>
      </c>
      <c r="M232" s="142" t="n">
        <f aca="false">VLOOKUP($A232,Table,MATCH(M$4,Curves,0))</f>
        <v>0.0075</v>
      </c>
      <c r="N232" s="143" t="n">
        <f aca="false">M232</f>
        <v>0.0075</v>
      </c>
      <c r="O232" s="144" t="n">
        <v>0</v>
      </c>
      <c r="P232" s="145"/>
      <c r="Q232" s="144" t="n">
        <f aca="false">M232+J232+G232</f>
        <v>3.971</v>
      </c>
      <c r="R232" s="144" t="n">
        <f aca="false">O232+L232+I232</f>
        <v>0</v>
      </c>
      <c r="S232" s="145"/>
      <c r="T232" s="71" t="n">
        <f aca="false">A233-A232</f>
        <v>31</v>
      </c>
      <c r="U232" s="146" t="n">
        <f aca="false">CHOOSE(F$3,A233+24,A232)</f>
        <v>43794</v>
      </c>
      <c r="V232" s="71" t="n">
        <f aca="false">U232-C$3</f>
        <v>6906</v>
      </c>
      <c r="W232" s="142" t="n">
        <f aca="false">VLOOKUP($A232,Table,MATCH(W$4,Curves,0))</f>
        <v>0.058966861357273</v>
      </c>
      <c r="X232" s="147" t="n">
        <f aca="false">1/(1+CHOOSE(F$3,(W233+($K$3/10000))/2,(W232+($K$3/10000))/2))^(2*V232/365.25)</f>
        <v>0.333270134796143</v>
      </c>
      <c r="Y232" s="71" t="n">
        <f aca="false">IF(AND(mthbeg&lt;=A232,mthend&gt;=A232),1,0)</f>
        <v>0</v>
      </c>
      <c r="Z232" s="71" t="n">
        <f aca="false">T232*Y232</f>
        <v>0</v>
      </c>
      <c r="AB232" s="132" t="n">
        <f aca="false">F232*G232</f>
        <v>0</v>
      </c>
      <c r="AC232" s="132" t="n">
        <f aca="false">$F232*H232</f>
        <v>0</v>
      </c>
      <c r="AD232" s="132" t="n">
        <f aca="false">$F232*I232</f>
        <v>0</v>
      </c>
      <c r="AE232" s="132" t="n">
        <f aca="false">$F232*J232</f>
        <v>-0</v>
      </c>
      <c r="AF232" s="132" t="n">
        <f aca="false">$F232*K232</f>
        <v>-0</v>
      </c>
      <c r="AG232" s="132" t="n">
        <f aca="false">$F232*L232</f>
        <v>0</v>
      </c>
      <c r="AH232" s="132" t="n">
        <f aca="false">$F232*M232</f>
        <v>0</v>
      </c>
      <c r="AI232" s="132" t="n">
        <f aca="false">$F232*N232</f>
        <v>0</v>
      </c>
      <c r="AJ232" s="132" t="n">
        <f aca="false">F232*O232</f>
        <v>0</v>
      </c>
      <c r="AK232" s="137"/>
      <c r="AL232" s="132" t="n">
        <f aca="false">CHOOSE($G$3,AC232-AD232,AD232-AC232)</f>
        <v>0</v>
      </c>
      <c r="AM232" s="132" t="n">
        <f aca="false">CHOOSE($G$3,AF232-AG232,AG232-AF232)</f>
        <v>0</v>
      </c>
      <c r="AN232" s="132" t="n">
        <f aca="false">CHOOSE($G$3,AI232-AJ232,AJ232-AI232)</f>
        <v>0</v>
      </c>
      <c r="AO232" s="148" t="n">
        <f aca="false">SUM(AL232:AN232)</f>
        <v>0</v>
      </c>
      <c r="AQ232" s="132" t="n">
        <f aca="false">CHOOSE($G$3,AB232-AC232,AC232-AB232)</f>
        <v>0</v>
      </c>
      <c r="AR232" s="132" t="n">
        <f aca="false">CHOOSE($G$3,AE232-AF232,AF232-AE232)</f>
        <v>0</v>
      </c>
      <c r="AS232" s="132" t="n">
        <f aca="false">CHOOSE($G$3,AH232-AI232,AI232-AH232)</f>
        <v>0</v>
      </c>
      <c r="AT232" s="148" t="n">
        <f aca="false">AQ232+AR232+AS232</f>
        <v>0</v>
      </c>
      <c r="AU232" s="148"/>
      <c r="AV232" s="133" t="n">
        <f aca="false">AT232+AO232</f>
        <v>0</v>
      </c>
      <c r="AX232" s="133" t="n">
        <f aca="false">AJ232+AG232+AD232</f>
        <v>0</v>
      </c>
      <c r="AY232" s="149"/>
      <c r="AZ232" s="76" t="n">
        <f aca="false">R232*E232</f>
        <v>0</v>
      </c>
    </row>
    <row r="233" customFormat="false" ht="12" hidden="false" customHeight="true" outlineLevel="0" collapsed="false">
      <c r="A233" s="138" t="n">
        <f aca="false">EDATE(A232,1)</f>
        <v>43770</v>
      </c>
      <c r="B233" s="139" t="n">
        <f aca="false">VLOOKUP($A233,Table2,MATCH(I$3,Curves2,0))</f>
        <v>0</v>
      </c>
      <c r="C233" s="140"/>
      <c r="D233" s="141" t="n">
        <f aca="false">B233+C233</f>
        <v>0</v>
      </c>
      <c r="E233" s="126" t="n">
        <f aca="false">IF(Y233=0,0,IF(AND(Y233=1,$H$3=1),D233*T233,IF($H$3=2,D233,"N/A")))</f>
        <v>0</v>
      </c>
      <c r="F233" s="126" t="n">
        <f aca="false">E233*X233</f>
        <v>0</v>
      </c>
      <c r="G233" s="142" t="n">
        <f aca="false">VLOOKUP($A233,Table,MATCH(G$4,Curves,0))</f>
        <v>3.987</v>
      </c>
      <c r="H233" s="143" t="n">
        <f aca="false">G233</f>
        <v>3.987</v>
      </c>
      <c r="I233" s="142" t="n">
        <f aca="false">VLOOKUP($A233,Table1,MATCH(I$3,Curves1,0))</f>
        <v>0</v>
      </c>
      <c r="J233" s="142" t="n">
        <f aca="false">VLOOKUP($A233,Table,MATCH(J$4,Curves,0))</f>
        <v>-0.0235</v>
      </c>
      <c r="K233" s="143" t="n">
        <f aca="false">J233</f>
        <v>-0.0235</v>
      </c>
      <c r="L233" s="144" t="n">
        <v>0</v>
      </c>
      <c r="M233" s="142" t="n">
        <f aca="false">VLOOKUP($A233,Table,MATCH(M$4,Curves,0))</f>
        <v>0.0075</v>
      </c>
      <c r="N233" s="143" t="n">
        <f aca="false">M233</f>
        <v>0.0075</v>
      </c>
      <c r="O233" s="144" t="n">
        <v>0</v>
      </c>
      <c r="P233" s="145"/>
      <c r="Q233" s="144" t="n">
        <f aca="false">M233+J233+G233</f>
        <v>3.971</v>
      </c>
      <c r="R233" s="144" t="n">
        <f aca="false">O233+L233+I233</f>
        <v>0</v>
      </c>
      <c r="S233" s="145"/>
      <c r="T233" s="71" t="n">
        <f aca="false">A234-A233</f>
        <v>30</v>
      </c>
      <c r="U233" s="146" t="n">
        <f aca="false">CHOOSE(F$3,A234+24,A233)</f>
        <v>43824</v>
      </c>
      <c r="V233" s="71" t="n">
        <f aca="false">U233-C$3</f>
        <v>6936</v>
      </c>
      <c r="W233" s="142" t="n">
        <f aca="false">VLOOKUP($A233,Table,MATCH(W$4,Curves,0))</f>
        <v>0.058966861357273</v>
      </c>
      <c r="X233" s="147" t="n">
        <f aca="false">1/(1+CHOOSE(F$3,(W234+($K$3/10000))/2,(W233+($K$3/10000))/2))^(2*V233/365.25)</f>
        <v>0.331683144047991</v>
      </c>
      <c r="Y233" s="71" t="n">
        <f aca="false">IF(AND(mthbeg&lt;=A233,mthend&gt;=A233),1,0)</f>
        <v>0</v>
      </c>
      <c r="Z233" s="71" t="n">
        <f aca="false">T233*Y233</f>
        <v>0</v>
      </c>
      <c r="AB233" s="132" t="n">
        <f aca="false">F233*G233</f>
        <v>0</v>
      </c>
      <c r="AC233" s="132" t="n">
        <f aca="false">$F233*H233</f>
        <v>0</v>
      </c>
      <c r="AD233" s="132" t="n">
        <f aca="false">$F233*I233</f>
        <v>0</v>
      </c>
      <c r="AE233" s="132" t="n">
        <f aca="false">$F233*J233</f>
        <v>-0</v>
      </c>
      <c r="AF233" s="132" t="n">
        <f aca="false">$F233*K233</f>
        <v>-0</v>
      </c>
      <c r="AG233" s="132" t="n">
        <f aca="false">$F233*L233</f>
        <v>0</v>
      </c>
      <c r="AH233" s="132" t="n">
        <f aca="false">$F233*M233</f>
        <v>0</v>
      </c>
      <c r="AI233" s="132" t="n">
        <f aca="false">$F233*N233</f>
        <v>0</v>
      </c>
      <c r="AJ233" s="132" t="n">
        <f aca="false">F233*O233</f>
        <v>0</v>
      </c>
      <c r="AK233" s="137"/>
      <c r="AL233" s="132" t="n">
        <f aca="false">CHOOSE($G$3,AC233-AD233,AD233-AC233)</f>
        <v>0</v>
      </c>
      <c r="AM233" s="132" t="n">
        <f aca="false">CHOOSE($G$3,AF233-AG233,AG233-AF233)</f>
        <v>0</v>
      </c>
      <c r="AN233" s="132" t="n">
        <f aca="false">CHOOSE($G$3,AI233-AJ233,AJ233-AI233)</f>
        <v>0</v>
      </c>
      <c r="AO233" s="148" t="n">
        <f aca="false">SUM(AL233:AN233)</f>
        <v>0</v>
      </c>
      <c r="AQ233" s="132" t="n">
        <f aca="false">CHOOSE($G$3,AB233-AC233,AC233-AB233)</f>
        <v>0</v>
      </c>
      <c r="AR233" s="132" t="n">
        <f aca="false">CHOOSE($G$3,AE233-AF233,AF233-AE233)</f>
        <v>0</v>
      </c>
      <c r="AS233" s="132" t="n">
        <f aca="false">CHOOSE($G$3,AH233-AI233,AI233-AH233)</f>
        <v>0</v>
      </c>
      <c r="AT233" s="148" t="n">
        <f aca="false">AQ233+AR233+AS233</f>
        <v>0</v>
      </c>
      <c r="AU233" s="148"/>
      <c r="AV233" s="133" t="n">
        <f aca="false">AT233+AO233</f>
        <v>0</v>
      </c>
      <c r="AX233" s="133" t="n">
        <f aca="false">AJ233+AG233+AD233</f>
        <v>0</v>
      </c>
      <c r="AY233" s="149"/>
      <c r="AZ233" s="76" t="n">
        <f aca="false">R233*E233</f>
        <v>0</v>
      </c>
    </row>
    <row r="234" customFormat="false" ht="12" hidden="false" customHeight="true" outlineLevel="0" collapsed="false">
      <c r="A234" s="138" t="n">
        <f aca="false">EDATE(A233,1)</f>
        <v>43800</v>
      </c>
      <c r="B234" s="139" t="n">
        <f aca="false">VLOOKUP($A234,Table2,MATCH(I$3,Curves2,0))</f>
        <v>0</v>
      </c>
      <c r="C234" s="140"/>
      <c r="D234" s="141" t="n">
        <f aca="false">B234+C234</f>
        <v>0</v>
      </c>
      <c r="E234" s="126" t="n">
        <f aca="false">IF(Y234=0,0,IF(AND(Y234=1,$H$3=1),D234*T234,IF($H$3=2,D234,"N/A")))</f>
        <v>0</v>
      </c>
      <c r="F234" s="126" t="n">
        <f aca="false">E234*X234</f>
        <v>0</v>
      </c>
      <c r="G234" s="142" t="n">
        <f aca="false">VLOOKUP($A234,Table,MATCH(G$4,Curves,0))</f>
        <v>3.987</v>
      </c>
      <c r="H234" s="143" t="n">
        <f aca="false">G234</f>
        <v>3.987</v>
      </c>
      <c r="I234" s="142" t="n">
        <f aca="false">VLOOKUP($A234,Table1,MATCH(I$3,Curves1,0))</f>
        <v>0</v>
      </c>
      <c r="J234" s="142" t="n">
        <f aca="false">VLOOKUP($A234,Table,MATCH(J$4,Curves,0))</f>
        <v>-0.0235</v>
      </c>
      <c r="K234" s="143" t="n">
        <f aca="false">J234</f>
        <v>-0.0235</v>
      </c>
      <c r="L234" s="144" t="n">
        <v>0</v>
      </c>
      <c r="M234" s="142" t="n">
        <f aca="false">VLOOKUP($A234,Table,MATCH(M$4,Curves,0))</f>
        <v>0.0075</v>
      </c>
      <c r="N234" s="143" t="n">
        <f aca="false">M234</f>
        <v>0.0075</v>
      </c>
      <c r="O234" s="144" t="n">
        <v>0</v>
      </c>
      <c r="P234" s="145"/>
      <c r="Q234" s="144" t="n">
        <f aca="false">M234+J234+G234</f>
        <v>3.971</v>
      </c>
      <c r="R234" s="144" t="n">
        <f aca="false">O234+L234+I234</f>
        <v>0</v>
      </c>
      <c r="S234" s="145"/>
      <c r="T234" s="71" t="n">
        <f aca="false">A235-A234</f>
        <v>31</v>
      </c>
      <c r="U234" s="146" t="n">
        <f aca="false">CHOOSE(F$3,A235+24,A234)</f>
        <v>43855</v>
      </c>
      <c r="V234" s="71" t="n">
        <f aca="false">U234-C$3</f>
        <v>6967</v>
      </c>
      <c r="W234" s="142" t="n">
        <f aca="false">VLOOKUP($A234,Table,MATCH(W$4,Curves,0))</f>
        <v>0.058966861357273</v>
      </c>
      <c r="X234" s="147" t="n">
        <f aca="false">1/(1+CHOOSE(F$3,(W235+($K$3/10000))/2,(W234+($K$3/10000))/2))^(2*V234/365.25)</f>
        <v>0.330051192290329</v>
      </c>
      <c r="Y234" s="71" t="n">
        <f aca="false">IF(AND(mthbeg&lt;=A234,mthend&gt;=A234),1,0)</f>
        <v>0</v>
      </c>
      <c r="Z234" s="71" t="n">
        <f aca="false">T234*Y234</f>
        <v>0</v>
      </c>
      <c r="AB234" s="132" t="n">
        <f aca="false">F234*G234</f>
        <v>0</v>
      </c>
      <c r="AC234" s="132" t="n">
        <f aca="false">$F234*H234</f>
        <v>0</v>
      </c>
      <c r="AD234" s="132" t="n">
        <f aca="false">$F234*I234</f>
        <v>0</v>
      </c>
      <c r="AE234" s="132" t="n">
        <f aca="false">$F234*J234</f>
        <v>-0</v>
      </c>
      <c r="AF234" s="132" t="n">
        <f aca="false">$F234*K234</f>
        <v>-0</v>
      </c>
      <c r="AG234" s="132" t="n">
        <f aca="false">$F234*L234</f>
        <v>0</v>
      </c>
      <c r="AH234" s="132" t="n">
        <f aca="false">$F234*M234</f>
        <v>0</v>
      </c>
      <c r="AI234" s="132" t="n">
        <f aca="false">$F234*N234</f>
        <v>0</v>
      </c>
      <c r="AJ234" s="132" t="n">
        <f aca="false">F234*O234</f>
        <v>0</v>
      </c>
      <c r="AK234" s="137"/>
      <c r="AL234" s="132" t="n">
        <f aca="false">CHOOSE($G$3,AC234-AD234,AD234-AC234)</f>
        <v>0</v>
      </c>
      <c r="AM234" s="132" t="n">
        <f aca="false">CHOOSE($G$3,AF234-AG234,AG234-AF234)</f>
        <v>0</v>
      </c>
      <c r="AN234" s="132" t="n">
        <f aca="false">CHOOSE($G$3,AI234-AJ234,AJ234-AI234)</f>
        <v>0</v>
      </c>
      <c r="AO234" s="148" t="n">
        <f aca="false">SUM(AL234:AN234)</f>
        <v>0</v>
      </c>
      <c r="AQ234" s="132" t="n">
        <f aca="false">CHOOSE($G$3,AB234-AC234,AC234-AB234)</f>
        <v>0</v>
      </c>
      <c r="AR234" s="132" t="n">
        <f aca="false">CHOOSE($G$3,AE234-AF234,AF234-AE234)</f>
        <v>0</v>
      </c>
      <c r="AS234" s="132" t="n">
        <f aca="false">CHOOSE($G$3,AH234-AI234,AI234-AH234)</f>
        <v>0</v>
      </c>
      <c r="AT234" s="148" t="n">
        <f aca="false">AQ234+AR234+AS234</f>
        <v>0</v>
      </c>
      <c r="AU234" s="148"/>
      <c r="AV234" s="133" t="n">
        <f aca="false">AT234+AO234</f>
        <v>0</v>
      </c>
      <c r="AX234" s="133" t="n">
        <f aca="false">AJ234+AG234+AD234</f>
        <v>0</v>
      </c>
      <c r="AY234" s="149"/>
      <c r="AZ234" s="76" t="n">
        <f aca="false">R234*E234</f>
        <v>0</v>
      </c>
    </row>
    <row r="235" customFormat="false" ht="12" hidden="false" customHeight="true" outlineLevel="0" collapsed="false">
      <c r="A235" s="138" t="n">
        <f aca="false">EDATE(A234,1)</f>
        <v>43831</v>
      </c>
      <c r="B235" s="139" t="n">
        <f aca="false">VLOOKUP($A235,Table2,MATCH(I$3,Curves2,0))</f>
        <v>0</v>
      </c>
      <c r="C235" s="140"/>
      <c r="D235" s="141" t="n">
        <f aca="false">B235+C235</f>
        <v>0</v>
      </c>
      <c r="E235" s="126" t="n">
        <f aca="false">IF(Y235=0,0,IF(AND(Y235=1,$H$3=1),D235*T235,IF($H$3=2,D235,"N/A")))</f>
        <v>0</v>
      </c>
      <c r="F235" s="126" t="n">
        <f aca="false">E235*X235</f>
        <v>0</v>
      </c>
      <c r="G235" s="142" t="n">
        <f aca="false">VLOOKUP($A235,Table,MATCH(G$4,Curves,0))</f>
        <v>3.987</v>
      </c>
      <c r="H235" s="143" t="n">
        <f aca="false">G235</f>
        <v>3.987</v>
      </c>
      <c r="I235" s="142" t="n">
        <f aca="false">VLOOKUP($A235,Table1,MATCH(I$3,Curves1,0))</f>
        <v>0</v>
      </c>
      <c r="J235" s="142" t="n">
        <f aca="false">VLOOKUP($A235,Table,MATCH(J$4,Curves,0))</f>
        <v>-0.0235</v>
      </c>
      <c r="K235" s="143" t="n">
        <f aca="false">J235</f>
        <v>-0.0235</v>
      </c>
      <c r="L235" s="144" t="n">
        <v>0</v>
      </c>
      <c r="M235" s="142" t="n">
        <f aca="false">VLOOKUP($A235,Table,MATCH(M$4,Curves,0))</f>
        <v>0.0075</v>
      </c>
      <c r="N235" s="143" t="n">
        <f aca="false">M235</f>
        <v>0.0075</v>
      </c>
      <c r="O235" s="144" t="n">
        <v>0</v>
      </c>
      <c r="P235" s="145"/>
      <c r="Q235" s="144" t="n">
        <f aca="false">M235+J235+G235</f>
        <v>3.971</v>
      </c>
      <c r="R235" s="144" t="n">
        <f aca="false">O235+L235+I235</f>
        <v>0</v>
      </c>
      <c r="S235" s="145"/>
      <c r="T235" s="71" t="n">
        <f aca="false">A236-A235</f>
        <v>31</v>
      </c>
      <c r="U235" s="146" t="n">
        <f aca="false">CHOOSE(F$3,A236+24,A235)</f>
        <v>43886</v>
      </c>
      <c r="V235" s="71" t="n">
        <f aca="false">U235-C$3</f>
        <v>6998</v>
      </c>
      <c r="W235" s="142" t="n">
        <f aca="false">VLOOKUP($A235,Table,MATCH(W$4,Curves,0))</f>
        <v>0.058966861357273</v>
      </c>
      <c r="X235" s="147" t="n">
        <f aca="false">1/(1+CHOOSE(F$3,(W236+($K$3/10000))/2,(W235+($K$3/10000))/2))^(2*V235/365.25)</f>
        <v>0.328427270083118</v>
      </c>
      <c r="Y235" s="71" t="n">
        <f aca="false">IF(AND(mthbeg&lt;=A235,mthend&gt;=A235),1,0)</f>
        <v>0</v>
      </c>
      <c r="Z235" s="71" t="n">
        <f aca="false">T235*Y235</f>
        <v>0</v>
      </c>
      <c r="AB235" s="132" t="n">
        <f aca="false">F235*G235</f>
        <v>0</v>
      </c>
      <c r="AC235" s="132" t="n">
        <f aca="false">$F235*H235</f>
        <v>0</v>
      </c>
      <c r="AD235" s="132" t="n">
        <f aca="false">$F235*I235</f>
        <v>0</v>
      </c>
      <c r="AE235" s="132" t="n">
        <f aca="false">$F235*J235</f>
        <v>-0</v>
      </c>
      <c r="AF235" s="132" t="n">
        <f aca="false">$F235*K235</f>
        <v>-0</v>
      </c>
      <c r="AG235" s="132" t="n">
        <f aca="false">$F235*L235</f>
        <v>0</v>
      </c>
      <c r="AH235" s="132" t="n">
        <f aca="false">$F235*M235</f>
        <v>0</v>
      </c>
      <c r="AI235" s="132" t="n">
        <f aca="false">$F235*N235</f>
        <v>0</v>
      </c>
      <c r="AJ235" s="132" t="n">
        <f aca="false">F235*O235</f>
        <v>0</v>
      </c>
      <c r="AK235" s="137"/>
      <c r="AL235" s="132" t="n">
        <f aca="false">CHOOSE($G$3,AC235-AD235,AD235-AC235)</f>
        <v>0</v>
      </c>
      <c r="AM235" s="132" t="n">
        <f aca="false">CHOOSE($G$3,AF235-AG235,AG235-AF235)</f>
        <v>0</v>
      </c>
      <c r="AN235" s="132" t="n">
        <f aca="false">CHOOSE($G$3,AI235-AJ235,AJ235-AI235)</f>
        <v>0</v>
      </c>
      <c r="AO235" s="148" t="n">
        <f aca="false">SUM(AL235:AN235)</f>
        <v>0</v>
      </c>
      <c r="AQ235" s="132" t="n">
        <f aca="false">CHOOSE($G$3,AB235-AC235,AC235-AB235)</f>
        <v>0</v>
      </c>
      <c r="AR235" s="132" t="n">
        <f aca="false">CHOOSE($G$3,AE235-AF235,AF235-AE235)</f>
        <v>0</v>
      </c>
      <c r="AS235" s="132" t="n">
        <f aca="false">CHOOSE($G$3,AH235-AI235,AI235-AH235)</f>
        <v>0</v>
      </c>
      <c r="AT235" s="148" t="n">
        <f aca="false">AQ235+AR235+AS235</f>
        <v>0</v>
      </c>
      <c r="AU235" s="148"/>
      <c r="AV235" s="133" t="n">
        <f aca="false">AT235+AO235</f>
        <v>0</v>
      </c>
      <c r="AX235" s="133" t="n">
        <f aca="false">AJ235+AG235+AD235</f>
        <v>0</v>
      </c>
      <c r="AY235" s="149"/>
      <c r="AZ235" s="76" t="n">
        <f aca="false">R235*E235</f>
        <v>0</v>
      </c>
    </row>
    <row r="236" customFormat="false" ht="12" hidden="false" customHeight="true" outlineLevel="0" collapsed="false">
      <c r="A236" s="138" t="n">
        <f aca="false">EDATE(A235,1)</f>
        <v>43862</v>
      </c>
      <c r="B236" s="139" t="n">
        <f aca="false">VLOOKUP($A236,Table2,MATCH(I$3,Curves2,0))</f>
        <v>0</v>
      </c>
      <c r="C236" s="140"/>
      <c r="D236" s="141" t="n">
        <f aca="false">B236+C236</f>
        <v>0</v>
      </c>
      <c r="E236" s="126" t="n">
        <f aca="false">IF(Y236=0,0,IF(AND(Y236=1,$H$3=1),D236*T236,IF($H$3=2,D236,"N/A")))</f>
        <v>0</v>
      </c>
      <c r="F236" s="126" t="n">
        <f aca="false">E236*X236</f>
        <v>0</v>
      </c>
      <c r="G236" s="142" t="n">
        <f aca="false">VLOOKUP($A236,Table,MATCH(G$4,Curves,0))</f>
        <v>3.987</v>
      </c>
      <c r="H236" s="143" t="n">
        <f aca="false">G236</f>
        <v>3.987</v>
      </c>
      <c r="I236" s="142" t="n">
        <f aca="false">VLOOKUP($A236,Table1,MATCH(I$3,Curves1,0))</f>
        <v>0</v>
      </c>
      <c r="J236" s="142" t="n">
        <f aca="false">VLOOKUP($A236,Table,MATCH(J$4,Curves,0))</f>
        <v>-0.0235</v>
      </c>
      <c r="K236" s="143" t="n">
        <f aca="false">J236</f>
        <v>-0.0235</v>
      </c>
      <c r="L236" s="144" t="n">
        <v>0</v>
      </c>
      <c r="M236" s="142" t="n">
        <f aca="false">VLOOKUP($A236,Table,MATCH(M$4,Curves,0))</f>
        <v>0.0075</v>
      </c>
      <c r="N236" s="143" t="n">
        <f aca="false">M236</f>
        <v>0.0075</v>
      </c>
      <c r="O236" s="144" t="n">
        <v>0</v>
      </c>
      <c r="P236" s="145"/>
      <c r="Q236" s="144" t="n">
        <f aca="false">M236+J236+G236</f>
        <v>3.971</v>
      </c>
      <c r="R236" s="144" t="n">
        <f aca="false">O236+L236+I236</f>
        <v>0</v>
      </c>
      <c r="S236" s="145"/>
      <c r="T236" s="71" t="n">
        <f aca="false">A237-A236</f>
        <v>29</v>
      </c>
      <c r="U236" s="146" t="n">
        <f aca="false">CHOOSE(F$3,A237+24,A236)</f>
        <v>43915</v>
      </c>
      <c r="V236" s="71" t="n">
        <f aca="false">U236-C$3</f>
        <v>7027</v>
      </c>
      <c r="W236" s="142" t="n">
        <f aca="false">VLOOKUP($A236,Table,MATCH(W$4,Curves,0))</f>
        <v>0.058966861357273</v>
      </c>
      <c r="X236" s="147" t="n">
        <f aca="false">1/(1+CHOOSE(F$3,(W237+($K$3/10000))/2,(W236+($K$3/10000))/2))^(2*V236/365.25)</f>
        <v>0.326915351258902</v>
      </c>
      <c r="Y236" s="71" t="n">
        <f aca="false">IF(AND(mthbeg&lt;=A236,mthend&gt;=A236),1,0)</f>
        <v>0</v>
      </c>
      <c r="Z236" s="71" t="n">
        <f aca="false">T236*Y236</f>
        <v>0</v>
      </c>
      <c r="AB236" s="132" t="n">
        <f aca="false">F236*G236</f>
        <v>0</v>
      </c>
      <c r="AC236" s="132" t="n">
        <f aca="false">$F236*H236</f>
        <v>0</v>
      </c>
      <c r="AD236" s="132" t="n">
        <f aca="false">$F236*I236</f>
        <v>0</v>
      </c>
      <c r="AE236" s="132" t="n">
        <f aca="false">$F236*J236</f>
        <v>-0</v>
      </c>
      <c r="AF236" s="132" t="n">
        <f aca="false">$F236*K236</f>
        <v>-0</v>
      </c>
      <c r="AG236" s="132" t="n">
        <f aca="false">$F236*L236</f>
        <v>0</v>
      </c>
      <c r="AH236" s="132" t="n">
        <f aca="false">$F236*M236</f>
        <v>0</v>
      </c>
      <c r="AI236" s="132" t="n">
        <f aca="false">$F236*N236</f>
        <v>0</v>
      </c>
      <c r="AJ236" s="132" t="n">
        <f aca="false">F236*O236</f>
        <v>0</v>
      </c>
      <c r="AK236" s="137"/>
      <c r="AL236" s="132" t="n">
        <f aca="false">CHOOSE($G$3,AC236-AD236,AD236-AC236)</f>
        <v>0</v>
      </c>
      <c r="AM236" s="132" t="n">
        <f aca="false">CHOOSE($G$3,AF236-AG236,AG236-AF236)</f>
        <v>0</v>
      </c>
      <c r="AN236" s="132" t="n">
        <f aca="false">CHOOSE($G$3,AI236-AJ236,AJ236-AI236)</f>
        <v>0</v>
      </c>
      <c r="AO236" s="148" t="n">
        <f aca="false">SUM(AL236:AN236)</f>
        <v>0</v>
      </c>
      <c r="AQ236" s="132" t="n">
        <f aca="false">CHOOSE($G$3,AB236-AC236,AC236-AB236)</f>
        <v>0</v>
      </c>
      <c r="AR236" s="132" t="n">
        <f aca="false">CHOOSE($G$3,AE236-AF236,AF236-AE236)</f>
        <v>0</v>
      </c>
      <c r="AS236" s="132" t="n">
        <f aca="false">CHOOSE($G$3,AH236-AI236,AI236-AH236)</f>
        <v>0</v>
      </c>
      <c r="AT236" s="148" t="n">
        <f aca="false">AQ236+AR236+AS236</f>
        <v>0</v>
      </c>
      <c r="AU236" s="148"/>
      <c r="AV236" s="133" t="n">
        <f aca="false">AT236+AO236</f>
        <v>0</v>
      </c>
      <c r="AX236" s="133" t="n">
        <f aca="false">AJ236+AG236+AD236</f>
        <v>0</v>
      </c>
      <c r="AY236" s="149"/>
      <c r="AZ236" s="76" t="n">
        <f aca="false">R236*E236</f>
        <v>0</v>
      </c>
    </row>
    <row r="237" customFormat="false" ht="12" hidden="false" customHeight="true" outlineLevel="0" collapsed="false">
      <c r="A237" s="138" t="n">
        <f aca="false">EDATE(A236,1)</f>
        <v>43891</v>
      </c>
      <c r="B237" s="139" t="n">
        <f aca="false">VLOOKUP($A237,Table2,MATCH(I$3,Curves2,0))</f>
        <v>0</v>
      </c>
      <c r="C237" s="140"/>
      <c r="D237" s="141" t="n">
        <f aca="false">B237+C237</f>
        <v>0</v>
      </c>
      <c r="E237" s="126" t="n">
        <f aca="false">IF(Y237=0,0,IF(AND(Y237=1,$H$3=1),D237*T237,IF($H$3=2,D237,"N/A")))</f>
        <v>0</v>
      </c>
      <c r="F237" s="126" t="n">
        <f aca="false">E237*X237</f>
        <v>0</v>
      </c>
      <c r="G237" s="142" t="n">
        <f aca="false">VLOOKUP($A237,Table,MATCH(G$4,Curves,0))</f>
        <v>3.987</v>
      </c>
      <c r="H237" s="143" t="n">
        <f aca="false">G237</f>
        <v>3.987</v>
      </c>
      <c r="I237" s="142" t="n">
        <f aca="false">VLOOKUP($A237,Table1,MATCH(I$3,Curves1,0))</f>
        <v>0</v>
      </c>
      <c r="J237" s="142" t="n">
        <f aca="false">VLOOKUP($A237,Table,MATCH(J$4,Curves,0))</f>
        <v>-0.0235</v>
      </c>
      <c r="K237" s="143" t="n">
        <f aca="false">J237</f>
        <v>-0.0235</v>
      </c>
      <c r="L237" s="144" t="n">
        <v>0</v>
      </c>
      <c r="M237" s="142" t="n">
        <f aca="false">VLOOKUP($A237,Table,MATCH(M$4,Curves,0))</f>
        <v>0.0075</v>
      </c>
      <c r="N237" s="143" t="n">
        <f aca="false">M237</f>
        <v>0.0075</v>
      </c>
      <c r="O237" s="144" t="n">
        <v>0</v>
      </c>
      <c r="P237" s="145"/>
      <c r="Q237" s="144" t="n">
        <f aca="false">M237+J237+G237</f>
        <v>3.971</v>
      </c>
      <c r="R237" s="144" t="n">
        <f aca="false">O237+L237+I237</f>
        <v>0</v>
      </c>
      <c r="S237" s="145"/>
      <c r="T237" s="71" t="n">
        <f aca="false">A238-A237</f>
        <v>31</v>
      </c>
      <c r="U237" s="146" t="n">
        <f aca="false">CHOOSE(F$3,A238+24,A237)</f>
        <v>43946</v>
      </c>
      <c r="V237" s="71" t="n">
        <f aca="false">U237-C$3</f>
        <v>7058</v>
      </c>
      <c r="W237" s="142" t="n">
        <f aca="false">VLOOKUP($A237,Table,MATCH(W$4,Curves,0))</f>
        <v>0.058966861357273</v>
      </c>
      <c r="X237" s="147" t="n">
        <f aca="false">1/(1+CHOOSE(F$3,(W238+($K$3/10000))/2,(W237+($K$3/10000))/2))^(2*V237/365.25)</f>
        <v>0.325306858057883</v>
      </c>
      <c r="Y237" s="71" t="n">
        <f aca="false">IF(AND(mthbeg&lt;=A237,mthend&gt;=A237),1,0)</f>
        <v>0</v>
      </c>
      <c r="Z237" s="71" t="n">
        <f aca="false">T237*Y237</f>
        <v>0</v>
      </c>
      <c r="AB237" s="132" t="n">
        <f aca="false">F237*G237</f>
        <v>0</v>
      </c>
      <c r="AC237" s="132" t="n">
        <f aca="false">$F237*H237</f>
        <v>0</v>
      </c>
      <c r="AD237" s="132" t="n">
        <f aca="false">$F237*I237</f>
        <v>0</v>
      </c>
      <c r="AE237" s="132" t="n">
        <f aca="false">$F237*J237</f>
        <v>-0</v>
      </c>
      <c r="AF237" s="132" t="n">
        <f aca="false">$F237*K237</f>
        <v>-0</v>
      </c>
      <c r="AG237" s="132" t="n">
        <f aca="false">$F237*L237</f>
        <v>0</v>
      </c>
      <c r="AH237" s="132" t="n">
        <f aca="false">$F237*M237</f>
        <v>0</v>
      </c>
      <c r="AI237" s="132" t="n">
        <f aca="false">$F237*N237</f>
        <v>0</v>
      </c>
      <c r="AJ237" s="132" t="n">
        <f aca="false">F237*O237</f>
        <v>0</v>
      </c>
      <c r="AK237" s="137"/>
      <c r="AL237" s="132" t="n">
        <f aca="false">CHOOSE($G$3,AC237-AD237,AD237-AC237)</f>
        <v>0</v>
      </c>
      <c r="AM237" s="132" t="n">
        <f aca="false">CHOOSE($G$3,AF237-AG237,AG237-AF237)</f>
        <v>0</v>
      </c>
      <c r="AN237" s="132" t="n">
        <f aca="false">CHOOSE($G$3,AI237-AJ237,AJ237-AI237)</f>
        <v>0</v>
      </c>
      <c r="AO237" s="148" t="n">
        <f aca="false">SUM(AL237:AN237)</f>
        <v>0</v>
      </c>
      <c r="AQ237" s="132" t="n">
        <f aca="false">CHOOSE($G$3,AB237-AC237,AC237-AB237)</f>
        <v>0</v>
      </c>
      <c r="AR237" s="132" t="n">
        <f aca="false">CHOOSE($G$3,AE237-AF237,AF237-AE237)</f>
        <v>0</v>
      </c>
      <c r="AS237" s="132" t="n">
        <f aca="false">CHOOSE($G$3,AH237-AI237,AI237-AH237)</f>
        <v>0</v>
      </c>
      <c r="AT237" s="148" t="n">
        <f aca="false">AQ237+AR237+AS237</f>
        <v>0</v>
      </c>
      <c r="AU237" s="148"/>
      <c r="AV237" s="133" t="n">
        <f aca="false">AT237+AO237</f>
        <v>0</v>
      </c>
      <c r="AX237" s="133" t="n">
        <f aca="false">AJ237+AG237+AD237</f>
        <v>0</v>
      </c>
      <c r="AY237" s="149"/>
      <c r="AZ237" s="76" t="n">
        <f aca="false">R237*E237</f>
        <v>0</v>
      </c>
    </row>
    <row r="238" customFormat="false" ht="12" hidden="false" customHeight="true" outlineLevel="0" collapsed="false">
      <c r="A238" s="138" t="n">
        <f aca="false">EDATE(A237,1)</f>
        <v>43922</v>
      </c>
      <c r="B238" s="139" t="n">
        <f aca="false">VLOOKUP($A238,Table2,MATCH(I$3,Curves2,0))</f>
        <v>0</v>
      </c>
      <c r="C238" s="140"/>
      <c r="D238" s="141" t="n">
        <f aca="false">B238+C238</f>
        <v>0</v>
      </c>
      <c r="E238" s="126" t="n">
        <f aca="false">IF(Y238=0,0,IF(AND(Y238=1,$H$3=1),D238*T238,IF($H$3=2,D238,"N/A")))</f>
        <v>0</v>
      </c>
      <c r="F238" s="126" t="n">
        <f aca="false">E238*X238</f>
        <v>0</v>
      </c>
      <c r="G238" s="142" t="n">
        <f aca="false">VLOOKUP($A238,Table,MATCH(G$4,Curves,0))</f>
        <v>3.987</v>
      </c>
      <c r="H238" s="143" t="n">
        <f aca="false">G238</f>
        <v>3.987</v>
      </c>
      <c r="I238" s="142" t="n">
        <f aca="false">VLOOKUP($A238,Table1,MATCH(I$3,Curves1,0))</f>
        <v>0</v>
      </c>
      <c r="J238" s="142" t="n">
        <f aca="false">VLOOKUP($A238,Table,MATCH(J$4,Curves,0))</f>
        <v>-0.0235</v>
      </c>
      <c r="K238" s="143" t="n">
        <f aca="false">J238</f>
        <v>-0.0235</v>
      </c>
      <c r="L238" s="144" t="n">
        <v>0</v>
      </c>
      <c r="M238" s="142" t="n">
        <f aca="false">VLOOKUP($A238,Table,MATCH(M$4,Curves,0))</f>
        <v>0.0075</v>
      </c>
      <c r="N238" s="143" t="n">
        <f aca="false">M238</f>
        <v>0.0075</v>
      </c>
      <c r="O238" s="144" t="n">
        <v>0</v>
      </c>
      <c r="P238" s="145"/>
      <c r="Q238" s="144" t="n">
        <f aca="false">M238+J238+G238</f>
        <v>3.971</v>
      </c>
      <c r="R238" s="144" t="n">
        <f aca="false">O238+L238+I238</f>
        <v>0</v>
      </c>
      <c r="S238" s="145"/>
      <c r="T238" s="71" t="n">
        <f aca="false">A239-A238</f>
        <v>30</v>
      </c>
      <c r="U238" s="146" t="n">
        <f aca="false">CHOOSE(F$3,A239+24,A238)</f>
        <v>43976</v>
      </c>
      <c r="V238" s="71" t="n">
        <f aca="false">U238-C$3</f>
        <v>7088</v>
      </c>
      <c r="W238" s="142" t="n">
        <f aca="false">VLOOKUP($A238,Table,MATCH(W$4,Curves,0))</f>
        <v>0.058966861357273</v>
      </c>
      <c r="X238" s="147" t="n">
        <f aca="false">1/(1+CHOOSE(F$3,(W239+($K$3/10000))/2,(W238+($K$3/10000))/2))^(2*V238/365.25)</f>
        <v>0.323757787438746</v>
      </c>
      <c r="Y238" s="71" t="n">
        <f aca="false">IF(AND(mthbeg&lt;=A238,mthend&gt;=A238),1,0)</f>
        <v>0</v>
      </c>
      <c r="Z238" s="71" t="n">
        <f aca="false">T238*Y238</f>
        <v>0</v>
      </c>
      <c r="AB238" s="132" t="n">
        <f aca="false">F238*G238</f>
        <v>0</v>
      </c>
      <c r="AC238" s="132" t="n">
        <f aca="false">$F238*H238</f>
        <v>0</v>
      </c>
      <c r="AD238" s="132" t="n">
        <f aca="false">$F238*I238</f>
        <v>0</v>
      </c>
      <c r="AE238" s="132" t="n">
        <f aca="false">$F238*J238</f>
        <v>-0</v>
      </c>
      <c r="AF238" s="132" t="n">
        <f aca="false">$F238*K238</f>
        <v>-0</v>
      </c>
      <c r="AG238" s="132" t="n">
        <f aca="false">$F238*L238</f>
        <v>0</v>
      </c>
      <c r="AH238" s="132" t="n">
        <f aca="false">$F238*M238</f>
        <v>0</v>
      </c>
      <c r="AI238" s="132" t="n">
        <f aca="false">$F238*N238</f>
        <v>0</v>
      </c>
      <c r="AJ238" s="132" t="n">
        <f aca="false">F238*O238</f>
        <v>0</v>
      </c>
      <c r="AK238" s="137"/>
      <c r="AL238" s="132" t="n">
        <f aca="false">CHOOSE($G$3,AC238-AD238,AD238-AC238)</f>
        <v>0</v>
      </c>
      <c r="AM238" s="132" t="n">
        <f aca="false">CHOOSE($G$3,AF238-AG238,AG238-AF238)</f>
        <v>0</v>
      </c>
      <c r="AN238" s="132" t="n">
        <f aca="false">CHOOSE($G$3,AI238-AJ238,AJ238-AI238)</f>
        <v>0</v>
      </c>
      <c r="AO238" s="148" t="n">
        <f aca="false">SUM(AL238:AN238)</f>
        <v>0</v>
      </c>
      <c r="AQ238" s="132" t="n">
        <f aca="false">CHOOSE($G$3,AB238-AC238,AC238-AB238)</f>
        <v>0</v>
      </c>
      <c r="AR238" s="132" t="n">
        <f aca="false">CHOOSE($G$3,AE238-AF238,AF238-AE238)</f>
        <v>0</v>
      </c>
      <c r="AS238" s="132" t="n">
        <f aca="false">CHOOSE($G$3,AH238-AI238,AI238-AH238)</f>
        <v>0</v>
      </c>
      <c r="AT238" s="148" t="n">
        <f aca="false">AQ238+AR238+AS238</f>
        <v>0</v>
      </c>
      <c r="AU238" s="148"/>
      <c r="AV238" s="133" t="n">
        <f aca="false">AT238+AO238</f>
        <v>0</v>
      </c>
      <c r="AX238" s="133" t="n">
        <f aca="false">AJ238+AG238+AD238</f>
        <v>0</v>
      </c>
      <c r="AY238" s="149"/>
      <c r="AZ238" s="76" t="n">
        <f aca="false">R238*E238</f>
        <v>0</v>
      </c>
    </row>
    <row r="239" customFormat="false" ht="12" hidden="false" customHeight="true" outlineLevel="0" collapsed="false">
      <c r="A239" s="138" t="n">
        <f aca="false">EDATE(A238,1)</f>
        <v>43952</v>
      </c>
      <c r="B239" s="139" t="n">
        <f aca="false">VLOOKUP($A239,Table2,MATCH(I$3,Curves2,0))</f>
        <v>0</v>
      </c>
      <c r="C239" s="140"/>
      <c r="D239" s="141" t="n">
        <f aca="false">B239+C239</f>
        <v>0</v>
      </c>
      <c r="E239" s="126" t="n">
        <f aca="false">IF(Y239=0,0,IF(AND(Y239=1,$H$3=1),D239*T239,IF($H$3=2,D239,"N/A")))</f>
        <v>0</v>
      </c>
      <c r="F239" s="126" t="n">
        <f aca="false">E239*X239</f>
        <v>0</v>
      </c>
      <c r="G239" s="142" t="n">
        <f aca="false">VLOOKUP($A239,Table,MATCH(G$4,Curves,0))</f>
        <v>3.987</v>
      </c>
      <c r="H239" s="143" t="n">
        <f aca="false">G239</f>
        <v>3.987</v>
      </c>
      <c r="I239" s="142" t="n">
        <f aca="false">VLOOKUP($A239,Table1,MATCH(I$3,Curves1,0))</f>
        <v>0</v>
      </c>
      <c r="J239" s="142" t="n">
        <f aca="false">VLOOKUP($A239,Table,MATCH(J$4,Curves,0))</f>
        <v>-0.0235</v>
      </c>
      <c r="K239" s="143" t="n">
        <f aca="false">J239</f>
        <v>-0.0235</v>
      </c>
      <c r="L239" s="144" t="n">
        <v>0</v>
      </c>
      <c r="M239" s="142" t="n">
        <f aca="false">VLOOKUP($A239,Table,MATCH(M$4,Curves,0))</f>
        <v>0.0075</v>
      </c>
      <c r="N239" s="143" t="n">
        <f aca="false">M239</f>
        <v>0.0075</v>
      </c>
      <c r="O239" s="144" t="n">
        <v>0</v>
      </c>
      <c r="P239" s="145"/>
      <c r="Q239" s="144" t="n">
        <f aca="false">M239+J239+G239</f>
        <v>3.971</v>
      </c>
      <c r="R239" s="144" t="n">
        <f aca="false">O239+L239+I239</f>
        <v>0</v>
      </c>
      <c r="S239" s="145"/>
      <c r="T239" s="71" t="n">
        <f aca="false">A240-A239</f>
        <v>31</v>
      </c>
      <c r="U239" s="146" t="n">
        <f aca="false">CHOOSE(F$3,A240+24,A239)</f>
        <v>44007</v>
      </c>
      <c r="V239" s="71" t="n">
        <f aca="false">U239-C$3</f>
        <v>7119</v>
      </c>
      <c r="W239" s="142" t="n">
        <f aca="false">VLOOKUP($A239,Table,MATCH(W$4,Curves,0))</f>
        <v>0.058966861357273</v>
      </c>
      <c r="X239" s="147" t="n">
        <f aca="false">1/(1+CHOOSE(F$3,(W240+($K$3/10000))/2,(W239+($K$3/10000))/2))^(2*V239/365.25)</f>
        <v>0.322164830124668</v>
      </c>
      <c r="Y239" s="71" t="n">
        <f aca="false">IF(AND(mthbeg&lt;=A239,mthend&gt;=A239),1,0)</f>
        <v>0</v>
      </c>
      <c r="Z239" s="71" t="n">
        <f aca="false">T239*Y239</f>
        <v>0</v>
      </c>
      <c r="AB239" s="132" t="n">
        <f aca="false">F239*G239</f>
        <v>0</v>
      </c>
      <c r="AC239" s="132" t="n">
        <f aca="false">$F239*H239</f>
        <v>0</v>
      </c>
      <c r="AD239" s="132" t="n">
        <f aca="false">$F239*I239</f>
        <v>0</v>
      </c>
      <c r="AE239" s="132" t="n">
        <f aca="false">$F239*J239</f>
        <v>-0</v>
      </c>
      <c r="AF239" s="132" t="n">
        <f aca="false">$F239*K239</f>
        <v>-0</v>
      </c>
      <c r="AG239" s="132" t="n">
        <f aca="false">$F239*L239</f>
        <v>0</v>
      </c>
      <c r="AH239" s="132" t="n">
        <f aca="false">$F239*M239</f>
        <v>0</v>
      </c>
      <c r="AI239" s="132" t="n">
        <f aca="false">$F239*N239</f>
        <v>0</v>
      </c>
      <c r="AJ239" s="132" t="n">
        <f aca="false">F239*O239</f>
        <v>0</v>
      </c>
      <c r="AK239" s="137"/>
      <c r="AL239" s="132" t="n">
        <f aca="false">CHOOSE($G$3,AC239-AD239,AD239-AC239)</f>
        <v>0</v>
      </c>
      <c r="AM239" s="132" t="n">
        <f aca="false">CHOOSE($G$3,AF239-AG239,AG239-AF239)</f>
        <v>0</v>
      </c>
      <c r="AN239" s="132" t="n">
        <f aca="false">CHOOSE($G$3,AI239-AJ239,AJ239-AI239)</f>
        <v>0</v>
      </c>
      <c r="AO239" s="148" t="n">
        <f aca="false">SUM(AL239:AN239)</f>
        <v>0</v>
      </c>
      <c r="AQ239" s="132" t="n">
        <f aca="false">CHOOSE($G$3,AB239-AC239,AC239-AB239)</f>
        <v>0</v>
      </c>
      <c r="AR239" s="132" t="n">
        <f aca="false">CHOOSE($G$3,AE239-AF239,AF239-AE239)</f>
        <v>0</v>
      </c>
      <c r="AS239" s="132" t="n">
        <f aca="false">CHOOSE($G$3,AH239-AI239,AI239-AH239)</f>
        <v>0</v>
      </c>
      <c r="AT239" s="148" t="n">
        <f aca="false">AQ239+AR239+AS239</f>
        <v>0</v>
      </c>
      <c r="AU239" s="148"/>
      <c r="AV239" s="133" t="n">
        <f aca="false">AT239+AO239</f>
        <v>0</v>
      </c>
      <c r="AX239" s="133" t="n">
        <f aca="false">AJ239+AG239+AD239</f>
        <v>0</v>
      </c>
      <c r="AY239" s="149"/>
      <c r="AZ239" s="76" t="n">
        <f aca="false">R239*E239</f>
        <v>0</v>
      </c>
    </row>
    <row r="240" customFormat="false" ht="12" hidden="false" customHeight="true" outlineLevel="0" collapsed="false">
      <c r="A240" s="138" t="n">
        <f aca="false">EDATE(A239,1)</f>
        <v>43983</v>
      </c>
      <c r="B240" s="139" t="n">
        <f aca="false">VLOOKUP($A240,Table2,MATCH(I$3,Curves2,0))</f>
        <v>0</v>
      </c>
      <c r="C240" s="140"/>
      <c r="D240" s="141" t="n">
        <f aca="false">B240+C240</f>
        <v>0</v>
      </c>
      <c r="E240" s="126" t="n">
        <f aca="false">IF(Y240=0,0,IF(AND(Y240=1,$H$3=1),D240*T240,IF($H$3=2,D240,"N/A")))</f>
        <v>0</v>
      </c>
      <c r="F240" s="126" t="n">
        <f aca="false">E240*X240</f>
        <v>0</v>
      </c>
      <c r="G240" s="142" t="n">
        <f aca="false">VLOOKUP($A240,Table,MATCH(G$4,Curves,0))</f>
        <v>3.987</v>
      </c>
      <c r="H240" s="143" t="n">
        <f aca="false">G240</f>
        <v>3.987</v>
      </c>
      <c r="I240" s="142" t="n">
        <f aca="false">VLOOKUP($A240,Table1,MATCH(I$3,Curves1,0))</f>
        <v>0</v>
      </c>
      <c r="J240" s="142" t="n">
        <f aca="false">VLOOKUP($A240,Table,MATCH(J$4,Curves,0))</f>
        <v>-0.0235</v>
      </c>
      <c r="K240" s="143" t="n">
        <f aca="false">J240</f>
        <v>-0.0235</v>
      </c>
      <c r="L240" s="144" t="n">
        <v>0</v>
      </c>
      <c r="M240" s="142" t="n">
        <f aca="false">VLOOKUP($A240,Table,MATCH(M$4,Curves,0))</f>
        <v>0.0075</v>
      </c>
      <c r="N240" s="143" t="n">
        <f aca="false">M240</f>
        <v>0.0075</v>
      </c>
      <c r="O240" s="144" t="n">
        <v>0</v>
      </c>
      <c r="P240" s="145"/>
      <c r="Q240" s="144" t="n">
        <f aca="false">M240+J240+G240</f>
        <v>3.971</v>
      </c>
      <c r="R240" s="144" t="n">
        <f aca="false">O240+L240+I240</f>
        <v>0</v>
      </c>
      <c r="S240" s="145"/>
      <c r="T240" s="71" t="n">
        <f aca="false">A241-A240</f>
        <v>30</v>
      </c>
      <c r="U240" s="146" t="n">
        <f aca="false">CHOOSE(F$3,A241+24,A240)</f>
        <v>44037</v>
      </c>
      <c r="V240" s="71" t="n">
        <f aca="false">U240-C$3</f>
        <v>7149</v>
      </c>
      <c r="W240" s="142" t="n">
        <f aca="false">VLOOKUP($A240,Table,MATCH(W$4,Curves,0))</f>
        <v>0.058966861357273</v>
      </c>
      <c r="X240" s="147" t="n">
        <f aca="false">1/(1+CHOOSE(F$3,(W241+($K$3/10000))/2,(W240+($K$3/10000))/2))^(2*V240/365.25)</f>
        <v>0.320630721450032</v>
      </c>
      <c r="Y240" s="71" t="n">
        <f aca="false">IF(AND(mthbeg&lt;=A240,mthend&gt;=A240),1,0)</f>
        <v>0</v>
      </c>
      <c r="Z240" s="71" t="n">
        <f aca="false">T240*Y240</f>
        <v>0</v>
      </c>
      <c r="AB240" s="132" t="n">
        <f aca="false">F240*G240</f>
        <v>0</v>
      </c>
      <c r="AC240" s="132" t="n">
        <f aca="false">$F240*H240</f>
        <v>0</v>
      </c>
      <c r="AD240" s="132" t="n">
        <f aca="false">$F240*I240</f>
        <v>0</v>
      </c>
      <c r="AE240" s="132" t="n">
        <f aca="false">$F240*J240</f>
        <v>-0</v>
      </c>
      <c r="AF240" s="132" t="n">
        <f aca="false">$F240*K240</f>
        <v>-0</v>
      </c>
      <c r="AG240" s="132" t="n">
        <f aca="false">$F240*L240</f>
        <v>0</v>
      </c>
      <c r="AH240" s="132" t="n">
        <f aca="false">$F240*M240</f>
        <v>0</v>
      </c>
      <c r="AI240" s="132" t="n">
        <f aca="false">$F240*N240</f>
        <v>0</v>
      </c>
      <c r="AJ240" s="132" t="n">
        <f aca="false">F240*O240</f>
        <v>0</v>
      </c>
      <c r="AK240" s="137"/>
      <c r="AL240" s="132" t="n">
        <f aca="false">CHOOSE($G$3,AC240-AD240,AD240-AC240)</f>
        <v>0</v>
      </c>
      <c r="AM240" s="132" t="n">
        <f aca="false">CHOOSE($G$3,AF240-AG240,AG240-AF240)</f>
        <v>0</v>
      </c>
      <c r="AN240" s="132" t="n">
        <f aca="false">CHOOSE($G$3,AI240-AJ240,AJ240-AI240)</f>
        <v>0</v>
      </c>
      <c r="AO240" s="148" t="n">
        <f aca="false">SUM(AL240:AN240)</f>
        <v>0</v>
      </c>
      <c r="AQ240" s="132" t="n">
        <f aca="false">CHOOSE($G$3,AB240-AC240,AC240-AB240)</f>
        <v>0</v>
      </c>
      <c r="AR240" s="132" t="n">
        <f aca="false">CHOOSE($G$3,AE240-AF240,AF240-AE240)</f>
        <v>0</v>
      </c>
      <c r="AS240" s="132" t="n">
        <f aca="false">CHOOSE($G$3,AH240-AI240,AI240-AH240)</f>
        <v>0</v>
      </c>
      <c r="AT240" s="148" t="n">
        <f aca="false">AQ240+AR240+AS240</f>
        <v>0</v>
      </c>
      <c r="AU240" s="148"/>
      <c r="AV240" s="133" t="n">
        <f aca="false">AT240+AO240</f>
        <v>0</v>
      </c>
      <c r="AX240" s="133" t="n">
        <f aca="false">AJ240+AG240+AD240</f>
        <v>0</v>
      </c>
      <c r="AY240" s="149"/>
      <c r="AZ240" s="76" t="n">
        <f aca="false">R240*E240</f>
        <v>0</v>
      </c>
    </row>
    <row r="241" customFormat="false" ht="12" hidden="false" customHeight="true" outlineLevel="0" collapsed="false">
      <c r="A241" s="138" t="n">
        <f aca="false">EDATE(A240,1)</f>
        <v>44013</v>
      </c>
      <c r="B241" s="139" t="n">
        <f aca="false">VLOOKUP($A241,Table2,MATCH(I$3,Curves2,0))</f>
        <v>0</v>
      </c>
      <c r="C241" s="140"/>
      <c r="D241" s="141" t="n">
        <f aca="false">B241+C241</f>
        <v>0</v>
      </c>
      <c r="E241" s="126" t="n">
        <f aca="false">IF(Y241=0,0,IF(AND(Y241=1,$H$3=1),D241*T241,IF($H$3=2,D241,"N/A")))</f>
        <v>0</v>
      </c>
      <c r="F241" s="126" t="n">
        <f aca="false">E241*X241</f>
        <v>0</v>
      </c>
      <c r="G241" s="142" t="n">
        <f aca="false">VLOOKUP($A241,Table,MATCH(G$4,Curves,0))</f>
        <v>3.987</v>
      </c>
      <c r="H241" s="143" t="n">
        <f aca="false">G241</f>
        <v>3.987</v>
      </c>
      <c r="I241" s="142" t="n">
        <f aca="false">VLOOKUP($A241,Table1,MATCH(I$3,Curves1,0))</f>
        <v>0</v>
      </c>
      <c r="J241" s="142" t="n">
        <f aca="false">VLOOKUP($A241,Table,MATCH(J$4,Curves,0))</f>
        <v>-0.0235</v>
      </c>
      <c r="K241" s="143" t="n">
        <f aca="false">J241</f>
        <v>-0.0235</v>
      </c>
      <c r="L241" s="144" t="n">
        <v>0</v>
      </c>
      <c r="M241" s="142" t="n">
        <f aca="false">VLOOKUP($A241,Table,MATCH(M$4,Curves,0))</f>
        <v>0.0075</v>
      </c>
      <c r="N241" s="143" t="n">
        <f aca="false">M241</f>
        <v>0.0075</v>
      </c>
      <c r="O241" s="144" t="n">
        <v>0</v>
      </c>
      <c r="P241" s="145"/>
      <c r="Q241" s="144" t="n">
        <f aca="false">M241+J241+G241</f>
        <v>3.971</v>
      </c>
      <c r="R241" s="144" t="n">
        <f aca="false">O241+L241+I241</f>
        <v>0</v>
      </c>
      <c r="S241" s="145"/>
      <c r="T241" s="71" t="n">
        <f aca="false">A242-A241</f>
        <v>31</v>
      </c>
      <c r="U241" s="146" t="n">
        <f aca="false">CHOOSE(F$3,A242+24,A241)</f>
        <v>44068</v>
      </c>
      <c r="V241" s="71" t="n">
        <f aca="false">U241-C$3</f>
        <v>7180</v>
      </c>
      <c r="W241" s="142" t="n">
        <f aca="false">VLOOKUP($A241,Table,MATCH(W$4,Curves,0))</f>
        <v>0.058966861357273</v>
      </c>
      <c r="X241" s="147" t="n">
        <f aca="false">1/(1+CHOOSE(F$3,(W242+($K$3/10000))/2,(W241+($K$3/10000))/2))^(2*V241/365.25)</f>
        <v>0.319053149967065</v>
      </c>
      <c r="Y241" s="71" t="n">
        <f aca="false">IF(AND(mthbeg&lt;=A241,mthend&gt;=A241),1,0)</f>
        <v>0</v>
      </c>
      <c r="Z241" s="71" t="n">
        <f aca="false">T241*Y241</f>
        <v>0</v>
      </c>
      <c r="AB241" s="132" t="n">
        <f aca="false">F241*G241</f>
        <v>0</v>
      </c>
      <c r="AC241" s="132" t="n">
        <f aca="false">$F241*H241</f>
        <v>0</v>
      </c>
      <c r="AD241" s="132" t="n">
        <f aca="false">$F241*I241</f>
        <v>0</v>
      </c>
      <c r="AE241" s="132" t="n">
        <f aca="false">$F241*J241</f>
        <v>-0</v>
      </c>
      <c r="AF241" s="132" t="n">
        <f aca="false">$F241*K241</f>
        <v>-0</v>
      </c>
      <c r="AG241" s="132" t="n">
        <f aca="false">$F241*L241</f>
        <v>0</v>
      </c>
      <c r="AH241" s="132" t="n">
        <f aca="false">$F241*M241</f>
        <v>0</v>
      </c>
      <c r="AI241" s="132" t="n">
        <f aca="false">$F241*N241</f>
        <v>0</v>
      </c>
      <c r="AJ241" s="132" t="n">
        <f aca="false">F241*O241</f>
        <v>0</v>
      </c>
      <c r="AK241" s="137"/>
      <c r="AL241" s="132" t="n">
        <f aca="false">CHOOSE($G$3,AC241-AD241,AD241-AC241)</f>
        <v>0</v>
      </c>
      <c r="AM241" s="132" t="n">
        <f aca="false">CHOOSE($G$3,AF241-AG241,AG241-AF241)</f>
        <v>0</v>
      </c>
      <c r="AN241" s="132" t="n">
        <f aca="false">CHOOSE($G$3,AI241-AJ241,AJ241-AI241)</f>
        <v>0</v>
      </c>
      <c r="AO241" s="148" t="n">
        <f aca="false">SUM(AL241:AN241)</f>
        <v>0</v>
      </c>
      <c r="AQ241" s="132" t="n">
        <f aca="false">CHOOSE($G$3,AB241-AC241,AC241-AB241)</f>
        <v>0</v>
      </c>
      <c r="AR241" s="132" t="n">
        <f aca="false">CHOOSE($G$3,AE241-AF241,AF241-AE241)</f>
        <v>0</v>
      </c>
      <c r="AS241" s="132" t="n">
        <f aca="false">CHOOSE($G$3,AH241-AI241,AI241-AH241)</f>
        <v>0</v>
      </c>
      <c r="AT241" s="148" t="n">
        <f aca="false">AQ241+AR241+AS241</f>
        <v>0</v>
      </c>
      <c r="AU241" s="148"/>
      <c r="AV241" s="133" t="n">
        <f aca="false">AT241+AO241</f>
        <v>0</v>
      </c>
      <c r="AX241" s="133" t="n">
        <f aca="false">AJ241+AG241+AD241</f>
        <v>0</v>
      </c>
      <c r="AY241" s="149"/>
      <c r="AZ241" s="76" t="n">
        <f aca="false">R241*E241</f>
        <v>0</v>
      </c>
    </row>
    <row r="242" customFormat="false" ht="12" hidden="false" customHeight="true" outlineLevel="0" collapsed="false">
      <c r="A242" s="138" t="n">
        <f aca="false">EDATE(A241,1)</f>
        <v>44044</v>
      </c>
      <c r="B242" s="139" t="n">
        <f aca="false">VLOOKUP($A242,Table2,MATCH(I$3,Curves2,0))</f>
        <v>0</v>
      </c>
      <c r="C242" s="140"/>
      <c r="D242" s="141" t="n">
        <f aca="false">B242+C242</f>
        <v>0</v>
      </c>
      <c r="E242" s="126" t="n">
        <f aca="false">IF(Y242=0,0,IF(AND(Y242=1,$H$3=1),D242*T242,IF($H$3=2,D242,"N/A")))</f>
        <v>0</v>
      </c>
      <c r="F242" s="126" t="n">
        <f aca="false">E242*X242</f>
        <v>0</v>
      </c>
      <c r="G242" s="142" t="n">
        <f aca="false">VLOOKUP($A242,Table,MATCH(G$4,Curves,0))</f>
        <v>3.987</v>
      </c>
      <c r="H242" s="143" t="n">
        <f aca="false">G242</f>
        <v>3.987</v>
      </c>
      <c r="I242" s="142" t="n">
        <f aca="false">VLOOKUP($A242,Table1,MATCH(I$3,Curves1,0))</f>
        <v>0</v>
      </c>
      <c r="J242" s="142" t="n">
        <f aca="false">VLOOKUP($A242,Table,MATCH(J$4,Curves,0))</f>
        <v>-0.0235</v>
      </c>
      <c r="K242" s="143" t="n">
        <f aca="false">J242</f>
        <v>-0.0235</v>
      </c>
      <c r="L242" s="144" t="n">
        <v>0</v>
      </c>
      <c r="M242" s="142" t="n">
        <f aca="false">VLOOKUP($A242,Table,MATCH(M$4,Curves,0))</f>
        <v>0.0075</v>
      </c>
      <c r="N242" s="143" t="n">
        <f aca="false">M242</f>
        <v>0.0075</v>
      </c>
      <c r="O242" s="144" t="n">
        <v>0</v>
      </c>
      <c r="P242" s="145"/>
      <c r="Q242" s="144" t="n">
        <f aca="false">M242+J242+G242</f>
        <v>3.971</v>
      </c>
      <c r="R242" s="144" t="n">
        <f aca="false">O242+L242+I242</f>
        <v>0</v>
      </c>
      <c r="S242" s="145"/>
      <c r="T242" s="71" t="n">
        <f aca="false">A243-A242</f>
        <v>31</v>
      </c>
      <c r="U242" s="146" t="n">
        <f aca="false">CHOOSE(F$3,A243+24,A242)</f>
        <v>44099</v>
      </c>
      <c r="V242" s="71" t="n">
        <f aca="false">U242-C$3</f>
        <v>7211</v>
      </c>
      <c r="W242" s="142" t="n">
        <f aca="false">VLOOKUP($A242,Table,MATCH(W$4,Curves,0))</f>
        <v>0.058966861357273</v>
      </c>
      <c r="X242" s="147" t="n">
        <f aca="false">1/(1+CHOOSE(F$3,(W243+($K$3/10000))/2,(W242+($K$3/10000))/2))^(2*V242/365.25)</f>
        <v>0.317483340472009</v>
      </c>
      <c r="Y242" s="71" t="n">
        <f aca="false">IF(AND(mthbeg&lt;=A242,mthend&gt;=A242),1,0)</f>
        <v>0</v>
      </c>
      <c r="Z242" s="71" t="n">
        <f aca="false">T242*Y242</f>
        <v>0</v>
      </c>
      <c r="AB242" s="132" t="n">
        <f aca="false">F242*G242</f>
        <v>0</v>
      </c>
      <c r="AC242" s="132" t="n">
        <f aca="false">$F242*H242</f>
        <v>0</v>
      </c>
      <c r="AD242" s="132" t="n">
        <f aca="false">$F242*I242</f>
        <v>0</v>
      </c>
      <c r="AE242" s="132" t="n">
        <f aca="false">$F242*J242</f>
        <v>-0</v>
      </c>
      <c r="AF242" s="132" t="n">
        <f aca="false">$F242*K242</f>
        <v>-0</v>
      </c>
      <c r="AG242" s="132" t="n">
        <f aca="false">$F242*L242</f>
        <v>0</v>
      </c>
      <c r="AH242" s="132" t="n">
        <f aca="false">$F242*M242</f>
        <v>0</v>
      </c>
      <c r="AI242" s="132" t="n">
        <f aca="false">$F242*N242</f>
        <v>0</v>
      </c>
      <c r="AJ242" s="132" t="n">
        <f aca="false">F242*O242</f>
        <v>0</v>
      </c>
      <c r="AK242" s="137"/>
      <c r="AL242" s="132" t="n">
        <f aca="false">CHOOSE($G$3,AC242-AD242,AD242-AC242)</f>
        <v>0</v>
      </c>
      <c r="AM242" s="132" t="n">
        <f aca="false">CHOOSE($G$3,AF242-AG242,AG242-AF242)</f>
        <v>0</v>
      </c>
      <c r="AN242" s="132" t="n">
        <f aca="false">CHOOSE($G$3,AI242-AJ242,AJ242-AI242)</f>
        <v>0</v>
      </c>
      <c r="AO242" s="148" t="n">
        <f aca="false">SUM(AL242:AN242)</f>
        <v>0</v>
      </c>
      <c r="AQ242" s="132" t="n">
        <f aca="false">CHOOSE($G$3,AB242-AC242,AC242-AB242)</f>
        <v>0</v>
      </c>
      <c r="AR242" s="132" t="n">
        <f aca="false">CHOOSE($G$3,AE242-AF242,AF242-AE242)</f>
        <v>0</v>
      </c>
      <c r="AS242" s="132" t="n">
        <f aca="false">CHOOSE($G$3,AH242-AI242,AI242-AH242)</f>
        <v>0</v>
      </c>
      <c r="AT242" s="148" t="n">
        <f aca="false">AQ242+AR242+AS242</f>
        <v>0</v>
      </c>
      <c r="AU242" s="148"/>
      <c r="AV242" s="133" t="n">
        <f aca="false">AT242+AO242</f>
        <v>0</v>
      </c>
      <c r="AX242" s="133" t="n">
        <f aca="false">AJ242+AG242+AD242</f>
        <v>0</v>
      </c>
      <c r="AY242" s="149"/>
      <c r="AZ242" s="76" t="n">
        <f aca="false">R242*E242</f>
        <v>0</v>
      </c>
    </row>
    <row r="243" customFormat="false" ht="12" hidden="false" customHeight="true" outlineLevel="0" collapsed="false">
      <c r="A243" s="138" t="n">
        <f aca="false">EDATE(A242,1)</f>
        <v>44075</v>
      </c>
      <c r="B243" s="139" t="n">
        <f aca="false">VLOOKUP($A243,Table2,MATCH(I$3,Curves2,0))</f>
        <v>0</v>
      </c>
      <c r="C243" s="140"/>
      <c r="D243" s="141" t="n">
        <f aca="false">B243+C243</f>
        <v>0</v>
      </c>
      <c r="E243" s="126" t="n">
        <f aca="false">IF(Y243=0,0,IF(AND(Y243=1,$H$3=1),D243*T243,IF($H$3=2,D243,"N/A")))</f>
        <v>0</v>
      </c>
      <c r="F243" s="126" t="n">
        <f aca="false">E243*X243</f>
        <v>0</v>
      </c>
      <c r="G243" s="142" t="n">
        <f aca="false">VLOOKUP($A243,Table,MATCH(G$4,Curves,0))</f>
        <v>3.987</v>
      </c>
      <c r="H243" s="143" t="n">
        <f aca="false">G243</f>
        <v>3.987</v>
      </c>
      <c r="I243" s="142" t="n">
        <f aca="false">VLOOKUP($A243,Table1,MATCH(I$3,Curves1,0))</f>
        <v>0</v>
      </c>
      <c r="J243" s="142" t="n">
        <f aca="false">VLOOKUP($A243,Table,MATCH(J$4,Curves,0))</f>
        <v>-0.0235</v>
      </c>
      <c r="K243" s="143" t="n">
        <f aca="false">J243</f>
        <v>-0.0235</v>
      </c>
      <c r="L243" s="144" t="n">
        <v>0</v>
      </c>
      <c r="M243" s="142" t="n">
        <f aca="false">VLOOKUP($A243,Table,MATCH(M$4,Curves,0))</f>
        <v>0.0075</v>
      </c>
      <c r="N243" s="143" t="n">
        <f aca="false">M243</f>
        <v>0.0075</v>
      </c>
      <c r="O243" s="144" t="n">
        <v>0</v>
      </c>
      <c r="P243" s="145"/>
      <c r="Q243" s="144" t="n">
        <f aca="false">M243+J243+G243</f>
        <v>3.971</v>
      </c>
      <c r="R243" s="144" t="n">
        <f aca="false">O243+L243+I243</f>
        <v>0</v>
      </c>
      <c r="S243" s="145"/>
      <c r="T243" s="71" t="n">
        <f aca="false">A244-A243</f>
        <v>30</v>
      </c>
      <c r="U243" s="146" t="n">
        <f aca="false">CHOOSE(F$3,A244+24,A243)</f>
        <v>44129</v>
      </c>
      <c r="V243" s="71" t="n">
        <f aca="false">U243-C$3</f>
        <v>7241</v>
      </c>
      <c r="W243" s="142" t="n">
        <f aca="false">VLOOKUP($A243,Table,MATCH(W$4,Curves,0))</f>
        <v>0.058966861357273</v>
      </c>
      <c r="X243" s="147" t="n">
        <f aca="false">1/(1+CHOOSE(F$3,(W244+($K$3/10000))/2,(W243+($K$3/10000))/2))^(2*V243/365.25)</f>
        <v>0.315971524466264</v>
      </c>
      <c r="Y243" s="71" t="n">
        <f aca="false">IF(AND(mthbeg&lt;=A243,mthend&gt;=A243),1,0)</f>
        <v>0</v>
      </c>
      <c r="Z243" s="71" t="n">
        <f aca="false">T243*Y243</f>
        <v>0</v>
      </c>
      <c r="AB243" s="132" t="n">
        <f aca="false">F243*G243</f>
        <v>0</v>
      </c>
      <c r="AC243" s="132" t="n">
        <f aca="false">$F243*H243</f>
        <v>0</v>
      </c>
      <c r="AD243" s="132" t="n">
        <f aca="false">$F243*I243</f>
        <v>0</v>
      </c>
      <c r="AE243" s="132" t="n">
        <f aca="false">$F243*J243</f>
        <v>-0</v>
      </c>
      <c r="AF243" s="132" t="n">
        <f aca="false">$F243*K243</f>
        <v>-0</v>
      </c>
      <c r="AG243" s="132" t="n">
        <f aca="false">$F243*L243</f>
        <v>0</v>
      </c>
      <c r="AH243" s="132" t="n">
        <f aca="false">$F243*M243</f>
        <v>0</v>
      </c>
      <c r="AI243" s="132" t="n">
        <f aca="false">$F243*N243</f>
        <v>0</v>
      </c>
      <c r="AJ243" s="132" t="n">
        <f aca="false">F243*O243</f>
        <v>0</v>
      </c>
      <c r="AK243" s="137"/>
      <c r="AL243" s="132" t="n">
        <f aca="false">CHOOSE($G$3,AC243-AD243,AD243-AC243)</f>
        <v>0</v>
      </c>
      <c r="AM243" s="132" t="n">
        <f aca="false">CHOOSE($G$3,AF243-AG243,AG243-AF243)</f>
        <v>0</v>
      </c>
      <c r="AN243" s="132" t="n">
        <f aca="false">CHOOSE($G$3,AI243-AJ243,AJ243-AI243)</f>
        <v>0</v>
      </c>
      <c r="AO243" s="148" t="n">
        <f aca="false">SUM(AL243:AN243)</f>
        <v>0</v>
      </c>
      <c r="AQ243" s="132" t="n">
        <f aca="false">CHOOSE($G$3,AB243-AC243,AC243-AB243)</f>
        <v>0</v>
      </c>
      <c r="AR243" s="132" t="n">
        <f aca="false">CHOOSE($G$3,AE243-AF243,AF243-AE243)</f>
        <v>0</v>
      </c>
      <c r="AS243" s="132" t="n">
        <f aca="false">CHOOSE($G$3,AH243-AI243,AI243-AH243)</f>
        <v>0</v>
      </c>
      <c r="AT243" s="148" t="n">
        <f aca="false">AQ243+AR243+AS243</f>
        <v>0</v>
      </c>
      <c r="AU243" s="148"/>
      <c r="AV243" s="133" t="n">
        <f aca="false">AT243+AO243</f>
        <v>0</v>
      </c>
      <c r="AX243" s="133" t="n">
        <f aca="false">AJ243+AG243+AD243</f>
        <v>0</v>
      </c>
      <c r="AY243" s="149"/>
      <c r="AZ243" s="76" t="n">
        <f aca="false">R243*E243</f>
        <v>0</v>
      </c>
    </row>
    <row r="244" customFormat="false" ht="12" hidden="false" customHeight="true" outlineLevel="0" collapsed="false">
      <c r="A244" s="138" t="n">
        <f aca="false">EDATE(A243,1)</f>
        <v>44105</v>
      </c>
      <c r="B244" s="139" t="n">
        <f aca="false">VLOOKUP($A244,Table2,MATCH(I$3,Curves2,0))</f>
        <v>0</v>
      </c>
      <c r="C244" s="140"/>
      <c r="D244" s="141" t="n">
        <f aca="false">B244+C244</f>
        <v>0</v>
      </c>
      <c r="E244" s="126" t="n">
        <f aca="false">IF(Y244=0,0,IF(AND(Y244=1,$H$3=1),D244*T244,IF($H$3=2,D244,"N/A")))</f>
        <v>0</v>
      </c>
      <c r="F244" s="126" t="n">
        <f aca="false">E244*X244</f>
        <v>0</v>
      </c>
      <c r="G244" s="142" t="n">
        <f aca="false">VLOOKUP($A244,Table,MATCH(G$4,Curves,0))</f>
        <v>3.987</v>
      </c>
      <c r="H244" s="143" t="n">
        <f aca="false">G244</f>
        <v>3.987</v>
      </c>
      <c r="I244" s="142" t="n">
        <f aca="false">VLOOKUP($A244,Table1,MATCH(I$3,Curves1,0))</f>
        <v>0</v>
      </c>
      <c r="J244" s="142" t="n">
        <f aca="false">VLOOKUP($A244,Table,MATCH(J$4,Curves,0))</f>
        <v>-0.0235</v>
      </c>
      <c r="K244" s="143" t="n">
        <f aca="false">J244</f>
        <v>-0.0235</v>
      </c>
      <c r="L244" s="144" t="n">
        <v>0</v>
      </c>
      <c r="M244" s="142" t="n">
        <f aca="false">VLOOKUP($A244,Table,MATCH(M$4,Curves,0))</f>
        <v>0.0075</v>
      </c>
      <c r="N244" s="143" t="n">
        <f aca="false">M244</f>
        <v>0.0075</v>
      </c>
      <c r="O244" s="144" t="n">
        <v>0</v>
      </c>
      <c r="P244" s="145"/>
      <c r="Q244" s="144" t="n">
        <f aca="false">M244+J244+G244</f>
        <v>3.971</v>
      </c>
      <c r="R244" s="144" t="n">
        <f aca="false">O244+L244+I244</f>
        <v>0</v>
      </c>
      <c r="S244" s="145"/>
      <c r="T244" s="71" t="n">
        <f aca="false">A245-A244</f>
        <v>31</v>
      </c>
      <c r="U244" s="146" t="n">
        <f aca="false">CHOOSE(F$3,A245+24,A244)</f>
        <v>44160</v>
      </c>
      <c r="V244" s="71" t="n">
        <f aca="false">U244-C$3</f>
        <v>7272</v>
      </c>
      <c r="W244" s="142" t="n">
        <f aca="false">VLOOKUP($A244,Table,MATCH(W$4,Curves,0))</f>
        <v>0.058966861357273</v>
      </c>
      <c r="X244" s="147" t="n">
        <f aca="false">1/(1+CHOOSE(F$3,(W245+($K$3/10000))/2,(W244+($K$3/10000))/2))^(2*V244/365.25)</f>
        <v>0.314416877225434</v>
      </c>
      <c r="Y244" s="71" t="n">
        <f aca="false">IF(AND(mthbeg&lt;=A244,mthend&gt;=A244),1,0)</f>
        <v>0</v>
      </c>
      <c r="Z244" s="71" t="n">
        <f aca="false">T244*Y244</f>
        <v>0</v>
      </c>
      <c r="AB244" s="132" t="n">
        <f aca="false">F244*G244</f>
        <v>0</v>
      </c>
      <c r="AC244" s="132" t="n">
        <f aca="false">$F244*H244</f>
        <v>0</v>
      </c>
      <c r="AD244" s="132" t="n">
        <f aca="false">$F244*I244</f>
        <v>0</v>
      </c>
      <c r="AE244" s="132" t="n">
        <f aca="false">$F244*J244</f>
        <v>-0</v>
      </c>
      <c r="AF244" s="132" t="n">
        <f aca="false">$F244*K244</f>
        <v>-0</v>
      </c>
      <c r="AG244" s="132" t="n">
        <f aca="false">$F244*L244</f>
        <v>0</v>
      </c>
      <c r="AH244" s="132" t="n">
        <f aca="false">$F244*M244</f>
        <v>0</v>
      </c>
      <c r="AI244" s="132" t="n">
        <f aca="false">$F244*N244</f>
        <v>0</v>
      </c>
      <c r="AJ244" s="132" t="n">
        <f aca="false">F244*O244</f>
        <v>0</v>
      </c>
      <c r="AK244" s="137"/>
      <c r="AL244" s="132" t="n">
        <f aca="false">CHOOSE($G$3,AC244-AD244,AD244-AC244)</f>
        <v>0</v>
      </c>
      <c r="AM244" s="132" t="n">
        <f aca="false">CHOOSE($G$3,AF244-AG244,AG244-AF244)</f>
        <v>0</v>
      </c>
      <c r="AN244" s="132" t="n">
        <f aca="false">CHOOSE($G$3,AI244-AJ244,AJ244-AI244)</f>
        <v>0</v>
      </c>
      <c r="AO244" s="148" t="n">
        <f aca="false">SUM(AL244:AN244)</f>
        <v>0</v>
      </c>
      <c r="AQ244" s="132" t="n">
        <f aca="false">CHOOSE($G$3,AB244-AC244,AC244-AB244)</f>
        <v>0</v>
      </c>
      <c r="AR244" s="132" t="n">
        <f aca="false">CHOOSE($G$3,AE244-AF244,AF244-AE244)</f>
        <v>0</v>
      </c>
      <c r="AS244" s="132" t="n">
        <f aca="false">CHOOSE($G$3,AH244-AI244,AI244-AH244)</f>
        <v>0</v>
      </c>
      <c r="AT244" s="148" t="n">
        <f aca="false">AQ244+AR244+AS244</f>
        <v>0</v>
      </c>
      <c r="AU244" s="148"/>
      <c r="AV244" s="133" t="n">
        <f aca="false">AT244+AO244</f>
        <v>0</v>
      </c>
      <c r="AX244" s="133" t="n">
        <f aca="false">AJ244+AG244+AD244</f>
        <v>0</v>
      </c>
      <c r="AY244" s="149"/>
      <c r="AZ244" s="76" t="n">
        <f aca="false">R244*E244</f>
        <v>0</v>
      </c>
    </row>
    <row r="245" customFormat="false" ht="12" hidden="false" customHeight="true" outlineLevel="0" collapsed="false">
      <c r="A245" s="138" t="n">
        <f aca="false">EDATE(A244,1)</f>
        <v>44136</v>
      </c>
      <c r="B245" s="139" t="n">
        <f aca="false">VLOOKUP($A245,Table2,MATCH(I$3,Curves2,0))</f>
        <v>0</v>
      </c>
      <c r="C245" s="140"/>
      <c r="D245" s="141" t="n">
        <f aca="false">B245+C245</f>
        <v>0</v>
      </c>
      <c r="E245" s="126" t="n">
        <f aca="false">IF(Y245=0,0,IF(AND(Y245=1,$H$3=1),D245*T245,IF($H$3=2,D245,"N/A")))</f>
        <v>0</v>
      </c>
      <c r="F245" s="126" t="n">
        <f aca="false">E245*X245</f>
        <v>0</v>
      </c>
      <c r="G245" s="142" t="n">
        <f aca="false">VLOOKUP($A245,Table,MATCH(G$4,Curves,0))</f>
        <v>3.987</v>
      </c>
      <c r="H245" s="143" t="n">
        <f aca="false">G245</f>
        <v>3.987</v>
      </c>
      <c r="I245" s="142" t="n">
        <f aca="false">VLOOKUP($A245,Table1,MATCH(I$3,Curves1,0))</f>
        <v>0</v>
      </c>
      <c r="J245" s="142" t="n">
        <f aca="false">VLOOKUP($A245,Table,MATCH(J$4,Curves,0))</f>
        <v>-0.0235</v>
      </c>
      <c r="K245" s="143" t="n">
        <f aca="false">J245</f>
        <v>-0.0235</v>
      </c>
      <c r="L245" s="144" t="n">
        <v>0</v>
      </c>
      <c r="M245" s="142" t="n">
        <f aca="false">VLOOKUP($A245,Table,MATCH(M$4,Curves,0))</f>
        <v>0.0075</v>
      </c>
      <c r="N245" s="143" t="n">
        <f aca="false">M245</f>
        <v>0.0075</v>
      </c>
      <c r="O245" s="144" t="n">
        <v>0</v>
      </c>
      <c r="P245" s="145"/>
      <c r="Q245" s="144" t="n">
        <f aca="false">M245+J245+G245</f>
        <v>3.971</v>
      </c>
      <c r="R245" s="144" t="n">
        <f aca="false">O245+L245+I245</f>
        <v>0</v>
      </c>
      <c r="S245" s="145"/>
      <c r="T245" s="71" t="n">
        <f aca="false">A246-A245</f>
        <v>30</v>
      </c>
      <c r="U245" s="146" t="n">
        <f aca="false">CHOOSE(F$3,A246+24,A245)</f>
        <v>44190</v>
      </c>
      <c r="V245" s="71" t="n">
        <f aca="false">U245-C$3</f>
        <v>7302</v>
      </c>
      <c r="W245" s="142" t="n">
        <f aca="false">VLOOKUP($A245,Table,MATCH(W$4,Curves,0))</f>
        <v>0.058966861357273</v>
      </c>
      <c r="X245" s="147" t="n">
        <f aca="false">1/(1+CHOOSE(F$3,(W246+($K$3/10000))/2,(W245+($K$3/10000))/2))^(2*V245/365.25)</f>
        <v>0.312919663334592</v>
      </c>
      <c r="Y245" s="71" t="n">
        <f aca="false">IF(AND(mthbeg&lt;=A245,mthend&gt;=A245),1,0)</f>
        <v>0</v>
      </c>
      <c r="Z245" s="71" t="n">
        <f aca="false">T245*Y245</f>
        <v>0</v>
      </c>
      <c r="AB245" s="132" t="n">
        <f aca="false">F245*G245</f>
        <v>0</v>
      </c>
      <c r="AC245" s="132" t="n">
        <f aca="false">$F245*H245</f>
        <v>0</v>
      </c>
      <c r="AD245" s="132" t="n">
        <f aca="false">$F245*I245</f>
        <v>0</v>
      </c>
      <c r="AE245" s="132" t="n">
        <f aca="false">$F245*J245</f>
        <v>-0</v>
      </c>
      <c r="AF245" s="132" t="n">
        <f aca="false">$F245*K245</f>
        <v>-0</v>
      </c>
      <c r="AG245" s="132" t="n">
        <f aca="false">$F245*L245</f>
        <v>0</v>
      </c>
      <c r="AH245" s="132" t="n">
        <f aca="false">$F245*M245</f>
        <v>0</v>
      </c>
      <c r="AI245" s="132" t="n">
        <f aca="false">$F245*N245</f>
        <v>0</v>
      </c>
      <c r="AJ245" s="132" t="n">
        <f aca="false">F245*O245</f>
        <v>0</v>
      </c>
      <c r="AK245" s="137"/>
      <c r="AL245" s="132" t="n">
        <f aca="false">CHOOSE($G$3,AC245-AD245,AD245-AC245)</f>
        <v>0</v>
      </c>
      <c r="AM245" s="132" t="n">
        <f aca="false">CHOOSE($G$3,AF245-AG245,AG245-AF245)</f>
        <v>0</v>
      </c>
      <c r="AN245" s="132" t="n">
        <f aca="false">CHOOSE($G$3,AI245-AJ245,AJ245-AI245)</f>
        <v>0</v>
      </c>
      <c r="AO245" s="148" t="n">
        <f aca="false">SUM(AL245:AN245)</f>
        <v>0</v>
      </c>
      <c r="AQ245" s="132" t="n">
        <f aca="false">CHOOSE($G$3,AB245-AC245,AC245-AB245)</f>
        <v>0</v>
      </c>
      <c r="AR245" s="132" t="n">
        <f aca="false">CHOOSE($G$3,AE245-AF245,AF245-AE245)</f>
        <v>0</v>
      </c>
      <c r="AS245" s="132" t="n">
        <f aca="false">CHOOSE($G$3,AH245-AI245,AI245-AH245)</f>
        <v>0</v>
      </c>
      <c r="AT245" s="148" t="n">
        <f aca="false">AQ245+AR245+AS245</f>
        <v>0</v>
      </c>
      <c r="AU245" s="148"/>
      <c r="AV245" s="133" t="n">
        <f aca="false">AT245+AO245</f>
        <v>0</v>
      </c>
      <c r="AX245" s="133" t="n">
        <f aca="false">AJ245+AG245+AD245</f>
        <v>0</v>
      </c>
      <c r="AY245" s="149"/>
      <c r="AZ245" s="76" t="n">
        <f aca="false">R245*E245</f>
        <v>0</v>
      </c>
    </row>
    <row r="246" customFormat="false" ht="12" hidden="false" customHeight="true" outlineLevel="0" collapsed="false">
      <c r="A246" s="138" t="n">
        <f aca="false">EDATE(A245,1)</f>
        <v>44166</v>
      </c>
      <c r="B246" s="139" t="n">
        <f aca="false">VLOOKUP($A246,Table2,MATCH(I$3,Curves2,0))</f>
        <v>0</v>
      </c>
      <c r="C246" s="140"/>
      <c r="D246" s="141" t="n">
        <f aca="false">B246+C246</f>
        <v>0</v>
      </c>
      <c r="E246" s="126" t="n">
        <f aca="false">IF(Y246=0,0,IF(AND(Y246=1,$H$3=1),D246*T246,IF($H$3=2,D246,"N/A")))</f>
        <v>0</v>
      </c>
      <c r="F246" s="126" t="n">
        <f aca="false">E246*X246</f>
        <v>0</v>
      </c>
      <c r="G246" s="142" t="n">
        <f aca="false">VLOOKUP($A246,Table,MATCH(G$4,Curves,0))</f>
        <v>3.987</v>
      </c>
      <c r="H246" s="143" t="n">
        <f aca="false">G246</f>
        <v>3.987</v>
      </c>
      <c r="I246" s="142" t="n">
        <f aca="false">VLOOKUP($A246,Table1,MATCH(I$3,Curves1,0))</f>
        <v>0</v>
      </c>
      <c r="J246" s="142" t="n">
        <f aca="false">VLOOKUP($A246,Table,MATCH(J$4,Curves,0))</f>
        <v>-0.0235</v>
      </c>
      <c r="K246" s="143" t="n">
        <f aca="false">J246</f>
        <v>-0.0235</v>
      </c>
      <c r="L246" s="144" t="n">
        <v>0</v>
      </c>
      <c r="M246" s="142" t="n">
        <f aca="false">VLOOKUP($A246,Table,MATCH(M$4,Curves,0))</f>
        <v>0.0075</v>
      </c>
      <c r="N246" s="143" t="n">
        <f aca="false">M246</f>
        <v>0.0075</v>
      </c>
      <c r="O246" s="144" t="n">
        <v>0</v>
      </c>
      <c r="P246" s="145"/>
      <c r="Q246" s="144" t="n">
        <f aca="false">M246+J246+G246</f>
        <v>3.971</v>
      </c>
      <c r="R246" s="144" t="n">
        <f aca="false">O246+L246+I246</f>
        <v>0</v>
      </c>
      <c r="S246" s="145"/>
      <c r="T246" s="71" t="n">
        <f aca="false">A247-A246</f>
        <v>31</v>
      </c>
      <c r="U246" s="146" t="n">
        <f aca="false">CHOOSE(F$3,A247+24,A246)</f>
        <v>44221</v>
      </c>
      <c r="V246" s="71" t="n">
        <f aca="false">U246-C$3</f>
        <v>7333</v>
      </c>
      <c r="W246" s="142" t="n">
        <f aca="false">VLOOKUP($A246,Table,MATCH(W$4,Curves,0))</f>
        <v>0.058966861357273</v>
      </c>
      <c r="X246" s="147" t="n">
        <f aca="false">1/(1+CHOOSE(F$3,(W247+($K$3/10000))/2,(W246+($K$3/10000))/2))^(2*V246/365.25)</f>
        <v>0.311380031900948</v>
      </c>
      <c r="Y246" s="71" t="n">
        <f aca="false">IF(AND(mthbeg&lt;=A246,mthend&gt;=A246),1,0)</f>
        <v>0</v>
      </c>
      <c r="Z246" s="71" t="n">
        <f aca="false">T246*Y246</f>
        <v>0</v>
      </c>
      <c r="AB246" s="132" t="n">
        <f aca="false">F246*G246</f>
        <v>0</v>
      </c>
      <c r="AC246" s="132" t="n">
        <f aca="false">$F246*H246</f>
        <v>0</v>
      </c>
      <c r="AD246" s="132" t="n">
        <f aca="false">$F246*I246</f>
        <v>0</v>
      </c>
      <c r="AE246" s="132" t="n">
        <f aca="false">$F246*J246</f>
        <v>-0</v>
      </c>
      <c r="AF246" s="132" t="n">
        <f aca="false">$F246*K246</f>
        <v>-0</v>
      </c>
      <c r="AG246" s="132" t="n">
        <f aca="false">$F246*L246</f>
        <v>0</v>
      </c>
      <c r="AH246" s="132" t="n">
        <f aca="false">$F246*M246</f>
        <v>0</v>
      </c>
      <c r="AI246" s="132" t="n">
        <f aca="false">$F246*N246</f>
        <v>0</v>
      </c>
      <c r="AJ246" s="132" t="n">
        <f aca="false">F246*O246</f>
        <v>0</v>
      </c>
      <c r="AK246" s="137"/>
      <c r="AL246" s="132" t="n">
        <f aca="false">CHOOSE($G$3,AC246-AD246,AD246-AC246)</f>
        <v>0</v>
      </c>
      <c r="AM246" s="132" t="n">
        <f aca="false">CHOOSE($G$3,AF246-AG246,AG246-AF246)</f>
        <v>0</v>
      </c>
      <c r="AN246" s="132" t="n">
        <f aca="false">CHOOSE($G$3,AI246-AJ246,AJ246-AI246)</f>
        <v>0</v>
      </c>
      <c r="AO246" s="148" t="n">
        <f aca="false">SUM(AL246:AN246)</f>
        <v>0</v>
      </c>
      <c r="AQ246" s="132" t="n">
        <f aca="false">CHOOSE($G$3,AB246-AC246,AC246-AB246)</f>
        <v>0</v>
      </c>
      <c r="AR246" s="132" t="n">
        <f aca="false">CHOOSE($G$3,AE246-AF246,AF246-AE246)</f>
        <v>0</v>
      </c>
      <c r="AS246" s="132" t="n">
        <f aca="false">CHOOSE($G$3,AH246-AI246,AI246-AH246)</f>
        <v>0</v>
      </c>
      <c r="AT246" s="148" t="n">
        <f aca="false">AQ246+AR246+AS246</f>
        <v>0</v>
      </c>
      <c r="AU246" s="148"/>
      <c r="AV246" s="133" t="n">
        <f aca="false">AT246+AO246</f>
        <v>0</v>
      </c>
      <c r="AX246" s="133" t="n">
        <f aca="false">AJ246+AG246+AD246</f>
        <v>0</v>
      </c>
      <c r="AY246" s="149"/>
      <c r="AZ246" s="76" t="n">
        <f aca="false">R246*E246</f>
        <v>0</v>
      </c>
    </row>
    <row r="247" customFormat="false" ht="12" hidden="false" customHeight="true" outlineLevel="0" collapsed="false">
      <c r="A247" s="138" t="n">
        <f aca="false">EDATE(A246,1)</f>
        <v>44197</v>
      </c>
      <c r="B247" s="139" t="n">
        <f aca="false">VLOOKUP($A247,Table2,MATCH(I$3,Curves2,0))</f>
        <v>0</v>
      </c>
      <c r="C247" s="140"/>
      <c r="D247" s="141" t="n">
        <f aca="false">B247+C247</f>
        <v>0</v>
      </c>
      <c r="E247" s="126" t="n">
        <f aca="false">IF(Y247=0,0,IF(AND(Y247=1,$H$3=1),D247*T247,IF($H$3=2,D247,"N/A")))</f>
        <v>0</v>
      </c>
      <c r="F247" s="126" t="n">
        <f aca="false">E247*X247</f>
        <v>0</v>
      </c>
      <c r="G247" s="142" t="n">
        <f aca="false">VLOOKUP($A247,Table,MATCH(G$4,Curves,0))</f>
        <v>3.987</v>
      </c>
      <c r="H247" s="143" t="n">
        <f aca="false">G247</f>
        <v>3.987</v>
      </c>
      <c r="I247" s="142" t="n">
        <f aca="false">VLOOKUP($A247,Table1,MATCH(I$3,Curves1,0))</f>
        <v>0</v>
      </c>
      <c r="J247" s="142" t="n">
        <f aca="false">VLOOKUP($A247,Table,MATCH(J$4,Curves,0))</f>
        <v>-0.0235</v>
      </c>
      <c r="K247" s="143" t="n">
        <f aca="false">J247</f>
        <v>-0.0235</v>
      </c>
      <c r="L247" s="144" t="n">
        <v>0</v>
      </c>
      <c r="M247" s="142" t="n">
        <f aca="false">VLOOKUP($A247,Table,MATCH(M$4,Curves,0))</f>
        <v>0.0075</v>
      </c>
      <c r="N247" s="143" t="n">
        <f aca="false">M247</f>
        <v>0.0075</v>
      </c>
      <c r="O247" s="144" t="n">
        <v>0</v>
      </c>
      <c r="P247" s="145"/>
      <c r="Q247" s="144" t="n">
        <f aca="false">M247+J247+G247</f>
        <v>3.971</v>
      </c>
      <c r="R247" s="144" t="n">
        <f aca="false">O247+L247+I247</f>
        <v>0</v>
      </c>
      <c r="S247" s="145"/>
      <c r="T247" s="71" t="n">
        <f aca="false">A248-A247</f>
        <v>31</v>
      </c>
      <c r="U247" s="146" t="n">
        <f aca="false">CHOOSE(F$3,A248+24,A247)</f>
        <v>44252</v>
      </c>
      <c r="V247" s="71" t="n">
        <f aca="false">U247-C$3</f>
        <v>7364</v>
      </c>
      <c r="W247" s="142" t="n">
        <f aca="false">VLOOKUP($A247,Table,MATCH(W$4,Curves,0))</f>
        <v>0.058966861357273</v>
      </c>
      <c r="X247" s="147" t="n">
        <f aca="false">1/(1+CHOOSE(F$3,(W248+($K$3/10000))/2,(W247+($K$3/10000))/2))^(2*V247/365.25)</f>
        <v>0.309847975782087</v>
      </c>
      <c r="Y247" s="71" t="n">
        <f aca="false">IF(AND(mthbeg&lt;=A247,mthend&gt;=A247),1,0)</f>
        <v>0</v>
      </c>
      <c r="Z247" s="71" t="n">
        <f aca="false">T247*Y247</f>
        <v>0</v>
      </c>
      <c r="AB247" s="132" t="n">
        <f aca="false">F247*G247</f>
        <v>0</v>
      </c>
      <c r="AC247" s="132" t="n">
        <f aca="false">$F247*H247</f>
        <v>0</v>
      </c>
      <c r="AD247" s="132" t="n">
        <f aca="false">$F247*I247</f>
        <v>0</v>
      </c>
      <c r="AE247" s="132" t="n">
        <f aca="false">$F247*J247</f>
        <v>-0</v>
      </c>
      <c r="AF247" s="132" t="n">
        <f aca="false">$F247*K247</f>
        <v>-0</v>
      </c>
      <c r="AG247" s="132" t="n">
        <f aca="false">$F247*L247</f>
        <v>0</v>
      </c>
      <c r="AH247" s="132" t="n">
        <f aca="false">$F247*M247</f>
        <v>0</v>
      </c>
      <c r="AI247" s="132" t="n">
        <f aca="false">$F247*N247</f>
        <v>0</v>
      </c>
      <c r="AJ247" s="132" t="n">
        <f aca="false">F247*O247</f>
        <v>0</v>
      </c>
      <c r="AK247" s="137"/>
      <c r="AL247" s="132" t="n">
        <f aca="false">CHOOSE($G$3,AC247-AD247,AD247-AC247)</f>
        <v>0</v>
      </c>
      <c r="AM247" s="132" t="n">
        <f aca="false">CHOOSE($G$3,AF247-AG247,AG247-AF247)</f>
        <v>0</v>
      </c>
      <c r="AN247" s="132" t="n">
        <f aca="false">CHOOSE($G$3,AI247-AJ247,AJ247-AI247)</f>
        <v>0</v>
      </c>
      <c r="AO247" s="148" t="n">
        <f aca="false">SUM(AL247:AN247)</f>
        <v>0</v>
      </c>
      <c r="AQ247" s="132" t="n">
        <f aca="false">CHOOSE($G$3,AB247-AC247,AC247-AB247)</f>
        <v>0</v>
      </c>
      <c r="AR247" s="132" t="n">
        <f aca="false">CHOOSE($G$3,AE247-AF247,AF247-AE247)</f>
        <v>0</v>
      </c>
      <c r="AS247" s="132" t="n">
        <f aca="false">CHOOSE($G$3,AH247-AI247,AI247-AH247)</f>
        <v>0</v>
      </c>
      <c r="AT247" s="148" t="n">
        <f aca="false">AQ247+AR247+AS247</f>
        <v>0</v>
      </c>
      <c r="AU247" s="148"/>
      <c r="AV247" s="133" t="n">
        <f aca="false">AT247+AO247</f>
        <v>0</v>
      </c>
      <c r="AX247" s="133" t="n">
        <f aca="false">AJ247+AG247+AD247</f>
        <v>0</v>
      </c>
      <c r="AY247" s="149"/>
      <c r="AZ247" s="76" t="n">
        <f aca="false">R247*E247</f>
        <v>0</v>
      </c>
    </row>
    <row r="248" customFormat="false" ht="12" hidden="false" customHeight="true" outlineLevel="0" collapsed="false">
      <c r="A248" s="138" t="n">
        <f aca="false">EDATE(A247,1)</f>
        <v>44228</v>
      </c>
      <c r="B248" s="139" t="n">
        <f aca="false">VLOOKUP($A248,Table2,MATCH(I$3,Curves2,0))</f>
        <v>0</v>
      </c>
      <c r="C248" s="140"/>
      <c r="D248" s="141" t="n">
        <f aca="false">B248+C248</f>
        <v>0</v>
      </c>
      <c r="E248" s="126" t="n">
        <f aca="false">IF(Y248=0,0,IF(AND(Y248=1,$H$3=1),D248*T248,IF($H$3=2,D248,"N/A")))</f>
        <v>0</v>
      </c>
      <c r="F248" s="126" t="n">
        <f aca="false">E248*X248</f>
        <v>0</v>
      </c>
      <c r="G248" s="142" t="n">
        <f aca="false">VLOOKUP($A248,Table,MATCH(G$4,Curves,0))</f>
        <v>3.987</v>
      </c>
      <c r="H248" s="143" t="n">
        <f aca="false">G248</f>
        <v>3.987</v>
      </c>
      <c r="I248" s="142" t="n">
        <f aca="false">VLOOKUP($A248,Table1,MATCH(I$3,Curves1,0))</f>
        <v>0</v>
      </c>
      <c r="J248" s="142" t="n">
        <f aca="false">VLOOKUP($A248,Table,MATCH(J$4,Curves,0))</f>
        <v>-0.0235</v>
      </c>
      <c r="K248" s="143" t="n">
        <f aca="false">J248</f>
        <v>-0.0235</v>
      </c>
      <c r="L248" s="144" t="n">
        <v>0</v>
      </c>
      <c r="M248" s="142" t="n">
        <f aca="false">VLOOKUP($A248,Table,MATCH(M$4,Curves,0))</f>
        <v>0.0075</v>
      </c>
      <c r="N248" s="143" t="n">
        <f aca="false">M248</f>
        <v>0.0075</v>
      </c>
      <c r="O248" s="144" t="n">
        <v>0</v>
      </c>
      <c r="P248" s="145"/>
      <c r="Q248" s="144" t="n">
        <f aca="false">M248+J248+G248</f>
        <v>3.971</v>
      </c>
      <c r="R248" s="144" t="n">
        <f aca="false">O248+L248+I248</f>
        <v>0</v>
      </c>
      <c r="S248" s="145"/>
      <c r="T248" s="71" t="n">
        <f aca="false">A249-A248</f>
        <v>28</v>
      </c>
      <c r="U248" s="146" t="n">
        <f aca="false">CHOOSE(F$3,A249+24,A248)</f>
        <v>44280</v>
      </c>
      <c r="V248" s="71" t="n">
        <f aca="false">U248-C$3</f>
        <v>7392</v>
      </c>
      <c r="W248" s="142" t="n">
        <f aca="false">VLOOKUP($A248,Table,MATCH(W$4,Curves,0))</f>
        <v>0.058966861357273</v>
      </c>
      <c r="X248" s="147" t="n">
        <f aca="false">1/(1+CHOOSE(F$3,(W249+($K$3/10000))/2,(W248+($K$3/10000))/2))^(2*V248/365.25)</f>
        <v>0.308470663296764</v>
      </c>
      <c r="Y248" s="71" t="n">
        <f aca="false">IF(AND(mthbeg&lt;=A248,mthend&gt;=A248),1,0)</f>
        <v>0</v>
      </c>
      <c r="Z248" s="71" t="n">
        <f aca="false">T248*Y248</f>
        <v>0</v>
      </c>
      <c r="AB248" s="132" t="n">
        <f aca="false">F248*G248</f>
        <v>0</v>
      </c>
      <c r="AC248" s="132" t="n">
        <f aca="false">$F248*H248</f>
        <v>0</v>
      </c>
      <c r="AD248" s="132" t="n">
        <f aca="false">$F248*I248</f>
        <v>0</v>
      </c>
      <c r="AE248" s="132" t="n">
        <f aca="false">$F248*J248</f>
        <v>-0</v>
      </c>
      <c r="AF248" s="132" t="n">
        <f aca="false">$F248*K248</f>
        <v>-0</v>
      </c>
      <c r="AG248" s="132" t="n">
        <f aca="false">$F248*L248</f>
        <v>0</v>
      </c>
      <c r="AH248" s="132" t="n">
        <f aca="false">$F248*M248</f>
        <v>0</v>
      </c>
      <c r="AI248" s="132" t="n">
        <f aca="false">$F248*N248</f>
        <v>0</v>
      </c>
      <c r="AJ248" s="132" t="n">
        <f aca="false">F248*O248</f>
        <v>0</v>
      </c>
      <c r="AK248" s="137"/>
      <c r="AL248" s="132" t="n">
        <f aca="false">CHOOSE($G$3,AC248-AD248,AD248-AC248)</f>
        <v>0</v>
      </c>
      <c r="AM248" s="132" t="n">
        <f aca="false">CHOOSE($G$3,AF248-AG248,AG248-AF248)</f>
        <v>0</v>
      </c>
      <c r="AN248" s="132" t="n">
        <f aca="false">CHOOSE($G$3,AI248-AJ248,AJ248-AI248)</f>
        <v>0</v>
      </c>
      <c r="AO248" s="148" t="n">
        <f aca="false">SUM(AL248:AN248)</f>
        <v>0</v>
      </c>
      <c r="AQ248" s="132" t="n">
        <f aca="false">CHOOSE($G$3,AB248-AC248,AC248-AB248)</f>
        <v>0</v>
      </c>
      <c r="AR248" s="132" t="n">
        <f aca="false">CHOOSE($G$3,AE248-AF248,AF248-AE248)</f>
        <v>0</v>
      </c>
      <c r="AS248" s="132" t="n">
        <f aca="false">CHOOSE($G$3,AH248-AI248,AI248-AH248)</f>
        <v>0</v>
      </c>
      <c r="AT248" s="148" t="n">
        <f aca="false">AQ248+AR248+AS248</f>
        <v>0</v>
      </c>
      <c r="AU248" s="148"/>
      <c r="AV248" s="133" t="n">
        <f aca="false">AT248+AO248</f>
        <v>0</v>
      </c>
      <c r="AX248" s="133" t="n">
        <f aca="false">AJ248+AG248+AD248</f>
        <v>0</v>
      </c>
      <c r="AY248" s="149"/>
      <c r="AZ248" s="76" t="n">
        <f aca="false">R248*E248</f>
        <v>0</v>
      </c>
    </row>
    <row r="249" customFormat="false" ht="12" hidden="false" customHeight="true" outlineLevel="0" collapsed="false">
      <c r="A249" s="138" t="n">
        <f aca="false">EDATE(A248,1)</f>
        <v>44256</v>
      </c>
      <c r="B249" s="139" t="n">
        <f aca="false">VLOOKUP($A249,Table2,MATCH(I$3,Curves2,0))</f>
        <v>0</v>
      </c>
      <c r="C249" s="140"/>
      <c r="D249" s="141" t="n">
        <f aca="false">B249+C249</f>
        <v>0</v>
      </c>
      <c r="E249" s="126" t="n">
        <f aca="false">IF(Y249=0,0,IF(AND(Y249=1,$H$3=1),D249*T249,IF($H$3=2,D249,"N/A")))</f>
        <v>0</v>
      </c>
      <c r="F249" s="126" t="n">
        <f aca="false">E249*X249</f>
        <v>0</v>
      </c>
      <c r="G249" s="142" t="n">
        <f aca="false">VLOOKUP($A249,Table,MATCH(G$4,Curves,0))</f>
        <v>3.987</v>
      </c>
      <c r="H249" s="143" t="n">
        <f aca="false">G249</f>
        <v>3.987</v>
      </c>
      <c r="I249" s="142" t="n">
        <f aca="false">VLOOKUP($A249,Table1,MATCH(I$3,Curves1,0))</f>
        <v>0</v>
      </c>
      <c r="J249" s="142" t="n">
        <f aca="false">VLOOKUP($A249,Table,MATCH(J$4,Curves,0))</f>
        <v>-0.0235</v>
      </c>
      <c r="K249" s="143" t="n">
        <f aca="false">J249</f>
        <v>-0.0235</v>
      </c>
      <c r="L249" s="144" t="n">
        <v>0</v>
      </c>
      <c r="M249" s="142" t="n">
        <f aca="false">VLOOKUP($A249,Table,MATCH(M$4,Curves,0))</f>
        <v>0.0075</v>
      </c>
      <c r="N249" s="143" t="n">
        <f aca="false">M249</f>
        <v>0.0075</v>
      </c>
      <c r="O249" s="144" t="n">
        <v>0</v>
      </c>
      <c r="P249" s="145"/>
      <c r="Q249" s="144" t="n">
        <f aca="false">M249+J249+G249</f>
        <v>3.971</v>
      </c>
      <c r="R249" s="144" t="n">
        <f aca="false">O249+L249+I249</f>
        <v>0</v>
      </c>
      <c r="S249" s="145"/>
      <c r="T249" s="71" t="n">
        <f aca="false">A250-A249</f>
        <v>31</v>
      </c>
      <c r="U249" s="146" t="n">
        <f aca="false">CHOOSE(F$3,A250+24,A249)</f>
        <v>44311</v>
      </c>
      <c r="V249" s="71" t="n">
        <f aca="false">U249-C$3</f>
        <v>7423</v>
      </c>
      <c r="W249" s="142" t="n">
        <f aca="false">VLOOKUP($A249,Table,MATCH(W$4,Curves,0))</f>
        <v>0.058966861357273</v>
      </c>
      <c r="X249" s="147" t="n">
        <f aca="false">1/(1+CHOOSE(F$3,(W250+($K$3/10000))/2,(W249+($K$3/10000))/2))^(2*V249/365.25)</f>
        <v>0.306952921891485</v>
      </c>
      <c r="Y249" s="71" t="n">
        <f aca="false">IF(AND(mthbeg&lt;=A249,mthend&gt;=A249),1,0)</f>
        <v>0</v>
      </c>
      <c r="Z249" s="71" t="n">
        <f aca="false">T249*Y249</f>
        <v>0</v>
      </c>
      <c r="AB249" s="132" t="n">
        <f aca="false">F249*G249</f>
        <v>0</v>
      </c>
      <c r="AC249" s="132" t="n">
        <f aca="false">$F249*H249</f>
        <v>0</v>
      </c>
      <c r="AD249" s="132" t="n">
        <f aca="false">$F249*I249</f>
        <v>0</v>
      </c>
      <c r="AE249" s="132" t="n">
        <f aca="false">$F249*J249</f>
        <v>-0</v>
      </c>
      <c r="AF249" s="132" t="n">
        <f aca="false">$F249*K249</f>
        <v>-0</v>
      </c>
      <c r="AG249" s="132" t="n">
        <f aca="false">$F249*L249</f>
        <v>0</v>
      </c>
      <c r="AH249" s="132" t="n">
        <f aca="false">$F249*M249</f>
        <v>0</v>
      </c>
      <c r="AI249" s="132" t="n">
        <f aca="false">$F249*N249</f>
        <v>0</v>
      </c>
      <c r="AJ249" s="132" t="n">
        <f aca="false">F249*O249</f>
        <v>0</v>
      </c>
      <c r="AK249" s="137"/>
      <c r="AL249" s="132" t="n">
        <f aca="false">CHOOSE($G$3,AC249-AD249,AD249-AC249)</f>
        <v>0</v>
      </c>
      <c r="AM249" s="132" t="n">
        <f aca="false">CHOOSE($G$3,AF249-AG249,AG249-AF249)</f>
        <v>0</v>
      </c>
      <c r="AN249" s="132" t="n">
        <f aca="false">CHOOSE($G$3,AI249-AJ249,AJ249-AI249)</f>
        <v>0</v>
      </c>
      <c r="AO249" s="148" t="n">
        <f aca="false">SUM(AL249:AN249)</f>
        <v>0</v>
      </c>
      <c r="AQ249" s="132" t="n">
        <f aca="false">CHOOSE($G$3,AB249-AC249,AC249-AB249)</f>
        <v>0</v>
      </c>
      <c r="AR249" s="132" t="n">
        <f aca="false">CHOOSE($G$3,AE249-AF249,AF249-AE249)</f>
        <v>0</v>
      </c>
      <c r="AS249" s="132" t="n">
        <f aca="false">CHOOSE($G$3,AH249-AI249,AI249-AH249)</f>
        <v>0</v>
      </c>
      <c r="AT249" s="148" t="n">
        <f aca="false">AQ249+AR249+AS249</f>
        <v>0</v>
      </c>
      <c r="AU249" s="148"/>
      <c r="AV249" s="133" t="n">
        <f aca="false">AT249+AO249</f>
        <v>0</v>
      </c>
      <c r="AX249" s="133" t="n">
        <f aca="false">AJ249+AG249+AD249</f>
        <v>0</v>
      </c>
      <c r="AY249" s="149"/>
      <c r="AZ249" s="76" t="n">
        <f aca="false">R249*E249</f>
        <v>0</v>
      </c>
    </row>
    <row r="250" customFormat="false" ht="12" hidden="false" customHeight="true" outlineLevel="0" collapsed="false">
      <c r="A250" s="138" t="n">
        <f aca="false">EDATE(A249,1)</f>
        <v>44287</v>
      </c>
      <c r="B250" s="139" t="n">
        <f aca="false">VLOOKUP($A250,Table2,MATCH(I$3,Curves2,0))</f>
        <v>0</v>
      </c>
      <c r="C250" s="140"/>
      <c r="D250" s="141" t="n">
        <f aca="false">B250+C250</f>
        <v>0</v>
      </c>
      <c r="E250" s="126" t="n">
        <f aca="false">IF(Y250=0,0,IF(AND(Y250=1,$H$3=1),D250*T250,IF($H$3=2,D250,"N/A")))</f>
        <v>0</v>
      </c>
      <c r="F250" s="126" t="n">
        <f aca="false">E250*X250</f>
        <v>0</v>
      </c>
      <c r="G250" s="142" t="n">
        <f aca="false">VLOOKUP($A250,Table,MATCH(G$4,Curves,0))</f>
        <v>3.987</v>
      </c>
      <c r="H250" s="143" t="n">
        <f aca="false">G250</f>
        <v>3.987</v>
      </c>
      <c r="I250" s="142" t="n">
        <f aca="false">VLOOKUP($A250,Table1,MATCH(I$3,Curves1,0))</f>
        <v>0</v>
      </c>
      <c r="J250" s="142" t="n">
        <f aca="false">VLOOKUP($A250,Table,MATCH(J$4,Curves,0))</f>
        <v>-0.0235</v>
      </c>
      <c r="K250" s="143" t="n">
        <f aca="false">J250</f>
        <v>-0.0235</v>
      </c>
      <c r="L250" s="144" t="n">
        <v>0</v>
      </c>
      <c r="M250" s="142" t="n">
        <f aca="false">VLOOKUP($A250,Table,MATCH(M$4,Curves,0))</f>
        <v>0.0075</v>
      </c>
      <c r="N250" s="143" t="n">
        <f aca="false">M250</f>
        <v>0.0075</v>
      </c>
      <c r="O250" s="144" t="n">
        <v>0</v>
      </c>
      <c r="P250" s="145"/>
      <c r="Q250" s="144" t="n">
        <f aca="false">M250+J250+G250</f>
        <v>3.971</v>
      </c>
      <c r="R250" s="144" t="n">
        <f aca="false">O250+L250+I250</f>
        <v>0</v>
      </c>
      <c r="S250" s="145"/>
      <c r="T250" s="71" t="n">
        <f aca="false">A251-A250</f>
        <v>30</v>
      </c>
      <c r="U250" s="146" t="n">
        <f aca="false">CHOOSE(F$3,A251+24,A250)</f>
        <v>44341</v>
      </c>
      <c r="V250" s="71" t="n">
        <f aca="false">U250-C$3</f>
        <v>7453</v>
      </c>
      <c r="W250" s="142" t="n">
        <f aca="false">VLOOKUP($A250,Table,MATCH(W$4,Curves,0))</f>
        <v>0.058966861357273</v>
      </c>
      <c r="X250" s="147" t="n">
        <f aca="false">1/(1+CHOOSE(F$3,(W251+($K$3/10000))/2,(W250+($K$3/10000))/2))^(2*V250/365.25)</f>
        <v>0.305491250423509</v>
      </c>
      <c r="Y250" s="71" t="n">
        <f aca="false">IF(AND(mthbeg&lt;=A250,mthend&gt;=A250),1,0)</f>
        <v>0</v>
      </c>
      <c r="Z250" s="71" t="n">
        <f aca="false">T250*Y250</f>
        <v>0</v>
      </c>
      <c r="AB250" s="132" t="n">
        <f aca="false">F250*G250</f>
        <v>0</v>
      </c>
      <c r="AC250" s="132" t="n">
        <f aca="false">$F250*H250</f>
        <v>0</v>
      </c>
      <c r="AD250" s="132" t="n">
        <f aca="false">$F250*I250</f>
        <v>0</v>
      </c>
      <c r="AE250" s="132" t="n">
        <f aca="false">$F250*J250</f>
        <v>-0</v>
      </c>
      <c r="AF250" s="132" t="n">
        <f aca="false">$F250*K250</f>
        <v>-0</v>
      </c>
      <c r="AG250" s="132" t="n">
        <f aca="false">$F250*L250</f>
        <v>0</v>
      </c>
      <c r="AH250" s="132" t="n">
        <f aca="false">$F250*M250</f>
        <v>0</v>
      </c>
      <c r="AI250" s="132" t="n">
        <f aca="false">$F250*N250</f>
        <v>0</v>
      </c>
      <c r="AJ250" s="132" t="n">
        <f aca="false">F250*O250</f>
        <v>0</v>
      </c>
      <c r="AK250" s="137"/>
      <c r="AL250" s="132" t="n">
        <f aca="false">CHOOSE($G$3,AC250-AD250,AD250-AC250)</f>
        <v>0</v>
      </c>
      <c r="AM250" s="132" t="n">
        <f aca="false">CHOOSE($G$3,AF250-AG250,AG250-AF250)</f>
        <v>0</v>
      </c>
      <c r="AN250" s="132" t="n">
        <f aca="false">CHOOSE($G$3,AI250-AJ250,AJ250-AI250)</f>
        <v>0</v>
      </c>
      <c r="AO250" s="148" t="n">
        <f aca="false">SUM(AL250:AN250)</f>
        <v>0</v>
      </c>
      <c r="AQ250" s="132" t="n">
        <f aca="false">CHOOSE($G$3,AB250-AC250,AC250-AB250)</f>
        <v>0</v>
      </c>
      <c r="AR250" s="132" t="n">
        <f aca="false">CHOOSE($G$3,AE250-AF250,AF250-AE250)</f>
        <v>0</v>
      </c>
      <c r="AS250" s="132" t="n">
        <f aca="false">CHOOSE($G$3,AH250-AI250,AI250-AH250)</f>
        <v>0</v>
      </c>
      <c r="AT250" s="148" t="n">
        <f aca="false">AQ250+AR250+AS250</f>
        <v>0</v>
      </c>
      <c r="AU250" s="148"/>
      <c r="AV250" s="133" t="n">
        <f aca="false">AT250+AO250</f>
        <v>0</v>
      </c>
      <c r="AX250" s="133" t="n">
        <f aca="false">AJ250+AG250+AD250</f>
        <v>0</v>
      </c>
      <c r="AY250" s="149"/>
      <c r="AZ250" s="76" t="n">
        <f aca="false">R250*E250</f>
        <v>0</v>
      </c>
    </row>
    <row r="251" customFormat="false" ht="12" hidden="false" customHeight="true" outlineLevel="0" collapsed="false">
      <c r="A251" s="138" t="n">
        <f aca="false">EDATE(A250,1)</f>
        <v>44317</v>
      </c>
      <c r="B251" s="139" t="n">
        <f aca="false">VLOOKUP($A251,Table2,MATCH(I$3,Curves2,0))</f>
        <v>0</v>
      </c>
      <c r="C251" s="140"/>
      <c r="D251" s="141" t="n">
        <f aca="false">B251+C251</f>
        <v>0</v>
      </c>
      <c r="E251" s="126" t="n">
        <f aca="false">IF(Y251=0,0,IF(AND(Y251=1,$H$3=1),D251*T251,IF($H$3=2,D251,"N/A")))</f>
        <v>0</v>
      </c>
      <c r="F251" s="126" t="n">
        <f aca="false">E251*X251</f>
        <v>0</v>
      </c>
      <c r="G251" s="142" t="n">
        <f aca="false">VLOOKUP($A251,Table,MATCH(G$4,Curves,0))</f>
        <v>3.987</v>
      </c>
      <c r="H251" s="143" t="n">
        <f aca="false">G251</f>
        <v>3.987</v>
      </c>
      <c r="I251" s="142" t="n">
        <f aca="false">VLOOKUP($A251,Table1,MATCH(I$3,Curves1,0))</f>
        <v>0</v>
      </c>
      <c r="J251" s="142" t="n">
        <f aca="false">VLOOKUP($A251,Table,MATCH(J$4,Curves,0))</f>
        <v>-0.0235</v>
      </c>
      <c r="K251" s="143" t="n">
        <f aca="false">J251</f>
        <v>-0.0235</v>
      </c>
      <c r="L251" s="144" t="n">
        <v>0</v>
      </c>
      <c r="M251" s="142" t="n">
        <f aca="false">VLOOKUP($A251,Table,MATCH(M$4,Curves,0))</f>
        <v>0.0075</v>
      </c>
      <c r="N251" s="143" t="n">
        <f aca="false">M251</f>
        <v>0.0075</v>
      </c>
      <c r="O251" s="144" t="n">
        <v>0</v>
      </c>
      <c r="P251" s="145"/>
      <c r="Q251" s="144" t="n">
        <f aca="false">M251+J251+G251</f>
        <v>3.971</v>
      </c>
      <c r="R251" s="144" t="n">
        <f aca="false">O251+L251+I251</f>
        <v>0</v>
      </c>
      <c r="S251" s="145"/>
      <c r="T251" s="71" t="n">
        <f aca="false">A252-A251</f>
        <v>31</v>
      </c>
      <c r="U251" s="146" t="n">
        <f aca="false">CHOOSE(F$3,A252+24,A251)</f>
        <v>44372</v>
      </c>
      <c r="V251" s="71" t="n">
        <f aca="false">U251-C$3</f>
        <v>7484</v>
      </c>
      <c r="W251" s="142" t="n">
        <f aca="false">VLOOKUP($A251,Table,MATCH(W$4,Curves,0))</f>
        <v>0.058966861357273</v>
      </c>
      <c r="X251" s="147" t="n">
        <f aca="false">1/(1+CHOOSE(F$3,(W252+($K$3/10000))/2,(W251+($K$3/10000))/2))^(2*V251/365.25)</f>
        <v>0.303988168364545</v>
      </c>
      <c r="Y251" s="71" t="n">
        <f aca="false">IF(AND(mthbeg&lt;=A251,mthend&gt;=A251),1,0)</f>
        <v>0</v>
      </c>
      <c r="Z251" s="71" t="n">
        <f aca="false">T251*Y251</f>
        <v>0</v>
      </c>
      <c r="AB251" s="132" t="n">
        <f aca="false">F251*G251</f>
        <v>0</v>
      </c>
      <c r="AC251" s="132" t="n">
        <f aca="false">$F251*H251</f>
        <v>0</v>
      </c>
      <c r="AD251" s="132" t="n">
        <f aca="false">$F251*I251</f>
        <v>0</v>
      </c>
      <c r="AE251" s="132" t="n">
        <f aca="false">$F251*J251</f>
        <v>-0</v>
      </c>
      <c r="AF251" s="132" t="n">
        <f aca="false">$F251*K251</f>
        <v>-0</v>
      </c>
      <c r="AG251" s="132" t="n">
        <f aca="false">$F251*L251</f>
        <v>0</v>
      </c>
      <c r="AH251" s="132" t="n">
        <f aca="false">$F251*M251</f>
        <v>0</v>
      </c>
      <c r="AI251" s="132" t="n">
        <f aca="false">$F251*N251</f>
        <v>0</v>
      </c>
      <c r="AJ251" s="132" t="n">
        <f aca="false">F251*O251</f>
        <v>0</v>
      </c>
      <c r="AK251" s="137"/>
      <c r="AL251" s="132" t="n">
        <f aca="false">CHOOSE($G$3,AC251-AD251,AD251-AC251)</f>
        <v>0</v>
      </c>
      <c r="AM251" s="132" t="n">
        <f aca="false">CHOOSE($G$3,AF251-AG251,AG251-AF251)</f>
        <v>0</v>
      </c>
      <c r="AN251" s="132" t="n">
        <f aca="false">CHOOSE($G$3,AI251-AJ251,AJ251-AI251)</f>
        <v>0</v>
      </c>
      <c r="AO251" s="148" t="n">
        <f aca="false">SUM(AL251:AN251)</f>
        <v>0</v>
      </c>
      <c r="AQ251" s="132" t="n">
        <f aca="false">CHOOSE($G$3,AB251-AC251,AC251-AB251)</f>
        <v>0</v>
      </c>
      <c r="AR251" s="132" t="n">
        <f aca="false">CHOOSE($G$3,AE251-AF251,AF251-AE251)</f>
        <v>0</v>
      </c>
      <c r="AS251" s="132" t="n">
        <f aca="false">CHOOSE($G$3,AH251-AI251,AI251-AH251)</f>
        <v>0</v>
      </c>
      <c r="AT251" s="148" t="n">
        <f aca="false">AQ251+AR251+AS251</f>
        <v>0</v>
      </c>
      <c r="AU251" s="148"/>
      <c r="AV251" s="133" t="n">
        <f aca="false">AT251+AO251</f>
        <v>0</v>
      </c>
      <c r="AX251" s="133" t="n">
        <f aca="false">AJ251+AG251+AD251</f>
        <v>0</v>
      </c>
      <c r="AY251" s="149"/>
      <c r="AZ251" s="76" t="n">
        <f aca="false">R251*E251</f>
        <v>0</v>
      </c>
    </row>
    <row r="252" customFormat="false" ht="12" hidden="false" customHeight="true" outlineLevel="0" collapsed="false">
      <c r="A252" s="138" t="n">
        <f aca="false">EDATE(A251,1)</f>
        <v>44348</v>
      </c>
      <c r="B252" s="139" t="n">
        <f aca="false">VLOOKUP($A252,Table2,MATCH(I$3,Curves2,0))</f>
        <v>0</v>
      </c>
      <c r="C252" s="140"/>
      <c r="D252" s="141" t="n">
        <f aca="false">B252+C252</f>
        <v>0</v>
      </c>
      <c r="E252" s="126" t="n">
        <f aca="false">IF(Y252=0,0,IF(AND(Y252=1,$H$3=1),D252*T252,IF($H$3=2,D252,"N/A")))</f>
        <v>0</v>
      </c>
      <c r="F252" s="126" t="n">
        <f aca="false">E252*X252</f>
        <v>0</v>
      </c>
      <c r="G252" s="142" t="n">
        <f aca="false">VLOOKUP($A252,Table,MATCH(G$4,Curves,0))</f>
        <v>3.987</v>
      </c>
      <c r="H252" s="143" t="n">
        <f aca="false">G252</f>
        <v>3.987</v>
      </c>
      <c r="I252" s="142" t="n">
        <f aca="false">VLOOKUP($A252,Table1,MATCH(I$3,Curves1,0))</f>
        <v>0</v>
      </c>
      <c r="J252" s="142" t="n">
        <f aca="false">VLOOKUP($A252,Table,MATCH(J$4,Curves,0))</f>
        <v>-0.0235</v>
      </c>
      <c r="K252" s="143" t="n">
        <f aca="false">J252</f>
        <v>-0.0235</v>
      </c>
      <c r="L252" s="144" t="n">
        <v>0</v>
      </c>
      <c r="M252" s="142" t="n">
        <f aca="false">VLOOKUP($A252,Table,MATCH(M$4,Curves,0))</f>
        <v>0.0075</v>
      </c>
      <c r="N252" s="143" t="n">
        <f aca="false">M252</f>
        <v>0.0075</v>
      </c>
      <c r="O252" s="144" t="n">
        <v>0</v>
      </c>
      <c r="P252" s="145"/>
      <c r="Q252" s="144" t="n">
        <f aca="false">M252+J252+G252</f>
        <v>3.971</v>
      </c>
      <c r="R252" s="144" t="n">
        <f aca="false">O252+L252+I252</f>
        <v>0</v>
      </c>
      <c r="S252" s="145"/>
      <c r="T252" s="71" t="n">
        <f aca="false">A253-A252</f>
        <v>30</v>
      </c>
      <c r="U252" s="146" t="n">
        <f aca="false">CHOOSE(F$3,A253+24,A252)</f>
        <v>44402</v>
      </c>
      <c r="V252" s="71" t="n">
        <f aca="false">U252-C$3</f>
        <v>7514</v>
      </c>
      <c r="W252" s="142" t="n">
        <f aca="false">VLOOKUP($A252,Table,MATCH(W$4,Curves,0))</f>
        <v>0.058966861357273</v>
      </c>
      <c r="X252" s="147" t="n">
        <f aca="false">1/(1+CHOOSE(F$3,(W253+($K$3/10000))/2,(W252+($K$3/10000))/2))^(2*V252/365.25)</f>
        <v>0.302540614682493</v>
      </c>
      <c r="Y252" s="71" t="n">
        <f aca="false">IF(AND(mthbeg&lt;=A252,mthend&gt;=A252),1,0)</f>
        <v>0</v>
      </c>
      <c r="Z252" s="71" t="n">
        <f aca="false">T252*Y252</f>
        <v>0</v>
      </c>
      <c r="AB252" s="132" t="n">
        <f aca="false">F252*G252</f>
        <v>0</v>
      </c>
      <c r="AC252" s="132" t="n">
        <f aca="false">$F252*H252</f>
        <v>0</v>
      </c>
      <c r="AD252" s="132" t="n">
        <f aca="false">$F252*I252</f>
        <v>0</v>
      </c>
      <c r="AE252" s="132" t="n">
        <f aca="false">$F252*J252</f>
        <v>-0</v>
      </c>
      <c r="AF252" s="132" t="n">
        <f aca="false">$F252*K252</f>
        <v>-0</v>
      </c>
      <c r="AG252" s="132" t="n">
        <f aca="false">$F252*L252</f>
        <v>0</v>
      </c>
      <c r="AH252" s="132" t="n">
        <f aca="false">$F252*M252</f>
        <v>0</v>
      </c>
      <c r="AI252" s="132" t="n">
        <f aca="false">$F252*N252</f>
        <v>0</v>
      </c>
      <c r="AJ252" s="132" t="n">
        <f aca="false">F252*O252</f>
        <v>0</v>
      </c>
      <c r="AK252" s="137"/>
      <c r="AL252" s="132" t="n">
        <f aca="false">CHOOSE($G$3,AC252-AD252,AD252-AC252)</f>
        <v>0</v>
      </c>
      <c r="AM252" s="132" t="n">
        <f aca="false">CHOOSE($G$3,AF252-AG252,AG252-AF252)</f>
        <v>0</v>
      </c>
      <c r="AN252" s="132" t="n">
        <f aca="false">CHOOSE($G$3,AI252-AJ252,AJ252-AI252)</f>
        <v>0</v>
      </c>
      <c r="AO252" s="148" t="n">
        <f aca="false">SUM(AL252:AN252)</f>
        <v>0</v>
      </c>
      <c r="AQ252" s="132" t="n">
        <f aca="false">CHOOSE($G$3,AB252-AC252,AC252-AB252)</f>
        <v>0</v>
      </c>
      <c r="AR252" s="132" t="n">
        <f aca="false">CHOOSE($G$3,AE252-AF252,AF252-AE252)</f>
        <v>0</v>
      </c>
      <c r="AS252" s="132" t="n">
        <f aca="false">CHOOSE($G$3,AH252-AI252,AI252-AH252)</f>
        <v>0</v>
      </c>
      <c r="AT252" s="148" t="n">
        <f aca="false">AQ252+AR252+AS252</f>
        <v>0</v>
      </c>
      <c r="AU252" s="148"/>
      <c r="AV252" s="133" t="n">
        <f aca="false">AT252+AO252</f>
        <v>0</v>
      </c>
      <c r="AX252" s="133" t="n">
        <f aca="false">AJ252+AG252+AD252</f>
        <v>0</v>
      </c>
      <c r="AY252" s="149"/>
      <c r="AZ252" s="76" t="n">
        <f aca="false">R252*E252</f>
        <v>0</v>
      </c>
    </row>
    <row r="253" customFormat="false" ht="12" hidden="false" customHeight="true" outlineLevel="0" collapsed="false">
      <c r="A253" s="138" t="n">
        <f aca="false">EDATE(A252,1)</f>
        <v>44378</v>
      </c>
      <c r="B253" s="139" t="n">
        <f aca="false">VLOOKUP($A253,Table2,MATCH(I$3,Curves2,0))</f>
        <v>0</v>
      </c>
      <c r="C253" s="140"/>
      <c r="D253" s="141" t="n">
        <f aca="false">B253+C253</f>
        <v>0</v>
      </c>
      <c r="E253" s="126" t="n">
        <f aca="false">IF(Y253=0,0,IF(AND(Y253=1,$H$3=1),D253*T253,IF($H$3=2,D253,"N/A")))</f>
        <v>0</v>
      </c>
      <c r="F253" s="126" t="n">
        <f aca="false">E253*X253</f>
        <v>0</v>
      </c>
      <c r="G253" s="142" t="n">
        <f aca="false">VLOOKUP($A253,Table,MATCH(G$4,Curves,0))</f>
        <v>3.987</v>
      </c>
      <c r="H253" s="143" t="n">
        <f aca="false">G253</f>
        <v>3.987</v>
      </c>
      <c r="I253" s="142" t="n">
        <f aca="false">VLOOKUP($A253,Table1,MATCH(I$3,Curves1,0))</f>
        <v>0</v>
      </c>
      <c r="J253" s="142" t="n">
        <f aca="false">VLOOKUP($A253,Table,MATCH(J$4,Curves,0))</f>
        <v>-0.0235</v>
      </c>
      <c r="K253" s="143" t="n">
        <f aca="false">J253</f>
        <v>-0.0235</v>
      </c>
      <c r="L253" s="144" t="n">
        <v>0</v>
      </c>
      <c r="M253" s="142" t="n">
        <f aca="false">VLOOKUP($A253,Table,MATCH(M$4,Curves,0))</f>
        <v>0.0075</v>
      </c>
      <c r="N253" s="143" t="n">
        <f aca="false">M253</f>
        <v>0.0075</v>
      </c>
      <c r="O253" s="144" t="n">
        <v>0</v>
      </c>
      <c r="P253" s="145"/>
      <c r="Q253" s="144" t="n">
        <f aca="false">M253+J253+G253</f>
        <v>3.971</v>
      </c>
      <c r="R253" s="144" t="n">
        <f aca="false">O253+L253+I253</f>
        <v>0</v>
      </c>
      <c r="S253" s="145"/>
      <c r="T253" s="71" t="n">
        <f aca="false">A254-A253</f>
        <v>31</v>
      </c>
      <c r="U253" s="146" t="n">
        <f aca="false">CHOOSE(F$3,A254+24,A253)</f>
        <v>44433</v>
      </c>
      <c r="V253" s="71" t="n">
        <f aca="false">U253-C$3</f>
        <v>7545</v>
      </c>
      <c r="W253" s="142" t="n">
        <f aca="false">VLOOKUP($A253,Table,MATCH(W$4,Curves,0))</f>
        <v>0.058966861357273</v>
      </c>
      <c r="X253" s="147" t="n">
        <f aca="false">1/(1+CHOOSE(F$3,(W254+($K$3/10000))/2,(W253+($K$3/10000))/2))^(2*V253/365.25)</f>
        <v>0.30105205038022</v>
      </c>
      <c r="Y253" s="71" t="n">
        <f aca="false">IF(AND(mthbeg&lt;=A253,mthend&gt;=A253),1,0)</f>
        <v>0</v>
      </c>
      <c r="Z253" s="71" t="n">
        <f aca="false">T253*Y253</f>
        <v>0</v>
      </c>
      <c r="AB253" s="132" t="n">
        <f aca="false">F253*G253</f>
        <v>0</v>
      </c>
      <c r="AC253" s="132" t="n">
        <f aca="false">$F253*H253</f>
        <v>0</v>
      </c>
      <c r="AD253" s="132" t="n">
        <f aca="false">$F253*I253</f>
        <v>0</v>
      </c>
      <c r="AE253" s="132" t="n">
        <f aca="false">$F253*J253</f>
        <v>-0</v>
      </c>
      <c r="AF253" s="132" t="n">
        <f aca="false">$F253*K253</f>
        <v>-0</v>
      </c>
      <c r="AG253" s="132" t="n">
        <f aca="false">$F253*L253</f>
        <v>0</v>
      </c>
      <c r="AH253" s="132" t="n">
        <f aca="false">$F253*M253</f>
        <v>0</v>
      </c>
      <c r="AI253" s="132" t="n">
        <f aca="false">$F253*N253</f>
        <v>0</v>
      </c>
      <c r="AJ253" s="132" t="n">
        <f aca="false">F253*O253</f>
        <v>0</v>
      </c>
      <c r="AK253" s="137"/>
      <c r="AL253" s="132" t="n">
        <f aca="false">CHOOSE($G$3,AC253-AD253,AD253-AC253)</f>
        <v>0</v>
      </c>
      <c r="AM253" s="132" t="n">
        <f aca="false">CHOOSE($G$3,AF253-AG253,AG253-AF253)</f>
        <v>0</v>
      </c>
      <c r="AN253" s="132" t="n">
        <f aca="false">CHOOSE($G$3,AI253-AJ253,AJ253-AI253)</f>
        <v>0</v>
      </c>
      <c r="AO253" s="148" t="n">
        <f aca="false">SUM(AL253:AN253)</f>
        <v>0</v>
      </c>
      <c r="AQ253" s="132" t="n">
        <f aca="false">CHOOSE($G$3,AB253-AC253,AC253-AB253)</f>
        <v>0</v>
      </c>
      <c r="AR253" s="132" t="n">
        <f aca="false">CHOOSE($G$3,AE253-AF253,AF253-AE253)</f>
        <v>0</v>
      </c>
      <c r="AS253" s="132" t="n">
        <f aca="false">CHOOSE($G$3,AH253-AI253,AI253-AH253)</f>
        <v>0</v>
      </c>
      <c r="AT253" s="148" t="n">
        <f aca="false">AQ253+AR253+AS253</f>
        <v>0</v>
      </c>
      <c r="AU253" s="148"/>
      <c r="AV253" s="133" t="n">
        <f aca="false">AT253+AO253</f>
        <v>0</v>
      </c>
      <c r="AX253" s="133" t="n">
        <f aca="false">AJ253+AG253+AD253</f>
        <v>0</v>
      </c>
      <c r="AY253" s="149"/>
      <c r="AZ253" s="76" t="n">
        <f aca="false">R253*E253</f>
        <v>0</v>
      </c>
    </row>
    <row r="254" customFormat="false" ht="12" hidden="false" customHeight="true" outlineLevel="0" collapsed="false">
      <c r="A254" s="138" t="n">
        <f aca="false">EDATE(A253,1)</f>
        <v>44409</v>
      </c>
      <c r="B254" s="139" t="n">
        <f aca="false">VLOOKUP($A254,Table2,MATCH(I$3,Curves2,0))</f>
        <v>0</v>
      </c>
      <c r="C254" s="140"/>
      <c r="D254" s="141" t="n">
        <f aca="false">B254+C254</f>
        <v>0</v>
      </c>
      <c r="E254" s="126" t="n">
        <f aca="false">IF(Y254=0,0,IF(AND(Y254=1,$H$3=1),D254*T254,IF($H$3=2,D254,"N/A")))</f>
        <v>0</v>
      </c>
      <c r="F254" s="126" t="n">
        <f aca="false">E254*X254</f>
        <v>0</v>
      </c>
      <c r="G254" s="142" t="n">
        <f aca="false">VLOOKUP($A254,Table,MATCH(G$4,Curves,0))</f>
        <v>3.987</v>
      </c>
      <c r="H254" s="143" t="n">
        <f aca="false">G254</f>
        <v>3.987</v>
      </c>
      <c r="I254" s="142" t="n">
        <f aca="false">VLOOKUP($A254,Table1,MATCH(I$3,Curves1,0))</f>
        <v>0</v>
      </c>
      <c r="J254" s="142" t="n">
        <f aca="false">VLOOKUP($A254,Table,MATCH(J$4,Curves,0))</f>
        <v>-0.0235</v>
      </c>
      <c r="K254" s="143" t="n">
        <f aca="false">J254</f>
        <v>-0.0235</v>
      </c>
      <c r="L254" s="144" t="n">
        <v>0</v>
      </c>
      <c r="M254" s="142" t="n">
        <f aca="false">VLOOKUP($A254,Table,MATCH(M$4,Curves,0))</f>
        <v>0.0075</v>
      </c>
      <c r="N254" s="143" t="n">
        <f aca="false">M254</f>
        <v>0.0075</v>
      </c>
      <c r="O254" s="144" t="n">
        <v>0</v>
      </c>
      <c r="P254" s="145"/>
      <c r="Q254" s="144" t="n">
        <f aca="false">M254+J254+G254</f>
        <v>3.971</v>
      </c>
      <c r="R254" s="144" t="n">
        <f aca="false">O254+L254+I254</f>
        <v>0</v>
      </c>
      <c r="S254" s="145"/>
      <c r="T254" s="71" t="n">
        <f aca="false">A255-A254</f>
        <v>31</v>
      </c>
      <c r="U254" s="146" t="n">
        <f aca="false">CHOOSE(F$3,A255+24,A254)</f>
        <v>44464</v>
      </c>
      <c r="V254" s="71" t="n">
        <f aca="false">U254-C$3</f>
        <v>7576</v>
      </c>
      <c r="W254" s="142" t="n">
        <f aca="false">VLOOKUP($A254,Table,MATCH(W$4,Curves,0))</f>
        <v>0.058966861357273</v>
      </c>
      <c r="X254" s="147" t="n">
        <f aca="false">1/(1+CHOOSE(F$3,(W255+($K$3/10000))/2,(W254+($K$3/10000))/2))^(2*V254/365.25)</f>
        <v>0.29957081013156</v>
      </c>
      <c r="Y254" s="71" t="n">
        <f aca="false">IF(AND(mthbeg&lt;=A254,mthend&gt;=A254),1,0)</f>
        <v>0</v>
      </c>
      <c r="Z254" s="71" t="n">
        <f aca="false">T254*Y254</f>
        <v>0</v>
      </c>
      <c r="AB254" s="132" t="n">
        <f aca="false">F254*G254</f>
        <v>0</v>
      </c>
      <c r="AC254" s="132" t="n">
        <f aca="false">$F254*H254</f>
        <v>0</v>
      </c>
      <c r="AD254" s="132" t="n">
        <f aca="false">$F254*I254</f>
        <v>0</v>
      </c>
      <c r="AE254" s="132" t="n">
        <f aca="false">$F254*J254</f>
        <v>-0</v>
      </c>
      <c r="AF254" s="132" t="n">
        <f aca="false">$F254*K254</f>
        <v>-0</v>
      </c>
      <c r="AG254" s="132" t="n">
        <f aca="false">$F254*L254</f>
        <v>0</v>
      </c>
      <c r="AH254" s="132" t="n">
        <f aca="false">$F254*M254</f>
        <v>0</v>
      </c>
      <c r="AI254" s="132" t="n">
        <f aca="false">$F254*N254</f>
        <v>0</v>
      </c>
      <c r="AJ254" s="132" t="n">
        <f aca="false">F254*O254</f>
        <v>0</v>
      </c>
      <c r="AK254" s="137"/>
      <c r="AL254" s="132" t="n">
        <f aca="false">CHOOSE($G$3,AC254-AD254,AD254-AC254)</f>
        <v>0</v>
      </c>
      <c r="AM254" s="132" t="n">
        <f aca="false">CHOOSE($G$3,AF254-AG254,AG254-AF254)</f>
        <v>0</v>
      </c>
      <c r="AN254" s="132" t="n">
        <f aca="false">CHOOSE($G$3,AI254-AJ254,AJ254-AI254)</f>
        <v>0</v>
      </c>
      <c r="AO254" s="148" t="n">
        <f aca="false">SUM(AL254:AN254)</f>
        <v>0</v>
      </c>
      <c r="AQ254" s="132" t="n">
        <f aca="false">CHOOSE($G$3,AB254-AC254,AC254-AB254)</f>
        <v>0</v>
      </c>
      <c r="AR254" s="132" t="n">
        <f aca="false">CHOOSE($G$3,AE254-AF254,AF254-AE254)</f>
        <v>0</v>
      </c>
      <c r="AS254" s="132" t="n">
        <f aca="false">CHOOSE($G$3,AH254-AI254,AI254-AH254)</f>
        <v>0</v>
      </c>
      <c r="AT254" s="148" t="n">
        <f aca="false">AQ254+AR254+AS254</f>
        <v>0</v>
      </c>
      <c r="AU254" s="148"/>
      <c r="AV254" s="133" t="n">
        <f aca="false">AT254+AO254</f>
        <v>0</v>
      </c>
      <c r="AX254" s="133" t="n">
        <f aca="false">AJ254+AG254+AD254</f>
        <v>0</v>
      </c>
      <c r="AY254" s="149"/>
      <c r="AZ254" s="76" t="n">
        <f aca="false">R254*E254</f>
        <v>0</v>
      </c>
    </row>
    <row r="255" customFormat="false" ht="12" hidden="false" customHeight="true" outlineLevel="0" collapsed="false">
      <c r="A255" s="138" t="n">
        <f aca="false">EDATE(A254,1)</f>
        <v>44440</v>
      </c>
      <c r="B255" s="139" t="n">
        <f aca="false">VLOOKUP($A255,Table2,MATCH(I$3,Curves2,0))</f>
        <v>0</v>
      </c>
      <c r="C255" s="140"/>
      <c r="D255" s="141" t="n">
        <f aca="false">B255+C255</f>
        <v>0</v>
      </c>
      <c r="E255" s="126" t="n">
        <f aca="false">IF(Y255=0,0,IF(AND(Y255=1,$H$3=1),D255*T255,IF($H$3=2,D255,"N/A")))</f>
        <v>0</v>
      </c>
      <c r="F255" s="126" t="n">
        <f aca="false">E255*X255</f>
        <v>0</v>
      </c>
      <c r="G255" s="142" t="n">
        <f aca="false">VLOOKUP($A255,Table,MATCH(G$4,Curves,0))</f>
        <v>3.987</v>
      </c>
      <c r="H255" s="143" t="n">
        <f aca="false">G255</f>
        <v>3.987</v>
      </c>
      <c r="I255" s="142" t="n">
        <f aca="false">VLOOKUP($A255,Table1,MATCH(I$3,Curves1,0))</f>
        <v>0</v>
      </c>
      <c r="J255" s="142" t="n">
        <f aca="false">VLOOKUP($A255,Table,MATCH(J$4,Curves,0))</f>
        <v>-0.0235</v>
      </c>
      <c r="K255" s="143" t="n">
        <f aca="false">J255</f>
        <v>-0.0235</v>
      </c>
      <c r="L255" s="144" t="n">
        <v>0</v>
      </c>
      <c r="M255" s="142" t="n">
        <f aca="false">VLOOKUP($A255,Table,MATCH(M$4,Curves,0))</f>
        <v>0.0075</v>
      </c>
      <c r="N255" s="143" t="n">
        <f aca="false">M255</f>
        <v>0.0075</v>
      </c>
      <c r="O255" s="144" t="n">
        <v>0</v>
      </c>
      <c r="P255" s="145"/>
      <c r="Q255" s="144" t="n">
        <f aca="false">M255+J255+G255</f>
        <v>3.971</v>
      </c>
      <c r="R255" s="144" t="n">
        <f aca="false">O255+L255+I255</f>
        <v>0</v>
      </c>
      <c r="S255" s="145"/>
      <c r="T255" s="71" t="n">
        <f aca="false">A256-A255</f>
        <v>30</v>
      </c>
      <c r="U255" s="146" t="n">
        <f aca="false">CHOOSE(F$3,A256+24,A255)</f>
        <v>44494</v>
      </c>
      <c r="V255" s="71" t="n">
        <f aca="false">U255-C$3</f>
        <v>7606</v>
      </c>
      <c r="W255" s="142" t="n">
        <f aca="false">VLOOKUP($A255,Table,MATCH(W$4,Curves,0))</f>
        <v>0.058966861357273</v>
      </c>
      <c r="X255" s="147" t="n">
        <f aca="false">1/(1+CHOOSE(F$3,(W256+($K$3/10000))/2,(W255+($K$3/10000))/2))^(2*V255/365.25)</f>
        <v>0.298144291357575</v>
      </c>
      <c r="Y255" s="71" t="n">
        <f aca="false">IF(AND(mthbeg&lt;=A255,mthend&gt;=A255),1,0)</f>
        <v>0</v>
      </c>
      <c r="Z255" s="71" t="n">
        <f aca="false">T255*Y255</f>
        <v>0</v>
      </c>
      <c r="AB255" s="132" t="n">
        <f aca="false">F255*G255</f>
        <v>0</v>
      </c>
      <c r="AC255" s="132" t="n">
        <f aca="false">$F255*H255</f>
        <v>0</v>
      </c>
      <c r="AD255" s="132" t="n">
        <f aca="false">$F255*I255</f>
        <v>0</v>
      </c>
      <c r="AE255" s="132" t="n">
        <f aca="false">$F255*J255</f>
        <v>-0</v>
      </c>
      <c r="AF255" s="132" t="n">
        <f aca="false">$F255*K255</f>
        <v>-0</v>
      </c>
      <c r="AG255" s="132" t="n">
        <f aca="false">$F255*L255</f>
        <v>0</v>
      </c>
      <c r="AH255" s="132" t="n">
        <f aca="false">$F255*M255</f>
        <v>0</v>
      </c>
      <c r="AI255" s="132" t="n">
        <f aca="false">$F255*N255</f>
        <v>0</v>
      </c>
      <c r="AJ255" s="132" t="n">
        <f aca="false">F255*O255</f>
        <v>0</v>
      </c>
      <c r="AK255" s="137"/>
      <c r="AL255" s="132" t="n">
        <f aca="false">CHOOSE($G$3,AC255-AD255,AD255-AC255)</f>
        <v>0</v>
      </c>
      <c r="AM255" s="132" t="n">
        <f aca="false">CHOOSE($G$3,AF255-AG255,AG255-AF255)</f>
        <v>0</v>
      </c>
      <c r="AN255" s="132" t="n">
        <f aca="false">CHOOSE($G$3,AI255-AJ255,AJ255-AI255)</f>
        <v>0</v>
      </c>
      <c r="AO255" s="148" t="n">
        <f aca="false">SUM(AL255:AN255)</f>
        <v>0</v>
      </c>
      <c r="AQ255" s="132" t="n">
        <f aca="false">CHOOSE($G$3,AB255-AC255,AC255-AB255)</f>
        <v>0</v>
      </c>
      <c r="AR255" s="132" t="n">
        <f aca="false">CHOOSE($G$3,AE255-AF255,AF255-AE255)</f>
        <v>0</v>
      </c>
      <c r="AS255" s="132" t="n">
        <f aca="false">CHOOSE($G$3,AH255-AI255,AI255-AH255)</f>
        <v>0</v>
      </c>
      <c r="AT255" s="148" t="n">
        <f aca="false">AQ255+AR255+AS255</f>
        <v>0</v>
      </c>
      <c r="AU255" s="148"/>
      <c r="AV255" s="133" t="n">
        <f aca="false">AT255+AO255</f>
        <v>0</v>
      </c>
      <c r="AX255" s="133" t="n">
        <f aca="false">AJ255+AG255+AD255</f>
        <v>0</v>
      </c>
      <c r="AY255" s="149"/>
      <c r="AZ255" s="76" t="n">
        <f aca="false">R255*E255</f>
        <v>0</v>
      </c>
    </row>
    <row r="256" customFormat="false" ht="12" hidden="false" customHeight="true" outlineLevel="0" collapsed="false">
      <c r="A256" s="138" t="n">
        <f aca="false">EDATE(A255,1)</f>
        <v>44470</v>
      </c>
      <c r="B256" s="139" t="n">
        <f aca="false">VLOOKUP($A256,Table2,MATCH(I$3,Curves2,0))</f>
        <v>0</v>
      </c>
      <c r="C256" s="140"/>
      <c r="D256" s="141" t="n">
        <f aca="false">B256+C256</f>
        <v>0</v>
      </c>
      <c r="E256" s="126" t="n">
        <f aca="false">IF(Y256=0,0,IF(AND(Y256=1,$H$3=1),D256*T256,IF($H$3=2,D256,"N/A")))</f>
        <v>0</v>
      </c>
      <c r="F256" s="126" t="n">
        <f aca="false">E256*X256</f>
        <v>0</v>
      </c>
      <c r="G256" s="142" t="n">
        <f aca="false">VLOOKUP($A256,Table,MATCH(G$4,Curves,0))</f>
        <v>3.987</v>
      </c>
      <c r="H256" s="143" t="n">
        <f aca="false">G256</f>
        <v>3.987</v>
      </c>
      <c r="I256" s="142" t="n">
        <f aca="false">VLOOKUP($A256,Table1,MATCH(I$3,Curves1,0))</f>
        <v>0</v>
      </c>
      <c r="J256" s="142" t="n">
        <f aca="false">VLOOKUP($A256,Table,MATCH(J$4,Curves,0))</f>
        <v>-0.0235</v>
      </c>
      <c r="K256" s="143" t="n">
        <f aca="false">J256</f>
        <v>-0.0235</v>
      </c>
      <c r="L256" s="144" t="n">
        <v>0</v>
      </c>
      <c r="M256" s="142" t="n">
        <f aca="false">VLOOKUP($A256,Table,MATCH(M$4,Curves,0))</f>
        <v>0.0075</v>
      </c>
      <c r="N256" s="143" t="n">
        <f aca="false">M256</f>
        <v>0.0075</v>
      </c>
      <c r="O256" s="144" t="n">
        <v>0</v>
      </c>
      <c r="P256" s="145"/>
      <c r="Q256" s="144" t="n">
        <f aca="false">M256+J256+G256</f>
        <v>3.971</v>
      </c>
      <c r="R256" s="144" t="n">
        <f aca="false">O256+L256+I256</f>
        <v>0</v>
      </c>
      <c r="S256" s="145"/>
      <c r="T256" s="71" t="n">
        <f aca="false">A257-A256</f>
        <v>31</v>
      </c>
      <c r="U256" s="146" t="n">
        <f aca="false">CHOOSE(F$3,A257+24,A256)</f>
        <v>44525</v>
      </c>
      <c r="V256" s="71" t="n">
        <f aca="false">U256-C$3</f>
        <v>7637</v>
      </c>
      <c r="W256" s="142" t="n">
        <f aca="false">VLOOKUP($A256,Table,MATCH(W$4,Curves,0))</f>
        <v>0.058966861357273</v>
      </c>
      <c r="X256" s="147" t="n">
        <f aca="false">1/(1+CHOOSE(F$3,(W257+($K$3/10000))/2,(W256+($K$3/10000))/2))^(2*V256/365.25)</f>
        <v>0.296677357903014</v>
      </c>
      <c r="Y256" s="71" t="n">
        <f aca="false">IF(AND(mthbeg&lt;=A256,mthend&gt;=A256),1,0)</f>
        <v>0</v>
      </c>
      <c r="Z256" s="71" t="n">
        <f aca="false">T256*Y256</f>
        <v>0</v>
      </c>
      <c r="AB256" s="132" t="n">
        <f aca="false">F256*G256</f>
        <v>0</v>
      </c>
      <c r="AC256" s="132" t="n">
        <f aca="false">$F256*H256</f>
        <v>0</v>
      </c>
      <c r="AD256" s="132" t="n">
        <f aca="false">$F256*I256</f>
        <v>0</v>
      </c>
      <c r="AE256" s="132" t="n">
        <f aca="false">$F256*J256</f>
        <v>-0</v>
      </c>
      <c r="AF256" s="132" t="n">
        <f aca="false">$F256*K256</f>
        <v>-0</v>
      </c>
      <c r="AG256" s="132" t="n">
        <f aca="false">$F256*L256</f>
        <v>0</v>
      </c>
      <c r="AH256" s="132" t="n">
        <f aca="false">$F256*M256</f>
        <v>0</v>
      </c>
      <c r="AI256" s="132" t="n">
        <f aca="false">$F256*N256</f>
        <v>0</v>
      </c>
      <c r="AJ256" s="132" t="n">
        <f aca="false">F256*O256</f>
        <v>0</v>
      </c>
      <c r="AK256" s="137"/>
      <c r="AL256" s="132" t="n">
        <f aca="false">CHOOSE($G$3,AC256-AD256,AD256-AC256)</f>
        <v>0</v>
      </c>
      <c r="AM256" s="132" t="n">
        <f aca="false">CHOOSE($G$3,AF256-AG256,AG256-AF256)</f>
        <v>0</v>
      </c>
      <c r="AN256" s="132" t="n">
        <f aca="false">CHOOSE($G$3,AI256-AJ256,AJ256-AI256)</f>
        <v>0</v>
      </c>
      <c r="AO256" s="148" t="n">
        <f aca="false">SUM(AL256:AN256)</f>
        <v>0</v>
      </c>
      <c r="AQ256" s="132" t="n">
        <f aca="false">CHOOSE($G$3,AB256-AC256,AC256-AB256)</f>
        <v>0</v>
      </c>
      <c r="AR256" s="132" t="n">
        <f aca="false">CHOOSE($G$3,AE256-AF256,AF256-AE256)</f>
        <v>0</v>
      </c>
      <c r="AS256" s="132" t="n">
        <f aca="false">CHOOSE($G$3,AH256-AI256,AI256-AH256)</f>
        <v>0</v>
      </c>
      <c r="AT256" s="148" t="n">
        <f aca="false">AQ256+AR256+AS256</f>
        <v>0</v>
      </c>
      <c r="AU256" s="148"/>
      <c r="AV256" s="133" t="n">
        <f aca="false">AT256+AO256</f>
        <v>0</v>
      </c>
      <c r="AX256" s="133" t="n">
        <f aca="false">AJ256+AG256+AD256</f>
        <v>0</v>
      </c>
      <c r="AY256" s="149"/>
      <c r="AZ256" s="76" t="n">
        <f aca="false">R256*E256</f>
        <v>0</v>
      </c>
    </row>
    <row r="257" customFormat="false" ht="12" hidden="false" customHeight="true" outlineLevel="0" collapsed="false">
      <c r="A257" s="138" t="n">
        <f aca="false">EDATE(A256,1)</f>
        <v>44501</v>
      </c>
      <c r="B257" s="139" t="n">
        <f aca="false">VLOOKUP($A257,Table2,MATCH(I$3,Curves2,0))</f>
        <v>0</v>
      </c>
      <c r="C257" s="140"/>
      <c r="D257" s="141" t="n">
        <f aca="false">B257+C257</f>
        <v>0</v>
      </c>
      <c r="E257" s="126" t="n">
        <f aca="false">IF(Y257=0,0,IF(AND(Y257=1,$H$3=1),D257*T257,IF($H$3=2,D257,"N/A")))</f>
        <v>0</v>
      </c>
      <c r="F257" s="126" t="n">
        <f aca="false">E257*X257</f>
        <v>0</v>
      </c>
      <c r="G257" s="142" t="n">
        <f aca="false">VLOOKUP($A257,Table,MATCH(G$4,Curves,0))</f>
        <v>3.987</v>
      </c>
      <c r="H257" s="143" t="n">
        <f aca="false">G257</f>
        <v>3.987</v>
      </c>
      <c r="I257" s="142" t="n">
        <f aca="false">VLOOKUP($A257,Table1,MATCH(I$3,Curves1,0))</f>
        <v>0</v>
      </c>
      <c r="J257" s="142" t="n">
        <f aca="false">VLOOKUP($A257,Table,MATCH(J$4,Curves,0))</f>
        <v>-0.0235</v>
      </c>
      <c r="K257" s="143" t="n">
        <f aca="false">J257</f>
        <v>-0.0235</v>
      </c>
      <c r="L257" s="144" t="n">
        <v>0</v>
      </c>
      <c r="M257" s="142" t="n">
        <f aca="false">VLOOKUP($A257,Table,MATCH(M$4,Curves,0))</f>
        <v>0.0075</v>
      </c>
      <c r="N257" s="143" t="n">
        <f aca="false">M257</f>
        <v>0.0075</v>
      </c>
      <c r="O257" s="144" t="n">
        <v>0</v>
      </c>
      <c r="P257" s="145"/>
      <c r="Q257" s="144" t="n">
        <f aca="false">M257+J257+G257</f>
        <v>3.971</v>
      </c>
      <c r="R257" s="144" t="n">
        <f aca="false">O257+L257+I257</f>
        <v>0</v>
      </c>
      <c r="S257" s="145"/>
      <c r="T257" s="71" t="n">
        <f aca="false">A258-A257</f>
        <v>30</v>
      </c>
      <c r="U257" s="146" t="n">
        <f aca="false">CHOOSE(F$3,A258+24,A257)</f>
        <v>44555</v>
      </c>
      <c r="V257" s="71" t="n">
        <f aca="false">U257-C$3</f>
        <v>7667</v>
      </c>
      <c r="W257" s="142" t="n">
        <f aca="false">VLOOKUP($A257,Table,MATCH(W$4,Curves,0))</f>
        <v>0.058966861357273</v>
      </c>
      <c r="X257" s="147" t="n">
        <f aca="false">1/(1+CHOOSE(F$3,(W258+($K$3/10000))/2,(W257+($K$3/10000))/2))^(2*V257/365.25)</f>
        <v>0.295264617387077</v>
      </c>
      <c r="Y257" s="71" t="n">
        <f aca="false">IF(AND(mthbeg&lt;=A257,mthend&gt;=A257),1,0)</f>
        <v>0</v>
      </c>
      <c r="Z257" s="71" t="n">
        <f aca="false">T257*Y257</f>
        <v>0</v>
      </c>
      <c r="AB257" s="132" t="n">
        <f aca="false">F257*G257</f>
        <v>0</v>
      </c>
      <c r="AC257" s="132" t="n">
        <f aca="false">$F257*H257</f>
        <v>0</v>
      </c>
      <c r="AD257" s="132" t="n">
        <f aca="false">$F257*I257</f>
        <v>0</v>
      </c>
      <c r="AE257" s="132" t="n">
        <f aca="false">$F257*J257</f>
        <v>-0</v>
      </c>
      <c r="AF257" s="132" t="n">
        <f aca="false">$F257*K257</f>
        <v>-0</v>
      </c>
      <c r="AG257" s="132" t="n">
        <f aca="false">$F257*L257</f>
        <v>0</v>
      </c>
      <c r="AH257" s="132" t="n">
        <f aca="false">$F257*M257</f>
        <v>0</v>
      </c>
      <c r="AI257" s="132" t="n">
        <f aca="false">$F257*N257</f>
        <v>0</v>
      </c>
      <c r="AJ257" s="132" t="n">
        <f aca="false">F257*O257</f>
        <v>0</v>
      </c>
      <c r="AK257" s="137"/>
      <c r="AL257" s="132" t="n">
        <f aca="false">CHOOSE($G$3,AC257-AD257,AD257-AC257)</f>
        <v>0</v>
      </c>
      <c r="AM257" s="132" t="n">
        <f aca="false">CHOOSE($G$3,AF257-AG257,AG257-AF257)</f>
        <v>0</v>
      </c>
      <c r="AN257" s="132" t="n">
        <f aca="false">CHOOSE($G$3,AI257-AJ257,AJ257-AI257)</f>
        <v>0</v>
      </c>
      <c r="AO257" s="148" t="n">
        <f aca="false">SUM(AL257:AN257)</f>
        <v>0</v>
      </c>
      <c r="AQ257" s="132" t="n">
        <f aca="false">CHOOSE($G$3,AB257-AC257,AC257-AB257)</f>
        <v>0</v>
      </c>
      <c r="AR257" s="132" t="n">
        <f aca="false">CHOOSE($G$3,AE257-AF257,AF257-AE257)</f>
        <v>0</v>
      </c>
      <c r="AS257" s="132" t="n">
        <f aca="false">CHOOSE($G$3,AH257-AI257,AI257-AH257)</f>
        <v>0</v>
      </c>
      <c r="AT257" s="148" t="n">
        <f aca="false">AQ257+AR257+AS257</f>
        <v>0</v>
      </c>
      <c r="AU257" s="148"/>
      <c r="AV257" s="133" t="n">
        <f aca="false">AT257+AO257</f>
        <v>0</v>
      </c>
      <c r="AX257" s="133" t="n">
        <f aca="false">AJ257+AG257+AD257</f>
        <v>0</v>
      </c>
      <c r="AY257" s="149"/>
      <c r="AZ257" s="76" t="n">
        <f aca="false">R257*E257</f>
        <v>0</v>
      </c>
    </row>
    <row r="258" customFormat="false" ht="12" hidden="false" customHeight="true" outlineLevel="0" collapsed="false">
      <c r="A258" s="138" t="n">
        <f aca="false">EDATE(A257,1)</f>
        <v>44531</v>
      </c>
      <c r="B258" s="139" t="n">
        <f aca="false">VLOOKUP($A258,Table2,MATCH(I$3,Curves2,0))</f>
        <v>0</v>
      </c>
      <c r="C258" s="140"/>
      <c r="D258" s="141" t="n">
        <f aca="false">B258+C258</f>
        <v>0</v>
      </c>
      <c r="E258" s="126" t="n">
        <f aca="false">IF(Y258=0,0,IF(AND(Y258=1,$H$3=1),D258*T258,IF($H$3=2,D258,"N/A")))</f>
        <v>0</v>
      </c>
      <c r="F258" s="126" t="n">
        <f aca="false">E258*X258</f>
        <v>0</v>
      </c>
      <c r="G258" s="142" t="n">
        <f aca="false">VLOOKUP($A258,Table,MATCH(G$4,Curves,0))</f>
        <v>3.987</v>
      </c>
      <c r="H258" s="143" t="n">
        <f aca="false">G258</f>
        <v>3.987</v>
      </c>
      <c r="I258" s="142" t="n">
        <f aca="false">VLOOKUP($A258,Table1,MATCH(I$3,Curves1,0))</f>
        <v>0</v>
      </c>
      <c r="J258" s="142" t="n">
        <f aca="false">VLOOKUP($A258,Table,MATCH(J$4,Curves,0))</f>
        <v>-0.0235</v>
      </c>
      <c r="K258" s="143" t="n">
        <f aca="false">J258</f>
        <v>-0.0235</v>
      </c>
      <c r="L258" s="144" t="n">
        <v>0</v>
      </c>
      <c r="M258" s="142" t="n">
        <f aca="false">VLOOKUP($A258,Table,MATCH(M$4,Curves,0))</f>
        <v>0.0075</v>
      </c>
      <c r="N258" s="143" t="n">
        <f aca="false">M258</f>
        <v>0.0075</v>
      </c>
      <c r="O258" s="144" t="n">
        <v>0</v>
      </c>
      <c r="P258" s="145"/>
      <c r="Q258" s="144" t="n">
        <f aca="false">M258+J258+G258</f>
        <v>3.971</v>
      </c>
      <c r="R258" s="144" t="n">
        <f aca="false">O258+L258+I258</f>
        <v>0</v>
      </c>
      <c r="S258" s="145"/>
      <c r="T258" s="71" t="n">
        <f aca="false">A259-A258</f>
        <v>31</v>
      </c>
      <c r="U258" s="146" t="n">
        <f aca="false">CHOOSE(F$3,A259+24,A258)</f>
        <v>44586</v>
      </c>
      <c r="V258" s="71" t="n">
        <f aca="false">U258-C$3</f>
        <v>7698</v>
      </c>
      <c r="W258" s="142" t="n">
        <f aca="false">VLOOKUP($A258,Table,MATCH(W$4,Curves,0))</f>
        <v>0.058966861357273</v>
      </c>
      <c r="X258" s="147" t="n">
        <f aca="false">1/(1+CHOOSE(F$3,(W259+($K$3/10000))/2,(W258+($K$3/10000))/2))^(2*V258/365.25)</f>
        <v>0.293811852542172</v>
      </c>
      <c r="Y258" s="71" t="n">
        <f aca="false">IF(AND(mthbeg&lt;=A258,mthend&gt;=A258),1,0)</f>
        <v>0</v>
      </c>
      <c r="Z258" s="71" t="n">
        <f aca="false">T258*Y258</f>
        <v>0</v>
      </c>
      <c r="AB258" s="132" t="n">
        <f aca="false">F258*G258</f>
        <v>0</v>
      </c>
      <c r="AC258" s="132" t="n">
        <f aca="false">$F258*H258</f>
        <v>0</v>
      </c>
      <c r="AD258" s="132" t="n">
        <f aca="false">$F258*I258</f>
        <v>0</v>
      </c>
      <c r="AE258" s="132" t="n">
        <f aca="false">$F258*J258</f>
        <v>-0</v>
      </c>
      <c r="AF258" s="132" t="n">
        <f aca="false">$F258*K258</f>
        <v>-0</v>
      </c>
      <c r="AG258" s="132" t="n">
        <f aca="false">$F258*L258</f>
        <v>0</v>
      </c>
      <c r="AH258" s="132" t="n">
        <f aca="false">$F258*M258</f>
        <v>0</v>
      </c>
      <c r="AI258" s="132" t="n">
        <f aca="false">$F258*N258</f>
        <v>0</v>
      </c>
      <c r="AJ258" s="132" t="n">
        <f aca="false">F258*O258</f>
        <v>0</v>
      </c>
      <c r="AK258" s="137"/>
      <c r="AL258" s="132" t="n">
        <f aca="false">CHOOSE($G$3,AC258-AD258,AD258-AC258)</f>
        <v>0</v>
      </c>
      <c r="AM258" s="132" t="n">
        <f aca="false">CHOOSE($G$3,AF258-AG258,AG258-AF258)</f>
        <v>0</v>
      </c>
      <c r="AN258" s="132" t="n">
        <f aca="false">CHOOSE($G$3,AI258-AJ258,AJ258-AI258)</f>
        <v>0</v>
      </c>
      <c r="AO258" s="148" t="n">
        <f aca="false">SUM(AL258:AN258)</f>
        <v>0</v>
      </c>
      <c r="AQ258" s="132" t="n">
        <f aca="false">CHOOSE($G$3,AB258-AC258,AC258-AB258)</f>
        <v>0</v>
      </c>
      <c r="AR258" s="132" t="n">
        <f aca="false">CHOOSE($G$3,AE258-AF258,AF258-AE258)</f>
        <v>0</v>
      </c>
      <c r="AS258" s="132" t="n">
        <f aca="false">CHOOSE($G$3,AH258-AI258,AI258-AH258)</f>
        <v>0</v>
      </c>
      <c r="AT258" s="148" t="n">
        <f aca="false">AQ258+AR258+AS258</f>
        <v>0</v>
      </c>
      <c r="AU258" s="148"/>
      <c r="AV258" s="133" t="n">
        <f aca="false">AT258+AO258</f>
        <v>0</v>
      </c>
      <c r="AX258" s="133" t="n">
        <f aca="false">AJ258+AG258+AD258</f>
        <v>0</v>
      </c>
      <c r="AY258" s="149"/>
      <c r="AZ258" s="76" t="n">
        <f aca="false">R258*E258</f>
        <v>0</v>
      </c>
    </row>
    <row r="259" customFormat="false" ht="12" hidden="false" customHeight="true" outlineLevel="0" collapsed="false">
      <c r="A259" s="138" t="n">
        <f aca="false">EDATE(A258,1)</f>
        <v>44562</v>
      </c>
      <c r="B259" s="139" t="n">
        <f aca="false">VLOOKUP($A259,Table2,MATCH(I$3,Curves2,0))</f>
        <v>0</v>
      </c>
      <c r="C259" s="140"/>
      <c r="D259" s="141" t="n">
        <f aca="false">B259+C259</f>
        <v>0</v>
      </c>
      <c r="E259" s="126" t="n">
        <f aca="false">IF(Y259=0,0,IF(AND(Y259=1,$H$3=1),D259*T259,IF($H$3=2,D259,"N/A")))</f>
        <v>0</v>
      </c>
      <c r="F259" s="126" t="n">
        <f aca="false">E259*X259</f>
        <v>0</v>
      </c>
      <c r="G259" s="142" t="n">
        <f aca="false">VLOOKUP($A259,Table,MATCH(G$4,Curves,0))</f>
        <v>3.987</v>
      </c>
      <c r="H259" s="143" t="n">
        <f aca="false">G259</f>
        <v>3.987</v>
      </c>
      <c r="I259" s="142" t="n">
        <f aca="false">VLOOKUP($A259,Table1,MATCH(I$3,Curves1,0))</f>
        <v>0</v>
      </c>
      <c r="J259" s="142" t="n">
        <f aca="false">VLOOKUP($A259,Table,MATCH(J$4,Curves,0))</f>
        <v>-0.0235</v>
      </c>
      <c r="K259" s="143" t="n">
        <f aca="false">J259</f>
        <v>-0.0235</v>
      </c>
      <c r="L259" s="144" t="n">
        <v>0</v>
      </c>
      <c r="M259" s="142" t="n">
        <f aca="false">VLOOKUP($A259,Table,MATCH(M$4,Curves,0))</f>
        <v>0.0075</v>
      </c>
      <c r="N259" s="143" t="n">
        <f aca="false">M259</f>
        <v>0.0075</v>
      </c>
      <c r="O259" s="144" t="n">
        <v>0</v>
      </c>
      <c r="P259" s="145"/>
      <c r="Q259" s="144" t="n">
        <f aca="false">M259+J259+G259</f>
        <v>3.971</v>
      </c>
      <c r="R259" s="144" t="n">
        <f aca="false">O259+L259+I259</f>
        <v>0</v>
      </c>
      <c r="S259" s="145"/>
      <c r="T259" s="71" t="n">
        <f aca="false">A260-A259</f>
        <v>31</v>
      </c>
      <c r="U259" s="146" t="n">
        <f aca="false">CHOOSE(F$3,A260+24,A259)</f>
        <v>44617</v>
      </c>
      <c r="V259" s="71" t="n">
        <f aca="false">U259-C$3</f>
        <v>7729</v>
      </c>
      <c r="W259" s="142" t="n">
        <f aca="false">VLOOKUP($A259,Table,MATCH(W$4,Curves,0))</f>
        <v>0.058966861357273</v>
      </c>
      <c r="X259" s="147" t="n">
        <f aca="false">1/(1+CHOOSE(F$3,(W260+($K$3/10000))/2,(W259+($K$3/10000))/2))^(2*V259/365.25)</f>
        <v>0.29236623560992</v>
      </c>
      <c r="Y259" s="71" t="n">
        <f aca="false">IF(AND(mthbeg&lt;=A259,mthend&gt;=A259),1,0)</f>
        <v>0</v>
      </c>
      <c r="Z259" s="71" t="n">
        <f aca="false">T259*Y259</f>
        <v>0</v>
      </c>
      <c r="AB259" s="132" t="n">
        <f aca="false">F259*G259</f>
        <v>0</v>
      </c>
      <c r="AC259" s="132" t="n">
        <f aca="false">$F259*H259</f>
        <v>0</v>
      </c>
      <c r="AD259" s="132" t="n">
        <f aca="false">$F259*I259</f>
        <v>0</v>
      </c>
      <c r="AE259" s="132" t="n">
        <f aca="false">$F259*J259</f>
        <v>-0</v>
      </c>
      <c r="AF259" s="132" t="n">
        <f aca="false">$F259*K259</f>
        <v>-0</v>
      </c>
      <c r="AG259" s="132" t="n">
        <f aca="false">$F259*L259</f>
        <v>0</v>
      </c>
      <c r="AH259" s="132" t="n">
        <f aca="false">$F259*M259</f>
        <v>0</v>
      </c>
      <c r="AI259" s="132" t="n">
        <f aca="false">$F259*N259</f>
        <v>0</v>
      </c>
      <c r="AJ259" s="132" t="n">
        <f aca="false">F259*O259</f>
        <v>0</v>
      </c>
      <c r="AK259" s="137"/>
      <c r="AL259" s="132" t="n">
        <f aca="false">CHOOSE($G$3,AC259-AD259,AD259-AC259)</f>
        <v>0</v>
      </c>
      <c r="AM259" s="132" t="n">
        <f aca="false">CHOOSE($G$3,AF259-AG259,AG259-AF259)</f>
        <v>0</v>
      </c>
      <c r="AN259" s="132" t="n">
        <f aca="false">CHOOSE($G$3,AI259-AJ259,AJ259-AI259)</f>
        <v>0</v>
      </c>
      <c r="AO259" s="148" t="n">
        <f aca="false">SUM(AL259:AN259)</f>
        <v>0</v>
      </c>
      <c r="AQ259" s="132" t="n">
        <f aca="false">CHOOSE($G$3,AB259-AC259,AC259-AB259)</f>
        <v>0</v>
      </c>
      <c r="AR259" s="132" t="n">
        <f aca="false">CHOOSE($G$3,AE259-AF259,AF259-AE259)</f>
        <v>0</v>
      </c>
      <c r="AS259" s="132" t="n">
        <f aca="false">CHOOSE($G$3,AH259-AI259,AI259-AH259)</f>
        <v>0</v>
      </c>
      <c r="AT259" s="148" t="n">
        <f aca="false">AQ259+AR259+AS259</f>
        <v>0</v>
      </c>
      <c r="AU259" s="148"/>
      <c r="AV259" s="133" t="n">
        <f aca="false">AT259+AO259</f>
        <v>0</v>
      </c>
      <c r="AX259" s="133" t="n">
        <f aca="false">AJ259+AG259+AD259</f>
        <v>0</v>
      </c>
      <c r="AY259" s="149"/>
      <c r="AZ259" s="76" t="n">
        <f aca="false">R259*E259</f>
        <v>0</v>
      </c>
    </row>
    <row r="260" customFormat="false" ht="12" hidden="false" customHeight="true" outlineLevel="0" collapsed="false">
      <c r="A260" s="138" t="n">
        <f aca="false">EDATE(A259,1)</f>
        <v>44593</v>
      </c>
      <c r="B260" s="139" t="n">
        <f aca="false">VLOOKUP($A260,Table2,MATCH(I$3,Curves2,0))</f>
        <v>0</v>
      </c>
      <c r="C260" s="140"/>
      <c r="D260" s="141" t="n">
        <f aca="false">B260+C260</f>
        <v>0</v>
      </c>
      <c r="E260" s="126" t="n">
        <f aca="false">IF(Y260=0,0,IF(AND(Y260=1,$H$3=1),D260*T260,IF($H$3=2,D260,"N/A")))</f>
        <v>0</v>
      </c>
      <c r="F260" s="126" t="n">
        <f aca="false">E260*X260</f>
        <v>0</v>
      </c>
      <c r="G260" s="142" t="n">
        <f aca="false">VLOOKUP($A260,Table,MATCH(G$4,Curves,0))</f>
        <v>3.987</v>
      </c>
      <c r="H260" s="143" t="n">
        <f aca="false">G260</f>
        <v>3.987</v>
      </c>
      <c r="I260" s="142" t="n">
        <f aca="false">VLOOKUP($A260,Table1,MATCH(I$3,Curves1,0))</f>
        <v>0</v>
      </c>
      <c r="J260" s="142" t="n">
        <f aca="false">VLOOKUP($A260,Table,MATCH(J$4,Curves,0))</f>
        <v>-0.0235</v>
      </c>
      <c r="K260" s="143" t="n">
        <f aca="false">J260</f>
        <v>-0.0235</v>
      </c>
      <c r="L260" s="144" t="n">
        <v>0</v>
      </c>
      <c r="M260" s="142" t="n">
        <f aca="false">VLOOKUP($A260,Table,MATCH(M$4,Curves,0))</f>
        <v>0.0075</v>
      </c>
      <c r="N260" s="143" t="n">
        <f aca="false">M260</f>
        <v>0.0075</v>
      </c>
      <c r="O260" s="144" t="n">
        <v>0</v>
      </c>
      <c r="P260" s="145"/>
      <c r="Q260" s="144" t="n">
        <f aca="false">M260+J260+G260</f>
        <v>3.971</v>
      </c>
      <c r="R260" s="144" t="n">
        <f aca="false">O260+L260+I260</f>
        <v>0</v>
      </c>
      <c r="S260" s="145"/>
      <c r="T260" s="71" t="n">
        <f aca="false">A261-A260</f>
        <v>28</v>
      </c>
      <c r="U260" s="146" t="n">
        <f aca="false">CHOOSE(F$3,A261+24,A260)</f>
        <v>44645</v>
      </c>
      <c r="V260" s="71" t="n">
        <f aca="false">U260-C$3</f>
        <v>7757</v>
      </c>
      <c r="W260" s="142" t="n">
        <f aca="false">VLOOKUP($A260,Table,MATCH(W$4,Curves,0))</f>
        <v>0.058966861357273</v>
      </c>
      <c r="X260" s="147" t="n">
        <f aca="false">1/(1+CHOOSE(F$3,(W261+($K$3/10000))/2,(W260+($K$3/10000))/2))^(2*V260/365.25)</f>
        <v>0.291066631616781</v>
      </c>
      <c r="Y260" s="71" t="n">
        <f aca="false">IF(AND(mthbeg&lt;=A260,mthend&gt;=A260),1,0)</f>
        <v>0</v>
      </c>
      <c r="Z260" s="71" t="n">
        <f aca="false">T260*Y260</f>
        <v>0</v>
      </c>
      <c r="AB260" s="132" t="n">
        <f aca="false">F260*G260</f>
        <v>0</v>
      </c>
      <c r="AC260" s="132" t="n">
        <f aca="false">$F260*H260</f>
        <v>0</v>
      </c>
      <c r="AD260" s="132" t="n">
        <f aca="false">$F260*I260</f>
        <v>0</v>
      </c>
      <c r="AE260" s="132" t="n">
        <f aca="false">$F260*J260</f>
        <v>-0</v>
      </c>
      <c r="AF260" s="132" t="n">
        <f aca="false">$F260*K260</f>
        <v>-0</v>
      </c>
      <c r="AG260" s="132" t="n">
        <f aca="false">$F260*L260</f>
        <v>0</v>
      </c>
      <c r="AH260" s="132" t="n">
        <f aca="false">$F260*M260</f>
        <v>0</v>
      </c>
      <c r="AI260" s="132" t="n">
        <f aca="false">$F260*N260</f>
        <v>0</v>
      </c>
      <c r="AJ260" s="132" t="n">
        <f aca="false">F260*O260</f>
        <v>0</v>
      </c>
      <c r="AK260" s="137"/>
      <c r="AL260" s="132" t="n">
        <f aca="false">CHOOSE($G$3,AC260-AD260,AD260-AC260)</f>
        <v>0</v>
      </c>
      <c r="AM260" s="132" t="n">
        <f aca="false">CHOOSE($G$3,AF260-AG260,AG260-AF260)</f>
        <v>0</v>
      </c>
      <c r="AN260" s="132" t="n">
        <f aca="false">CHOOSE($G$3,AI260-AJ260,AJ260-AI260)</f>
        <v>0</v>
      </c>
      <c r="AO260" s="148" t="n">
        <f aca="false">SUM(AL260:AN260)</f>
        <v>0</v>
      </c>
      <c r="AQ260" s="132" t="n">
        <f aca="false">CHOOSE($G$3,AB260-AC260,AC260-AB260)</f>
        <v>0</v>
      </c>
      <c r="AR260" s="132" t="n">
        <f aca="false">CHOOSE($G$3,AE260-AF260,AF260-AE260)</f>
        <v>0</v>
      </c>
      <c r="AS260" s="132" t="n">
        <f aca="false">CHOOSE($G$3,AH260-AI260,AI260-AH260)</f>
        <v>0</v>
      </c>
      <c r="AT260" s="148" t="n">
        <f aca="false">AQ260+AR260+AS260</f>
        <v>0</v>
      </c>
      <c r="AU260" s="148"/>
      <c r="AV260" s="133" t="n">
        <f aca="false">AT260+AO260</f>
        <v>0</v>
      </c>
      <c r="AX260" s="133" t="n">
        <f aca="false">AJ260+AG260+AD260</f>
        <v>0</v>
      </c>
      <c r="AY260" s="149"/>
      <c r="AZ260" s="76" t="n">
        <f aca="false">R260*E260</f>
        <v>0</v>
      </c>
    </row>
    <row r="261" customFormat="false" ht="12" hidden="false" customHeight="true" outlineLevel="0" collapsed="false">
      <c r="A261" s="138" t="n">
        <f aca="false">EDATE(A260,1)</f>
        <v>44621</v>
      </c>
      <c r="B261" s="139" t="n">
        <f aca="false">VLOOKUP($A261,Table2,MATCH(I$3,Curves2,0))</f>
        <v>0</v>
      </c>
      <c r="C261" s="140"/>
      <c r="D261" s="141" t="n">
        <f aca="false">B261+C261</f>
        <v>0</v>
      </c>
      <c r="E261" s="126" t="n">
        <f aca="false">IF(Y261=0,0,IF(AND(Y261=1,$H$3=1),D261*T261,IF($H$3=2,D261,"N/A")))</f>
        <v>0</v>
      </c>
      <c r="F261" s="126" t="n">
        <f aca="false">E261*X261</f>
        <v>0</v>
      </c>
      <c r="G261" s="142" t="n">
        <f aca="false">VLOOKUP($A261,Table,MATCH(G$4,Curves,0))</f>
        <v>3.987</v>
      </c>
      <c r="H261" s="143" t="n">
        <f aca="false">G261</f>
        <v>3.987</v>
      </c>
      <c r="I261" s="142" t="n">
        <f aca="false">VLOOKUP($A261,Table1,MATCH(I$3,Curves1,0))</f>
        <v>0</v>
      </c>
      <c r="J261" s="142" t="n">
        <f aca="false">VLOOKUP($A261,Table,MATCH(J$4,Curves,0))</f>
        <v>-0.0235</v>
      </c>
      <c r="K261" s="143" t="n">
        <f aca="false">J261</f>
        <v>-0.0235</v>
      </c>
      <c r="L261" s="144" t="n">
        <v>0</v>
      </c>
      <c r="M261" s="142" t="n">
        <f aca="false">VLOOKUP($A261,Table,MATCH(M$4,Curves,0))</f>
        <v>0.0075</v>
      </c>
      <c r="N261" s="143" t="n">
        <f aca="false">M261</f>
        <v>0.0075</v>
      </c>
      <c r="O261" s="144" t="n">
        <v>0</v>
      </c>
      <c r="P261" s="145"/>
      <c r="Q261" s="144" t="n">
        <f aca="false">M261+J261+G261</f>
        <v>3.971</v>
      </c>
      <c r="R261" s="144" t="n">
        <f aca="false">O261+L261+I261</f>
        <v>0</v>
      </c>
      <c r="S261" s="145"/>
      <c r="T261" s="71" t="n">
        <f aca="false">A262-A261</f>
        <v>31</v>
      </c>
      <c r="U261" s="146" t="n">
        <f aca="false">CHOOSE(F$3,A262+24,A261)</f>
        <v>44676</v>
      </c>
      <c r="V261" s="71" t="n">
        <f aca="false">U261-C$3</f>
        <v>7788</v>
      </c>
      <c r="W261" s="142" t="n">
        <f aca="false">VLOOKUP($A261,Table,MATCH(W$4,Curves,0))</f>
        <v>0.058966861357273</v>
      </c>
      <c r="X261" s="147" t="n">
        <f aca="false">1/(1+CHOOSE(F$3,(W262+($K$3/10000))/2,(W261+($K$3/10000))/2))^(2*V261/365.25)</f>
        <v>0.289634521756549</v>
      </c>
      <c r="Y261" s="71" t="n">
        <f aca="false">IF(AND(mthbeg&lt;=A261,mthend&gt;=A261),1,0)</f>
        <v>0</v>
      </c>
      <c r="Z261" s="71" t="n">
        <f aca="false">T261*Y261</f>
        <v>0</v>
      </c>
      <c r="AB261" s="132" t="n">
        <f aca="false">F261*G261</f>
        <v>0</v>
      </c>
      <c r="AC261" s="132" t="n">
        <f aca="false">$F261*H261</f>
        <v>0</v>
      </c>
      <c r="AD261" s="132" t="n">
        <f aca="false">$F261*I261</f>
        <v>0</v>
      </c>
      <c r="AE261" s="132" t="n">
        <f aca="false">$F261*J261</f>
        <v>-0</v>
      </c>
      <c r="AF261" s="132" t="n">
        <f aca="false">$F261*K261</f>
        <v>-0</v>
      </c>
      <c r="AG261" s="132" t="n">
        <f aca="false">$F261*L261</f>
        <v>0</v>
      </c>
      <c r="AH261" s="132" t="n">
        <f aca="false">$F261*M261</f>
        <v>0</v>
      </c>
      <c r="AI261" s="132" t="n">
        <f aca="false">$F261*N261</f>
        <v>0</v>
      </c>
      <c r="AJ261" s="132" t="n">
        <f aca="false">F261*O261</f>
        <v>0</v>
      </c>
      <c r="AK261" s="137"/>
      <c r="AL261" s="132" t="n">
        <f aca="false">CHOOSE($G$3,AC261-AD261,AD261-AC261)</f>
        <v>0</v>
      </c>
      <c r="AM261" s="132" t="n">
        <f aca="false">CHOOSE($G$3,AF261-AG261,AG261-AF261)</f>
        <v>0</v>
      </c>
      <c r="AN261" s="132" t="n">
        <f aca="false">CHOOSE($G$3,AI261-AJ261,AJ261-AI261)</f>
        <v>0</v>
      </c>
      <c r="AO261" s="148" t="n">
        <f aca="false">SUM(AL261:AN261)</f>
        <v>0</v>
      </c>
      <c r="AQ261" s="132" t="n">
        <f aca="false">CHOOSE($G$3,AB261-AC261,AC261-AB261)</f>
        <v>0</v>
      </c>
      <c r="AR261" s="132" t="n">
        <f aca="false">CHOOSE($G$3,AE261-AF261,AF261-AE261)</f>
        <v>0</v>
      </c>
      <c r="AS261" s="132" t="n">
        <f aca="false">CHOOSE($G$3,AH261-AI261,AI261-AH261)</f>
        <v>0</v>
      </c>
      <c r="AT261" s="148" t="n">
        <f aca="false">AQ261+AR261+AS261</f>
        <v>0</v>
      </c>
      <c r="AU261" s="148"/>
      <c r="AV261" s="133" t="n">
        <f aca="false">AT261+AO261</f>
        <v>0</v>
      </c>
      <c r="AX261" s="133" t="n">
        <f aca="false">AJ261+AG261+AD261</f>
        <v>0</v>
      </c>
      <c r="AY261" s="149"/>
      <c r="AZ261" s="76" t="n">
        <f aca="false">R261*E261</f>
        <v>0</v>
      </c>
    </row>
    <row r="262" customFormat="false" ht="12" hidden="false" customHeight="true" outlineLevel="0" collapsed="false">
      <c r="A262" s="138" t="n">
        <f aca="false">EDATE(A261,1)</f>
        <v>44652</v>
      </c>
      <c r="B262" s="139" t="n">
        <f aca="false">VLOOKUP($A262,Table2,MATCH(I$3,Curves2,0))</f>
        <v>0</v>
      </c>
      <c r="C262" s="140"/>
      <c r="D262" s="141" t="n">
        <f aca="false">B262+C262</f>
        <v>0</v>
      </c>
      <c r="E262" s="126" t="n">
        <f aca="false">IF(Y262=0,0,IF(AND(Y262=1,$H$3=1),D262*T262,IF($H$3=2,D262,"N/A")))</f>
        <v>0</v>
      </c>
      <c r="F262" s="126" t="n">
        <f aca="false">E262*X262</f>
        <v>0</v>
      </c>
      <c r="G262" s="142" t="n">
        <f aca="false">VLOOKUP($A262,Table,MATCH(G$4,Curves,0))</f>
        <v>3.987</v>
      </c>
      <c r="H262" s="143" t="n">
        <f aca="false">G262</f>
        <v>3.987</v>
      </c>
      <c r="I262" s="142" t="n">
        <f aca="false">VLOOKUP($A262,Table1,MATCH(I$3,Curves1,0))</f>
        <v>0</v>
      </c>
      <c r="J262" s="142" t="n">
        <f aca="false">VLOOKUP($A262,Table,MATCH(J$4,Curves,0))</f>
        <v>-0.0235</v>
      </c>
      <c r="K262" s="143" t="n">
        <f aca="false">J262</f>
        <v>-0.0235</v>
      </c>
      <c r="L262" s="144" t="n">
        <v>0</v>
      </c>
      <c r="M262" s="142" t="n">
        <f aca="false">VLOOKUP($A262,Table,MATCH(M$4,Curves,0))</f>
        <v>0.0075</v>
      </c>
      <c r="N262" s="143" t="n">
        <f aca="false">M262</f>
        <v>0.0075</v>
      </c>
      <c r="O262" s="144" t="n">
        <v>0</v>
      </c>
      <c r="P262" s="145"/>
      <c r="Q262" s="144" t="n">
        <f aca="false">M262+J262+G262</f>
        <v>3.971</v>
      </c>
      <c r="R262" s="144" t="n">
        <f aca="false">O262+L262+I262</f>
        <v>0</v>
      </c>
      <c r="S262" s="145"/>
      <c r="T262" s="71" t="n">
        <f aca="false">A263-A262</f>
        <v>30</v>
      </c>
      <c r="U262" s="146" t="n">
        <f aca="false">CHOOSE(F$3,A263+24,A262)</f>
        <v>44706</v>
      </c>
      <c r="V262" s="71" t="n">
        <f aca="false">U262-C$3</f>
        <v>7818</v>
      </c>
      <c r="W262" s="142" t="n">
        <f aca="false">VLOOKUP($A262,Table,MATCH(W$4,Curves,0))</f>
        <v>0.058966861357273</v>
      </c>
      <c r="X262" s="147" t="n">
        <f aca="false">1/(1+CHOOSE(F$3,(W263+($K$3/10000))/2,(W262+($K$3/10000))/2))^(2*V262/365.25)</f>
        <v>0.288255318346515</v>
      </c>
      <c r="Y262" s="71" t="n">
        <f aca="false">IF(AND(mthbeg&lt;=A262,mthend&gt;=A262),1,0)</f>
        <v>0</v>
      </c>
      <c r="Z262" s="71" t="n">
        <f aca="false">T262*Y262</f>
        <v>0</v>
      </c>
      <c r="AB262" s="132" t="n">
        <f aca="false">F262*G262</f>
        <v>0</v>
      </c>
      <c r="AC262" s="132" t="n">
        <f aca="false">$F262*H262</f>
        <v>0</v>
      </c>
      <c r="AD262" s="132" t="n">
        <f aca="false">$F262*I262</f>
        <v>0</v>
      </c>
      <c r="AE262" s="132" t="n">
        <f aca="false">$F262*J262</f>
        <v>-0</v>
      </c>
      <c r="AF262" s="132" t="n">
        <f aca="false">$F262*K262</f>
        <v>-0</v>
      </c>
      <c r="AG262" s="132" t="n">
        <f aca="false">$F262*L262</f>
        <v>0</v>
      </c>
      <c r="AH262" s="132" t="n">
        <f aca="false">$F262*M262</f>
        <v>0</v>
      </c>
      <c r="AI262" s="132" t="n">
        <f aca="false">$F262*N262</f>
        <v>0</v>
      </c>
      <c r="AJ262" s="132" t="n">
        <f aca="false">F262*O262</f>
        <v>0</v>
      </c>
      <c r="AK262" s="137"/>
      <c r="AL262" s="132" t="n">
        <f aca="false">CHOOSE($G$3,AC262-AD262,AD262-AC262)</f>
        <v>0</v>
      </c>
      <c r="AM262" s="132" t="n">
        <f aca="false">CHOOSE($G$3,AF262-AG262,AG262-AF262)</f>
        <v>0</v>
      </c>
      <c r="AN262" s="132" t="n">
        <f aca="false">CHOOSE($G$3,AI262-AJ262,AJ262-AI262)</f>
        <v>0</v>
      </c>
      <c r="AO262" s="148" t="n">
        <f aca="false">SUM(AL262:AN262)</f>
        <v>0</v>
      </c>
      <c r="AQ262" s="132" t="n">
        <f aca="false">CHOOSE($G$3,AB262-AC262,AC262-AB262)</f>
        <v>0</v>
      </c>
      <c r="AR262" s="132" t="n">
        <f aca="false">CHOOSE($G$3,AE262-AF262,AF262-AE262)</f>
        <v>0</v>
      </c>
      <c r="AS262" s="132" t="n">
        <f aca="false">CHOOSE($G$3,AH262-AI262,AI262-AH262)</f>
        <v>0</v>
      </c>
      <c r="AT262" s="148" t="n">
        <f aca="false">AQ262+AR262+AS262</f>
        <v>0</v>
      </c>
      <c r="AU262" s="148"/>
      <c r="AV262" s="133" t="n">
        <f aca="false">AT262+AO262</f>
        <v>0</v>
      </c>
      <c r="AX262" s="133" t="n">
        <f aca="false">AJ262+AG262+AD262</f>
        <v>0</v>
      </c>
      <c r="AY262" s="149"/>
      <c r="AZ262" s="76" t="n">
        <f aca="false">R262*E262</f>
        <v>0</v>
      </c>
    </row>
    <row r="263" customFormat="false" ht="12" hidden="false" customHeight="true" outlineLevel="0" collapsed="false">
      <c r="A263" s="138" t="n">
        <f aca="false">EDATE(A262,1)</f>
        <v>44682</v>
      </c>
      <c r="B263" s="139" t="n">
        <f aca="false">VLOOKUP($A263,Table2,MATCH(I$3,Curves2,0))</f>
        <v>0</v>
      </c>
      <c r="C263" s="140"/>
      <c r="D263" s="141" t="n">
        <f aca="false">B263+C263</f>
        <v>0</v>
      </c>
      <c r="E263" s="126" t="n">
        <f aca="false">IF(Y263=0,0,IF(AND(Y263=1,$H$3=1),D263*T263,IF($H$3=2,D263,"N/A")))</f>
        <v>0</v>
      </c>
      <c r="F263" s="126" t="n">
        <f aca="false">E263*X263</f>
        <v>0</v>
      </c>
      <c r="G263" s="142" t="n">
        <f aca="false">VLOOKUP($A263,Table,MATCH(G$4,Curves,0))</f>
        <v>3.987</v>
      </c>
      <c r="H263" s="143" t="n">
        <f aca="false">G263</f>
        <v>3.987</v>
      </c>
      <c r="I263" s="142" t="n">
        <f aca="false">VLOOKUP($A263,Table1,MATCH(I$3,Curves1,0))</f>
        <v>0</v>
      </c>
      <c r="J263" s="142" t="n">
        <f aca="false">VLOOKUP($A263,Table,MATCH(J$4,Curves,0))</f>
        <v>-0.0235</v>
      </c>
      <c r="K263" s="143" t="n">
        <f aca="false">J263</f>
        <v>-0.0235</v>
      </c>
      <c r="L263" s="144" t="n">
        <v>0</v>
      </c>
      <c r="M263" s="142" t="n">
        <f aca="false">VLOOKUP($A263,Table,MATCH(M$4,Curves,0))</f>
        <v>0.0075</v>
      </c>
      <c r="N263" s="143" t="n">
        <f aca="false">M263</f>
        <v>0.0075</v>
      </c>
      <c r="O263" s="144" t="n">
        <v>0</v>
      </c>
      <c r="P263" s="145"/>
      <c r="Q263" s="144" t="n">
        <f aca="false">M263+J263+G263</f>
        <v>3.971</v>
      </c>
      <c r="R263" s="144" t="n">
        <f aca="false">O263+L263+I263</f>
        <v>0</v>
      </c>
      <c r="S263" s="145"/>
      <c r="T263" s="71" t="n">
        <f aca="false">A264-A263</f>
        <v>31</v>
      </c>
      <c r="U263" s="146" t="n">
        <f aca="false">CHOOSE(F$3,A264+24,A263)</f>
        <v>44737</v>
      </c>
      <c r="V263" s="71" t="n">
        <f aca="false">U263-C$3</f>
        <v>7849</v>
      </c>
      <c r="W263" s="142" t="n">
        <f aca="false">VLOOKUP($A263,Table,MATCH(W$4,Curves,0))</f>
        <v>0.058966861357273</v>
      </c>
      <c r="X263" s="147" t="n">
        <f aca="false">1/(1+CHOOSE(F$3,(W264+($K$3/10000))/2,(W263+($K$3/10000))/2))^(2*V263/365.25)</f>
        <v>0.286837040746725</v>
      </c>
      <c r="Y263" s="71" t="n">
        <f aca="false">IF(AND(mthbeg&lt;=A263,mthend&gt;=A263),1,0)</f>
        <v>0</v>
      </c>
      <c r="Z263" s="71" t="n">
        <f aca="false">T263*Y263</f>
        <v>0</v>
      </c>
      <c r="AB263" s="132" t="n">
        <f aca="false">F263*G263</f>
        <v>0</v>
      </c>
      <c r="AC263" s="132" t="n">
        <f aca="false">$F263*H263</f>
        <v>0</v>
      </c>
      <c r="AD263" s="132" t="n">
        <f aca="false">$F263*I263</f>
        <v>0</v>
      </c>
      <c r="AE263" s="132" t="n">
        <f aca="false">$F263*J263</f>
        <v>-0</v>
      </c>
      <c r="AF263" s="132" t="n">
        <f aca="false">$F263*K263</f>
        <v>-0</v>
      </c>
      <c r="AG263" s="132" t="n">
        <f aca="false">$F263*L263</f>
        <v>0</v>
      </c>
      <c r="AH263" s="132" t="n">
        <f aca="false">$F263*M263</f>
        <v>0</v>
      </c>
      <c r="AI263" s="132" t="n">
        <f aca="false">$F263*N263</f>
        <v>0</v>
      </c>
      <c r="AJ263" s="132" t="n">
        <f aca="false">F263*O263</f>
        <v>0</v>
      </c>
      <c r="AK263" s="137"/>
      <c r="AL263" s="132" t="n">
        <f aca="false">CHOOSE($G$3,AC263-AD263,AD263-AC263)</f>
        <v>0</v>
      </c>
      <c r="AM263" s="132" t="n">
        <f aca="false">CHOOSE($G$3,AF263-AG263,AG263-AF263)</f>
        <v>0</v>
      </c>
      <c r="AN263" s="132" t="n">
        <f aca="false">CHOOSE($G$3,AI263-AJ263,AJ263-AI263)</f>
        <v>0</v>
      </c>
      <c r="AO263" s="148" t="n">
        <f aca="false">SUM(AL263:AN263)</f>
        <v>0</v>
      </c>
      <c r="AQ263" s="132" t="n">
        <f aca="false">CHOOSE($G$3,AB263-AC263,AC263-AB263)</f>
        <v>0</v>
      </c>
      <c r="AR263" s="132" t="n">
        <f aca="false">CHOOSE($G$3,AE263-AF263,AF263-AE263)</f>
        <v>0</v>
      </c>
      <c r="AS263" s="132" t="n">
        <f aca="false">CHOOSE($G$3,AH263-AI263,AI263-AH263)</f>
        <v>0</v>
      </c>
      <c r="AT263" s="148" t="n">
        <f aca="false">AQ263+AR263+AS263</f>
        <v>0</v>
      </c>
      <c r="AU263" s="148"/>
      <c r="AV263" s="133" t="n">
        <f aca="false">AT263+AO263</f>
        <v>0</v>
      </c>
      <c r="AX263" s="133" t="n">
        <f aca="false">AJ263+AG263+AD263</f>
        <v>0</v>
      </c>
      <c r="AY263" s="149"/>
      <c r="AZ263" s="76" t="n">
        <f aca="false">R263*E263</f>
        <v>0</v>
      </c>
    </row>
    <row r="264" customFormat="false" ht="12" hidden="false" customHeight="true" outlineLevel="0" collapsed="false">
      <c r="A264" s="138" t="n">
        <f aca="false">EDATE(A263,1)</f>
        <v>44713</v>
      </c>
      <c r="B264" s="139" t="n">
        <f aca="false">VLOOKUP($A264,Table2,MATCH(I$3,Curves2,0))</f>
        <v>0</v>
      </c>
      <c r="C264" s="140"/>
      <c r="D264" s="141" t="n">
        <f aca="false">B264+C264</f>
        <v>0</v>
      </c>
      <c r="E264" s="126" t="n">
        <f aca="false">IF(Y264=0,0,IF(AND(Y264=1,$H$3=1),D264*T264,IF($H$3=2,D264,"N/A")))</f>
        <v>0</v>
      </c>
      <c r="F264" s="126" t="n">
        <f aca="false">E264*X264</f>
        <v>0</v>
      </c>
      <c r="G264" s="142" t="n">
        <f aca="false">VLOOKUP($A264,Table,MATCH(G$4,Curves,0))</f>
        <v>3.987</v>
      </c>
      <c r="H264" s="143" t="n">
        <f aca="false">G264</f>
        <v>3.987</v>
      </c>
      <c r="I264" s="142" t="n">
        <f aca="false">VLOOKUP($A264,Table1,MATCH(I$3,Curves1,0))</f>
        <v>0</v>
      </c>
      <c r="J264" s="142" t="n">
        <f aca="false">VLOOKUP($A264,Table,MATCH(J$4,Curves,0))</f>
        <v>-0.0235</v>
      </c>
      <c r="K264" s="143" t="n">
        <f aca="false">J264</f>
        <v>-0.0235</v>
      </c>
      <c r="L264" s="144" t="n">
        <v>0</v>
      </c>
      <c r="M264" s="142" t="n">
        <f aca="false">VLOOKUP($A264,Table,MATCH(M$4,Curves,0))</f>
        <v>0.0075</v>
      </c>
      <c r="N264" s="143" t="n">
        <f aca="false">M264</f>
        <v>0.0075</v>
      </c>
      <c r="O264" s="144" t="n">
        <v>0</v>
      </c>
      <c r="P264" s="145"/>
      <c r="Q264" s="144" t="n">
        <f aca="false">M264+J264+G264</f>
        <v>3.971</v>
      </c>
      <c r="R264" s="144" t="n">
        <f aca="false">O264+L264+I264</f>
        <v>0</v>
      </c>
      <c r="S264" s="145"/>
      <c r="T264" s="71" t="n">
        <f aca="false">A265-A264</f>
        <v>30</v>
      </c>
      <c r="U264" s="146" t="n">
        <f aca="false">CHOOSE(F$3,A265+24,A264)</f>
        <v>44767</v>
      </c>
      <c r="V264" s="71" t="n">
        <f aca="false">U264-C$3</f>
        <v>7879</v>
      </c>
      <c r="W264" s="142" t="n">
        <f aca="false">VLOOKUP($A264,Table,MATCH(W$4,Curves,0))</f>
        <v>0.058966861357273</v>
      </c>
      <c r="X264" s="147" t="n">
        <f aca="false">1/(1+CHOOSE(F$3,(W265+($K$3/10000))/2,(W264+($K$3/10000))/2))^(2*V264/365.25)</f>
        <v>0.285471158591785</v>
      </c>
      <c r="Y264" s="71" t="n">
        <f aca="false">IF(AND(mthbeg&lt;=A264,mthend&gt;=A264),1,0)</f>
        <v>0</v>
      </c>
      <c r="Z264" s="71" t="n">
        <f aca="false">T264*Y264</f>
        <v>0</v>
      </c>
      <c r="AB264" s="132" t="n">
        <f aca="false">F264*G264</f>
        <v>0</v>
      </c>
      <c r="AC264" s="132" t="n">
        <f aca="false">$F264*H264</f>
        <v>0</v>
      </c>
      <c r="AD264" s="132" t="n">
        <f aca="false">$F264*I264</f>
        <v>0</v>
      </c>
      <c r="AE264" s="132" t="n">
        <f aca="false">$F264*J264</f>
        <v>-0</v>
      </c>
      <c r="AF264" s="132" t="n">
        <f aca="false">$F264*K264</f>
        <v>-0</v>
      </c>
      <c r="AG264" s="132" t="n">
        <f aca="false">$F264*L264</f>
        <v>0</v>
      </c>
      <c r="AH264" s="132" t="n">
        <f aca="false">$F264*M264</f>
        <v>0</v>
      </c>
      <c r="AI264" s="132" t="n">
        <f aca="false">$F264*N264</f>
        <v>0</v>
      </c>
      <c r="AJ264" s="132" t="n">
        <f aca="false">F264*O264</f>
        <v>0</v>
      </c>
      <c r="AK264" s="137"/>
      <c r="AL264" s="132" t="n">
        <f aca="false">CHOOSE($G$3,AC264-AD264,AD264-AC264)</f>
        <v>0</v>
      </c>
      <c r="AM264" s="132" t="n">
        <f aca="false">CHOOSE($G$3,AF264-AG264,AG264-AF264)</f>
        <v>0</v>
      </c>
      <c r="AN264" s="132" t="n">
        <f aca="false">CHOOSE($G$3,AI264-AJ264,AJ264-AI264)</f>
        <v>0</v>
      </c>
      <c r="AO264" s="148" t="n">
        <f aca="false">SUM(AL264:AN264)</f>
        <v>0</v>
      </c>
      <c r="AQ264" s="132" t="n">
        <f aca="false">CHOOSE($G$3,AB264-AC264,AC264-AB264)</f>
        <v>0</v>
      </c>
      <c r="AR264" s="132" t="n">
        <f aca="false">CHOOSE($G$3,AE264-AF264,AF264-AE264)</f>
        <v>0</v>
      </c>
      <c r="AS264" s="132" t="n">
        <f aca="false">CHOOSE($G$3,AH264-AI264,AI264-AH264)</f>
        <v>0</v>
      </c>
      <c r="AT264" s="148" t="n">
        <f aca="false">AQ264+AR264+AS264</f>
        <v>0</v>
      </c>
      <c r="AU264" s="148"/>
      <c r="AV264" s="133" t="n">
        <f aca="false">AT264+AO264</f>
        <v>0</v>
      </c>
      <c r="AX264" s="133" t="n">
        <f aca="false">AJ264+AG264+AD264</f>
        <v>0</v>
      </c>
      <c r="AY264" s="149"/>
      <c r="AZ264" s="76" t="n">
        <f aca="false">R264*E264</f>
        <v>0</v>
      </c>
    </row>
    <row r="265" customFormat="false" ht="12" hidden="false" customHeight="true" outlineLevel="0" collapsed="false">
      <c r="A265" s="138" t="n">
        <f aca="false">EDATE(A264,1)</f>
        <v>44743</v>
      </c>
      <c r="B265" s="139" t="n">
        <f aca="false">VLOOKUP($A265,Table2,MATCH(I$3,Curves2,0))</f>
        <v>0</v>
      </c>
      <c r="C265" s="140"/>
      <c r="D265" s="141" t="n">
        <f aca="false">B265+C265</f>
        <v>0</v>
      </c>
      <c r="E265" s="126" t="n">
        <f aca="false">IF(Y265=0,0,IF(AND(Y265=1,$H$3=1),D265*T265,IF($H$3=2,D265,"N/A")))</f>
        <v>0</v>
      </c>
      <c r="F265" s="126" t="n">
        <f aca="false">E265*X265</f>
        <v>0</v>
      </c>
      <c r="G265" s="142" t="n">
        <f aca="false">VLOOKUP($A265,Table,MATCH(G$4,Curves,0))</f>
        <v>3.987</v>
      </c>
      <c r="H265" s="143" t="n">
        <f aca="false">G265</f>
        <v>3.987</v>
      </c>
      <c r="I265" s="142" t="n">
        <f aca="false">VLOOKUP($A265,Table1,MATCH(I$3,Curves1,0))</f>
        <v>0</v>
      </c>
      <c r="J265" s="142" t="n">
        <f aca="false">VLOOKUP($A265,Table,MATCH(J$4,Curves,0))</f>
        <v>-0.0235</v>
      </c>
      <c r="K265" s="143" t="n">
        <f aca="false">J265</f>
        <v>-0.0235</v>
      </c>
      <c r="L265" s="144" t="n">
        <v>0</v>
      </c>
      <c r="M265" s="142" t="n">
        <f aca="false">VLOOKUP($A265,Table,MATCH(M$4,Curves,0))</f>
        <v>0.0075</v>
      </c>
      <c r="N265" s="143" t="n">
        <f aca="false">M265</f>
        <v>0.0075</v>
      </c>
      <c r="O265" s="144" t="n">
        <v>0</v>
      </c>
      <c r="P265" s="145"/>
      <c r="Q265" s="144" t="n">
        <f aca="false">M265+J265+G265</f>
        <v>3.971</v>
      </c>
      <c r="R265" s="144" t="n">
        <f aca="false">O265+L265+I265</f>
        <v>0</v>
      </c>
      <c r="S265" s="145"/>
      <c r="T265" s="71" t="n">
        <f aca="false">A266-A265</f>
        <v>31</v>
      </c>
      <c r="U265" s="146" t="n">
        <f aca="false">CHOOSE(F$3,A266+24,A265)</f>
        <v>44798</v>
      </c>
      <c r="V265" s="71" t="n">
        <f aca="false">U265-C$3</f>
        <v>7910</v>
      </c>
      <c r="W265" s="142" t="n">
        <f aca="false">VLOOKUP($A265,Table,MATCH(W$4,Curves,0))</f>
        <v>0.058966861357273</v>
      </c>
      <c r="X265" s="147" t="n">
        <f aca="false">1/(1+CHOOSE(F$3,(W266+($K$3/10000))/2,(W265+($K$3/10000))/2))^(2*V265/365.25)</f>
        <v>0.284066579651354</v>
      </c>
      <c r="Y265" s="71" t="n">
        <f aca="false">IF(AND(mthbeg&lt;=A265,mthend&gt;=A265),1,0)</f>
        <v>0</v>
      </c>
      <c r="Z265" s="71" t="n">
        <f aca="false">T265*Y265</f>
        <v>0</v>
      </c>
      <c r="AB265" s="132" t="n">
        <f aca="false">F265*G265</f>
        <v>0</v>
      </c>
      <c r="AC265" s="132" t="n">
        <f aca="false">$F265*H265</f>
        <v>0</v>
      </c>
      <c r="AD265" s="132" t="n">
        <f aca="false">$F265*I265</f>
        <v>0</v>
      </c>
      <c r="AE265" s="132" t="n">
        <f aca="false">$F265*J265</f>
        <v>-0</v>
      </c>
      <c r="AF265" s="132" t="n">
        <f aca="false">$F265*K265</f>
        <v>-0</v>
      </c>
      <c r="AG265" s="132" t="n">
        <f aca="false">$F265*L265</f>
        <v>0</v>
      </c>
      <c r="AH265" s="132" t="n">
        <f aca="false">$F265*M265</f>
        <v>0</v>
      </c>
      <c r="AI265" s="132" t="n">
        <f aca="false">$F265*N265</f>
        <v>0</v>
      </c>
      <c r="AJ265" s="132" t="n">
        <f aca="false">F265*O265</f>
        <v>0</v>
      </c>
      <c r="AK265" s="137"/>
      <c r="AL265" s="132" t="n">
        <f aca="false">CHOOSE($G$3,AC265-AD265,AD265-AC265)</f>
        <v>0</v>
      </c>
      <c r="AM265" s="132" t="n">
        <f aca="false">CHOOSE($G$3,AF265-AG265,AG265-AF265)</f>
        <v>0</v>
      </c>
      <c r="AN265" s="132" t="n">
        <f aca="false">CHOOSE($G$3,AI265-AJ265,AJ265-AI265)</f>
        <v>0</v>
      </c>
      <c r="AO265" s="148" t="n">
        <f aca="false">SUM(AL265:AN265)</f>
        <v>0</v>
      </c>
      <c r="AQ265" s="132" t="n">
        <f aca="false">CHOOSE($G$3,AB265-AC265,AC265-AB265)</f>
        <v>0</v>
      </c>
      <c r="AR265" s="132" t="n">
        <f aca="false">CHOOSE($G$3,AE265-AF265,AF265-AE265)</f>
        <v>0</v>
      </c>
      <c r="AS265" s="132" t="n">
        <f aca="false">CHOOSE($G$3,AH265-AI265,AI265-AH265)</f>
        <v>0</v>
      </c>
      <c r="AT265" s="148" t="n">
        <f aca="false">AQ265+AR265+AS265</f>
        <v>0</v>
      </c>
      <c r="AU265" s="148"/>
      <c r="AV265" s="133" t="n">
        <f aca="false">AT265+AO265</f>
        <v>0</v>
      </c>
      <c r="AX265" s="133" t="n">
        <f aca="false">AJ265+AG265+AD265</f>
        <v>0</v>
      </c>
      <c r="AY265" s="149"/>
      <c r="AZ265" s="76" t="n">
        <f aca="false">R265*E265</f>
        <v>0</v>
      </c>
    </row>
    <row r="266" customFormat="false" ht="12" hidden="false" customHeight="true" outlineLevel="0" collapsed="false">
      <c r="A266" s="138" t="n">
        <f aca="false">EDATE(A265,1)</f>
        <v>44774</v>
      </c>
      <c r="B266" s="139" t="n">
        <f aca="false">VLOOKUP($A266,Table2,MATCH(I$3,Curves2,0))</f>
        <v>0</v>
      </c>
      <c r="C266" s="140"/>
      <c r="D266" s="141" t="n">
        <f aca="false">B266+C266</f>
        <v>0</v>
      </c>
      <c r="E266" s="126" t="n">
        <f aca="false">IF(Y266=0,0,IF(AND(Y266=1,$H$3=1),D266*T266,IF($H$3=2,D266,"N/A")))</f>
        <v>0</v>
      </c>
      <c r="F266" s="126" t="n">
        <f aca="false">E266*X266</f>
        <v>0</v>
      </c>
      <c r="G266" s="142" t="n">
        <f aca="false">VLOOKUP($A266,Table,MATCH(G$4,Curves,0))</f>
        <v>3.987</v>
      </c>
      <c r="H266" s="143" t="n">
        <f aca="false">G266</f>
        <v>3.987</v>
      </c>
      <c r="I266" s="142" t="n">
        <f aca="false">VLOOKUP($A266,Table1,MATCH(I$3,Curves1,0))</f>
        <v>0</v>
      </c>
      <c r="J266" s="142" t="n">
        <f aca="false">VLOOKUP($A266,Table,MATCH(J$4,Curves,0))</f>
        <v>-0.0235</v>
      </c>
      <c r="K266" s="143" t="n">
        <f aca="false">J266</f>
        <v>-0.0235</v>
      </c>
      <c r="L266" s="144" t="n">
        <v>0</v>
      </c>
      <c r="M266" s="142" t="n">
        <f aca="false">VLOOKUP($A266,Table,MATCH(M$4,Curves,0))</f>
        <v>0.0075</v>
      </c>
      <c r="N266" s="143" t="n">
        <f aca="false">M266</f>
        <v>0.0075</v>
      </c>
      <c r="O266" s="144" t="n">
        <v>0</v>
      </c>
      <c r="P266" s="145"/>
      <c r="Q266" s="144" t="n">
        <f aca="false">M266+J266+G266</f>
        <v>3.971</v>
      </c>
      <c r="R266" s="144" t="n">
        <f aca="false">O266+L266+I266</f>
        <v>0</v>
      </c>
      <c r="S266" s="145"/>
      <c r="T266" s="71" t="n">
        <f aca="false">A267-A266</f>
        <v>31</v>
      </c>
      <c r="U266" s="146" t="n">
        <f aca="false">CHOOSE(F$3,A267+24,A266)</f>
        <v>44829</v>
      </c>
      <c r="V266" s="71" t="n">
        <f aca="false">U266-C$3</f>
        <v>7941</v>
      </c>
      <c r="W266" s="142" t="n">
        <f aca="false">VLOOKUP($A266,Table,MATCH(W$4,Curves,0))</f>
        <v>0.058966861357273</v>
      </c>
      <c r="X266" s="147" t="n">
        <f aca="false">1/(1+CHOOSE(F$3,(W267+($K$3/10000))/2,(W266+($K$3/10000))/2))^(2*V266/365.25)</f>
        <v>0.282668911538656</v>
      </c>
      <c r="Y266" s="71" t="n">
        <f aca="false">IF(AND(mthbeg&lt;=A266,mthend&gt;=A266),1,0)</f>
        <v>0</v>
      </c>
      <c r="Z266" s="71" t="n">
        <f aca="false">T266*Y266</f>
        <v>0</v>
      </c>
      <c r="AB266" s="132" t="n">
        <f aca="false">F266*G266</f>
        <v>0</v>
      </c>
      <c r="AC266" s="132" t="n">
        <f aca="false">$F266*H266</f>
        <v>0</v>
      </c>
      <c r="AD266" s="132" t="n">
        <f aca="false">$F266*I266</f>
        <v>0</v>
      </c>
      <c r="AE266" s="132" t="n">
        <f aca="false">$F266*J266</f>
        <v>-0</v>
      </c>
      <c r="AF266" s="132" t="n">
        <f aca="false">$F266*K266</f>
        <v>-0</v>
      </c>
      <c r="AG266" s="132" t="n">
        <f aca="false">$F266*L266</f>
        <v>0</v>
      </c>
      <c r="AH266" s="132" t="n">
        <f aca="false">$F266*M266</f>
        <v>0</v>
      </c>
      <c r="AI266" s="132" t="n">
        <f aca="false">$F266*N266</f>
        <v>0</v>
      </c>
      <c r="AJ266" s="132" t="n">
        <f aca="false">F266*O266</f>
        <v>0</v>
      </c>
      <c r="AK266" s="137"/>
      <c r="AL266" s="132" t="n">
        <f aca="false">CHOOSE($G$3,AC266-AD266,AD266-AC266)</f>
        <v>0</v>
      </c>
      <c r="AM266" s="132" t="n">
        <f aca="false">CHOOSE($G$3,AF266-AG266,AG266-AF266)</f>
        <v>0</v>
      </c>
      <c r="AN266" s="132" t="n">
        <f aca="false">CHOOSE($G$3,AI266-AJ266,AJ266-AI266)</f>
        <v>0</v>
      </c>
      <c r="AO266" s="148" t="n">
        <f aca="false">SUM(AL266:AN266)</f>
        <v>0</v>
      </c>
      <c r="AQ266" s="132" t="n">
        <f aca="false">CHOOSE($G$3,AB266-AC266,AC266-AB266)</f>
        <v>0</v>
      </c>
      <c r="AR266" s="132" t="n">
        <f aca="false">CHOOSE($G$3,AE266-AF266,AF266-AE266)</f>
        <v>0</v>
      </c>
      <c r="AS266" s="132" t="n">
        <f aca="false">CHOOSE($G$3,AH266-AI266,AI266-AH266)</f>
        <v>0</v>
      </c>
      <c r="AT266" s="148" t="n">
        <f aca="false">AQ266+AR266+AS266</f>
        <v>0</v>
      </c>
      <c r="AU266" s="148"/>
      <c r="AV266" s="133" t="n">
        <f aca="false">AT266+AO266</f>
        <v>0</v>
      </c>
      <c r="AX266" s="133" t="n">
        <f aca="false">AJ266+AG266+AD266</f>
        <v>0</v>
      </c>
      <c r="AY266" s="149"/>
      <c r="AZ266" s="76" t="n">
        <f aca="false">R266*E266</f>
        <v>0</v>
      </c>
    </row>
    <row r="267" customFormat="false" ht="12" hidden="false" customHeight="true" outlineLevel="0" collapsed="false">
      <c r="A267" s="138" t="n">
        <f aca="false">EDATE(A266,1)</f>
        <v>44805</v>
      </c>
      <c r="B267" s="139" t="n">
        <f aca="false">VLOOKUP($A267,Table2,MATCH(I$3,Curves2,0))</f>
        <v>0</v>
      </c>
      <c r="C267" s="140"/>
      <c r="D267" s="141" t="n">
        <f aca="false">B267+C267</f>
        <v>0</v>
      </c>
      <c r="E267" s="126" t="n">
        <f aca="false">IF(Y267=0,0,IF(AND(Y267=1,$H$3=1),D267*T267,IF($H$3=2,D267,"N/A")))</f>
        <v>0</v>
      </c>
      <c r="F267" s="126" t="n">
        <f aca="false">E267*X267</f>
        <v>0</v>
      </c>
      <c r="G267" s="142" t="n">
        <f aca="false">VLOOKUP($A267,Table,MATCH(G$4,Curves,0))</f>
        <v>3.987</v>
      </c>
      <c r="H267" s="143" t="n">
        <f aca="false">G267</f>
        <v>3.987</v>
      </c>
      <c r="I267" s="142" t="n">
        <f aca="false">VLOOKUP($A267,Table1,MATCH(I$3,Curves1,0))</f>
        <v>0</v>
      </c>
      <c r="J267" s="142" t="n">
        <f aca="false">VLOOKUP($A267,Table,MATCH(J$4,Curves,0))</f>
        <v>-0.0235</v>
      </c>
      <c r="K267" s="143" t="n">
        <f aca="false">J267</f>
        <v>-0.0235</v>
      </c>
      <c r="L267" s="144" t="n">
        <v>0</v>
      </c>
      <c r="M267" s="142" t="n">
        <f aca="false">VLOOKUP($A267,Table,MATCH(M$4,Curves,0))</f>
        <v>0.0075</v>
      </c>
      <c r="N267" s="143" t="n">
        <f aca="false">M267</f>
        <v>0.0075</v>
      </c>
      <c r="O267" s="144" t="n">
        <v>0</v>
      </c>
      <c r="P267" s="145"/>
      <c r="Q267" s="144" t="n">
        <f aca="false">M267+J267+G267</f>
        <v>3.971</v>
      </c>
      <c r="R267" s="144" t="n">
        <f aca="false">O267+L267+I267</f>
        <v>0</v>
      </c>
      <c r="S267" s="145"/>
      <c r="T267" s="71" t="n">
        <f aca="false">A268-A267</f>
        <v>30</v>
      </c>
      <c r="U267" s="146" t="n">
        <f aca="false">CHOOSE(F$3,A268+24,A267)</f>
        <v>44859</v>
      </c>
      <c r="V267" s="71" t="n">
        <f aca="false">U267-C$3</f>
        <v>7971</v>
      </c>
      <c r="W267" s="142" t="n">
        <f aca="false">VLOOKUP($A267,Table,MATCH(W$4,Curves,0))</f>
        <v>0.058966861357273</v>
      </c>
      <c r="X267" s="147" t="n">
        <f aca="false">1/(1+CHOOSE(F$3,(W268+($K$3/10000))/2,(W267+($K$3/10000))/2))^(2*V267/365.25)</f>
        <v>0.281322877494302</v>
      </c>
      <c r="Y267" s="71" t="n">
        <f aca="false">IF(AND(mthbeg&lt;=A267,mthend&gt;=A267),1,0)</f>
        <v>0</v>
      </c>
      <c r="Z267" s="71" t="n">
        <f aca="false">T267*Y267</f>
        <v>0</v>
      </c>
      <c r="AB267" s="132" t="n">
        <f aca="false">F267*G267</f>
        <v>0</v>
      </c>
      <c r="AC267" s="132" t="n">
        <f aca="false">$F267*H267</f>
        <v>0</v>
      </c>
      <c r="AD267" s="132" t="n">
        <f aca="false">$F267*I267</f>
        <v>0</v>
      </c>
      <c r="AE267" s="132" t="n">
        <f aca="false">$F267*J267</f>
        <v>-0</v>
      </c>
      <c r="AF267" s="132" t="n">
        <f aca="false">$F267*K267</f>
        <v>-0</v>
      </c>
      <c r="AG267" s="132" t="n">
        <f aca="false">$F267*L267</f>
        <v>0</v>
      </c>
      <c r="AH267" s="132" t="n">
        <f aca="false">$F267*M267</f>
        <v>0</v>
      </c>
      <c r="AI267" s="132" t="n">
        <f aca="false">$F267*N267</f>
        <v>0</v>
      </c>
      <c r="AJ267" s="132" t="n">
        <f aca="false">F267*O267</f>
        <v>0</v>
      </c>
      <c r="AK267" s="137"/>
      <c r="AL267" s="132" t="n">
        <f aca="false">CHOOSE($G$3,AC267-AD267,AD267-AC267)</f>
        <v>0</v>
      </c>
      <c r="AM267" s="132" t="n">
        <f aca="false">CHOOSE($G$3,AF267-AG267,AG267-AF267)</f>
        <v>0</v>
      </c>
      <c r="AN267" s="132" t="n">
        <f aca="false">CHOOSE($G$3,AI267-AJ267,AJ267-AI267)</f>
        <v>0</v>
      </c>
      <c r="AO267" s="148" t="n">
        <f aca="false">SUM(AL267:AN267)</f>
        <v>0</v>
      </c>
      <c r="AQ267" s="132" t="n">
        <f aca="false">CHOOSE($G$3,AB267-AC267,AC267-AB267)</f>
        <v>0</v>
      </c>
      <c r="AR267" s="132" t="n">
        <f aca="false">CHOOSE($G$3,AE267-AF267,AF267-AE267)</f>
        <v>0</v>
      </c>
      <c r="AS267" s="132" t="n">
        <f aca="false">CHOOSE($G$3,AH267-AI267,AI267-AH267)</f>
        <v>0</v>
      </c>
      <c r="AT267" s="148" t="n">
        <f aca="false">AQ267+AR267+AS267</f>
        <v>0</v>
      </c>
      <c r="AU267" s="148"/>
      <c r="AV267" s="133" t="n">
        <f aca="false">AT267+AO267</f>
        <v>0</v>
      </c>
      <c r="AX267" s="133" t="n">
        <f aca="false">AJ267+AG267+AD267</f>
        <v>0</v>
      </c>
      <c r="AY267" s="149"/>
      <c r="AZ267" s="76" t="n">
        <f aca="false">R267*E267</f>
        <v>0</v>
      </c>
    </row>
    <row r="268" customFormat="false" ht="12" hidden="false" customHeight="true" outlineLevel="0" collapsed="false">
      <c r="A268" s="138" t="n">
        <f aca="false">EDATE(A267,1)</f>
        <v>44835</v>
      </c>
      <c r="B268" s="139" t="n">
        <f aca="false">VLOOKUP($A268,Table2,MATCH(I$3,Curves2,0))</f>
        <v>0</v>
      </c>
      <c r="C268" s="140"/>
      <c r="D268" s="141" t="n">
        <f aca="false">B268+C268</f>
        <v>0</v>
      </c>
      <c r="E268" s="126" t="n">
        <f aca="false">IF(Y268=0,0,IF(AND(Y268=1,$H$3=1),D268*T268,IF($H$3=2,D268,"N/A")))</f>
        <v>0</v>
      </c>
      <c r="F268" s="126" t="n">
        <f aca="false">E268*X268</f>
        <v>0</v>
      </c>
      <c r="G268" s="142" t="n">
        <f aca="false">VLOOKUP($A268,Table,MATCH(G$4,Curves,0))</f>
        <v>3.987</v>
      </c>
      <c r="H268" s="143" t="n">
        <f aca="false">G268</f>
        <v>3.987</v>
      </c>
      <c r="I268" s="142" t="n">
        <f aca="false">VLOOKUP($A268,Table1,MATCH(I$3,Curves1,0))</f>
        <v>0</v>
      </c>
      <c r="J268" s="142" t="n">
        <f aca="false">VLOOKUP($A268,Table,MATCH(J$4,Curves,0))</f>
        <v>-0.0235</v>
      </c>
      <c r="K268" s="143" t="n">
        <f aca="false">J268</f>
        <v>-0.0235</v>
      </c>
      <c r="L268" s="144" t="n">
        <v>0</v>
      </c>
      <c r="M268" s="142" t="n">
        <f aca="false">VLOOKUP($A268,Table,MATCH(M$4,Curves,0))</f>
        <v>0.0075</v>
      </c>
      <c r="N268" s="143" t="n">
        <f aca="false">M268</f>
        <v>0.0075</v>
      </c>
      <c r="O268" s="144" t="n">
        <v>0</v>
      </c>
      <c r="P268" s="145"/>
      <c r="Q268" s="144" t="n">
        <f aca="false">M268+J268+G268</f>
        <v>3.971</v>
      </c>
      <c r="R268" s="144" t="n">
        <f aca="false">O268+L268+I268</f>
        <v>0</v>
      </c>
      <c r="S268" s="145"/>
      <c r="T268" s="71" t="n">
        <f aca="false">A269-A268</f>
        <v>31</v>
      </c>
      <c r="U268" s="146" t="n">
        <f aca="false">CHOOSE(F$3,A269+24,A268)</f>
        <v>44890</v>
      </c>
      <c r="V268" s="71" t="n">
        <f aca="false">U268-C$3</f>
        <v>8002</v>
      </c>
      <c r="W268" s="142" t="n">
        <f aca="false">VLOOKUP($A268,Table,MATCH(W$4,Curves,0))</f>
        <v>0.058966861357273</v>
      </c>
      <c r="X268" s="147" t="n">
        <f aca="false">1/(1+CHOOSE(F$3,(W269+($K$3/10000))/2,(W268+($K$3/10000))/2))^(2*V268/365.25)</f>
        <v>0.27993870898096</v>
      </c>
      <c r="Y268" s="71" t="n">
        <f aca="false">IF(AND(mthbeg&lt;=A268,mthend&gt;=A268),1,0)</f>
        <v>0</v>
      </c>
      <c r="Z268" s="71" t="n">
        <f aca="false">T268*Y268</f>
        <v>0</v>
      </c>
      <c r="AB268" s="132" t="n">
        <f aca="false">F268*G268</f>
        <v>0</v>
      </c>
      <c r="AC268" s="132" t="n">
        <f aca="false">$F268*H268</f>
        <v>0</v>
      </c>
      <c r="AD268" s="132" t="n">
        <f aca="false">$F268*I268</f>
        <v>0</v>
      </c>
      <c r="AE268" s="132" t="n">
        <f aca="false">$F268*J268</f>
        <v>-0</v>
      </c>
      <c r="AF268" s="132" t="n">
        <f aca="false">$F268*K268</f>
        <v>-0</v>
      </c>
      <c r="AG268" s="132" t="n">
        <f aca="false">$F268*L268</f>
        <v>0</v>
      </c>
      <c r="AH268" s="132" t="n">
        <f aca="false">$F268*M268</f>
        <v>0</v>
      </c>
      <c r="AI268" s="132" t="n">
        <f aca="false">$F268*N268</f>
        <v>0</v>
      </c>
      <c r="AJ268" s="132" t="n">
        <f aca="false">F268*O268</f>
        <v>0</v>
      </c>
      <c r="AK268" s="137"/>
      <c r="AL268" s="132" t="n">
        <f aca="false">CHOOSE($G$3,AC268-AD268,AD268-AC268)</f>
        <v>0</v>
      </c>
      <c r="AM268" s="132" t="n">
        <f aca="false">CHOOSE($G$3,AF268-AG268,AG268-AF268)</f>
        <v>0</v>
      </c>
      <c r="AN268" s="132" t="n">
        <f aca="false">CHOOSE($G$3,AI268-AJ268,AJ268-AI268)</f>
        <v>0</v>
      </c>
      <c r="AO268" s="148" t="n">
        <f aca="false">SUM(AL268:AN268)</f>
        <v>0</v>
      </c>
      <c r="AQ268" s="132" t="n">
        <f aca="false">CHOOSE($G$3,AB268-AC268,AC268-AB268)</f>
        <v>0</v>
      </c>
      <c r="AR268" s="132" t="n">
        <f aca="false">CHOOSE($G$3,AE268-AF268,AF268-AE268)</f>
        <v>0</v>
      </c>
      <c r="AS268" s="132" t="n">
        <f aca="false">CHOOSE($G$3,AH268-AI268,AI268-AH268)</f>
        <v>0</v>
      </c>
      <c r="AT268" s="148" t="n">
        <f aca="false">AQ268+AR268+AS268</f>
        <v>0</v>
      </c>
      <c r="AU268" s="148"/>
      <c r="AV268" s="133" t="n">
        <f aca="false">AT268+AO268</f>
        <v>0</v>
      </c>
      <c r="AX268" s="133" t="n">
        <f aca="false">AJ268+AG268+AD268</f>
        <v>0</v>
      </c>
      <c r="AY268" s="149"/>
      <c r="AZ268" s="76" t="n">
        <f aca="false">R268*E268</f>
        <v>0</v>
      </c>
    </row>
    <row r="269" customFormat="false" ht="12" hidden="false" customHeight="true" outlineLevel="0" collapsed="false">
      <c r="A269" s="138" t="n">
        <f aca="false">EDATE(A268,1)</f>
        <v>44866</v>
      </c>
      <c r="B269" s="139" t="n">
        <f aca="false">VLOOKUP($A269,Table2,MATCH(I$3,Curves2,0))</f>
        <v>0</v>
      </c>
      <c r="C269" s="140"/>
      <c r="D269" s="141" t="n">
        <f aca="false">B269+C269</f>
        <v>0</v>
      </c>
      <c r="E269" s="126" t="n">
        <f aca="false">IF(Y269=0,0,IF(AND(Y269=1,$H$3=1),D269*T269,IF($H$3=2,D269,"N/A")))</f>
        <v>0</v>
      </c>
      <c r="F269" s="126" t="n">
        <f aca="false">E269*X269</f>
        <v>0</v>
      </c>
      <c r="G269" s="142" t="n">
        <f aca="false">VLOOKUP($A269,Table,MATCH(G$4,Curves,0))</f>
        <v>3.987</v>
      </c>
      <c r="H269" s="143" t="n">
        <f aca="false">G269</f>
        <v>3.987</v>
      </c>
      <c r="I269" s="142" t="n">
        <f aca="false">VLOOKUP($A269,Table1,MATCH(I$3,Curves1,0))</f>
        <v>0</v>
      </c>
      <c r="J269" s="142" t="n">
        <f aca="false">VLOOKUP($A269,Table,MATCH(J$4,Curves,0))</f>
        <v>-0.0235</v>
      </c>
      <c r="K269" s="143" t="n">
        <f aca="false">J269</f>
        <v>-0.0235</v>
      </c>
      <c r="L269" s="144" t="n">
        <v>0</v>
      </c>
      <c r="M269" s="142" t="n">
        <f aca="false">VLOOKUP($A269,Table,MATCH(M$4,Curves,0))</f>
        <v>0.0075</v>
      </c>
      <c r="N269" s="143" t="n">
        <f aca="false">M269</f>
        <v>0.0075</v>
      </c>
      <c r="O269" s="144" t="n">
        <v>0</v>
      </c>
      <c r="P269" s="145"/>
      <c r="Q269" s="144" t="n">
        <f aca="false">M269+J269+G269</f>
        <v>3.971</v>
      </c>
      <c r="R269" s="144" t="n">
        <f aca="false">O269+L269+I269</f>
        <v>0</v>
      </c>
      <c r="S269" s="145"/>
      <c r="T269" s="71" t="n">
        <f aca="false">A270-A269</f>
        <v>30</v>
      </c>
      <c r="U269" s="146" t="n">
        <f aca="false">CHOOSE(F$3,A270+24,A269)</f>
        <v>44920</v>
      </c>
      <c r="V269" s="71" t="n">
        <f aca="false">U269-C$3</f>
        <v>8032</v>
      </c>
      <c r="W269" s="142" t="n">
        <f aca="false">VLOOKUP($A269,Table,MATCH(W$4,Curves,0))</f>
        <v>0.058966861357273</v>
      </c>
      <c r="X269" s="147" t="n">
        <f aca="false">1/(1+CHOOSE(F$3,(W270+($K$3/10000))/2,(W269+($K$3/10000))/2))^(2*V269/365.25)</f>
        <v>0.278605675820115</v>
      </c>
      <c r="Y269" s="71" t="n">
        <f aca="false">IF(AND(mthbeg&lt;=A269,mthend&gt;=A269),1,0)</f>
        <v>0</v>
      </c>
      <c r="Z269" s="71" t="n">
        <f aca="false">T269*Y269</f>
        <v>0</v>
      </c>
      <c r="AB269" s="132" t="n">
        <f aca="false">F269*G269</f>
        <v>0</v>
      </c>
      <c r="AC269" s="132" t="n">
        <f aca="false">$F269*H269</f>
        <v>0</v>
      </c>
      <c r="AD269" s="132" t="n">
        <f aca="false">$F269*I269</f>
        <v>0</v>
      </c>
      <c r="AE269" s="132" t="n">
        <f aca="false">$F269*J269</f>
        <v>-0</v>
      </c>
      <c r="AF269" s="132" t="n">
        <f aca="false">$F269*K269</f>
        <v>-0</v>
      </c>
      <c r="AG269" s="132" t="n">
        <f aca="false">$F269*L269</f>
        <v>0</v>
      </c>
      <c r="AH269" s="132" t="n">
        <f aca="false">$F269*M269</f>
        <v>0</v>
      </c>
      <c r="AI269" s="132" t="n">
        <f aca="false">$F269*N269</f>
        <v>0</v>
      </c>
      <c r="AJ269" s="132" t="n">
        <f aca="false">F269*O269</f>
        <v>0</v>
      </c>
      <c r="AK269" s="137"/>
      <c r="AL269" s="132" t="n">
        <f aca="false">CHOOSE($G$3,AC269-AD269,AD269-AC269)</f>
        <v>0</v>
      </c>
      <c r="AM269" s="132" t="n">
        <f aca="false">CHOOSE($G$3,AF269-AG269,AG269-AF269)</f>
        <v>0</v>
      </c>
      <c r="AN269" s="132" t="n">
        <f aca="false">CHOOSE($G$3,AI269-AJ269,AJ269-AI269)</f>
        <v>0</v>
      </c>
      <c r="AO269" s="148" t="n">
        <f aca="false">SUM(AL269:AN269)</f>
        <v>0</v>
      </c>
      <c r="AQ269" s="132" t="n">
        <f aca="false">CHOOSE($G$3,AB269-AC269,AC269-AB269)</f>
        <v>0</v>
      </c>
      <c r="AR269" s="132" t="n">
        <f aca="false">CHOOSE($G$3,AE269-AF269,AF269-AE269)</f>
        <v>0</v>
      </c>
      <c r="AS269" s="132" t="n">
        <f aca="false">CHOOSE($G$3,AH269-AI269,AI269-AH269)</f>
        <v>0</v>
      </c>
      <c r="AT269" s="148" t="n">
        <f aca="false">AQ269+AR269+AS269</f>
        <v>0</v>
      </c>
      <c r="AU269" s="148"/>
      <c r="AV269" s="133" t="n">
        <f aca="false">AT269+AO269</f>
        <v>0</v>
      </c>
      <c r="AX269" s="133" t="n">
        <f aca="false">AJ269+AG269+AD269</f>
        <v>0</v>
      </c>
      <c r="AY269" s="149"/>
      <c r="AZ269" s="76" t="n">
        <f aca="false">R269*E269</f>
        <v>0</v>
      </c>
    </row>
    <row r="270" customFormat="false" ht="12" hidden="false" customHeight="true" outlineLevel="0" collapsed="false">
      <c r="A270" s="138" t="n">
        <f aca="false">EDATE(A269,1)</f>
        <v>44896</v>
      </c>
      <c r="B270" s="139" t="n">
        <f aca="false">VLOOKUP($A270,Table2,MATCH(I$3,Curves2,0))</f>
        <v>0</v>
      </c>
      <c r="C270" s="140"/>
      <c r="D270" s="141" t="n">
        <f aca="false">B270+C270</f>
        <v>0</v>
      </c>
      <c r="E270" s="126" t="n">
        <f aca="false">IF(Y270=0,0,IF(AND(Y270=1,$H$3=1),D270*T270,IF($H$3=2,D270,"N/A")))</f>
        <v>0</v>
      </c>
      <c r="F270" s="126" t="n">
        <f aca="false">E270*X270</f>
        <v>0</v>
      </c>
      <c r="G270" s="142" t="n">
        <f aca="false">VLOOKUP($A270,Table,MATCH(G$4,Curves,0))</f>
        <v>3.987</v>
      </c>
      <c r="H270" s="143" t="n">
        <f aca="false">G270</f>
        <v>3.987</v>
      </c>
      <c r="I270" s="142" t="n">
        <f aca="false">VLOOKUP($A270,Table1,MATCH(I$3,Curves1,0))</f>
        <v>0</v>
      </c>
      <c r="J270" s="142" t="n">
        <f aca="false">VLOOKUP($A270,Table,MATCH(J$4,Curves,0))</f>
        <v>-0.0235</v>
      </c>
      <c r="K270" s="143" t="n">
        <f aca="false">J270</f>
        <v>-0.0235</v>
      </c>
      <c r="L270" s="144" t="n">
        <v>0</v>
      </c>
      <c r="M270" s="142" t="n">
        <f aca="false">VLOOKUP($A270,Table,MATCH(M$4,Curves,0))</f>
        <v>0.0075</v>
      </c>
      <c r="N270" s="143" t="n">
        <f aca="false">M270</f>
        <v>0.0075</v>
      </c>
      <c r="O270" s="144" t="n">
        <v>0</v>
      </c>
      <c r="P270" s="145"/>
      <c r="Q270" s="144" t="n">
        <f aca="false">M270+J270+G270</f>
        <v>3.971</v>
      </c>
      <c r="R270" s="144" t="n">
        <f aca="false">O270+L270+I270</f>
        <v>0</v>
      </c>
      <c r="S270" s="145"/>
      <c r="T270" s="71" t="n">
        <f aca="false">A271-A270</f>
        <v>31</v>
      </c>
      <c r="U270" s="146" t="n">
        <f aca="false">CHOOSE(F$3,A271+24,A270)</f>
        <v>44951</v>
      </c>
      <c r="V270" s="71" t="n">
        <f aca="false">U270-C$3</f>
        <v>8063</v>
      </c>
      <c r="W270" s="142" t="n">
        <f aca="false">VLOOKUP($A270,Table,MATCH(W$4,Curves,0))</f>
        <v>0.058966861357273</v>
      </c>
      <c r="X270" s="147" t="n">
        <f aca="false">1/(1+CHOOSE(F$3,(W271+($K$3/10000))/2,(W270+($K$3/10000))/2))^(2*V270/365.25)</f>
        <v>0.277234876518105</v>
      </c>
      <c r="Y270" s="71" t="n">
        <f aca="false">IF(AND(mthbeg&lt;=A270,mthend&gt;=A270),1,0)</f>
        <v>0</v>
      </c>
      <c r="Z270" s="71" t="n">
        <f aca="false">T270*Y270</f>
        <v>0</v>
      </c>
      <c r="AB270" s="132" t="n">
        <f aca="false">F270*G270</f>
        <v>0</v>
      </c>
      <c r="AC270" s="132" t="n">
        <f aca="false">$F270*H270</f>
        <v>0</v>
      </c>
      <c r="AD270" s="132" t="n">
        <f aca="false">$F270*I270</f>
        <v>0</v>
      </c>
      <c r="AE270" s="132" t="n">
        <f aca="false">$F270*J270</f>
        <v>-0</v>
      </c>
      <c r="AF270" s="132" t="n">
        <f aca="false">$F270*K270</f>
        <v>-0</v>
      </c>
      <c r="AG270" s="132" t="n">
        <f aca="false">$F270*L270</f>
        <v>0</v>
      </c>
      <c r="AH270" s="132" t="n">
        <f aca="false">$F270*M270</f>
        <v>0</v>
      </c>
      <c r="AI270" s="132" t="n">
        <f aca="false">$F270*N270</f>
        <v>0</v>
      </c>
      <c r="AJ270" s="132" t="n">
        <f aca="false">F270*O270</f>
        <v>0</v>
      </c>
      <c r="AK270" s="137"/>
      <c r="AL270" s="132" t="n">
        <f aca="false">CHOOSE($G$3,AC270-AD270,AD270-AC270)</f>
        <v>0</v>
      </c>
      <c r="AM270" s="132" t="n">
        <f aca="false">CHOOSE($G$3,AF270-AG270,AG270-AF270)</f>
        <v>0</v>
      </c>
      <c r="AN270" s="132" t="n">
        <f aca="false">CHOOSE($G$3,AI270-AJ270,AJ270-AI270)</f>
        <v>0</v>
      </c>
      <c r="AO270" s="148" t="n">
        <f aca="false">SUM(AL270:AN270)</f>
        <v>0</v>
      </c>
      <c r="AQ270" s="132" t="n">
        <f aca="false">CHOOSE($G$3,AB270-AC270,AC270-AB270)</f>
        <v>0</v>
      </c>
      <c r="AR270" s="132" t="n">
        <f aca="false">CHOOSE($G$3,AE270-AF270,AF270-AE270)</f>
        <v>0</v>
      </c>
      <c r="AS270" s="132" t="n">
        <f aca="false">CHOOSE($G$3,AH270-AI270,AI270-AH270)</f>
        <v>0</v>
      </c>
      <c r="AT270" s="148" t="n">
        <f aca="false">AQ270+AR270+AS270</f>
        <v>0</v>
      </c>
      <c r="AU270" s="148"/>
      <c r="AV270" s="133" t="n">
        <f aca="false">AT270+AO270</f>
        <v>0</v>
      </c>
      <c r="AX270" s="133" t="n">
        <f aca="false">AJ270+AG270+AD270</f>
        <v>0</v>
      </c>
      <c r="AY270" s="149"/>
      <c r="AZ270" s="76" t="n">
        <f aca="false">R270*E270</f>
        <v>0</v>
      </c>
    </row>
    <row r="271" customFormat="false" ht="12" hidden="false" customHeight="true" outlineLevel="0" collapsed="false">
      <c r="A271" s="138" t="n">
        <f aca="false">EDATE(A270,1)</f>
        <v>44927</v>
      </c>
      <c r="B271" s="139" t="n">
        <f aca="false">VLOOKUP($A271,Table2,MATCH(I$3,Curves2,0))</f>
        <v>0</v>
      </c>
      <c r="C271" s="140"/>
      <c r="D271" s="141" t="n">
        <f aca="false">B271+C271</f>
        <v>0</v>
      </c>
      <c r="E271" s="126" t="n">
        <f aca="false">IF(Y271=0,0,IF(AND(Y271=1,$H$3=1),D271*T271,IF($H$3=2,D271,"N/A")))</f>
        <v>0</v>
      </c>
      <c r="F271" s="126" t="n">
        <f aca="false">E271*X271</f>
        <v>0</v>
      </c>
      <c r="G271" s="142" t="n">
        <f aca="false">VLOOKUP($A271,Table,MATCH(G$4,Curves,0))</f>
        <v>3.987</v>
      </c>
      <c r="H271" s="143" t="n">
        <f aca="false">G271</f>
        <v>3.987</v>
      </c>
      <c r="I271" s="142" t="n">
        <f aca="false">VLOOKUP($A271,Table1,MATCH(I$3,Curves1,0))</f>
        <v>0</v>
      </c>
      <c r="J271" s="142" t="n">
        <f aca="false">VLOOKUP($A271,Table,MATCH(J$4,Curves,0))</f>
        <v>-0.0235</v>
      </c>
      <c r="K271" s="143" t="n">
        <f aca="false">J271</f>
        <v>-0.0235</v>
      </c>
      <c r="L271" s="144" t="n">
        <v>0</v>
      </c>
      <c r="M271" s="142" t="n">
        <f aca="false">VLOOKUP($A271,Table,MATCH(M$4,Curves,0))</f>
        <v>0.0075</v>
      </c>
      <c r="N271" s="143" t="n">
        <f aca="false">M271</f>
        <v>0.0075</v>
      </c>
      <c r="O271" s="144" t="n">
        <v>0</v>
      </c>
      <c r="P271" s="145"/>
      <c r="Q271" s="144" t="n">
        <f aca="false">M271+J271+G271</f>
        <v>3.971</v>
      </c>
      <c r="R271" s="144" t="n">
        <f aca="false">O271+L271+I271</f>
        <v>0</v>
      </c>
      <c r="S271" s="145"/>
      <c r="T271" s="71" t="n">
        <f aca="false">A272-A271</f>
        <v>31</v>
      </c>
      <c r="U271" s="146" t="n">
        <f aca="false">CHOOSE(F$3,A272+24,A271)</f>
        <v>44982</v>
      </c>
      <c r="V271" s="71" t="n">
        <f aca="false">U271-C$3</f>
        <v>8094</v>
      </c>
      <c r="W271" s="142" t="n">
        <f aca="false">VLOOKUP($A271,Table,MATCH(W$4,Curves,0))</f>
        <v>0.058966861357273</v>
      </c>
      <c r="X271" s="147" t="n">
        <f aca="false">1/(1+CHOOSE(F$3,(W272+($K$3/10000))/2,(W271+($K$3/10000))/2))^(2*V271/365.25)</f>
        <v>0.275870821840808</v>
      </c>
      <c r="Y271" s="71" t="n">
        <f aca="false">IF(AND(mthbeg&lt;=A271,mthend&gt;=A271),1,0)</f>
        <v>0</v>
      </c>
      <c r="Z271" s="71" t="n">
        <f aca="false">T271*Y271</f>
        <v>0</v>
      </c>
      <c r="AB271" s="132" t="n">
        <f aca="false">F271*G271</f>
        <v>0</v>
      </c>
      <c r="AC271" s="132" t="n">
        <f aca="false">$F271*H271</f>
        <v>0</v>
      </c>
      <c r="AD271" s="132" t="n">
        <f aca="false">$F271*I271</f>
        <v>0</v>
      </c>
      <c r="AE271" s="132" t="n">
        <f aca="false">$F271*J271</f>
        <v>-0</v>
      </c>
      <c r="AF271" s="132" t="n">
        <f aca="false">$F271*K271</f>
        <v>-0</v>
      </c>
      <c r="AG271" s="132" t="n">
        <f aca="false">$F271*L271</f>
        <v>0</v>
      </c>
      <c r="AH271" s="132" t="n">
        <f aca="false">$F271*M271</f>
        <v>0</v>
      </c>
      <c r="AI271" s="132" t="n">
        <f aca="false">$F271*N271</f>
        <v>0</v>
      </c>
      <c r="AJ271" s="132" t="n">
        <f aca="false">F271*O271</f>
        <v>0</v>
      </c>
      <c r="AK271" s="137"/>
      <c r="AL271" s="132" t="n">
        <f aca="false">CHOOSE($G$3,AC271-AD271,AD271-AC271)</f>
        <v>0</v>
      </c>
      <c r="AM271" s="132" t="n">
        <f aca="false">CHOOSE($G$3,AF271-AG271,AG271-AF271)</f>
        <v>0</v>
      </c>
      <c r="AN271" s="132" t="n">
        <f aca="false">CHOOSE($G$3,AI271-AJ271,AJ271-AI271)</f>
        <v>0</v>
      </c>
      <c r="AO271" s="148" t="n">
        <f aca="false">SUM(AL271:AN271)</f>
        <v>0</v>
      </c>
      <c r="AQ271" s="132" t="n">
        <f aca="false">CHOOSE($G$3,AB271-AC271,AC271-AB271)</f>
        <v>0</v>
      </c>
      <c r="AR271" s="132" t="n">
        <f aca="false">CHOOSE($G$3,AE271-AF271,AF271-AE271)</f>
        <v>0</v>
      </c>
      <c r="AS271" s="132" t="n">
        <f aca="false">CHOOSE($G$3,AH271-AI271,AI271-AH271)</f>
        <v>0</v>
      </c>
      <c r="AT271" s="148" t="n">
        <f aca="false">AQ271+AR271+AS271</f>
        <v>0</v>
      </c>
      <c r="AU271" s="148"/>
      <c r="AV271" s="133" t="n">
        <f aca="false">AT271+AO271</f>
        <v>0</v>
      </c>
      <c r="AX271" s="133" t="n">
        <f aca="false">AJ271+AG271+AD271</f>
        <v>0</v>
      </c>
      <c r="AY271" s="149"/>
      <c r="AZ271" s="76" t="n">
        <f aca="false">R271*E271</f>
        <v>0</v>
      </c>
    </row>
    <row r="272" customFormat="false" ht="12" hidden="false" customHeight="true" outlineLevel="0" collapsed="false">
      <c r="A272" s="138" t="n">
        <f aca="false">EDATE(A271,1)</f>
        <v>44958</v>
      </c>
      <c r="B272" s="139" t="n">
        <f aca="false">VLOOKUP($A272,Table2,MATCH(I$3,Curves2,0))</f>
        <v>0</v>
      </c>
      <c r="C272" s="140"/>
      <c r="D272" s="141" t="n">
        <f aca="false">B272+C272</f>
        <v>0</v>
      </c>
      <c r="E272" s="126" t="n">
        <f aca="false">IF(Y272=0,0,IF(AND(Y272=1,$H$3=1),D272*T272,IF($H$3=2,D272,"N/A")))</f>
        <v>0</v>
      </c>
      <c r="F272" s="126" t="n">
        <f aca="false">E272*X272</f>
        <v>0</v>
      </c>
      <c r="G272" s="142" t="n">
        <f aca="false">VLOOKUP($A272,Table,MATCH(G$4,Curves,0))</f>
        <v>3.987</v>
      </c>
      <c r="H272" s="143" t="n">
        <f aca="false">G272</f>
        <v>3.987</v>
      </c>
      <c r="I272" s="142" t="n">
        <f aca="false">VLOOKUP($A272,Table1,MATCH(I$3,Curves1,0))</f>
        <v>0</v>
      </c>
      <c r="J272" s="142" t="n">
        <f aca="false">VLOOKUP($A272,Table,MATCH(J$4,Curves,0))</f>
        <v>-0.0235</v>
      </c>
      <c r="K272" s="143" t="n">
        <f aca="false">J272</f>
        <v>-0.0235</v>
      </c>
      <c r="L272" s="144" t="n">
        <v>0</v>
      </c>
      <c r="M272" s="142" t="n">
        <f aca="false">VLOOKUP($A272,Table,MATCH(M$4,Curves,0))</f>
        <v>0.0075</v>
      </c>
      <c r="N272" s="143" t="n">
        <f aca="false">M272</f>
        <v>0.0075</v>
      </c>
      <c r="O272" s="144" t="n">
        <v>0</v>
      </c>
      <c r="P272" s="145"/>
      <c r="Q272" s="144" t="n">
        <f aca="false">M272+J272+G272</f>
        <v>3.971</v>
      </c>
      <c r="R272" s="144" t="n">
        <f aca="false">O272+L272+I272</f>
        <v>0</v>
      </c>
      <c r="S272" s="145"/>
      <c r="T272" s="71" t="n">
        <f aca="false">A273-A272</f>
        <v>28</v>
      </c>
      <c r="U272" s="146" t="n">
        <f aca="false">CHOOSE(F$3,A273+24,A272)</f>
        <v>45010</v>
      </c>
      <c r="V272" s="71" t="n">
        <f aca="false">U272-C$3</f>
        <v>8122</v>
      </c>
      <c r="W272" s="142" t="n">
        <f aca="false">VLOOKUP($A272,Table,MATCH(W$4,Curves,0))</f>
        <v>0.058966861357273</v>
      </c>
      <c r="X272" s="147" t="n">
        <f aca="false">1/(1+CHOOSE(F$3,(W273+($K$3/10000))/2,(W272+($K$3/10000))/2))^(2*V272/365.25)</f>
        <v>0.274644541997286</v>
      </c>
      <c r="Y272" s="71" t="n">
        <f aca="false">IF(AND(mthbeg&lt;=A272,mthend&gt;=A272),1,0)</f>
        <v>0</v>
      </c>
      <c r="Z272" s="71" t="n">
        <f aca="false">T272*Y272</f>
        <v>0</v>
      </c>
      <c r="AB272" s="132" t="n">
        <f aca="false">F272*G272</f>
        <v>0</v>
      </c>
      <c r="AC272" s="132" t="n">
        <f aca="false">$F272*H272</f>
        <v>0</v>
      </c>
      <c r="AD272" s="132" t="n">
        <f aca="false">$F272*I272</f>
        <v>0</v>
      </c>
      <c r="AE272" s="132" t="n">
        <f aca="false">$F272*J272</f>
        <v>-0</v>
      </c>
      <c r="AF272" s="132" t="n">
        <f aca="false">$F272*K272</f>
        <v>-0</v>
      </c>
      <c r="AG272" s="132" t="n">
        <f aca="false">$F272*L272</f>
        <v>0</v>
      </c>
      <c r="AH272" s="132" t="n">
        <f aca="false">$F272*M272</f>
        <v>0</v>
      </c>
      <c r="AI272" s="132" t="n">
        <f aca="false">$F272*N272</f>
        <v>0</v>
      </c>
      <c r="AJ272" s="132" t="n">
        <f aca="false">F272*O272</f>
        <v>0</v>
      </c>
      <c r="AK272" s="137"/>
      <c r="AL272" s="132" t="n">
        <f aca="false">CHOOSE($G$3,AC272-AD272,AD272-AC272)</f>
        <v>0</v>
      </c>
      <c r="AM272" s="132" t="n">
        <f aca="false">CHOOSE($G$3,AF272-AG272,AG272-AF272)</f>
        <v>0</v>
      </c>
      <c r="AN272" s="132" t="n">
        <f aca="false">CHOOSE($G$3,AI272-AJ272,AJ272-AI272)</f>
        <v>0</v>
      </c>
      <c r="AO272" s="148" t="n">
        <f aca="false">SUM(AL272:AN272)</f>
        <v>0</v>
      </c>
      <c r="AQ272" s="132" t="n">
        <f aca="false">CHOOSE($G$3,AB272-AC272,AC272-AB272)</f>
        <v>0</v>
      </c>
      <c r="AR272" s="132" t="n">
        <f aca="false">CHOOSE($G$3,AE272-AF272,AF272-AE272)</f>
        <v>0</v>
      </c>
      <c r="AS272" s="132" t="n">
        <f aca="false">CHOOSE($G$3,AH272-AI272,AI272-AH272)</f>
        <v>0</v>
      </c>
      <c r="AT272" s="148" t="n">
        <f aca="false">AQ272+AR272+AS272</f>
        <v>0</v>
      </c>
      <c r="AU272" s="148"/>
      <c r="AV272" s="133" t="n">
        <f aca="false">AT272+AO272</f>
        <v>0</v>
      </c>
      <c r="AX272" s="133" t="n">
        <f aca="false">AJ272+AG272+AD272</f>
        <v>0</v>
      </c>
      <c r="AY272" s="149"/>
      <c r="AZ272" s="76" t="n">
        <f aca="false">R272*E272</f>
        <v>0</v>
      </c>
    </row>
    <row r="273" customFormat="false" ht="12" hidden="false" customHeight="true" outlineLevel="0" collapsed="false">
      <c r="A273" s="138" t="n">
        <f aca="false">EDATE(A272,1)</f>
        <v>44986</v>
      </c>
      <c r="B273" s="139" t="n">
        <f aca="false">VLOOKUP($A273,Table2,MATCH(I$3,Curves2,0))</f>
        <v>0</v>
      </c>
      <c r="C273" s="140"/>
      <c r="D273" s="141" t="n">
        <f aca="false">B273+C273</f>
        <v>0</v>
      </c>
      <c r="E273" s="126" t="n">
        <f aca="false">IF(Y273=0,0,IF(AND(Y273=1,$H$3=1),D273*T273,IF($H$3=2,D273,"N/A")))</f>
        <v>0</v>
      </c>
      <c r="F273" s="126" t="n">
        <f aca="false">E273*X273</f>
        <v>0</v>
      </c>
      <c r="G273" s="142" t="n">
        <f aca="false">VLOOKUP($A273,Table,MATCH(G$4,Curves,0))</f>
        <v>3.987</v>
      </c>
      <c r="H273" s="143" t="n">
        <f aca="false">G273</f>
        <v>3.987</v>
      </c>
      <c r="I273" s="142" t="n">
        <f aca="false">VLOOKUP($A273,Table1,MATCH(I$3,Curves1,0))</f>
        <v>0</v>
      </c>
      <c r="J273" s="142" t="n">
        <f aca="false">VLOOKUP($A273,Table,MATCH(J$4,Curves,0))</f>
        <v>-0.0235</v>
      </c>
      <c r="K273" s="143" t="n">
        <f aca="false">J273</f>
        <v>-0.0235</v>
      </c>
      <c r="L273" s="144" t="n">
        <v>0</v>
      </c>
      <c r="M273" s="142" t="n">
        <f aca="false">VLOOKUP($A273,Table,MATCH(M$4,Curves,0))</f>
        <v>0.0075</v>
      </c>
      <c r="N273" s="143" t="n">
        <f aca="false">M273</f>
        <v>0.0075</v>
      </c>
      <c r="O273" s="144" t="n">
        <v>0</v>
      </c>
      <c r="P273" s="145"/>
      <c r="Q273" s="144" t="n">
        <f aca="false">M273+J273+G273</f>
        <v>3.971</v>
      </c>
      <c r="R273" s="144" t="n">
        <f aca="false">O273+L273+I273</f>
        <v>0</v>
      </c>
      <c r="S273" s="145"/>
      <c r="T273" s="71" t="n">
        <f aca="false">A274-A273</f>
        <v>31</v>
      </c>
      <c r="U273" s="146" t="n">
        <f aca="false">CHOOSE(F$3,A274+24,A273)</f>
        <v>45041</v>
      </c>
      <c r="V273" s="71" t="n">
        <f aca="false">U273-C$3</f>
        <v>8153</v>
      </c>
      <c r="W273" s="142" t="n">
        <f aca="false">VLOOKUP($A273,Table,MATCH(W$4,Curves,0))</f>
        <v>0.058966861357273</v>
      </c>
      <c r="X273" s="147" t="n">
        <f aca="false">1/(1+CHOOSE(F$3,(W274+($K$3/10000))/2,(W273+($K$3/10000))/2))^(2*V273/365.25)</f>
        <v>0.273293232317889</v>
      </c>
      <c r="Y273" s="71" t="n">
        <f aca="false">IF(AND(mthbeg&lt;=A273,mthend&gt;=A273),1,0)</f>
        <v>0</v>
      </c>
      <c r="Z273" s="71" t="n">
        <f aca="false">T273*Y273</f>
        <v>0</v>
      </c>
      <c r="AB273" s="132" t="n">
        <f aca="false">F273*G273</f>
        <v>0</v>
      </c>
      <c r="AC273" s="132" t="n">
        <f aca="false">$F273*H273</f>
        <v>0</v>
      </c>
      <c r="AD273" s="132" t="n">
        <f aca="false">$F273*I273</f>
        <v>0</v>
      </c>
      <c r="AE273" s="132" t="n">
        <f aca="false">$F273*J273</f>
        <v>-0</v>
      </c>
      <c r="AF273" s="132" t="n">
        <f aca="false">$F273*K273</f>
        <v>-0</v>
      </c>
      <c r="AG273" s="132" t="n">
        <f aca="false">$F273*L273</f>
        <v>0</v>
      </c>
      <c r="AH273" s="132" t="n">
        <f aca="false">$F273*M273</f>
        <v>0</v>
      </c>
      <c r="AI273" s="132" t="n">
        <f aca="false">$F273*N273</f>
        <v>0</v>
      </c>
      <c r="AJ273" s="132" t="n">
        <f aca="false">F273*O273</f>
        <v>0</v>
      </c>
      <c r="AK273" s="137"/>
      <c r="AL273" s="132" t="n">
        <f aca="false">CHOOSE($G$3,AC273-AD273,AD273-AC273)</f>
        <v>0</v>
      </c>
      <c r="AM273" s="132" t="n">
        <f aca="false">CHOOSE($G$3,AF273-AG273,AG273-AF273)</f>
        <v>0</v>
      </c>
      <c r="AN273" s="132" t="n">
        <f aca="false">CHOOSE($G$3,AI273-AJ273,AJ273-AI273)</f>
        <v>0</v>
      </c>
      <c r="AO273" s="148" t="n">
        <f aca="false">SUM(AL273:AN273)</f>
        <v>0</v>
      </c>
      <c r="AQ273" s="132" t="n">
        <f aca="false">CHOOSE($G$3,AB273-AC273,AC273-AB273)</f>
        <v>0</v>
      </c>
      <c r="AR273" s="132" t="n">
        <f aca="false">CHOOSE($G$3,AE273-AF273,AF273-AE273)</f>
        <v>0</v>
      </c>
      <c r="AS273" s="132" t="n">
        <f aca="false">CHOOSE($G$3,AH273-AI273,AI273-AH273)</f>
        <v>0</v>
      </c>
      <c r="AT273" s="148" t="n">
        <f aca="false">AQ273+AR273+AS273</f>
        <v>0</v>
      </c>
      <c r="AU273" s="148"/>
      <c r="AV273" s="133" t="n">
        <f aca="false">AT273+AO273</f>
        <v>0</v>
      </c>
      <c r="AX273" s="133" t="n">
        <f aca="false">AJ273+AG273+AD273</f>
        <v>0</v>
      </c>
      <c r="AY273" s="149"/>
      <c r="AZ273" s="76" t="n">
        <f aca="false">R273*E273</f>
        <v>0</v>
      </c>
    </row>
    <row r="274" customFormat="false" ht="12" hidden="false" customHeight="true" outlineLevel="0" collapsed="false">
      <c r="A274" s="138" t="n">
        <f aca="false">EDATE(A273,1)</f>
        <v>45017</v>
      </c>
      <c r="B274" s="139" t="n">
        <f aca="false">VLOOKUP($A274,Table2,MATCH(I$3,Curves2,0))</f>
        <v>0</v>
      </c>
      <c r="C274" s="140"/>
      <c r="D274" s="141" t="n">
        <f aca="false">B274+C274</f>
        <v>0</v>
      </c>
      <c r="E274" s="126" t="n">
        <f aca="false">IF(Y274=0,0,IF(AND(Y274=1,$H$3=1),D274*T274,IF($H$3=2,D274,"N/A")))</f>
        <v>0</v>
      </c>
      <c r="F274" s="126" t="n">
        <f aca="false">E274*X274</f>
        <v>0</v>
      </c>
      <c r="G274" s="142" t="n">
        <f aca="false">VLOOKUP($A274,Table,MATCH(G$4,Curves,0))</f>
        <v>3.987</v>
      </c>
      <c r="H274" s="143" t="n">
        <f aca="false">G274</f>
        <v>3.987</v>
      </c>
      <c r="I274" s="142" t="n">
        <f aca="false">VLOOKUP($A274,Table1,MATCH(I$3,Curves1,0))</f>
        <v>0</v>
      </c>
      <c r="J274" s="142" t="n">
        <f aca="false">VLOOKUP($A274,Table,MATCH(J$4,Curves,0))</f>
        <v>-0.0235</v>
      </c>
      <c r="K274" s="143" t="n">
        <f aca="false">J274</f>
        <v>-0.0235</v>
      </c>
      <c r="L274" s="144" t="n">
        <v>0</v>
      </c>
      <c r="M274" s="142" t="n">
        <f aca="false">VLOOKUP($A274,Table,MATCH(M$4,Curves,0))</f>
        <v>0.0075</v>
      </c>
      <c r="N274" s="143" t="n">
        <f aca="false">M274</f>
        <v>0.0075</v>
      </c>
      <c r="O274" s="144" t="n">
        <v>0</v>
      </c>
      <c r="P274" s="145"/>
      <c r="Q274" s="144" t="n">
        <f aca="false">M274+J274+G274</f>
        <v>3.971</v>
      </c>
      <c r="R274" s="144" t="n">
        <f aca="false">O274+L274+I274</f>
        <v>0</v>
      </c>
      <c r="S274" s="145"/>
      <c r="T274" s="71" t="n">
        <f aca="false">A275-A274</f>
        <v>30</v>
      </c>
      <c r="U274" s="146" t="n">
        <f aca="false">CHOOSE(F$3,A275+24,A274)</f>
        <v>45071</v>
      </c>
      <c r="V274" s="71" t="n">
        <f aca="false">U274-C$3</f>
        <v>8183</v>
      </c>
      <c r="W274" s="142" t="n">
        <f aca="false">VLOOKUP($A274,Table,MATCH(W$4,Curves,0))</f>
        <v>0.058966861357273</v>
      </c>
      <c r="X274" s="147" t="n">
        <f aca="false">1/(1+CHOOSE(F$3,(W275+($K$3/10000))/2,(W274+($K$3/10000))/2))^(2*V274/365.25)</f>
        <v>0.271991844086728</v>
      </c>
      <c r="Y274" s="71" t="n">
        <f aca="false">IF(AND(mthbeg&lt;=A274,mthend&gt;=A274),1,0)</f>
        <v>0</v>
      </c>
      <c r="Z274" s="71" t="n">
        <f aca="false">T274*Y274</f>
        <v>0</v>
      </c>
      <c r="AB274" s="132" t="n">
        <f aca="false">F274*G274</f>
        <v>0</v>
      </c>
      <c r="AC274" s="132" t="n">
        <f aca="false">$F274*H274</f>
        <v>0</v>
      </c>
      <c r="AD274" s="132" t="n">
        <f aca="false">$F274*I274</f>
        <v>0</v>
      </c>
      <c r="AE274" s="132" t="n">
        <f aca="false">$F274*J274</f>
        <v>-0</v>
      </c>
      <c r="AF274" s="132" t="n">
        <f aca="false">$F274*K274</f>
        <v>-0</v>
      </c>
      <c r="AG274" s="132" t="n">
        <f aca="false">$F274*L274</f>
        <v>0</v>
      </c>
      <c r="AH274" s="132" t="n">
        <f aca="false">$F274*M274</f>
        <v>0</v>
      </c>
      <c r="AI274" s="132" t="n">
        <f aca="false">$F274*N274</f>
        <v>0</v>
      </c>
      <c r="AJ274" s="132" t="n">
        <f aca="false">F274*O274</f>
        <v>0</v>
      </c>
      <c r="AK274" s="137"/>
      <c r="AL274" s="132" t="n">
        <f aca="false">CHOOSE($G$3,AC274-AD274,AD274-AC274)</f>
        <v>0</v>
      </c>
      <c r="AM274" s="132" t="n">
        <f aca="false">CHOOSE($G$3,AF274-AG274,AG274-AF274)</f>
        <v>0</v>
      </c>
      <c r="AN274" s="132" t="n">
        <f aca="false">CHOOSE($G$3,AI274-AJ274,AJ274-AI274)</f>
        <v>0</v>
      </c>
      <c r="AO274" s="148" t="n">
        <f aca="false">SUM(AL274:AN274)</f>
        <v>0</v>
      </c>
      <c r="AQ274" s="132" t="n">
        <f aca="false">CHOOSE($G$3,AB274-AC274,AC274-AB274)</f>
        <v>0</v>
      </c>
      <c r="AR274" s="132" t="n">
        <f aca="false">CHOOSE($G$3,AE274-AF274,AF274-AE274)</f>
        <v>0</v>
      </c>
      <c r="AS274" s="132" t="n">
        <f aca="false">CHOOSE($G$3,AH274-AI274,AI274-AH274)</f>
        <v>0</v>
      </c>
      <c r="AT274" s="148" t="n">
        <f aca="false">AQ274+AR274+AS274</f>
        <v>0</v>
      </c>
      <c r="AU274" s="148"/>
      <c r="AV274" s="133" t="n">
        <f aca="false">AT274+AO274</f>
        <v>0</v>
      </c>
      <c r="AX274" s="133" t="n">
        <f aca="false">AJ274+AG274+AD274</f>
        <v>0</v>
      </c>
      <c r="AY274" s="149"/>
      <c r="AZ274" s="76" t="n">
        <f aca="false">R274*E274</f>
        <v>0</v>
      </c>
    </row>
    <row r="275" customFormat="false" ht="12" hidden="false" customHeight="true" outlineLevel="0" collapsed="false">
      <c r="A275" s="138" t="n">
        <f aca="false">EDATE(A274,1)</f>
        <v>45047</v>
      </c>
      <c r="B275" s="139" t="n">
        <f aca="false">VLOOKUP($A275,Table2,MATCH(I$3,Curves2,0))</f>
        <v>0</v>
      </c>
      <c r="C275" s="140"/>
      <c r="D275" s="141" t="n">
        <f aca="false">B275+C275</f>
        <v>0</v>
      </c>
      <c r="E275" s="126" t="n">
        <f aca="false">IF(Y275=0,0,IF(AND(Y275=1,$H$3=1),D275*T275,IF($H$3=2,D275,"N/A")))</f>
        <v>0</v>
      </c>
      <c r="F275" s="126" t="n">
        <f aca="false">E275*X275</f>
        <v>0</v>
      </c>
      <c r="G275" s="142" t="n">
        <f aca="false">VLOOKUP($A275,Table,MATCH(G$4,Curves,0))</f>
        <v>3.987</v>
      </c>
      <c r="H275" s="143" t="n">
        <f aca="false">G275</f>
        <v>3.987</v>
      </c>
      <c r="I275" s="142" t="n">
        <f aca="false">VLOOKUP($A275,Table1,MATCH(I$3,Curves1,0))</f>
        <v>0</v>
      </c>
      <c r="J275" s="142" t="n">
        <f aca="false">VLOOKUP($A275,Table,MATCH(J$4,Curves,0))</f>
        <v>-0.0235</v>
      </c>
      <c r="K275" s="143" t="n">
        <f aca="false">J275</f>
        <v>-0.0235</v>
      </c>
      <c r="L275" s="144" t="n">
        <v>0</v>
      </c>
      <c r="M275" s="142" t="n">
        <f aca="false">VLOOKUP($A275,Table,MATCH(M$4,Curves,0))</f>
        <v>0.0075</v>
      </c>
      <c r="N275" s="143" t="n">
        <f aca="false">M275</f>
        <v>0.0075</v>
      </c>
      <c r="O275" s="144" t="n">
        <v>0</v>
      </c>
      <c r="P275" s="145"/>
      <c r="Q275" s="144" t="n">
        <f aca="false">M275+J275+G275</f>
        <v>3.971</v>
      </c>
      <c r="R275" s="144" t="n">
        <f aca="false">O275+L275+I275</f>
        <v>0</v>
      </c>
      <c r="S275" s="145"/>
      <c r="T275" s="71" t="n">
        <f aca="false">A276-A275</f>
        <v>31</v>
      </c>
      <c r="U275" s="146" t="n">
        <f aca="false">CHOOSE(F$3,A276+24,A275)</f>
        <v>45102</v>
      </c>
      <c r="V275" s="71" t="n">
        <f aca="false">U275-C$3</f>
        <v>8214</v>
      </c>
      <c r="W275" s="142" t="n">
        <f aca="false">VLOOKUP($A275,Table,MATCH(W$4,Curves,0))</f>
        <v>0.058966861357273</v>
      </c>
      <c r="X275" s="147" t="n">
        <f aca="false">1/(1+CHOOSE(F$3,(W276+($K$3/10000))/2,(W275+($K$3/10000))/2))^(2*V275/365.25)</f>
        <v>0.270653586246399</v>
      </c>
      <c r="Y275" s="71" t="n">
        <f aca="false">IF(AND(mthbeg&lt;=A275,mthend&gt;=A275),1,0)</f>
        <v>0</v>
      </c>
      <c r="Z275" s="71" t="n">
        <f aca="false">T275*Y275</f>
        <v>0</v>
      </c>
      <c r="AB275" s="132" t="n">
        <f aca="false">F275*G275</f>
        <v>0</v>
      </c>
      <c r="AC275" s="132" t="n">
        <f aca="false">$F275*H275</f>
        <v>0</v>
      </c>
      <c r="AD275" s="132" t="n">
        <f aca="false">$F275*I275</f>
        <v>0</v>
      </c>
      <c r="AE275" s="132" t="n">
        <f aca="false">$F275*J275</f>
        <v>-0</v>
      </c>
      <c r="AF275" s="132" t="n">
        <f aca="false">$F275*K275</f>
        <v>-0</v>
      </c>
      <c r="AG275" s="132" t="n">
        <f aca="false">$F275*L275</f>
        <v>0</v>
      </c>
      <c r="AH275" s="132" t="n">
        <f aca="false">$F275*M275</f>
        <v>0</v>
      </c>
      <c r="AI275" s="132" t="n">
        <f aca="false">$F275*N275</f>
        <v>0</v>
      </c>
      <c r="AJ275" s="132" t="n">
        <f aca="false">F275*O275</f>
        <v>0</v>
      </c>
      <c r="AK275" s="137"/>
      <c r="AL275" s="132" t="n">
        <f aca="false">CHOOSE($G$3,AC275-AD275,AD275-AC275)</f>
        <v>0</v>
      </c>
      <c r="AM275" s="132" t="n">
        <f aca="false">CHOOSE($G$3,AF275-AG275,AG275-AF275)</f>
        <v>0</v>
      </c>
      <c r="AN275" s="132" t="n">
        <f aca="false">CHOOSE($G$3,AI275-AJ275,AJ275-AI275)</f>
        <v>0</v>
      </c>
      <c r="AO275" s="148" t="n">
        <f aca="false">SUM(AL275:AN275)</f>
        <v>0</v>
      </c>
      <c r="AQ275" s="132" t="n">
        <f aca="false">CHOOSE($G$3,AB275-AC275,AC275-AB275)</f>
        <v>0</v>
      </c>
      <c r="AR275" s="132" t="n">
        <f aca="false">CHOOSE($G$3,AE275-AF275,AF275-AE275)</f>
        <v>0</v>
      </c>
      <c r="AS275" s="132" t="n">
        <f aca="false">CHOOSE($G$3,AH275-AI275,AI275-AH275)</f>
        <v>0</v>
      </c>
      <c r="AT275" s="148" t="n">
        <f aca="false">AQ275+AR275+AS275</f>
        <v>0</v>
      </c>
      <c r="AU275" s="148"/>
      <c r="AV275" s="133" t="n">
        <f aca="false">AT275+AO275</f>
        <v>0</v>
      </c>
      <c r="AX275" s="133" t="n">
        <f aca="false">AJ275+AG275+AD275</f>
        <v>0</v>
      </c>
      <c r="AY275" s="149"/>
      <c r="AZ275" s="76" t="n">
        <f aca="false">R275*E275</f>
        <v>0</v>
      </c>
    </row>
    <row r="276" customFormat="false" ht="12" hidden="false" customHeight="true" outlineLevel="0" collapsed="false">
      <c r="A276" s="138" t="n">
        <f aca="false">EDATE(A275,1)</f>
        <v>45078</v>
      </c>
      <c r="B276" s="139" t="n">
        <f aca="false">VLOOKUP($A276,Table2,MATCH(I$3,Curves2,0))</f>
        <v>0</v>
      </c>
      <c r="C276" s="140"/>
      <c r="D276" s="141" t="n">
        <f aca="false">B276+C276</f>
        <v>0</v>
      </c>
      <c r="E276" s="126" t="n">
        <f aca="false">IF(Y276=0,0,IF(AND(Y276=1,$H$3=1),D276*T276,IF($H$3=2,D276,"N/A")))</f>
        <v>0</v>
      </c>
      <c r="F276" s="126" t="n">
        <f aca="false">E276*X276</f>
        <v>0</v>
      </c>
      <c r="G276" s="142" t="n">
        <f aca="false">VLOOKUP($A276,Table,MATCH(G$4,Curves,0))</f>
        <v>3.987</v>
      </c>
      <c r="H276" s="143" t="n">
        <f aca="false">G276</f>
        <v>3.987</v>
      </c>
      <c r="I276" s="142" t="n">
        <f aca="false">VLOOKUP($A276,Table1,MATCH(I$3,Curves1,0))</f>
        <v>0</v>
      </c>
      <c r="J276" s="142" t="n">
        <f aca="false">VLOOKUP($A276,Table,MATCH(J$4,Curves,0))</f>
        <v>-0.0235</v>
      </c>
      <c r="K276" s="143" t="n">
        <f aca="false">J276</f>
        <v>-0.0235</v>
      </c>
      <c r="L276" s="144" t="n">
        <v>0</v>
      </c>
      <c r="M276" s="142" t="n">
        <f aca="false">VLOOKUP($A276,Table,MATCH(M$4,Curves,0))</f>
        <v>0.0075</v>
      </c>
      <c r="N276" s="143" t="n">
        <f aca="false">M276</f>
        <v>0.0075</v>
      </c>
      <c r="O276" s="144" t="n">
        <v>0</v>
      </c>
      <c r="P276" s="145"/>
      <c r="Q276" s="144" t="n">
        <f aca="false">M276+J276+G276</f>
        <v>3.971</v>
      </c>
      <c r="R276" s="144" t="n">
        <f aca="false">O276+L276+I276</f>
        <v>0</v>
      </c>
      <c r="S276" s="145"/>
      <c r="T276" s="71" t="n">
        <f aca="false">A277-A276</f>
        <v>30</v>
      </c>
      <c r="U276" s="146" t="n">
        <f aca="false">CHOOSE(F$3,A277+24,A276)</f>
        <v>45132</v>
      </c>
      <c r="V276" s="71" t="n">
        <f aca="false">U276-C$3</f>
        <v>8244</v>
      </c>
      <c r="W276" s="142" t="n">
        <f aca="false">VLOOKUP($A276,Table,MATCH(W$4,Curves,0))</f>
        <v>0.058966861357273</v>
      </c>
      <c r="X276" s="147" t="n">
        <f aca="false">1/(1+CHOOSE(F$3,(W277+($K$3/10000))/2,(W276+($K$3/10000))/2))^(2*V276/365.25)</f>
        <v>0.269364767680073</v>
      </c>
      <c r="Y276" s="71" t="n">
        <f aca="false">IF(AND(mthbeg&lt;=A276,mthend&gt;=A276),1,0)</f>
        <v>0</v>
      </c>
      <c r="Z276" s="71" t="n">
        <f aca="false">T276*Y276</f>
        <v>0</v>
      </c>
      <c r="AB276" s="132" t="n">
        <f aca="false">F276*G276</f>
        <v>0</v>
      </c>
      <c r="AC276" s="132" t="n">
        <f aca="false">$F276*H276</f>
        <v>0</v>
      </c>
      <c r="AD276" s="132" t="n">
        <f aca="false">$F276*I276</f>
        <v>0</v>
      </c>
      <c r="AE276" s="132" t="n">
        <f aca="false">$F276*J276</f>
        <v>-0</v>
      </c>
      <c r="AF276" s="132" t="n">
        <f aca="false">$F276*K276</f>
        <v>-0</v>
      </c>
      <c r="AG276" s="132" t="n">
        <f aca="false">$F276*L276</f>
        <v>0</v>
      </c>
      <c r="AH276" s="132" t="n">
        <f aca="false">$F276*M276</f>
        <v>0</v>
      </c>
      <c r="AI276" s="132" t="n">
        <f aca="false">$F276*N276</f>
        <v>0</v>
      </c>
      <c r="AJ276" s="132" t="n">
        <f aca="false">F276*O276</f>
        <v>0</v>
      </c>
      <c r="AK276" s="137"/>
      <c r="AL276" s="132" t="n">
        <f aca="false">CHOOSE($G$3,AC276-AD276,AD276-AC276)</f>
        <v>0</v>
      </c>
      <c r="AM276" s="132" t="n">
        <f aca="false">CHOOSE($G$3,AF276-AG276,AG276-AF276)</f>
        <v>0</v>
      </c>
      <c r="AN276" s="132" t="n">
        <f aca="false">CHOOSE($G$3,AI276-AJ276,AJ276-AI276)</f>
        <v>0</v>
      </c>
      <c r="AO276" s="148" t="n">
        <f aca="false">SUM(AL276:AN276)</f>
        <v>0</v>
      </c>
      <c r="AQ276" s="132" t="n">
        <f aca="false">CHOOSE($G$3,AB276-AC276,AC276-AB276)</f>
        <v>0</v>
      </c>
      <c r="AR276" s="132" t="n">
        <f aca="false">CHOOSE($G$3,AE276-AF276,AF276-AE276)</f>
        <v>0</v>
      </c>
      <c r="AS276" s="132" t="n">
        <f aca="false">CHOOSE($G$3,AH276-AI276,AI276-AH276)</f>
        <v>0</v>
      </c>
      <c r="AT276" s="148" t="n">
        <f aca="false">AQ276+AR276+AS276</f>
        <v>0</v>
      </c>
      <c r="AU276" s="148"/>
      <c r="AV276" s="133" t="n">
        <f aca="false">AT276+AO276</f>
        <v>0</v>
      </c>
      <c r="AX276" s="133" t="n">
        <f aca="false">AJ276+AG276+AD276</f>
        <v>0</v>
      </c>
      <c r="AY276" s="149"/>
      <c r="AZ276" s="76" t="n">
        <f aca="false">R276*E276</f>
        <v>0</v>
      </c>
    </row>
    <row r="277" customFormat="false" ht="12" hidden="false" customHeight="true" outlineLevel="0" collapsed="false">
      <c r="A277" s="138" t="n">
        <f aca="false">EDATE(A276,1)</f>
        <v>45108</v>
      </c>
      <c r="B277" s="139" t="n">
        <f aca="false">VLOOKUP($A277,Table2,MATCH(I$3,Curves2,0))</f>
        <v>0</v>
      </c>
      <c r="C277" s="140"/>
      <c r="D277" s="141" t="n">
        <f aca="false">B277+C277</f>
        <v>0</v>
      </c>
      <c r="E277" s="126" t="n">
        <f aca="false">IF(Y277=0,0,IF(AND(Y277=1,$H$3=1),D277*T277,IF($H$3=2,D277,"N/A")))</f>
        <v>0</v>
      </c>
      <c r="F277" s="126" t="n">
        <f aca="false">E277*X277</f>
        <v>0</v>
      </c>
      <c r="G277" s="142" t="n">
        <f aca="false">VLOOKUP($A277,Table,MATCH(G$4,Curves,0))</f>
        <v>3.987</v>
      </c>
      <c r="H277" s="143" t="n">
        <f aca="false">G277</f>
        <v>3.987</v>
      </c>
      <c r="I277" s="142" t="n">
        <f aca="false">VLOOKUP($A277,Table1,MATCH(I$3,Curves1,0))</f>
        <v>0</v>
      </c>
      <c r="J277" s="142" t="n">
        <f aca="false">VLOOKUP($A277,Table,MATCH(J$4,Curves,0))</f>
        <v>-0.0235</v>
      </c>
      <c r="K277" s="143" t="n">
        <f aca="false">J277</f>
        <v>-0.0235</v>
      </c>
      <c r="L277" s="144" t="n">
        <v>0</v>
      </c>
      <c r="M277" s="142" t="n">
        <f aca="false">VLOOKUP($A277,Table,MATCH(M$4,Curves,0))</f>
        <v>0.0075</v>
      </c>
      <c r="N277" s="143" t="n">
        <f aca="false">M277</f>
        <v>0.0075</v>
      </c>
      <c r="O277" s="144" t="n">
        <v>0</v>
      </c>
      <c r="P277" s="145"/>
      <c r="Q277" s="144" t="n">
        <f aca="false">M277+J277+G277</f>
        <v>3.971</v>
      </c>
      <c r="R277" s="144" t="n">
        <f aca="false">O277+L277+I277</f>
        <v>0</v>
      </c>
      <c r="S277" s="145"/>
      <c r="T277" s="71" t="n">
        <f aca="false">A278-A277</f>
        <v>31</v>
      </c>
      <c r="U277" s="146" t="n">
        <f aca="false">CHOOSE(F$3,A278+24,A277)</f>
        <v>45163</v>
      </c>
      <c r="V277" s="71" t="n">
        <f aca="false">U277-C$3</f>
        <v>8275</v>
      </c>
      <c r="W277" s="142" t="n">
        <f aca="false">VLOOKUP($A277,Table,MATCH(W$4,Curves,0))</f>
        <v>0.058966861357273</v>
      </c>
      <c r="X277" s="147" t="n">
        <f aca="false">1/(1+CHOOSE(F$3,(W278+($K$3/10000))/2,(W277+($K$3/10000))/2))^(2*V277/365.25)</f>
        <v>0.268039435615552</v>
      </c>
      <c r="Y277" s="71" t="n">
        <f aca="false">IF(AND(mthbeg&lt;=A277,mthend&gt;=A277),1,0)</f>
        <v>0</v>
      </c>
      <c r="Z277" s="71" t="n">
        <f aca="false">T277*Y277</f>
        <v>0</v>
      </c>
      <c r="AB277" s="132" t="n">
        <f aca="false">F277*G277</f>
        <v>0</v>
      </c>
      <c r="AC277" s="132" t="n">
        <f aca="false">$F277*H277</f>
        <v>0</v>
      </c>
      <c r="AD277" s="132" t="n">
        <f aca="false">$F277*I277</f>
        <v>0</v>
      </c>
      <c r="AE277" s="132" t="n">
        <f aca="false">$F277*J277</f>
        <v>-0</v>
      </c>
      <c r="AF277" s="132" t="n">
        <f aca="false">$F277*K277</f>
        <v>-0</v>
      </c>
      <c r="AG277" s="132" t="n">
        <f aca="false">$F277*L277</f>
        <v>0</v>
      </c>
      <c r="AH277" s="132" t="n">
        <f aca="false">$F277*M277</f>
        <v>0</v>
      </c>
      <c r="AI277" s="132" t="n">
        <f aca="false">$F277*N277</f>
        <v>0</v>
      </c>
      <c r="AJ277" s="132" t="n">
        <f aca="false">F277*O277</f>
        <v>0</v>
      </c>
      <c r="AK277" s="137"/>
      <c r="AL277" s="132" t="n">
        <f aca="false">CHOOSE($G$3,AC277-AD277,AD277-AC277)</f>
        <v>0</v>
      </c>
      <c r="AM277" s="132" t="n">
        <f aca="false">CHOOSE($G$3,AF277-AG277,AG277-AF277)</f>
        <v>0</v>
      </c>
      <c r="AN277" s="132" t="n">
        <f aca="false">CHOOSE($G$3,AI277-AJ277,AJ277-AI277)</f>
        <v>0</v>
      </c>
      <c r="AO277" s="148" t="n">
        <f aca="false">SUM(AL277:AN277)</f>
        <v>0</v>
      </c>
      <c r="AQ277" s="132" t="n">
        <f aca="false">CHOOSE($G$3,AB277-AC277,AC277-AB277)</f>
        <v>0</v>
      </c>
      <c r="AR277" s="132" t="n">
        <f aca="false">CHOOSE($G$3,AE277-AF277,AF277-AE277)</f>
        <v>0</v>
      </c>
      <c r="AS277" s="132" t="n">
        <f aca="false">CHOOSE($G$3,AH277-AI277,AI277-AH277)</f>
        <v>0</v>
      </c>
      <c r="AT277" s="148" t="n">
        <f aca="false">AQ277+AR277+AS277</f>
        <v>0</v>
      </c>
      <c r="AU277" s="148"/>
      <c r="AV277" s="133" t="n">
        <f aca="false">AT277+AO277</f>
        <v>0</v>
      </c>
      <c r="AX277" s="133" t="n">
        <f aca="false">AJ277+AG277+AD277</f>
        <v>0</v>
      </c>
      <c r="AY277" s="149"/>
      <c r="AZ277" s="76" t="n">
        <f aca="false">R277*E277</f>
        <v>0</v>
      </c>
    </row>
    <row r="278" customFormat="false" ht="12" hidden="false" customHeight="true" outlineLevel="0" collapsed="false">
      <c r="A278" s="138" t="n">
        <f aca="false">EDATE(A277,1)</f>
        <v>45139</v>
      </c>
      <c r="B278" s="139" t="n">
        <f aca="false">VLOOKUP($A278,Table2,MATCH(I$3,Curves2,0))</f>
        <v>0</v>
      </c>
      <c r="C278" s="140"/>
      <c r="D278" s="141" t="n">
        <f aca="false">B278+C278</f>
        <v>0</v>
      </c>
      <c r="E278" s="126" t="n">
        <f aca="false">IF(Y278=0,0,IF(AND(Y278=1,$H$3=1),D278*T278,IF($H$3=2,D278,"N/A")))</f>
        <v>0</v>
      </c>
      <c r="F278" s="126" t="n">
        <f aca="false">E278*X278</f>
        <v>0</v>
      </c>
      <c r="G278" s="142" t="n">
        <f aca="false">VLOOKUP($A278,Table,MATCH(G$4,Curves,0))</f>
        <v>3.987</v>
      </c>
      <c r="H278" s="143" t="n">
        <f aca="false">G278</f>
        <v>3.987</v>
      </c>
      <c r="I278" s="142" t="n">
        <f aca="false">VLOOKUP($A278,Table1,MATCH(I$3,Curves1,0))</f>
        <v>0</v>
      </c>
      <c r="J278" s="142" t="n">
        <f aca="false">VLOOKUP($A278,Table,MATCH(J$4,Curves,0))</f>
        <v>-0.0235</v>
      </c>
      <c r="K278" s="143" t="n">
        <f aca="false">J278</f>
        <v>-0.0235</v>
      </c>
      <c r="L278" s="144" t="n">
        <v>0</v>
      </c>
      <c r="M278" s="142" t="n">
        <f aca="false">VLOOKUP($A278,Table,MATCH(M$4,Curves,0))</f>
        <v>0.0075</v>
      </c>
      <c r="N278" s="143" t="n">
        <f aca="false">M278</f>
        <v>0.0075</v>
      </c>
      <c r="O278" s="144" t="n">
        <v>0</v>
      </c>
      <c r="P278" s="145"/>
      <c r="Q278" s="144" t="n">
        <f aca="false">M278+J278+G278</f>
        <v>3.971</v>
      </c>
      <c r="R278" s="144" t="n">
        <f aca="false">O278+L278+I278</f>
        <v>0</v>
      </c>
      <c r="S278" s="145"/>
      <c r="T278" s="71" t="n">
        <f aca="false">A279-A278</f>
        <v>31</v>
      </c>
      <c r="U278" s="146" t="n">
        <f aca="false">CHOOSE(F$3,A279+24,A278)</f>
        <v>45194</v>
      </c>
      <c r="V278" s="71" t="n">
        <f aca="false">U278-C$3</f>
        <v>8306</v>
      </c>
      <c r="W278" s="142" t="n">
        <f aca="false">VLOOKUP($A278,Table,MATCH(W$4,Curves,0))</f>
        <v>0.058966861357273</v>
      </c>
      <c r="X278" s="147" t="n">
        <f aca="false">1/(1+CHOOSE(F$3,(W279+($K$3/10000))/2,(W278+($K$3/10000))/2))^(2*V278/365.25)</f>
        <v>0.266720624467246</v>
      </c>
      <c r="Y278" s="71" t="n">
        <f aca="false">IF(AND(mthbeg&lt;=A278,mthend&gt;=A278),1,0)</f>
        <v>0</v>
      </c>
      <c r="Z278" s="71" t="n">
        <f aca="false">T278*Y278</f>
        <v>0</v>
      </c>
      <c r="AB278" s="132" t="n">
        <f aca="false">F278*G278</f>
        <v>0</v>
      </c>
      <c r="AC278" s="132" t="n">
        <f aca="false">$F278*H278</f>
        <v>0</v>
      </c>
      <c r="AD278" s="132" t="n">
        <f aca="false">$F278*I278</f>
        <v>0</v>
      </c>
      <c r="AE278" s="132" t="n">
        <f aca="false">$F278*J278</f>
        <v>-0</v>
      </c>
      <c r="AF278" s="132" t="n">
        <f aca="false">$F278*K278</f>
        <v>-0</v>
      </c>
      <c r="AG278" s="132" t="n">
        <f aca="false">$F278*L278</f>
        <v>0</v>
      </c>
      <c r="AH278" s="132" t="n">
        <f aca="false">$F278*M278</f>
        <v>0</v>
      </c>
      <c r="AI278" s="132" t="n">
        <f aca="false">$F278*N278</f>
        <v>0</v>
      </c>
      <c r="AJ278" s="132" t="n">
        <f aca="false">F278*O278</f>
        <v>0</v>
      </c>
      <c r="AK278" s="137"/>
      <c r="AL278" s="132" t="n">
        <f aca="false">CHOOSE($G$3,AC278-AD278,AD278-AC278)</f>
        <v>0</v>
      </c>
      <c r="AM278" s="132" t="n">
        <f aca="false">CHOOSE($G$3,AF278-AG278,AG278-AF278)</f>
        <v>0</v>
      </c>
      <c r="AN278" s="132" t="n">
        <f aca="false">CHOOSE($G$3,AI278-AJ278,AJ278-AI278)</f>
        <v>0</v>
      </c>
      <c r="AO278" s="148" t="n">
        <f aca="false">SUM(AL278:AN278)</f>
        <v>0</v>
      </c>
      <c r="AQ278" s="132" t="n">
        <f aca="false">CHOOSE($G$3,AB278-AC278,AC278-AB278)</f>
        <v>0</v>
      </c>
      <c r="AR278" s="132" t="n">
        <f aca="false">CHOOSE($G$3,AE278-AF278,AF278-AE278)</f>
        <v>0</v>
      </c>
      <c r="AS278" s="132" t="n">
        <f aca="false">CHOOSE($G$3,AH278-AI278,AI278-AH278)</f>
        <v>0</v>
      </c>
      <c r="AT278" s="148" t="n">
        <f aca="false">AQ278+AR278+AS278</f>
        <v>0</v>
      </c>
      <c r="AU278" s="148"/>
      <c r="AV278" s="133" t="n">
        <f aca="false">AT278+AO278</f>
        <v>0</v>
      </c>
      <c r="AX278" s="133" t="n">
        <f aca="false">AJ278+AG278+AD278</f>
        <v>0</v>
      </c>
      <c r="AY278" s="149"/>
      <c r="AZ278" s="76" t="n">
        <f aca="false">R278*E278</f>
        <v>0</v>
      </c>
    </row>
    <row r="279" customFormat="false" ht="12" hidden="false" customHeight="true" outlineLevel="0" collapsed="false">
      <c r="A279" s="138" t="n">
        <f aca="false">EDATE(A278,1)</f>
        <v>45170</v>
      </c>
      <c r="B279" s="139" t="n">
        <f aca="false">VLOOKUP($A279,Table2,MATCH(I$3,Curves2,0))</f>
        <v>0</v>
      </c>
      <c r="C279" s="140"/>
      <c r="D279" s="141" t="n">
        <f aca="false">B279+C279</f>
        <v>0</v>
      </c>
      <c r="E279" s="126" t="n">
        <f aca="false">IF(Y279=0,0,IF(AND(Y279=1,$H$3=1),D279*T279,IF($H$3=2,D279,"N/A")))</f>
        <v>0</v>
      </c>
      <c r="F279" s="126" t="n">
        <f aca="false">E279*X279</f>
        <v>0</v>
      </c>
      <c r="G279" s="142" t="n">
        <f aca="false">VLOOKUP($A279,Table,MATCH(G$4,Curves,0))</f>
        <v>3.987</v>
      </c>
      <c r="H279" s="143" t="n">
        <f aca="false">G279</f>
        <v>3.987</v>
      </c>
      <c r="I279" s="142" t="n">
        <f aca="false">VLOOKUP($A279,Table1,MATCH(I$3,Curves1,0))</f>
        <v>0</v>
      </c>
      <c r="J279" s="142" t="n">
        <f aca="false">VLOOKUP($A279,Table,MATCH(J$4,Curves,0))</f>
        <v>-0.0235</v>
      </c>
      <c r="K279" s="143" t="n">
        <f aca="false">J279</f>
        <v>-0.0235</v>
      </c>
      <c r="L279" s="144" t="n">
        <v>0</v>
      </c>
      <c r="M279" s="142" t="n">
        <f aca="false">VLOOKUP($A279,Table,MATCH(M$4,Curves,0))</f>
        <v>0.0075</v>
      </c>
      <c r="N279" s="143" t="n">
        <f aca="false">M279</f>
        <v>0.0075</v>
      </c>
      <c r="O279" s="144" t="n">
        <v>0</v>
      </c>
      <c r="P279" s="145"/>
      <c r="Q279" s="144" t="n">
        <f aca="false">M279+J279+G279</f>
        <v>3.971</v>
      </c>
      <c r="R279" s="144" t="n">
        <f aca="false">O279+L279+I279</f>
        <v>0</v>
      </c>
      <c r="S279" s="145"/>
      <c r="T279" s="71" t="n">
        <f aca="false">A280-A279</f>
        <v>30</v>
      </c>
      <c r="U279" s="146" t="n">
        <f aca="false">CHOOSE(F$3,A280+24,A279)</f>
        <v>45224</v>
      </c>
      <c r="V279" s="71" t="n">
        <f aca="false">U279-C$3</f>
        <v>8336</v>
      </c>
      <c r="W279" s="142" t="n">
        <f aca="false">VLOOKUP($A279,Table,MATCH(W$4,Curves,0))</f>
        <v>0.058966861357273</v>
      </c>
      <c r="X279" s="147" t="n">
        <f aca="false">1/(1+CHOOSE(F$3,(W280+($K$3/10000))/2,(W279+($K$3/10000))/2))^(2*V279/365.25)</f>
        <v>0.265450534173588</v>
      </c>
      <c r="Y279" s="71" t="n">
        <f aca="false">IF(AND(mthbeg&lt;=A279,mthend&gt;=A279),1,0)</f>
        <v>0</v>
      </c>
      <c r="Z279" s="71" t="n">
        <f aca="false">T279*Y279</f>
        <v>0</v>
      </c>
      <c r="AB279" s="132" t="n">
        <f aca="false">F279*G279</f>
        <v>0</v>
      </c>
      <c r="AC279" s="132" t="n">
        <f aca="false">$F279*H279</f>
        <v>0</v>
      </c>
      <c r="AD279" s="132" t="n">
        <f aca="false">$F279*I279</f>
        <v>0</v>
      </c>
      <c r="AE279" s="132" t="n">
        <f aca="false">$F279*J279</f>
        <v>-0</v>
      </c>
      <c r="AF279" s="132" t="n">
        <f aca="false">$F279*K279</f>
        <v>-0</v>
      </c>
      <c r="AG279" s="132" t="n">
        <f aca="false">$F279*L279</f>
        <v>0</v>
      </c>
      <c r="AH279" s="132" t="n">
        <f aca="false">$F279*M279</f>
        <v>0</v>
      </c>
      <c r="AI279" s="132" t="n">
        <f aca="false">$F279*N279</f>
        <v>0</v>
      </c>
      <c r="AJ279" s="132" t="n">
        <f aca="false">F279*O279</f>
        <v>0</v>
      </c>
      <c r="AK279" s="137"/>
      <c r="AL279" s="132" t="n">
        <f aca="false">CHOOSE($G$3,AC279-AD279,AD279-AC279)</f>
        <v>0</v>
      </c>
      <c r="AM279" s="132" t="n">
        <f aca="false">CHOOSE($G$3,AF279-AG279,AG279-AF279)</f>
        <v>0</v>
      </c>
      <c r="AN279" s="132" t="n">
        <f aca="false">CHOOSE($G$3,AI279-AJ279,AJ279-AI279)</f>
        <v>0</v>
      </c>
      <c r="AO279" s="148" t="n">
        <f aca="false">SUM(AL279:AN279)</f>
        <v>0</v>
      </c>
      <c r="AQ279" s="132" t="n">
        <f aca="false">CHOOSE($G$3,AB279-AC279,AC279-AB279)</f>
        <v>0</v>
      </c>
      <c r="AR279" s="132" t="n">
        <f aca="false">CHOOSE($G$3,AE279-AF279,AF279-AE279)</f>
        <v>0</v>
      </c>
      <c r="AS279" s="132" t="n">
        <f aca="false">CHOOSE($G$3,AH279-AI279,AI279-AH279)</f>
        <v>0</v>
      </c>
      <c r="AT279" s="148" t="n">
        <f aca="false">AQ279+AR279+AS279</f>
        <v>0</v>
      </c>
      <c r="AU279" s="148"/>
      <c r="AV279" s="133" t="n">
        <f aca="false">AT279+AO279</f>
        <v>0</v>
      </c>
      <c r="AX279" s="133" t="n">
        <f aca="false">AJ279+AG279+AD279</f>
        <v>0</v>
      </c>
      <c r="AY279" s="149"/>
      <c r="AZ279" s="76" t="n">
        <f aca="false">R279*E279</f>
        <v>0</v>
      </c>
    </row>
    <row r="280" customFormat="false" ht="12" hidden="false" customHeight="true" outlineLevel="0" collapsed="false">
      <c r="A280" s="138" t="n">
        <f aca="false">EDATE(A279,1)</f>
        <v>45200</v>
      </c>
      <c r="B280" s="139" t="n">
        <f aca="false">VLOOKUP($A280,Table2,MATCH(I$3,Curves2,0))</f>
        <v>0</v>
      </c>
      <c r="C280" s="140"/>
      <c r="D280" s="141" t="n">
        <f aca="false">B280+C280</f>
        <v>0</v>
      </c>
      <c r="E280" s="126" t="n">
        <f aca="false">IF(Y280=0,0,IF(AND(Y280=1,$H$3=1),D280*T280,IF($H$3=2,D280,"N/A")))</f>
        <v>0</v>
      </c>
      <c r="F280" s="126" t="n">
        <f aca="false">E280*X280</f>
        <v>0</v>
      </c>
      <c r="G280" s="142" t="n">
        <f aca="false">VLOOKUP($A280,Table,MATCH(G$4,Curves,0))</f>
        <v>3.987</v>
      </c>
      <c r="H280" s="143" t="n">
        <f aca="false">G280</f>
        <v>3.987</v>
      </c>
      <c r="I280" s="142" t="n">
        <f aca="false">VLOOKUP($A280,Table1,MATCH(I$3,Curves1,0))</f>
        <v>0</v>
      </c>
      <c r="J280" s="142" t="n">
        <f aca="false">VLOOKUP($A280,Table,MATCH(J$4,Curves,0))</f>
        <v>-0.0235</v>
      </c>
      <c r="K280" s="143" t="n">
        <f aca="false">J280</f>
        <v>-0.0235</v>
      </c>
      <c r="L280" s="144" t="n">
        <v>0</v>
      </c>
      <c r="M280" s="142" t="n">
        <f aca="false">VLOOKUP($A280,Table,MATCH(M$4,Curves,0))</f>
        <v>0.0075</v>
      </c>
      <c r="N280" s="143" t="n">
        <f aca="false">M280</f>
        <v>0.0075</v>
      </c>
      <c r="O280" s="144" t="n">
        <v>0</v>
      </c>
      <c r="P280" s="145"/>
      <c r="Q280" s="144" t="n">
        <f aca="false">M280+J280+G280</f>
        <v>3.971</v>
      </c>
      <c r="R280" s="144" t="n">
        <f aca="false">O280+L280+I280</f>
        <v>0</v>
      </c>
      <c r="S280" s="145"/>
      <c r="T280" s="71" t="n">
        <f aca="false">A281-A280</f>
        <v>31</v>
      </c>
      <c r="U280" s="146" t="n">
        <f aca="false">CHOOSE(F$3,A281+24,A280)</f>
        <v>45255</v>
      </c>
      <c r="V280" s="71" t="n">
        <f aca="false">U280-C$3</f>
        <v>8367</v>
      </c>
      <c r="W280" s="142" t="n">
        <f aca="false">VLOOKUP($A280,Table,MATCH(W$4,Curves,0))</f>
        <v>0.058966861357273</v>
      </c>
      <c r="X280" s="147" t="n">
        <f aca="false">1/(1+CHOOSE(F$3,(W281+($K$3/10000))/2,(W280+($K$3/10000))/2))^(2*V280/365.25)</f>
        <v>0.264144460972127</v>
      </c>
      <c r="Y280" s="71" t="n">
        <f aca="false">IF(AND(mthbeg&lt;=A280,mthend&gt;=A280),1,0)</f>
        <v>0</v>
      </c>
      <c r="Z280" s="71" t="n">
        <f aca="false">T280*Y280</f>
        <v>0</v>
      </c>
      <c r="AB280" s="132" t="n">
        <f aca="false">F280*G280</f>
        <v>0</v>
      </c>
      <c r="AC280" s="132" t="n">
        <f aca="false">$F280*H280</f>
        <v>0</v>
      </c>
      <c r="AD280" s="132" t="n">
        <f aca="false">$F280*I280</f>
        <v>0</v>
      </c>
      <c r="AE280" s="132" t="n">
        <f aca="false">$F280*J280</f>
        <v>-0</v>
      </c>
      <c r="AF280" s="132" t="n">
        <f aca="false">$F280*K280</f>
        <v>-0</v>
      </c>
      <c r="AG280" s="132" t="n">
        <f aca="false">$F280*L280</f>
        <v>0</v>
      </c>
      <c r="AH280" s="132" t="n">
        <f aca="false">$F280*M280</f>
        <v>0</v>
      </c>
      <c r="AI280" s="132" t="n">
        <f aca="false">$F280*N280</f>
        <v>0</v>
      </c>
      <c r="AJ280" s="132" t="n">
        <f aca="false">F280*O280</f>
        <v>0</v>
      </c>
      <c r="AK280" s="137"/>
      <c r="AL280" s="132" t="n">
        <f aca="false">CHOOSE($G$3,AC280-AD280,AD280-AC280)</f>
        <v>0</v>
      </c>
      <c r="AM280" s="132" t="n">
        <f aca="false">CHOOSE($G$3,AF280-AG280,AG280-AF280)</f>
        <v>0</v>
      </c>
      <c r="AN280" s="132" t="n">
        <f aca="false">CHOOSE($G$3,AI280-AJ280,AJ280-AI280)</f>
        <v>0</v>
      </c>
      <c r="AO280" s="148" t="n">
        <f aca="false">SUM(AL280:AN280)</f>
        <v>0</v>
      </c>
      <c r="AQ280" s="132" t="n">
        <f aca="false">CHOOSE($G$3,AB280-AC280,AC280-AB280)</f>
        <v>0</v>
      </c>
      <c r="AR280" s="132" t="n">
        <f aca="false">CHOOSE($G$3,AE280-AF280,AF280-AE280)</f>
        <v>0</v>
      </c>
      <c r="AS280" s="132" t="n">
        <f aca="false">CHOOSE($G$3,AH280-AI280,AI280-AH280)</f>
        <v>0</v>
      </c>
      <c r="AT280" s="148" t="n">
        <f aca="false">AQ280+AR280+AS280</f>
        <v>0</v>
      </c>
      <c r="AU280" s="148"/>
      <c r="AV280" s="133" t="n">
        <f aca="false">AT280+AO280</f>
        <v>0</v>
      </c>
      <c r="AX280" s="133" t="n">
        <f aca="false">AJ280+AG280+AD280</f>
        <v>0</v>
      </c>
      <c r="AY280" s="149"/>
      <c r="AZ280" s="76" t="n">
        <f aca="false">R280*E280</f>
        <v>0</v>
      </c>
    </row>
    <row r="281" customFormat="false" ht="12" hidden="false" customHeight="true" outlineLevel="0" collapsed="false">
      <c r="A281" s="138" t="n">
        <f aca="false">EDATE(A280,1)</f>
        <v>45231</v>
      </c>
      <c r="B281" s="139" t="n">
        <f aca="false">VLOOKUP($A281,Table2,MATCH(I$3,Curves2,0))</f>
        <v>0</v>
      </c>
      <c r="C281" s="140"/>
      <c r="D281" s="141" t="n">
        <f aca="false">B281+C281</f>
        <v>0</v>
      </c>
      <c r="E281" s="126" t="n">
        <f aca="false">IF(Y281=0,0,IF(AND(Y281=1,$H$3=1),D281*T281,IF($H$3=2,D281,"N/A")))</f>
        <v>0</v>
      </c>
      <c r="F281" s="126" t="n">
        <f aca="false">E281*X281</f>
        <v>0</v>
      </c>
      <c r="G281" s="142" t="n">
        <f aca="false">VLOOKUP($A281,Table,MATCH(G$4,Curves,0))</f>
        <v>3.987</v>
      </c>
      <c r="H281" s="143" t="n">
        <f aca="false">G281</f>
        <v>3.987</v>
      </c>
      <c r="I281" s="142" t="n">
        <f aca="false">VLOOKUP($A281,Table1,MATCH(I$3,Curves1,0))</f>
        <v>0</v>
      </c>
      <c r="J281" s="142" t="n">
        <f aca="false">VLOOKUP($A281,Table,MATCH(J$4,Curves,0))</f>
        <v>-0.0235</v>
      </c>
      <c r="K281" s="143" t="n">
        <f aca="false">J281</f>
        <v>-0.0235</v>
      </c>
      <c r="L281" s="144" t="n">
        <v>0</v>
      </c>
      <c r="M281" s="142" t="n">
        <f aca="false">VLOOKUP($A281,Table,MATCH(M$4,Curves,0))</f>
        <v>0.0075</v>
      </c>
      <c r="N281" s="143" t="n">
        <f aca="false">M281</f>
        <v>0.0075</v>
      </c>
      <c r="O281" s="144" t="n">
        <v>0</v>
      </c>
      <c r="P281" s="145"/>
      <c r="Q281" s="144" t="n">
        <f aca="false">M281+J281+G281</f>
        <v>3.971</v>
      </c>
      <c r="R281" s="144" t="n">
        <f aca="false">O281+L281+I281</f>
        <v>0</v>
      </c>
      <c r="S281" s="145"/>
      <c r="T281" s="71" t="n">
        <f aca="false">A282-A281</f>
        <v>30</v>
      </c>
      <c r="U281" s="146" t="n">
        <f aca="false">CHOOSE(F$3,A282+24,A281)</f>
        <v>45285</v>
      </c>
      <c r="V281" s="71" t="n">
        <f aca="false">U281-C$3</f>
        <v>8397</v>
      </c>
      <c r="W281" s="142" t="n">
        <f aca="false">VLOOKUP($A281,Table,MATCH(W$4,Curves,0))</f>
        <v>0.058966861357273</v>
      </c>
      <c r="X281" s="147" t="n">
        <f aca="false">1/(1+CHOOSE(F$3,(W282+($K$3/10000))/2,(W281+($K$3/10000))/2))^(2*V281/365.25)</f>
        <v>0.262886638047206</v>
      </c>
      <c r="Y281" s="71" t="n">
        <f aca="false">IF(AND(mthbeg&lt;=A281,mthend&gt;=A281),1,0)</f>
        <v>0</v>
      </c>
      <c r="Z281" s="71" t="n">
        <f aca="false">T281*Y281</f>
        <v>0</v>
      </c>
      <c r="AB281" s="132" t="n">
        <f aca="false">F281*G281</f>
        <v>0</v>
      </c>
      <c r="AC281" s="132" t="n">
        <f aca="false">$F281*H281</f>
        <v>0</v>
      </c>
      <c r="AD281" s="132" t="n">
        <f aca="false">$F281*I281</f>
        <v>0</v>
      </c>
      <c r="AE281" s="132" t="n">
        <f aca="false">$F281*J281</f>
        <v>-0</v>
      </c>
      <c r="AF281" s="132" t="n">
        <f aca="false">$F281*K281</f>
        <v>-0</v>
      </c>
      <c r="AG281" s="132" t="n">
        <f aca="false">$F281*L281</f>
        <v>0</v>
      </c>
      <c r="AH281" s="132" t="n">
        <f aca="false">$F281*M281</f>
        <v>0</v>
      </c>
      <c r="AI281" s="132" t="n">
        <f aca="false">$F281*N281</f>
        <v>0</v>
      </c>
      <c r="AJ281" s="132" t="n">
        <f aca="false">F281*O281</f>
        <v>0</v>
      </c>
      <c r="AK281" s="137"/>
      <c r="AL281" s="132" t="n">
        <f aca="false">CHOOSE($G$3,AC281-AD281,AD281-AC281)</f>
        <v>0</v>
      </c>
      <c r="AM281" s="132" t="n">
        <f aca="false">CHOOSE($G$3,AF281-AG281,AG281-AF281)</f>
        <v>0</v>
      </c>
      <c r="AN281" s="132" t="n">
        <f aca="false">CHOOSE($G$3,AI281-AJ281,AJ281-AI281)</f>
        <v>0</v>
      </c>
      <c r="AO281" s="148" t="n">
        <f aca="false">SUM(AL281:AN281)</f>
        <v>0</v>
      </c>
      <c r="AQ281" s="132" t="n">
        <f aca="false">CHOOSE($G$3,AB281-AC281,AC281-AB281)</f>
        <v>0</v>
      </c>
      <c r="AR281" s="132" t="n">
        <f aca="false">CHOOSE($G$3,AE281-AF281,AF281-AE281)</f>
        <v>0</v>
      </c>
      <c r="AS281" s="132" t="n">
        <f aca="false">CHOOSE($G$3,AH281-AI281,AI281-AH281)</f>
        <v>0</v>
      </c>
      <c r="AT281" s="148" t="n">
        <f aca="false">AQ281+AR281+AS281</f>
        <v>0</v>
      </c>
      <c r="AU281" s="148"/>
      <c r="AV281" s="133" t="n">
        <f aca="false">AT281+AO281</f>
        <v>0</v>
      </c>
      <c r="AX281" s="133" t="n">
        <f aca="false">AJ281+AG281+AD281</f>
        <v>0</v>
      </c>
      <c r="AY281" s="149"/>
      <c r="AZ281" s="76" t="n">
        <f aca="false">R281*E281</f>
        <v>0</v>
      </c>
    </row>
    <row r="282" customFormat="false" ht="12" hidden="false" customHeight="true" outlineLevel="0" collapsed="false">
      <c r="A282" s="138" t="n">
        <f aca="false">EDATE(A281,1)</f>
        <v>45261</v>
      </c>
      <c r="B282" s="139" t="n">
        <f aca="false">VLOOKUP($A282,Table2,MATCH(I$3,Curves2,0))</f>
        <v>0</v>
      </c>
      <c r="C282" s="140"/>
      <c r="D282" s="141" t="n">
        <f aca="false">B282+C282</f>
        <v>0</v>
      </c>
      <c r="E282" s="126" t="n">
        <f aca="false">IF(Y282=0,0,IF(AND(Y282=1,$H$3=1),D282*T282,IF($H$3=2,D282,"N/A")))</f>
        <v>0</v>
      </c>
      <c r="F282" s="126" t="n">
        <f aca="false">E282*X282</f>
        <v>0</v>
      </c>
      <c r="G282" s="142" t="n">
        <f aca="false">VLOOKUP($A282,Table,MATCH(G$4,Curves,0))</f>
        <v>3.987</v>
      </c>
      <c r="H282" s="143" t="n">
        <f aca="false">G282</f>
        <v>3.987</v>
      </c>
      <c r="I282" s="142" t="n">
        <f aca="false">VLOOKUP($A282,Table1,MATCH(I$3,Curves1,0))</f>
        <v>0</v>
      </c>
      <c r="J282" s="142" t="n">
        <f aca="false">VLOOKUP($A282,Table,MATCH(J$4,Curves,0))</f>
        <v>-0.0235</v>
      </c>
      <c r="K282" s="143" t="n">
        <f aca="false">J282</f>
        <v>-0.0235</v>
      </c>
      <c r="L282" s="144" t="n">
        <v>0</v>
      </c>
      <c r="M282" s="142" t="n">
        <f aca="false">VLOOKUP($A282,Table,MATCH(M$4,Curves,0))</f>
        <v>0.0075</v>
      </c>
      <c r="N282" s="143" t="n">
        <f aca="false">M282</f>
        <v>0.0075</v>
      </c>
      <c r="O282" s="144" t="n">
        <v>0</v>
      </c>
      <c r="P282" s="145"/>
      <c r="Q282" s="144" t="n">
        <f aca="false">M282+J282+G282</f>
        <v>3.971</v>
      </c>
      <c r="R282" s="144" t="n">
        <f aca="false">O282+L282+I282</f>
        <v>0</v>
      </c>
      <c r="S282" s="145"/>
      <c r="T282" s="71" t="n">
        <f aca="false">A283-A282</f>
        <v>31</v>
      </c>
      <c r="U282" s="146" t="n">
        <f aca="false">CHOOSE(F$3,A283+24,A282)</f>
        <v>45316</v>
      </c>
      <c r="V282" s="71" t="n">
        <f aca="false">U282-C$3</f>
        <v>8428</v>
      </c>
      <c r="W282" s="142" t="n">
        <f aca="false">VLOOKUP($A282,Table,MATCH(W$4,Curves,0))</f>
        <v>0.058966861357273</v>
      </c>
      <c r="X282" s="147" t="n">
        <f aca="false">1/(1+CHOOSE(F$3,(W283+($K$3/10000))/2,(W282+($K$3/10000))/2))^(2*V282/365.25)</f>
        <v>0.26159317976111</v>
      </c>
      <c r="Y282" s="71" t="n">
        <f aca="false">IF(AND(mthbeg&lt;=A282,mthend&gt;=A282),1,0)</f>
        <v>0</v>
      </c>
      <c r="Z282" s="71" t="n">
        <f aca="false">T282*Y282</f>
        <v>0</v>
      </c>
      <c r="AB282" s="132" t="n">
        <f aca="false">F282*G282</f>
        <v>0</v>
      </c>
      <c r="AC282" s="132" t="n">
        <f aca="false">$F282*H282</f>
        <v>0</v>
      </c>
      <c r="AD282" s="132" t="n">
        <f aca="false">$F282*I282</f>
        <v>0</v>
      </c>
      <c r="AE282" s="132" t="n">
        <f aca="false">$F282*J282</f>
        <v>-0</v>
      </c>
      <c r="AF282" s="132" t="n">
        <f aca="false">$F282*K282</f>
        <v>-0</v>
      </c>
      <c r="AG282" s="132" t="n">
        <f aca="false">$F282*L282</f>
        <v>0</v>
      </c>
      <c r="AH282" s="132" t="n">
        <f aca="false">$F282*M282</f>
        <v>0</v>
      </c>
      <c r="AI282" s="132" t="n">
        <f aca="false">$F282*N282</f>
        <v>0</v>
      </c>
      <c r="AJ282" s="132" t="n">
        <f aca="false">F282*O282</f>
        <v>0</v>
      </c>
      <c r="AK282" s="137"/>
      <c r="AL282" s="132" t="n">
        <f aca="false">CHOOSE($G$3,AC282-AD282,AD282-AC282)</f>
        <v>0</v>
      </c>
      <c r="AM282" s="132" t="n">
        <f aca="false">CHOOSE($G$3,AF282-AG282,AG282-AF282)</f>
        <v>0</v>
      </c>
      <c r="AN282" s="132" t="n">
        <f aca="false">CHOOSE($G$3,AI282-AJ282,AJ282-AI282)</f>
        <v>0</v>
      </c>
      <c r="AO282" s="148" t="n">
        <f aca="false">SUM(AL282:AN282)</f>
        <v>0</v>
      </c>
      <c r="AQ282" s="132" t="n">
        <f aca="false">CHOOSE($G$3,AB282-AC282,AC282-AB282)</f>
        <v>0</v>
      </c>
      <c r="AR282" s="132" t="n">
        <f aca="false">CHOOSE($G$3,AE282-AF282,AF282-AE282)</f>
        <v>0</v>
      </c>
      <c r="AS282" s="132" t="n">
        <f aca="false">CHOOSE($G$3,AH282-AI282,AI282-AH282)</f>
        <v>0</v>
      </c>
      <c r="AT282" s="148" t="n">
        <f aca="false">AQ282+AR282+AS282</f>
        <v>0</v>
      </c>
      <c r="AU282" s="148"/>
      <c r="AV282" s="133" t="n">
        <f aca="false">AT282+AO282</f>
        <v>0</v>
      </c>
      <c r="AX282" s="133" t="n">
        <f aca="false">AJ282+AG282+AD282</f>
        <v>0</v>
      </c>
      <c r="AY282" s="149"/>
      <c r="AZ282" s="76" t="n">
        <f aca="false">R282*E282</f>
        <v>0</v>
      </c>
    </row>
    <row r="283" customFormat="false" ht="12" hidden="false" customHeight="true" outlineLevel="0" collapsed="false">
      <c r="A283" s="138" t="n">
        <f aca="false">EDATE(A282,1)</f>
        <v>45292</v>
      </c>
      <c r="B283" s="139" t="n">
        <f aca="false">VLOOKUP($A283,Table2,MATCH(I$3,Curves2,0))</f>
        <v>0</v>
      </c>
      <c r="C283" s="140"/>
      <c r="D283" s="141" t="n">
        <f aca="false">B283+C283</f>
        <v>0</v>
      </c>
      <c r="E283" s="126" t="n">
        <f aca="false">IF(Y283=0,0,IF(AND(Y283=1,$H$3=1),D283*T283,IF($H$3=2,D283,"N/A")))</f>
        <v>0</v>
      </c>
      <c r="F283" s="126" t="n">
        <f aca="false">E283*X283</f>
        <v>0</v>
      </c>
      <c r="G283" s="142" t="n">
        <f aca="false">VLOOKUP($A283,Table,MATCH(G$4,Curves,0))</f>
        <v>3.987</v>
      </c>
      <c r="H283" s="143" t="n">
        <f aca="false">G283</f>
        <v>3.987</v>
      </c>
      <c r="I283" s="142" t="n">
        <f aca="false">VLOOKUP($A283,Table1,MATCH(I$3,Curves1,0))</f>
        <v>0</v>
      </c>
      <c r="J283" s="142" t="n">
        <f aca="false">VLOOKUP($A283,Table,MATCH(J$4,Curves,0))</f>
        <v>-0.0235</v>
      </c>
      <c r="K283" s="143" t="n">
        <f aca="false">J283</f>
        <v>-0.0235</v>
      </c>
      <c r="L283" s="144" t="n">
        <v>0</v>
      </c>
      <c r="M283" s="142" t="n">
        <f aca="false">VLOOKUP($A283,Table,MATCH(M$4,Curves,0))</f>
        <v>0.0075</v>
      </c>
      <c r="N283" s="143" t="n">
        <f aca="false">M283</f>
        <v>0.0075</v>
      </c>
      <c r="O283" s="144" t="n">
        <v>0</v>
      </c>
      <c r="P283" s="145"/>
      <c r="Q283" s="144" t="n">
        <f aca="false">M283+J283+G283</f>
        <v>3.971</v>
      </c>
      <c r="R283" s="144" t="n">
        <f aca="false">O283+L283+I283</f>
        <v>0</v>
      </c>
      <c r="S283" s="145"/>
      <c r="T283" s="71" t="n">
        <f aca="false">A284-A283</f>
        <v>31</v>
      </c>
      <c r="U283" s="146" t="n">
        <f aca="false">CHOOSE(F$3,A284+24,A283)</f>
        <v>45347</v>
      </c>
      <c r="V283" s="71" t="n">
        <f aca="false">U283-C$3</f>
        <v>8459</v>
      </c>
      <c r="W283" s="142" t="n">
        <f aca="false">VLOOKUP($A283,Table,MATCH(W$4,Curves,0))</f>
        <v>0.058966861357273</v>
      </c>
      <c r="X283" s="147" t="n">
        <f aca="false">1/(1+CHOOSE(F$3,(W284+($K$3/10000))/2,(W283+($K$3/10000))/2))^(2*V283/365.25)</f>
        <v>0.260306085565446</v>
      </c>
      <c r="Y283" s="71" t="n">
        <f aca="false">IF(AND(mthbeg&lt;=A283,mthend&gt;=A283),1,0)</f>
        <v>0</v>
      </c>
      <c r="Z283" s="71" t="n">
        <f aca="false">T283*Y283</f>
        <v>0</v>
      </c>
      <c r="AB283" s="132" t="n">
        <f aca="false">F283*G283</f>
        <v>0</v>
      </c>
      <c r="AC283" s="132" t="n">
        <f aca="false">$F283*H283</f>
        <v>0</v>
      </c>
      <c r="AD283" s="132" t="n">
        <f aca="false">$F283*I283</f>
        <v>0</v>
      </c>
      <c r="AE283" s="132" t="n">
        <f aca="false">$F283*J283</f>
        <v>-0</v>
      </c>
      <c r="AF283" s="132" t="n">
        <f aca="false">$F283*K283</f>
        <v>-0</v>
      </c>
      <c r="AG283" s="132" t="n">
        <f aca="false">$F283*L283</f>
        <v>0</v>
      </c>
      <c r="AH283" s="132" t="n">
        <f aca="false">$F283*M283</f>
        <v>0</v>
      </c>
      <c r="AI283" s="132" t="n">
        <f aca="false">$F283*N283</f>
        <v>0</v>
      </c>
      <c r="AJ283" s="132" t="n">
        <f aca="false">F283*O283</f>
        <v>0</v>
      </c>
      <c r="AK283" s="137"/>
      <c r="AL283" s="132" t="n">
        <f aca="false">CHOOSE($G$3,AC283-AD283,AD283-AC283)</f>
        <v>0</v>
      </c>
      <c r="AM283" s="132" t="n">
        <f aca="false">CHOOSE($G$3,AF283-AG283,AG283-AF283)</f>
        <v>0</v>
      </c>
      <c r="AN283" s="132" t="n">
        <f aca="false">CHOOSE($G$3,AI283-AJ283,AJ283-AI283)</f>
        <v>0</v>
      </c>
      <c r="AO283" s="148" t="n">
        <f aca="false">SUM(AL283:AN283)</f>
        <v>0</v>
      </c>
      <c r="AQ283" s="132" t="n">
        <f aca="false">CHOOSE($G$3,AB283-AC283,AC283-AB283)</f>
        <v>0</v>
      </c>
      <c r="AR283" s="132" t="n">
        <f aca="false">CHOOSE($G$3,AE283-AF283,AF283-AE283)</f>
        <v>0</v>
      </c>
      <c r="AS283" s="132" t="n">
        <f aca="false">CHOOSE($G$3,AH283-AI283,AI283-AH283)</f>
        <v>0</v>
      </c>
      <c r="AT283" s="148" t="n">
        <f aca="false">AQ283+AR283+AS283</f>
        <v>0</v>
      </c>
      <c r="AU283" s="148"/>
      <c r="AV283" s="133" t="n">
        <f aca="false">AT283+AO283</f>
        <v>0</v>
      </c>
      <c r="AX283" s="133" t="n">
        <f aca="false">AJ283+AG283+AD283</f>
        <v>0</v>
      </c>
      <c r="AY283" s="149"/>
      <c r="AZ283" s="76" t="n">
        <f aca="false">R283*E283</f>
        <v>0</v>
      </c>
    </row>
    <row r="284" customFormat="false" ht="12" hidden="false" customHeight="true" outlineLevel="0" collapsed="false">
      <c r="A284" s="138" t="n">
        <f aca="false">EDATE(A283,1)</f>
        <v>45323</v>
      </c>
      <c r="B284" s="139" t="n">
        <f aca="false">VLOOKUP($A284,Table2,MATCH(I$3,Curves2,0))</f>
        <v>0</v>
      </c>
      <c r="C284" s="140"/>
      <c r="D284" s="141" t="n">
        <f aca="false">B284+C284</f>
        <v>0</v>
      </c>
      <c r="E284" s="126" t="n">
        <f aca="false">IF(Y284=0,0,IF(AND(Y284=1,$H$3=1),D284*T284,IF($H$3=2,D284,"N/A")))</f>
        <v>0</v>
      </c>
      <c r="F284" s="126" t="n">
        <f aca="false">E284*X284</f>
        <v>0</v>
      </c>
      <c r="G284" s="142" t="n">
        <f aca="false">VLOOKUP($A284,Table,MATCH(G$4,Curves,0))</f>
        <v>3.987</v>
      </c>
      <c r="H284" s="143" t="n">
        <f aca="false">G284</f>
        <v>3.987</v>
      </c>
      <c r="I284" s="142" t="n">
        <f aca="false">VLOOKUP($A284,Table1,MATCH(I$3,Curves1,0))</f>
        <v>0</v>
      </c>
      <c r="J284" s="142" t="n">
        <f aca="false">VLOOKUP($A284,Table,MATCH(J$4,Curves,0))</f>
        <v>-0.0235</v>
      </c>
      <c r="K284" s="143" t="n">
        <f aca="false">J284</f>
        <v>-0.0235</v>
      </c>
      <c r="L284" s="144" t="n">
        <v>0</v>
      </c>
      <c r="M284" s="142" t="n">
        <f aca="false">VLOOKUP($A284,Table,MATCH(M$4,Curves,0))</f>
        <v>0.0075</v>
      </c>
      <c r="N284" s="143" t="n">
        <f aca="false">M284</f>
        <v>0.0075</v>
      </c>
      <c r="O284" s="144" t="n">
        <v>0</v>
      </c>
      <c r="P284" s="145"/>
      <c r="Q284" s="144" t="n">
        <f aca="false">M284+J284+G284</f>
        <v>3.971</v>
      </c>
      <c r="R284" s="144" t="n">
        <f aca="false">O284+L284+I284</f>
        <v>0</v>
      </c>
      <c r="S284" s="145"/>
      <c r="T284" s="71" t="n">
        <f aca="false">A285-A284</f>
        <v>29</v>
      </c>
      <c r="U284" s="146" t="n">
        <f aca="false">CHOOSE(F$3,A285+24,A284)</f>
        <v>45376</v>
      </c>
      <c r="V284" s="71" t="n">
        <f aca="false">U284-C$3</f>
        <v>8488</v>
      </c>
      <c r="W284" s="142" t="n">
        <f aca="false">VLOOKUP($A284,Table,MATCH(W$4,Curves,0))</f>
        <v>0.058966861357273</v>
      </c>
      <c r="X284" s="147" t="n">
        <f aca="false">1/(1+CHOOSE(F$3,(W285+($K$3/10000))/2,(W284+($K$3/10000))/2))^(2*V284/365.25)</f>
        <v>0.259107763420257</v>
      </c>
      <c r="Y284" s="71" t="n">
        <f aca="false">IF(AND(mthbeg&lt;=A284,mthend&gt;=A284),1,0)</f>
        <v>0</v>
      </c>
      <c r="Z284" s="71" t="n">
        <f aca="false">T284*Y284</f>
        <v>0</v>
      </c>
      <c r="AB284" s="132" t="n">
        <f aca="false">F284*G284</f>
        <v>0</v>
      </c>
      <c r="AC284" s="132" t="n">
        <f aca="false">$F284*H284</f>
        <v>0</v>
      </c>
      <c r="AD284" s="132" t="n">
        <f aca="false">$F284*I284</f>
        <v>0</v>
      </c>
      <c r="AE284" s="132" t="n">
        <f aca="false">$F284*J284</f>
        <v>-0</v>
      </c>
      <c r="AF284" s="132" t="n">
        <f aca="false">$F284*K284</f>
        <v>-0</v>
      </c>
      <c r="AG284" s="132" t="n">
        <f aca="false">$F284*L284</f>
        <v>0</v>
      </c>
      <c r="AH284" s="132" t="n">
        <f aca="false">$F284*M284</f>
        <v>0</v>
      </c>
      <c r="AI284" s="132" t="n">
        <f aca="false">$F284*N284</f>
        <v>0</v>
      </c>
      <c r="AJ284" s="132" t="n">
        <f aca="false">F284*O284</f>
        <v>0</v>
      </c>
      <c r="AK284" s="137"/>
      <c r="AL284" s="132" t="n">
        <f aca="false">CHOOSE($G$3,AC284-AD284,AD284-AC284)</f>
        <v>0</v>
      </c>
      <c r="AM284" s="132" t="n">
        <f aca="false">CHOOSE($G$3,AF284-AG284,AG284-AF284)</f>
        <v>0</v>
      </c>
      <c r="AN284" s="132" t="n">
        <f aca="false">CHOOSE($G$3,AI284-AJ284,AJ284-AI284)</f>
        <v>0</v>
      </c>
      <c r="AO284" s="148" t="n">
        <f aca="false">SUM(AL284:AN284)</f>
        <v>0</v>
      </c>
      <c r="AQ284" s="132" t="n">
        <f aca="false">CHOOSE($G$3,AB284-AC284,AC284-AB284)</f>
        <v>0</v>
      </c>
      <c r="AR284" s="132" t="n">
        <f aca="false">CHOOSE($G$3,AE284-AF284,AF284-AE284)</f>
        <v>0</v>
      </c>
      <c r="AS284" s="132" t="n">
        <f aca="false">CHOOSE($G$3,AH284-AI284,AI284-AH284)</f>
        <v>0</v>
      </c>
      <c r="AT284" s="148" t="n">
        <f aca="false">AQ284+AR284+AS284</f>
        <v>0</v>
      </c>
      <c r="AU284" s="148"/>
      <c r="AV284" s="133" t="n">
        <f aca="false">AT284+AO284</f>
        <v>0</v>
      </c>
      <c r="AX284" s="133" t="n">
        <f aca="false">AJ284+AG284+AD284</f>
        <v>0</v>
      </c>
      <c r="AY284" s="149"/>
      <c r="AZ284" s="76" t="n">
        <f aca="false">R284*E284</f>
        <v>0</v>
      </c>
    </row>
    <row r="285" customFormat="false" ht="12" hidden="false" customHeight="true" outlineLevel="0" collapsed="false">
      <c r="A285" s="138" t="n">
        <f aca="false">EDATE(A284,1)</f>
        <v>45352</v>
      </c>
      <c r="B285" s="139" t="n">
        <f aca="false">VLOOKUP($A285,Table2,MATCH(I$3,Curves2,0))</f>
        <v>0</v>
      </c>
      <c r="C285" s="140"/>
      <c r="D285" s="141" t="n">
        <f aca="false">B285+C285</f>
        <v>0</v>
      </c>
      <c r="E285" s="126" t="n">
        <f aca="false">IF(Y285=0,0,IF(AND(Y285=1,$H$3=1),D285*T285,IF($H$3=2,D285,"N/A")))</f>
        <v>0</v>
      </c>
      <c r="F285" s="126" t="n">
        <f aca="false">E285*X285</f>
        <v>0</v>
      </c>
      <c r="G285" s="142" t="n">
        <f aca="false">VLOOKUP($A285,Table,MATCH(G$4,Curves,0))</f>
        <v>3.987</v>
      </c>
      <c r="H285" s="143" t="n">
        <f aca="false">G285</f>
        <v>3.987</v>
      </c>
      <c r="I285" s="142" t="n">
        <f aca="false">VLOOKUP($A285,Table1,MATCH(I$3,Curves1,0))</f>
        <v>0</v>
      </c>
      <c r="J285" s="142" t="n">
        <f aca="false">VLOOKUP($A285,Table,MATCH(J$4,Curves,0))</f>
        <v>-0.0235</v>
      </c>
      <c r="K285" s="143" t="n">
        <f aca="false">J285</f>
        <v>-0.0235</v>
      </c>
      <c r="L285" s="144" t="n">
        <v>0</v>
      </c>
      <c r="M285" s="142" t="n">
        <f aca="false">VLOOKUP($A285,Table,MATCH(M$4,Curves,0))</f>
        <v>0.0075</v>
      </c>
      <c r="N285" s="143" t="n">
        <f aca="false">M285</f>
        <v>0.0075</v>
      </c>
      <c r="O285" s="144" t="n">
        <v>0</v>
      </c>
      <c r="P285" s="145"/>
      <c r="Q285" s="144" t="n">
        <f aca="false">M285+J285+G285</f>
        <v>3.971</v>
      </c>
      <c r="R285" s="144" t="n">
        <f aca="false">O285+L285+I285</f>
        <v>0</v>
      </c>
      <c r="S285" s="145"/>
      <c r="T285" s="71" t="n">
        <f aca="false">A286-A285</f>
        <v>31</v>
      </c>
      <c r="U285" s="146" t="n">
        <f aca="false">CHOOSE(F$3,A286+24,A285)</f>
        <v>45407</v>
      </c>
      <c r="V285" s="71" t="n">
        <f aca="false">U285-C$3</f>
        <v>8519</v>
      </c>
      <c r="W285" s="142" t="n">
        <f aca="false">VLOOKUP($A285,Table,MATCH(W$4,Curves,0))</f>
        <v>0.058966861357273</v>
      </c>
      <c r="X285" s="147" t="n">
        <f aca="false">1/(1+CHOOSE(F$3,(W286+($K$3/10000))/2,(W285+($K$3/10000))/2))^(2*V285/365.25)</f>
        <v>0.257832898002687</v>
      </c>
      <c r="Y285" s="71" t="n">
        <f aca="false">IF(AND(mthbeg&lt;=A285,mthend&gt;=A285),1,0)</f>
        <v>0</v>
      </c>
      <c r="Z285" s="71" t="n">
        <f aca="false">T285*Y285</f>
        <v>0</v>
      </c>
      <c r="AB285" s="132" t="n">
        <f aca="false">F285*G285</f>
        <v>0</v>
      </c>
      <c r="AC285" s="132" t="n">
        <f aca="false">$F285*H285</f>
        <v>0</v>
      </c>
      <c r="AD285" s="132" t="n">
        <f aca="false">$F285*I285</f>
        <v>0</v>
      </c>
      <c r="AE285" s="132" t="n">
        <f aca="false">$F285*J285</f>
        <v>-0</v>
      </c>
      <c r="AF285" s="132" t="n">
        <f aca="false">$F285*K285</f>
        <v>-0</v>
      </c>
      <c r="AG285" s="132" t="n">
        <f aca="false">$F285*L285</f>
        <v>0</v>
      </c>
      <c r="AH285" s="132" t="n">
        <f aca="false">$F285*M285</f>
        <v>0</v>
      </c>
      <c r="AI285" s="132" t="n">
        <f aca="false">$F285*N285</f>
        <v>0</v>
      </c>
      <c r="AJ285" s="132" t="n">
        <f aca="false">F285*O285</f>
        <v>0</v>
      </c>
      <c r="AK285" s="137"/>
      <c r="AL285" s="132" t="n">
        <f aca="false">CHOOSE($G$3,AC285-AD285,AD285-AC285)</f>
        <v>0</v>
      </c>
      <c r="AM285" s="132" t="n">
        <f aca="false">CHOOSE($G$3,AF285-AG285,AG285-AF285)</f>
        <v>0</v>
      </c>
      <c r="AN285" s="132" t="n">
        <f aca="false">CHOOSE($G$3,AI285-AJ285,AJ285-AI285)</f>
        <v>0</v>
      </c>
      <c r="AO285" s="148" t="n">
        <f aca="false">SUM(AL285:AN285)</f>
        <v>0</v>
      </c>
      <c r="AQ285" s="132" t="n">
        <f aca="false">CHOOSE($G$3,AB285-AC285,AC285-AB285)</f>
        <v>0</v>
      </c>
      <c r="AR285" s="132" t="n">
        <f aca="false">CHOOSE($G$3,AE285-AF285,AF285-AE285)</f>
        <v>0</v>
      </c>
      <c r="AS285" s="132" t="n">
        <f aca="false">CHOOSE($G$3,AH285-AI285,AI285-AH285)</f>
        <v>0</v>
      </c>
      <c r="AT285" s="148" t="n">
        <f aca="false">AQ285+AR285+AS285</f>
        <v>0</v>
      </c>
      <c r="AU285" s="148"/>
      <c r="AV285" s="133" t="n">
        <f aca="false">AT285+AO285</f>
        <v>0</v>
      </c>
      <c r="AX285" s="133" t="n">
        <f aca="false">AJ285+AG285+AD285</f>
        <v>0</v>
      </c>
      <c r="AY285" s="149"/>
      <c r="AZ285" s="76" t="n">
        <f aca="false">R285*E285</f>
        <v>0</v>
      </c>
    </row>
    <row r="286" customFormat="false" ht="12" hidden="false" customHeight="true" outlineLevel="0" collapsed="false">
      <c r="A286" s="138" t="n">
        <f aca="false">EDATE(A285,1)</f>
        <v>45383</v>
      </c>
      <c r="B286" s="139" t="n">
        <f aca="false">VLOOKUP($A286,Table2,MATCH(I$3,Curves2,0))</f>
        <v>0</v>
      </c>
      <c r="C286" s="140"/>
      <c r="D286" s="141" t="n">
        <f aca="false">B286+C286</f>
        <v>0</v>
      </c>
      <c r="E286" s="126" t="n">
        <f aca="false">IF(Y286=0,0,IF(AND(Y286=1,$H$3=1),D286*T286,IF($H$3=2,D286,"N/A")))</f>
        <v>0</v>
      </c>
      <c r="F286" s="126" t="n">
        <f aca="false">E286*X286</f>
        <v>0</v>
      </c>
      <c r="G286" s="142" t="n">
        <f aca="false">VLOOKUP($A286,Table,MATCH(G$4,Curves,0))</f>
        <v>3.987</v>
      </c>
      <c r="H286" s="143" t="n">
        <f aca="false">G286</f>
        <v>3.987</v>
      </c>
      <c r="I286" s="142" t="n">
        <f aca="false">VLOOKUP($A286,Table1,MATCH(I$3,Curves1,0))</f>
        <v>0</v>
      </c>
      <c r="J286" s="142" t="n">
        <f aca="false">VLOOKUP($A286,Table,MATCH(J$4,Curves,0))</f>
        <v>-0.0235</v>
      </c>
      <c r="K286" s="143" t="n">
        <f aca="false">J286</f>
        <v>-0.0235</v>
      </c>
      <c r="L286" s="144" t="n">
        <v>0</v>
      </c>
      <c r="M286" s="142" t="n">
        <f aca="false">VLOOKUP($A286,Table,MATCH(M$4,Curves,0))</f>
        <v>0.0075</v>
      </c>
      <c r="N286" s="143" t="n">
        <f aca="false">M286</f>
        <v>0.0075</v>
      </c>
      <c r="O286" s="144" t="n">
        <v>0</v>
      </c>
      <c r="P286" s="145"/>
      <c r="Q286" s="144" t="n">
        <f aca="false">M286+J286+G286</f>
        <v>3.971</v>
      </c>
      <c r="R286" s="144" t="n">
        <f aca="false">O286+L286+I286</f>
        <v>0</v>
      </c>
      <c r="S286" s="145"/>
      <c r="T286" s="71" t="n">
        <f aca="false">A287-A286</f>
        <v>30</v>
      </c>
      <c r="U286" s="146" t="n">
        <f aca="false">CHOOSE(F$3,A287+24,A286)</f>
        <v>45437</v>
      </c>
      <c r="V286" s="71" t="n">
        <f aca="false">U286-C$3</f>
        <v>8549</v>
      </c>
      <c r="W286" s="142" t="n">
        <f aca="false">VLOOKUP($A286,Table,MATCH(W$4,Curves,0))</f>
        <v>0.058966861357273</v>
      </c>
      <c r="X286" s="147" t="n">
        <f aca="false">1/(1+CHOOSE(F$3,(W287+($K$3/10000))/2,(W286+($K$3/10000))/2))^(2*V286/365.25)</f>
        <v>0.256605129952154</v>
      </c>
      <c r="Y286" s="71" t="n">
        <f aca="false">IF(AND(mthbeg&lt;=A286,mthend&gt;=A286),1,0)</f>
        <v>0</v>
      </c>
      <c r="Z286" s="71" t="n">
        <f aca="false">T286*Y286</f>
        <v>0</v>
      </c>
      <c r="AB286" s="132" t="n">
        <f aca="false">F286*G286</f>
        <v>0</v>
      </c>
      <c r="AC286" s="132" t="n">
        <f aca="false">$F286*H286</f>
        <v>0</v>
      </c>
      <c r="AD286" s="132" t="n">
        <f aca="false">$F286*I286</f>
        <v>0</v>
      </c>
      <c r="AE286" s="132" t="n">
        <f aca="false">$F286*J286</f>
        <v>-0</v>
      </c>
      <c r="AF286" s="132" t="n">
        <f aca="false">$F286*K286</f>
        <v>-0</v>
      </c>
      <c r="AG286" s="132" t="n">
        <f aca="false">$F286*L286</f>
        <v>0</v>
      </c>
      <c r="AH286" s="132" t="n">
        <f aca="false">$F286*M286</f>
        <v>0</v>
      </c>
      <c r="AI286" s="132" t="n">
        <f aca="false">$F286*N286</f>
        <v>0</v>
      </c>
      <c r="AJ286" s="132" t="n">
        <f aca="false">F286*O286</f>
        <v>0</v>
      </c>
      <c r="AK286" s="137"/>
      <c r="AL286" s="132" t="n">
        <f aca="false">CHOOSE($G$3,AC286-AD286,AD286-AC286)</f>
        <v>0</v>
      </c>
      <c r="AM286" s="132" t="n">
        <f aca="false">CHOOSE($G$3,AF286-AG286,AG286-AF286)</f>
        <v>0</v>
      </c>
      <c r="AN286" s="132" t="n">
        <f aca="false">CHOOSE($G$3,AI286-AJ286,AJ286-AI286)</f>
        <v>0</v>
      </c>
      <c r="AO286" s="148" t="n">
        <f aca="false">SUM(AL286:AN286)</f>
        <v>0</v>
      </c>
      <c r="AQ286" s="132" t="n">
        <f aca="false">CHOOSE($G$3,AB286-AC286,AC286-AB286)</f>
        <v>0</v>
      </c>
      <c r="AR286" s="132" t="n">
        <f aca="false">CHOOSE($G$3,AE286-AF286,AF286-AE286)</f>
        <v>0</v>
      </c>
      <c r="AS286" s="132" t="n">
        <f aca="false">CHOOSE($G$3,AH286-AI286,AI286-AH286)</f>
        <v>0</v>
      </c>
      <c r="AT286" s="148" t="n">
        <f aca="false">AQ286+AR286+AS286</f>
        <v>0</v>
      </c>
      <c r="AU286" s="148"/>
      <c r="AV286" s="133" t="n">
        <f aca="false">AT286+AO286</f>
        <v>0</v>
      </c>
      <c r="AX286" s="133" t="n">
        <f aca="false">AJ286+AG286+AD286</f>
        <v>0</v>
      </c>
      <c r="AY286" s="149"/>
      <c r="AZ286" s="76" t="n">
        <f aca="false">R286*E286</f>
        <v>0</v>
      </c>
    </row>
    <row r="287" customFormat="false" ht="12" hidden="false" customHeight="true" outlineLevel="0" collapsed="false">
      <c r="A287" s="138" t="n">
        <f aca="false">EDATE(A286,1)</f>
        <v>45413</v>
      </c>
      <c r="B287" s="139" t="n">
        <f aca="false">VLOOKUP($A287,Table2,MATCH(I$3,Curves2,0))</f>
        <v>0</v>
      </c>
      <c r="C287" s="140"/>
      <c r="D287" s="141" t="n">
        <f aca="false">B287+C287</f>
        <v>0</v>
      </c>
      <c r="E287" s="126" t="n">
        <f aca="false">IF(Y287=0,0,IF(AND(Y287=1,$H$3=1),D287*T287,IF($H$3=2,D287,"N/A")))</f>
        <v>0</v>
      </c>
      <c r="F287" s="126" t="n">
        <f aca="false">E287*X287</f>
        <v>0</v>
      </c>
      <c r="G287" s="142" t="n">
        <f aca="false">VLOOKUP($A287,Table,MATCH(G$4,Curves,0))</f>
        <v>3.987</v>
      </c>
      <c r="H287" s="143" t="n">
        <f aca="false">G287</f>
        <v>3.987</v>
      </c>
      <c r="I287" s="142" t="n">
        <f aca="false">VLOOKUP($A287,Table1,MATCH(I$3,Curves1,0))</f>
        <v>0</v>
      </c>
      <c r="J287" s="142" t="n">
        <f aca="false">VLOOKUP($A287,Table,MATCH(J$4,Curves,0))</f>
        <v>-0.0235</v>
      </c>
      <c r="K287" s="143" t="n">
        <f aca="false">J287</f>
        <v>-0.0235</v>
      </c>
      <c r="L287" s="144" t="n">
        <v>0</v>
      </c>
      <c r="M287" s="142" t="n">
        <f aca="false">VLOOKUP($A287,Table,MATCH(M$4,Curves,0))</f>
        <v>0.0075</v>
      </c>
      <c r="N287" s="143" t="n">
        <f aca="false">M287</f>
        <v>0.0075</v>
      </c>
      <c r="O287" s="144" t="n">
        <v>0</v>
      </c>
      <c r="P287" s="145"/>
      <c r="Q287" s="144" t="n">
        <f aca="false">M287+J287+G287</f>
        <v>3.971</v>
      </c>
      <c r="R287" s="144" t="n">
        <f aca="false">O287+L287+I287</f>
        <v>0</v>
      </c>
      <c r="S287" s="145"/>
      <c r="T287" s="71" t="n">
        <f aca="false">A288-A287</f>
        <v>31</v>
      </c>
      <c r="U287" s="146" t="n">
        <f aca="false">CHOOSE(F$3,A288+24,A287)</f>
        <v>45468</v>
      </c>
      <c r="V287" s="71" t="n">
        <f aca="false">U287-C$3</f>
        <v>8580</v>
      </c>
      <c r="W287" s="142" t="n">
        <f aca="false">VLOOKUP($A287,Table,MATCH(W$4,Curves,0))</f>
        <v>0.058966861357273</v>
      </c>
      <c r="X287" s="147" t="n">
        <f aca="false">1/(1+CHOOSE(F$3,(W288+($K$3/10000))/2,(W287+($K$3/10000))/2))^(2*V287/365.25)</f>
        <v>0.255342578024613</v>
      </c>
      <c r="Y287" s="71" t="n">
        <f aca="false">IF(AND(mthbeg&lt;=A287,mthend&gt;=A287),1,0)</f>
        <v>0</v>
      </c>
      <c r="Z287" s="71" t="n">
        <f aca="false">T287*Y287</f>
        <v>0</v>
      </c>
      <c r="AB287" s="132" t="n">
        <f aca="false">F287*G287</f>
        <v>0</v>
      </c>
      <c r="AC287" s="132" t="n">
        <f aca="false">$F287*H287</f>
        <v>0</v>
      </c>
      <c r="AD287" s="132" t="n">
        <f aca="false">$F287*I287</f>
        <v>0</v>
      </c>
      <c r="AE287" s="132" t="n">
        <f aca="false">$F287*J287</f>
        <v>-0</v>
      </c>
      <c r="AF287" s="132" t="n">
        <f aca="false">$F287*K287</f>
        <v>-0</v>
      </c>
      <c r="AG287" s="132" t="n">
        <f aca="false">$F287*L287</f>
        <v>0</v>
      </c>
      <c r="AH287" s="132" t="n">
        <f aca="false">$F287*M287</f>
        <v>0</v>
      </c>
      <c r="AI287" s="132" t="n">
        <f aca="false">$F287*N287</f>
        <v>0</v>
      </c>
      <c r="AJ287" s="132" t="n">
        <f aca="false">F287*O287</f>
        <v>0</v>
      </c>
      <c r="AK287" s="137"/>
      <c r="AL287" s="132" t="n">
        <f aca="false">CHOOSE($G$3,AC287-AD287,AD287-AC287)</f>
        <v>0</v>
      </c>
      <c r="AM287" s="132" t="n">
        <f aca="false">CHOOSE($G$3,AF287-AG287,AG287-AF287)</f>
        <v>0</v>
      </c>
      <c r="AN287" s="132" t="n">
        <f aca="false">CHOOSE($G$3,AI287-AJ287,AJ287-AI287)</f>
        <v>0</v>
      </c>
      <c r="AO287" s="148" t="n">
        <f aca="false">SUM(AL287:AN287)</f>
        <v>0</v>
      </c>
      <c r="AQ287" s="132" t="n">
        <f aca="false">CHOOSE($G$3,AB287-AC287,AC287-AB287)</f>
        <v>0</v>
      </c>
      <c r="AR287" s="132" t="n">
        <f aca="false">CHOOSE($G$3,AE287-AF287,AF287-AE287)</f>
        <v>0</v>
      </c>
      <c r="AS287" s="132" t="n">
        <f aca="false">CHOOSE($G$3,AH287-AI287,AI287-AH287)</f>
        <v>0</v>
      </c>
      <c r="AT287" s="148" t="n">
        <f aca="false">AQ287+AR287+AS287</f>
        <v>0</v>
      </c>
      <c r="AU287" s="148"/>
      <c r="AV287" s="133" t="n">
        <f aca="false">AT287+AO287</f>
        <v>0</v>
      </c>
      <c r="AX287" s="133" t="n">
        <f aca="false">AJ287+AG287+AD287</f>
        <v>0</v>
      </c>
      <c r="AY287" s="149"/>
      <c r="AZ287" s="76" t="n">
        <f aca="false">R287*E287</f>
        <v>0</v>
      </c>
    </row>
    <row r="288" customFormat="false" ht="12" hidden="false" customHeight="true" outlineLevel="0" collapsed="false">
      <c r="A288" s="138" t="n">
        <f aca="false">EDATE(A287,1)</f>
        <v>45444</v>
      </c>
      <c r="B288" s="139" t="n">
        <f aca="false">VLOOKUP($A288,Table2,MATCH(I$3,Curves2,0))</f>
        <v>0</v>
      </c>
      <c r="C288" s="140"/>
      <c r="D288" s="141" t="n">
        <f aca="false">B288+C288</f>
        <v>0</v>
      </c>
      <c r="E288" s="126" t="n">
        <f aca="false">IF(Y288=0,0,IF(AND(Y288=1,$H$3=1),D288*T288,IF($H$3=2,D288,"N/A")))</f>
        <v>0</v>
      </c>
      <c r="F288" s="126" t="n">
        <f aca="false">E288*X288</f>
        <v>0</v>
      </c>
      <c r="G288" s="142" t="n">
        <f aca="false">VLOOKUP($A288,Table,MATCH(G$4,Curves,0))</f>
        <v>3.987</v>
      </c>
      <c r="H288" s="143" t="n">
        <f aca="false">G288</f>
        <v>3.987</v>
      </c>
      <c r="I288" s="142" t="n">
        <f aca="false">VLOOKUP($A288,Table1,MATCH(I$3,Curves1,0))</f>
        <v>0</v>
      </c>
      <c r="J288" s="142" t="n">
        <f aca="false">VLOOKUP($A288,Table,MATCH(J$4,Curves,0))</f>
        <v>-0.0235</v>
      </c>
      <c r="K288" s="143" t="n">
        <f aca="false">J288</f>
        <v>-0.0235</v>
      </c>
      <c r="L288" s="144" t="n">
        <v>0</v>
      </c>
      <c r="M288" s="142" t="n">
        <f aca="false">VLOOKUP($A288,Table,MATCH(M$4,Curves,0))</f>
        <v>0.0075</v>
      </c>
      <c r="N288" s="143" t="n">
        <f aca="false">M288</f>
        <v>0.0075</v>
      </c>
      <c r="O288" s="144" t="n">
        <v>0</v>
      </c>
      <c r="P288" s="145"/>
      <c r="Q288" s="144" t="n">
        <f aca="false">M288+J288+G288</f>
        <v>3.971</v>
      </c>
      <c r="R288" s="144" t="n">
        <f aca="false">O288+L288+I288</f>
        <v>0</v>
      </c>
      <c r="S288" s="145"/>
      <c r="T288" s="71" t="n">
        <f aca="false">A289-A288</f>
        <v>30</v>
      </c>
      <c r="U288" s="146" t="n">
        <f aca="false">CHOOSE(F$3,A289+24,A288)</f>
        <v>45498</v>
      </c>
      <c r="V288" s="71" t="n">
        <f aca="false">U288-C$3</f>
        <v>8610</v>
      </c>
      <c r="W288" s="142" t="n">
        <f aca="false">VLOOKUP($A288,Table,MATCH(W$4,Curves,0))</f>
        <v>0.058966861357273</v>
      </c>
      <c r="X288" s="147" t="n">
        <f aca="false">1/(1+CHOOSE(F$3,(W289+($K$3/10000))/2,(W288+($K$3/10000))/2))^(2*V288/365.25)</f>
        <v>0.254126668566712</v>
      </c>
      <c r="Y288" s="71" t="n">
        <f aca="false">IF(AND(mthbeg&lt;=A288,mthend&gt;=A288),1,0)</f>
        <v>0</v>
      </c>
      <c r="Z288" s="71" t="n">
        <f aca="false">T288*Y288</f>
        <v>0</v>
      </c>
      <c r="AB288" s="132" t="n">
        <f aca="false">F288*G288</f>
        <v>0</v>
      </c>
      <c r="AC288" s="132" t="n">
        <f aca="false">$F288*H288</f>
        <v>0</v>
      </c>
      <c r="AD288" s="132" t="n">
        <f aca="false">$F288*I288</f>
        <v>0</v>
      </c>
      <c r="AE288" s="132" t="n">
        <f aca="false">$F288*J288</f>
        <v>-0</v>
      </c>
      <c r="AF288" s="132" t="n">
        <f aca="false">$F288*K288</f>
        <v>-0</v>
      </c>
      <c r="AG288" s="132" t="n">
        <f aca="false">$F288*L288</f>
        <v>0</v>
      </c>
      <c r="AH288" s="132" t="n">
        <f aca="false">$F288*M288</f>
        <v>0</v>
      </c>
      <c r="AI288" s="132" t="n">
        <f aca="false">$F288*N288</f>
        <v>0</v>
      </c>
      <c r="AJ288" s="132" t="n">
        <f aca="false">F288*O288</f>
        <v>0</v>
      </c>
      <c r="AK288" s="137"/>
      <c r="AL288" s="132" t="n">
        <f aca="false">CHOOSE($G$3,AC288-AD288,AD288-AC288)</f>
        <v>0</v>
      </c>
      <c r="AM288" s="132" t="n">
        <f aca="false">CHOOSE($G$3,AF288-AG288,AG288-AF288)</f>
        <v>0</v>
      </c>
      <c r="AN288" s="132" t="n">
        <f aca="false">CHOOSE($G$3,AI288-AJ288,AJ288-AI288)</f>
        <v>0</v>
      </c>
      <c r="AO288" s="148" t="n">
        <f aca="false">SUM(AL288:AN288)</f>
        <v>0</v>
      </c>
      <c r="AQ288" s="132" t="n">
        <f aca="false">CHOOSE($G$3,AB288-AC288,AC288-AB288)</f>
        <v>0</v>
      </c>
      <c r="AR288" s="132" t="n">
        <f aca="false">CHOOSE($G$3,AE288-AF288,AF288-AE288)</f>
        <v>0</v>
      </c>
      <c r="AS288" s="132" t="n">
        <f aca="false">CHOOSE($G$3,AH288-AI288,AI288-AH288)</f>
        <v>0</v>
      </c>
      <c r="AT288" s="148" t="n">
        <f aca="false">AQ288+AR288+AS288</f>
        <v>0</v>
      </c>
      <c r="AU288" s="148"/>
      <c r="AV288" s="133" t="n">
        <f aca="false">AT288+AO288</f>
        <v>0</v>
      </c>
      <c r="AX288" s="133" t="n">
        <f aca="false">AJ288+AG288+AD288</f>
        <v>0</v>
      </c>
      <c r="AY288" s="149"/>
      <c r="AZ288" s="76" t="n">
        <f aca="false">R288*E288</f>
        <v>0</v>
      </c>
    </row>
    <row r="289" customFormat="false" ht="12" hidden="false" customHeight="true" outlineLevel="0" collapsed="false">
      <c r="A289" s="138" t="n">
        <f aca="false">EDATE(A288,1)</f>
        <v>45474</v>
      </c>
      <c r="B289" s="139" t="n">
        <f aca="false">VLOOKUP($A289,Table2,MATCH(I$3,Curves2,0))</f>
        <v>0</v>
      </c>
      <c r="C289" s="140"/>
      <c r="D289" s="141" t="n">
        <f aca="false">B289+C289</f>
        <v>0</v>
      </c>
      <c r="E289" s="126" t="n">
        <f aca="false">IF(Y289=0,0,IF(AND(Y289=1,$H$3=1),D289*T289,IF($H$3=2,D289,"N/A")))</f>
        <v>0</v>
      </c>
      <c r="F289" s="126" t="n">
        <f aca="false">E289*X289</f>
        <v>0</v>
      </c>
      <c r="G289" s="142" t="n">
        <f aca="false">VLOOKUP($A289,Table,MATCH(G$4,Curves,0))</f>
        <v>3.987</v>
      </c>
      <c r="H289" s="143" t="n">
        <f aca="false">G289</f>
        <v>3.987</v>
      </c>
      <c r="I289" s="142" t="n">
        <f aca="false">VLOOKUP($A289,Table1,MATCH(I$3,Curves1,0))</f>
        <v>0</v>
      </c>
      <c r="J289" s="142" t="n">
        <f aca="false">VLOOKUP($A289,Table,MATCH(J$4,Curves,0))</f>
        <v>-0.0235</v>
      </c>
      <c r="K289" s="143" t="n">
        <f aca="false">J289</f>
        <v>-0.0235</v>
      </c>
      <c r="L289" s="144" t="n">
        <v>0</v>
      </c>
      <c r="M289" s="142" t="n">
        <f aca="false">VLOOKUP($A289,Table,MATCH(M$4,Curves,0))</f>
        <v>0.0075</v>
      </c>
      <c r="N289" s="143" t="n">
        <f aca="false">M289</f>
        <v>0.0075</v>
      </c>
      <c r="O289" s="144" t="n">
        <v>0</v>
      </c>
      <c r="P289" s="145"/>
      <c r="Q289" s="144" t="n">
        <f aca="false">M289+J289+G289</f>
        <v>3.971</v>
      </c>
      <c r="R289" s="144" t="n">
        <f aca="false">O289+L289+I289</f>
        <v>0</v>
      </c>
      <c r="S289" s="145"/>
      <c r="T289" s="71" t="n">
        <f aca="false">A290-A289</f>
        <v>31</v>
      </c>
      <c r="U289" s="146" t="n">
        <f aca="false">CHOOSE(F$3,A290+24,A289)</f>
        <v>45529</v>
      </c>
      <c r="V289" s="71" t="n">
        <f aca="false">U289-C$3</f>
        <v>8641</v>
      </c>
      <c r="W289" s="142" t="n">
        <f aca="false">VLOOKUP($A289,Table,MATCH(W$4,Curves,0))</f>
        <v>0.058966861357273</v>
      </c>
      <c r="X289" s="147" t="n">
        <f aca="false">1/(1+CHOOSE(F$3,(W290+($K$3/10000))/2,(W289+($K$3/10000))/2))^(2*V289/365.25)</f>
        <v>0.252876311197402</v>
      </c>
      <c r="Y289" s="71" t="n">
        <f aca="false">IF(AND(mthbeg&lt;=A289,mthend&gt;=A289),1,0)</f>
        <v>0</v>
      </c>
      <c r="Z289" s="71" t="n">
        <f aca="false">T289*Y289</f>
        <v>0</v>
      </c>
      <c r="AB289" s="132" t="n">
        <f aca="false">F289*G289</f>
        <v>0</v>
      </c>
      <c r="AC289" s="132" t="n">
        <f aca="false">$F289*H289</f>
        <v>0</v>
      </c>
      <c r="AD289" s="132" t="n">
        <f aca="false">$F289*I289</f>
        <v>0</v>
      </c>
      <c r="AE289" s="132" t="n">
        <f aca="false">$F289*J289</f>
        <v>-0</v>
      </c>
      <c r="AF289" s="132" t="n">
        <f aca="false">$F289*K289</f>
        <v>-0</v>
      </c>
      <c r="AG289" s="132" t="n">
        <f aca="false">$F289*L289</f>
        <v>0</v>
      </c>
      <c r="AH289" s="132" t="n">
        <f aca="false">$F289*M289</f>
        <v>0</v>
      </c>
      <c r="AI289" s="132" t="n">
        <f aca="false">$F289*N289</f>
        <v>0</v>
      </c>
      <c r="AJ289" s="132" t="n">
        <f aca="false">F289*O289</f>
        <v>0</v>
      </c>
      <c r="AK289" s="137"/>
      <c r="AL289" s="132" t="n">
        <f aca="false">CHOOSE($G$3,AC289-AD289,AD289-AC289)</f>
        <v>0</v>
      </c>
      <c r="AM289" s="132" t="n">
        <f aca="false">CHOOSE($G$3,AF289-AG289,AG289-AF289)</f>
        <v>0</v>
      </c>
      <c r="AN289" s="132" t="n">
        <f aca="false">CHOOSE($G$3,AI289-AJ289,AJ289-AI289)</f>
        <v>0</v>
      </c>
      <c r="AO289" s="148" t="n">
        <f aca="false">SUM(AL289:AN289)</f>
        <v>0</v>
      </c>
      <c r="AQ289" s="132" t="n">
        <f aca="false">CHOOSE($G$3,AB289-AC289,AC289-AB289)</f>
        <v>0</v>
      </c>
      <c r="AR289" s="132" t="n">
        <f aca="false">CHOOSE($G$3,AE289-AF289,AF289-AE289)</f>
        <v>0</v>
      </c>
      <c r="AS289" s="132" t="n">
        <f aca="false">CHOOSE($G$3,AH289-AI289,AI289-AH289)</f>
        <v>0</v>
      </c>
      <c r="AT289" s="148" t="n">
        <f aca="false">AQ289+AR289+AS289</f>
        <v>0</v>
      </c>
      <c r="AU289" s="148"/>
      <c r="AV289" s="133" t="n">
        <f aca="false">AT289+AO289</f>
        <v>0</v>
      </c>
      <c r="AX289" s="133" t="n">
        <f aca="false">AJ289+AG289+AD289</f>
        <v>0</v>
      </c>
      <c r="AY289" s="149"/>
      <c r="AZ289" s="76" t="n">
        <f aca="false">R289*E289</f>
        <v>0</v>
      </c>
    </row>
    <row r="290" customFormat="false" ht="12" hidden="false" customHeight="true" outlineLevel="0" collapsed="false">
      <c r="A290" s="138" t="n">
        <f aca="false">EDATE(A289,1)</f>
        <v>45505</v>
      </c>
      <c r="B290" s="139" t="n">
        <f aca="false">VLOOKUP($A290,Table2,MATCH(I$3,Curves2,0))</f>
        <v>0</v>
      </c>
      <c r="C290" s="140"/>
      <c r="D290" s="141" t="n">
        <f aca="false">B290+C290</f>
        <v>0</v>
      </c>
      <c r="E290" s="126" t="n">
        <f aca="false">IF(Y290=0,0,IF(AND(Y290=1,$H$3=1),D290*T290,IF($H$3=2,D290,"N/A")))</f>
        <v>0</v>
      </c>
      <c r="F290" s="126" t="n">
        <f aca="false">E290*X290</f>
        <v>0</v>
      </c>
      <c r="G290" s="142" t="n">
        <f aca="false">VLOOKUP($A290,Table,MATCH(G$4,Curves,0))</f>
        <v>3.987</v>
      </c>
      <c r="H290" s="143" t="n">
        <f aca="false">G290</f>
        <v>3.987</v>
      </c>
      <c r="I290" s="142" t="n">
        <f aca="false">VLOOKUP($A290,Table1,MATCH(I$3,Curves1,0))</f>
        <v>0</v>
      </c>
      <c r="J290" s="142" t="n">
        <f aca="false">VLOOKUP($A290,Table,MATCH(J$4,Curves,0))</f>
        <v>-0.0235</v>
      </c>
      <c r="K290" s="143" t="n">
        <f aca="false">J290</f>
        <v>-0.0235</v>
      </c>
      <c r="L290" s="144" t="n">
        <v>0</v>
      </c>
      <c r="M290" s="142" t="n">
        <f aca="false">VLOOKUP($A290,Table,MATCH(M$4,Curves,0))</f>
        <v>0.0075</v>
      </c>
      <c r="N290" s="143" t="n">
        <f aca="false">M290</f>
        <v>0.0075</v>
      </c>
      <c r="O290" s="144" t="n">
        <v>0</v>
      </c>
      <c r="P290" s="145"/>
      <c r="Q290" s="144" t="n">
        <f aca="false">M290+J290+G290</f>
        <v>3.971</v>
      </c>
      <c r="R290" s="144" t="n">
        <f aca="false">O290+L290+I290</f>
        <v>0</v>
      </c>
      <c r="S290" s="145"/>
      <c r="T290" s="71" t="n">
        <f aca="false">A291-A290</f>
        <v>31</v>
      </c>
      <c r="U290" s="146" t="n">
        <f aca="false">CHOOSE(F$3,A291+24,A290)</f>
        <v>45560</v>
      </c>
      <c r="V290" s="71" t="n">
        <f aca="false">U290-C$3</f>
        <v>8672</v>
      </c>
      <c r="W290" s="142" t="n">
        <f aca="false">VLOOKUP($A290,Table,MATCH(W$4,Curves,0))</f>
        <v>0.058966861357273</v>
      </c>
      <c r="X290" s="147" t="n">
        <f aca="false">1/(1+CHOOSE(F$3,(W291+($K$3/10000))/2,(W290+($K$3/10000))/2))^(2*V290/365.25)</f>
        <v>0.251632105852827</v>
      </c>
      <c r="Y290" s="71" t="n">
        <f aca="false">IF(AND(mthbeg&lt;=A290,mthend&gt;=A290),1,0)</f>
        <v>0</v>
      </c>
      <c r="Z290" s="71" t="n">
        <f aca="false">T290*Y290</f>
        <v>0</v>
      </c>
      <c r="AB290" s="132" t="n">
        <f aca="false">F290*G290</f>
        <v>0</v>
      </c>
      <c r="AC290" s="132" t="n">
        <f aca="false">$F290*H290</f>
        <v>0</v>
      </c>
      <c r="AD290" s="132" t="n">
        <f aca="false">$F290*I290</f>
        <v>0</v>
      </c>
      <c r="AE290" s="132" t="n">
        <f aca="false">$F290*J290</f>
        <v>-0</v>
      </c>
      <c r="AF290" s="132" t="n">
        <f aca="false">$F290*K290</f>
        <v>-0</v>
      </c>
      <c r="AG290" s="132" t="n">
        <f aca="false">$F290*L290</f>
        <v>0</v>
      </c>
      <c r="AH290" s="132" t="n">
        <f aca="false">$F290*M290</f>
        <v>0</v>
      </c>
      <c r="AI290" s="132" t="n">
        <f aca="false">$F290*N290</f>
        <v>0</v>
      </c>
      <c r="AJ290" s="132" t="n">
        <f aca="false">F290*O290</f>
        <v>0</v>
      </c>
      <c r="AK290" s="137"/>
      <c r="AL290" s="132" t="n">
        <f aca="false">CHOOSE($G$3,AC290-AD290,AD290-AC290)</f>
        <v>0</v>
      </c>
      <c r="AM290" s="132" t="n">
        <f aca="false">CHOOSE($G$3,AF290-AG290,AG290-AF290)</f>
        <v>0</v>
      </c>
      <c r="AN290" s="132" t="n">
        <f aca="false">CHOOSE($G$3,AI290-AJ290,AJ290-AI290)</f>
        <v>0</v>
      </c>
      <c r="AO290" s="148" t="n">
        <f aca="false">SUM(AL290:AN290)</f>
        <v>0</v>
      </c>
      <c r="AQ290" s="132" t="n">
        <f aca="false">CHOOSE($G$3,AB290-AC290,AC290-AB290)</f>
        <v>0</v>
      </c>
      <c r="AR290" s="132" t="n">
        <f aca="false">CHOOSE($G$3,AE290-AF290,AF290-AE290)</f>
        <v>0</v>
      </c>
      <c r="AS290" s="132" t="n">
        <f aca="false">CHOOSE($G$3,AH290-AI290,AI290-AH290)</f>
        <v>0</v>
      </c>
      <c r="AT290" s="148" t="n">
        <f aca="false">AQ290+AR290+AS290</f>
        <v>0</v>
      </c>
      <c r="AU290" s="148"/>
      <c r="AV290" s="133" t="n">
        <f aca="false">AT290+AO290</f>
        <v>0</v>
      </c>
      <c r="AX290" s="133" t="n">
        <f aca="false">AJ290+AG290+AD290</f>
        <v>0</v>
      </c>
      <c r="AY290" s="149"/>
      <c r="AZ290" s="76" t="n">
        <f aca="false">R290*E290</f>
        <v>0</v>
      </c>
    </row>
    <row r="291" customFormat="false" ht="12" hidden="false" customHeight="true" outlineLevel="0" collapsed="false">
      <c r="A291" s="138" t="n">
        <f aca="false">EDATE(A290,1)</f>
        <v>45536</v>
      </c>
      <c r="B291" s="139" t="n">
        <f aca="false">VLOOKUP($A291,Table2,MATCH(I$3,Curves2,0))</f>
        <v>0</v>
      </c>
      <c r="C291" s="140"/>
      <c r="D291" s="141" t="n">
        <f aca="false">B291+C291</f>
        <v>0</v>
      </c>
      <c r="E291" s="126" t="n">
        <f aca="false">IF(Y291=0,0,IF(AND(Y291=1,$H$3=1),D291*T291,IF($H$3=2,D291,"N/A")))</f>
        <v>0</v>
      </c>
      <c r="F291" s="126" t="n">
        <f aca="false">E291*X291</f>
        <v>0</v>
      </c>
      <c r="G291" s="142" t="n">
        <f aca="false">VLOOKUP($A291,Table,MATCH(G$4,Curves,0))</f>
        <v>3.987</v>
      </c>
      <c r="H291" s="143" t="n">
        <f aca="false">G291</f>
        <v>3.987</v>
      </c>
      <c r="I291" s="142" t="n">
        <f aca="false">VLOOKUP($A291,Table1,MATCH(I$3,Curves1,0))</f>
        <v>0</v>
      </c>
      <c r="J291" s="142" t="n">
        <f aca="false">VLOOKUP($A291,Table,MATCH(J$4,Curves,0))</f>
        <v>-0.0235</v>
      </c>
      <c r="K291" s="143" t="n">
        <f aca="false">J291</f>
        <v>-0.0235</v>
      </c>
      <c r="L291" s="144" t="n">
        <v>0</v>
      </c>
      <c r="M291" s="142" t="n">
        <f aca="false">VLOOKUP($A291,Table,MATCH(M$4,Curves,0))</f>
        <v>0.0075</v>
      </c>
      <c r="N291" s="143" t="n">
        <f aca="false">M291</f>
        <v>0.0075</v>
      </c>
      <c r="O291" s="144" t="n">
        <v>0</v>
      </c>
      <c r="P291" s="145"/>
      <c r="Q291" s="144" t="n">
        <f aca="false">M291+J291+G291</f>
        <v>3.971</v>
      </c>
      <c r="R291" s="144" t="n">
        <f aca="false">O291+L291+I291</f>
        <v>0</v>
      </c>
      <c r="S291" s="145"/>
      <c r="T291" s="71" t="n">
        <f aca="false">A292-A291</f>
        <v>30</v>
      </c>
      <c r="U291" s="146" t="n">
        <f aca="false">CHOOSE(F$3,A292+24,A291)</f>
        <v>45590</v>
      </c>
      <c r="V291" s="71" t="n">
        <f aca="false">U291-C$3</f>
        <v>8702</v>
      </c>
      <c r="W291" s="142" t="n">
        <f aca="false">VLOOKUP($A291,Table,MATCH(W$4,Curves,0))</f>
        <v>0.058966861357273</v>
      </c>
      <c r="X291" s="147" t="n">
        <f aca="false">1/(1+CHOOSE(F$3,(W292+($K$3/10000))/2,(W291+($K$3/10000))/2))^(2*V291/365.25)</f>
        <v>0.250433865199879</v>
      </c>
      <c r="Y291" s="71" t="n">
        <f aca="false">IF(AND(mthbeg&lt;=A291,mthend&gt;=A291),1,0)</f>
        <v>0</v>
      </c>
      <c r="Z291" s="71" t="n">
        <f aca="false">T291*Y291</f>
        <v>0</v>
      </c>
      <c r="AB291" s="132" t="n">
        <f aca="false">F291*G291</f>
        <v>0</v>
      </c>
      <c r="AC291" s="132" t="n">
        <f aca="false">$F291*H291</f>
        <v>0</v>
      </c>
      <c r="AD291" s="132" t="n">
        <f aca="false">$F291*I291</f>
        <v>0</v>
      </c>
      <c r="AE291" s="132" t="n">
        <f aca="false">$F291*J291</f>
        <v>-0</v>
      </c>
      <c r="AF291" s="132" t="n">
        <f aca="false">$F291*K291</f>
        <v>-0</v>
      </c>
      <c r="AG291" s="132" t="n">
        <f aca="false">$F291*L291</f>
        <v>0</v>
      </c>
      <c r="AH291" s="132" t="n">
        <f aca="false">$F291*M291</f>
        <v>0</v>
      </c>
      <c r="AI291" s="132" t="n">
        <f aca="false">$F291*N291</f>
        <v>0</v>
      </c>
      <c r="AJ291" s="132" t="n">
        <f aca="false">F291*O291</f>
        <v>0</v>
      </c>
      <c r="AK291" s="137"/>
      <c r="AL291" s="132" t="n">
        <f aca="false">CHOOSE($G$3,AC291-AD291,AD291-AC291)</f>
        <v>0</v>
      </c>
      <c r="AM291" s="132" t="n">
        <f aca="false">CHOOSE($G$3,AF291-AG291,AG291-AF291)</f>
        <v>0</v>
      </c>
      <c r="AN291" s="132" t="n">
        <f aca="false">CHOOSE($G$3,AI291-AJ291,AJ291-AI291)</f>
        <v>0</v>
      </c>
      <c r="AO291" s="148" t="n">
        <f aca="false">SUM(AL291:AN291)</f>
        <v>0</v>
      </c>
      <c r="AQ291" s="132" t="n">
        <f aca="false">CHOOSE($G$3,AB291-AC291,AC291-AB291)</f>
        <v>0</v>
      </c>
      <c r="AR291" s="132" t="n">
        <f aca="false">CHOOSE($G$3,AE291-AF291,AF291-AE291)</f>
        <v>0</v>
      </c>
      <c r="AS291" s="132" t="n">
        <f aca="false">CHOOSE($G$3,AH291-AI291,AI291-AH291)</f>
        <v>0</v>
      </c>
      <c r="AT291" s="148" t="n">
        <f aca="false">AQ291+AR291+AS291</f>
        <v>0</v>
      </c>
      <c r="AU291" s="148"/>
      <c r="AV291" s="133" t="n">
        <f aca="false">AT291+AO291</f>
        <v>0</v>
      </c>
      <c r="AX291" s="133" t="n">
        <f aca="false">AJ291+AG291+AD291</f>
        <v>0</v>
      </c>
      <c r="AY291" s="149"/>
      <c r="AZ291" s="76" t="n">
        <f aca="false">R291*E291</f>
        <v>0</v>
      </c>
    </row>
    <row r="292" customFormat="false" ht="12" hidden="false" customHeight="true" outlineLevel="0" collapsed="false">
      <c r="A292" s="138" t="n">
        <f aca="false">EDATE(A291,1)</f>
        <v>45566</v>
      </c>
      <c r="B292" s="139" t="n">
        <f aca="false">VLOOKUP($A292,Table2,MATCH(I$3,Curves2,0))</f>
        <v>0</v>
      </c>
      <c r="C292" s="140"/>
      <c r="D292" s="141" t="n">
        <f aca="false">B292+C292</f>
        <v>0</v>
      </c>
      <c r="E292" s="126" t="n">
        <f aca="false">IF(Y292=0,0,IF(AND(Y292=1,$H$3=1),D292*T292,IF($H$3=2,D292,"N/A")))</f>
        <v>0</v>
      </c>
      <c r="F292" s="126" t="n">
        <f aca="false">E292*X292</f>
        <v>0</v>
      </c>
      <c r="G292" s="142" t="n">
        <f aca="false">VLOOKUP($A292,Table,MATCH(G$4,Curves,0))</f>
        <v>3.987</v>
      </c>
      <c r="H292" s="143" t="n">
        <f aca="false">G292</f>
        <v>3.987</v>
      </c>
      <c r="I292" s="142" t="n">
        <f aca="false">VLOOKUP($A292,Table1,MATCH(I$3,Curves1,0))</f>
        <v>0</v>
      </c>
      <c r="J292" s="142" t="n">
        <f aca="false">VLOOKUP($A292,Table,MATCH(J$4,Curves,0))</f>
        <v>-0.0235</v>
      </c>
      <c r="K292" s="143" t="n">
        <f aca="false">J292</f>
        <v>-0.0235</v>
      </c>
      <c r="L292" s="144" t="n">
        <v>0</v>
      </c>
      <c r="M292" s="142" t="n">
        <f aca="false">VLOOKUP($A292,Table,MATCH(M$4,Curves,0))</f>
        <v>0.0075</v>
      </c>
      <c r="N292" s="143" t="n">
        <f aca="false">M292</f>
        <v>0.0075</v>
      </c>
      <c r="O292" s="144" t="n">
        <v>0</v>
      </c>
      <c r="P292" s="145"/>
      <c r="Q292" s="144" t="n">
        <f aca="false">M292+J292+G292</f>
        <v>3.971</v>
      </c>
      <c r="R292" s="144" t="n">
        <f aca="false">O292+L292+I292</f>
        <v>0</v>
      </c>
      <c r="S292" s="145"/>
      <c r="T292" s="71" t="n">
        <f aca="false">A293-A292</f>
        <v>31</v>
      </c>
      <c r="U292" s="146" t="n">
        <f aca="false">CHOOSE(F$3,A293+24,A292)</f>
        <v>45621</v>
      </c>
      <c r="V292" s="71" t="n">
        <f aca="false">U292-C$3</f>
        <v>8733</v>
      </c>
      <c r="W292" s="142" t="n">
        <f aca="false">VLOOKUP($A292,Table,MATCH(W$4,Curves,0))</f>
        <v>0.058966861357273</v>
      </c>
      <c r="X292" s="147" t="n">
        <f aca="false">1/(1+CHOOSE(F$3,(W293+($K$3/10000))/2,(W292+($K$3/10000))/2))^(2*V292/365.25)</f>
        <v>0.24920167721015</v>
      </c>
      <c r="Y292" s="71" t="n">
        <f aca="false">IF(AND(mthbeg&lt;=A292,mthend&gt;=A292),1,0)</f>
        <v>0</v>
      </c>
      <c r="Z292" s="71" t="n">
        <f aca="false">T292*Y292</f>
        <v>0</v>
      </c>
      <c r="AB292" s="132" t="n">
        <f aca="false">F292*G292</f>
        <v>0</v>
      </c>
      <c r="AC292" s="132" t="n">
        <f aca="false">$F292*H292</f>
        <v>0</v>
      </c>
      <c r="AD292" s="132" t="n">
        <f aca="false">$F292*I292</f>
        <v>0</v>
      </c>
      <c r="AE292" s="132" t="n">
        <f aca="false">$F292*J292</f>
        <v>-0</v>
      </c>
      <c r="AF292" s="132" t="n">
        <f aca="false">$F292*K292</f>
        <v>-0</v>
      </c>
      <c r="AG292" s="132" t="n">
        <f aca="false">$F292*L292</f>
        <v>0</v>
      </c>
      <c r="AH292" s="132" t="n">
        <f aca="false">$F292*M292</f>
        <v>0</v>
      </c>
      <c r="AI292" s="132" t="n">
        <f aca="false">$F292*N292</f>
        <v>0</v>
      </c>
      <c r="AJ292" s="132" t="n">
        <f aca="false">F292*O292</f>
        <v>0</v>
      </c>
      <c r="AK292" s="137"/>
      <c r="AL292" s="132" t="n">
        <f aca="false">CHOOSE($G$3,AC292-AD292,AD292-AC292)</f>
        <v>0</v>
      </c>
      <c r="AM292" s="132" t="n">
        <f aca="false">CHOOSE($G$3,AF292-AG292,AG292-AF292)</f>
        <v>0</v>
      </c>
      <c r="AN292" s="132" t="n">
        <f aca="false">CHOOSE($G$3,AI292-AJ292,AJ292-AI292)</f>
        <v>0</v>
      </c>
      <c r="AO292" s="148" t="n">
        <f aca="false">SUM(AL292:AN292)</f>
        <v>0</v>
      </c>
      <c r="AQ292" s="132" t="n">
        <f aca="false">CHOOSE($G$3,AB292-AC292,AC292-AB292)</f>
        <v>0</v>
      </c>
      <c r="AR292" s="132" t="n">
        <f aca="false">CHOOSE($G$3,AE292-AF292,AF292-AE292)</f>
        <v>0</v>
      </c>
      <c r="AS292" s="132" t="n">
        <f aca="false">CHOOSE($G$3,AH292-AI292,AI292-AH292)</f>
        <v>0</v>
      </c>
      <c r="AT292" s="148" t="n">
        <f aca="false">AQ292+AR292+AS292</f>
        <v>0</v>
      </c>
      <c r="AU292" s="148"/>
      <c r="AV292" s="133" t="n">
        <f aca="false">AT292+AO292</f>
        <v>0</v>
      </c>
      <c r="AX292" s="133" t="n">
        <f aca="false">AJ292+AG292+AD292</f>
        <v>0</v>
      </c>
      <c r="AY292" s="149"/>
      <c r="AZ292" s="76" t="n">
        <f aca="false">R292*E292</f>
        <v>0</v>
      </c>
    </row>
    <row r="293" customFormat="false" ht="12" hidden="false" customHeight="true" outlineLevel="0" collapsed="false">
      <c r="A293" s="138" t="n">
        <f aca="false">EDATE(A292,1)</f>
        <v>45597</v>
      </c>
      <c r="B293" s="139" t="n">
        <f aca="false">VLOOKUP($A293,Table2,MATCH(I$3,Curves2,0))</f>
        <v>0</v>
      </c>
      <c r="C293" s="140"/>
      <c r="D293" s="141" t="n">
        <f aca="false">B293+C293</f>
        <v>0</v>
      </c>
      <c r="E293" s="126" t="n">
        <f aca="false">IF(Y293=0,0,IF(AND(Y293=1,$H$3=1),D293*T293,IF($H$3=2,D293,"N/A")))</f>
        <v>0</v>
      </c>
      <c r="F293" s="126" t="n">
        <f aca="false">E293*X293</f>
        <v>0</v>
      </c>
      <c r="G293" s="142" t="n">
        <f aca="false">VLOOKUP($A293,Table,MATCH(G$4,Curves,0))</f>
        <v>3.987</v>
      </c>
      <c r="H293" s="143" t="n">
        <f aca="false">G293</f>
        <v>3.987</v>
      </c>
      <c r="I293" s="142" t="n">
        <f aca="false">VLOOKUP($A293,Table1,MATCH(I$3,Curves1,0))</f>
        <v>0</v>
      </c>
      <c r="J293" s="142" t="n">
        <f aca="false">VLOOKUP($A293,Table,MATCH(J$4,Curves,0))</f>
        <v>-0.0235</v>
      </c>
      <c r="K293" s="143" t="n">
        <f aca="false">J293</f>
        <v>-0.0235</v>
      </c>
      <c r="L293" s="144" t="n">
        <v>0</v>
      </c>
      <c r="M293" s="142" t="n">
        <f aca="false">VLOOKUP($A293,Table,MATCH(M$4,Curves,0))</f>
        <v>0.0075</v>
      </c>
      <c r="N293" s="143" t="n">
        <f aca="false">M293</f>
        <v>0.0075</v>
      </c>
      <c r="O293" s="144" t="n">
        <v>0</v>
      </c>
      <c r="P293" s="145"/>
      <c r="Q293" s="144" t="n">
        <f aca="false">M293+J293+G293</f>
        <v>3.971</v>
      </c>
      <c r="R293" s="144" t="n">
        <f aca="false">O293+L293+I293</f>
        <v>0</v>
      </c>
      <c r="S293" s="145"/>
      <c r="T293" s="71" t="n">
        <f aca="false">A294-A293</f>
        <v>30</v>
      </c>
      <c r="U293" s="146" t="n">
        <f aca="false">CHOOSE(F$3,A294+24,A293)</f>
        <v>45651</v>
      </c>
      <c r="V293" s="71" t="n">
        <f aca="false">U293-C$3</f>
        <v>8763</v>
      </c>
      <c r="W293" s="142" t="n">
        <f aca="false">VLOOKUP($A293,Table,MATCH(W$4,Curves,0))</f>
        <v>0.058966861357273</v>
      </c>
      <c r="X293" s="147" t="n">
        <f aca="false">1/(1+CHOOSE(F$3,(W294+($K$3/10000))/2,(W293+($K$3/10000))/2))^(2*V293/365.25)</f>
        <v>0.248015009954777</v>
      </c>
      <c r="Y293" s="71" t="n">
        <f aca="false">IF(AND(mthbeg&lt;=A293,mthend&gt;=A293),1,0)</f>
        <v>0</v>
      </c>
      <c r="Z293" s="71" t="n">
        <f aca="false">T293*Y293</f>
        <v>0</v>
      </c>
      <c r="AB293" s="132" t="n">
        <f aca="false">F293*G293</f>
        <v>0</v>
      </c>
      <c r="AC293" s="132" t="n">
        <f aca="false">$F293*H293</f>
        <v>0</v>
      </c>
      <c r="AD293" s="132" t="n">
        <f aca="false">$F293*I293</f>
        <v>0</v>
      </c>
      <c r="AE293" s="132" t="n">
        <f aca="false">$F293*J293</f>
        <v>-0</v>
      </c>
      <c r="AF293" s="132" t="n">
        <f aca="false">$F293*K293</f>
        <v>-0</v>
      </c>
      <c r="AG293" s="132" t="n">
        <f aca="false">$F293*L293</f>
        <v>0</v>
      </c>
      <c r="AH293" s="132" t="n">
        <f aca="false">$F293*M293</f>
        <v>0</v>
      </c>
      <c r="AI293" s="132" t="n">
        <f aca="false">$F293*N293</f>
        <v>0</v>
      </c>
      <c r="AJ293" s="132" t="n">
        <f aca="false">F293*O293</f>
        <v>0</v>
      </c>
      <c r="AK293" s="137"/>
      <c r="AL293" s="132" t="n">
        <f aca="false">CHOOSE($G$3,AC293-AD293,AD293-AC293)</f>
        <v>0</v>
      </c>
      <c r="AM293" s="132" t="n">
        <f aca="false">CHOOSE($G$3,AF293-AG293,AG293-AF293)</f>
        <v>0</v>
      </c>
      <c r="AN293" s="132" t="n">
        <f aca="false">CHOOSE($G$3,AI293-AJ293,AJ293-AI293)</f>
        <v>0</v>
      </c>
      <c r="AO293" s="148" t="n">
        <f aca="false">SUM(AL293:AN293)</f>
        <v>0</v>
      </c>
      <c r="AQ293" s="132" t="n">
        <f aca="false">CHOOSE($G$3,AB293-AC293,AC293-AB293)</f>
        <v>0</v>
      </c>
      <c r="AR293" s="132" t="n">
        <f aca="false">CHOOSE($G$3,AE293-AF293,AF293-AE293)</f>
        <v>0</v>
      </c>
      <c r="AS293" s="132" t="n">
        <f aca="false">CHOOSE($G$3,AH293-AI293,AI293-AH293)</f>
        <v>0</v>
      </c>
      <c r="AT293" s="148" t="n">
        <f aca="false">AQ293+AR293+AS293</f>
        <v>0</v>
      </c>
      <c r="AU293" s="148"/>
      <c r="AV293" s="133" t="n">
        <f aca="false">AT293+AO293</f>
        <v>0</v>
      </c>
      <c r="AX293" s="133" t="n">
        <f aca="false">AJ293+AG293+AD293</f>
        <v>0</v>
      </c>
      <c r="AY293" s="149"/>
      <c r="AZ293" s="76" t="n">
        <f aca="false">R293*E293</f>
        <v>0</v>
      </c>
    </row>
    <row r="294" customFormat="false" ht="12" hidden="false" customHeight="true" outlineLevel="0" collapsed="false">
      <c r="A294" s="138" t="n">
        <f aca="false">EDATE(A293,1)</f>
        <v>45627</v>
      </c>
      <c r="B294" s="139" t="n">
        <f aca="false">VLOOKUP($A294,Table2,MATCH(I$3,Curves2,0))</f>
        <v>0</v>
      </c>
      <c r="C294" s="140"/>
      <c r="D294" s="141" t="n">
        <f aca="false">B294+C294</f>
        <v>0</v>
      </c>
      <c r="E294" s="126" t="n">
        <f aca="false">IF(Y294=0,0,IF(AND(Y294=1,$H$3=1),D294*T294,IF($H$3=2,D294,"N/A")))</f>
        <v>0</v>
      </c>
      <c r="F294" s="126" t="n">
        <f aca="false">E294*X294</f>
        <v>0</v>
      </c>
      <c r="G294" s="142" t="n">
        <f aca="false">VLOOKUP($A294,Table,MATCH(G$4,Curves,0))</f>
        <v>3.987</v>
      </c>
      <c r="H294" s="143" t="n">
        <f aca="false">G294</f>
        <v>3.987</v>
      </c>
      <c r="I294" s="142" t="n">
        <f aca="false">VLOOKUP($A294,Table1,MATCH(I$3,Curves1,0))</f>
        <v>0</v>
      </c>
      <c r="J294" s="142" t="n">
        <f aca="false">VLOOKUP($A294,Table,MATCH(J$4,Curves,0))</f>
        <v>-0.0235</v>
      </c>
      <c r="K294" s="143" t="n">
        <f aca="false">J294</f>
        <v>-0.0235</v>
      </c>
      <c r="L294" s="144" t="n">
        <v>0</v>
      </c>
      <c r="M294" s="142" t="n">
        <f aca="false">VLOOKUP($A294,Table,MATCH(M$4,Curves,0))</f>
        <v>0.0075</v>
      </c>
      <c r="N294" s="143" t="n">
        <f aca="false">M294</f>
        <v>0.0075</v>
      </c>
      <c r="O294" s="144" t="n">
        <v>0</v>
      </c>
      <c r="P294" s="145"/>
      <c r="Q294" s="144" t="n">
        <f aca="false">M294+J294+G294</f>
        <v>3.971</v>
      </c>
      <c r="R294" s="144" t="n">
        <f aca="false">O294+L294+I294</f>
        <v>0</v>
      </c>
      <c r="S294" s="145"/>
      <c r="T294" s="71" t="n">
        <f aca="false">A295-A294</f>
        <v>31</v>
      </c>
      <c r="U294" s="146" t="n">
        <f aca="false">CHOOSE(F$3,A295+24,A294)</f>
        <v>45682</v>
      </c>
      <c r="V294" s="71" t="n">
        <f aca="false">U294-C$3</f>
        <v>8794</v>
      </c>
      <c r="W294" s="142" t="n">
        <f aca="false">VLOOKUP($A294,Table,MATCH(W$4,Curves,0))</f>
        <v>0.058966861357273</v>
      </c>
      <c r="X294" s="147" t="n">
        <f aca="false">1/(1+CHOOSE(F$3,(W295+($K$3/10000))/2,(W294+($K$3/10000))/2))^(2*V294/365.25)</f>
        <v>0.246794723248366</v>
      </c>
      <c r="Y294" s="71" t="n">
        <f aca="false">IF(AND(mthbeg&lt;=A294,mthend&gt;=A294),1,0)</f>
        <v>0</v>
      </c>
      <c r="Z294" s="71" t="n">
        <f aca="false">T294*Y294</f>
        <v>0</v>
      </c>
      <c r="AB294" s="132" t="n">
        <f aca="false">F294*G294</f>
        <v>0</v>
      </c>
      <c r="AC294" s="132" t="n">
        <f aca="false">$F294*H294</f>
        <v>0</v>
      </c>
      <c r="AD294" s="132" t="n">
        <f aca="false">$F294*I294</f>
        <v>0</v>
      </c>
      <c r="AE294" s="132" t="n">
        <f aca="false">$F294*J294</f>
        <v>-0</v>
      </c>
      <c r="AF294" s="132" t="n">
        <f aca="false">$F294*K294</f>
        <v>-0</v>
      </c>
      <c r="AG294" s="132" t="n">
        <f aca="false">$F294*L294</f>
        <v>0</v>
      </c>
      <c r="AH294" s="132" t="n">
        <f aca="false">$F294*M294</f>
        <v>0</v>
      </c>
      <c r="AI294" s="132" t="n">
        <f aca="false">$F294*N294</f>
        <v>0</v>
      </c>
      <c r="AJ294" s="132" t="n">
        <f aca="false">F294*O294</f>
        <v>0</v>
      </c>
      <c r="AK294" s="137"/>
      <c r="AL294" s="132" t="n">
        <f aca="false">CHOOSE($G$3,AC294-AD294,AD294-AC294)</f>
        <v>0</v>
      </c>
      <c r="AM294" s="132" t="n">
        <f aca="false">CHOOSE($G$3,AF294-AG294,AG294-AF294)</f>
        <v>0</v>
      </c>
      <c r="AN294" s="132" t="n">
        <f aca="false">CHOOSE($G$3,AI294-AJ294,AJ294-AI294)</f>
        <v>0</v>
      </c>
      <c r="AO294" s="148" t="n">
        <f aca="false">SUM(AL294:AN294)</f>
        <v>0</v>
      </c>
      <c r="AQ294" s="132" t="n">
        <f aca="false">CHOOSE($G$3,AB294-AC294,AC294-AB294)</f>
        <v>0</v>
      </c>
      <c r="AR294" s="132" t="n">
        <f aca="false">CHOOSE($G$3,AE294-AF294,AF294-AE294)</f>
        <v>0</v>
      </c>
      <c r="AS294" s="132" t="n">
        <f aca="false">CHOOSE($G$3,AH294-AI294,AI294-AH294)</f>
        <v>0</v>
      </c>
      <c r="AT294" s="148" t="n">
        <f aca="false">AQ294+AR294+AS294</f>
        <v>0</v>
      </c>
      <c r="AU294" s="148"/>
      <c r="AV294" s="133" t="n">
        <f aca="false">AT294+AO294</f>
        <v>0</v>
      </c>
      <c r="AX294" s="133" t="n">
        <f aca="false">AJ294+AG294+AD294</f>
        <v>0</v>
      </c>
      <c r="AY294" s="149"/>
      <c r="AZ294" s="76" t="n">
        <f aca="false">R294*E294</f>
        <v>0</v>
      </c>
    </row>
    <row r="295" customFormat="false" ht="12" hidden="false" customHeight="true" outlineLevel="0" collapsed="false">
      <c r="A295" s="138" t="n">
        <f aca="false">EDATE(A294,1)</f>
        <v>45658</v>
      </c>
      <c r="B295" s="139" t="n">
        <f aca="false">VLOOKUP($A295,Table2,MATCH(I$3,Curves2,0))</f>
        <v>0</v>
      </c>
      <c r="C295" s="140"/>
      <c r="D295" s="141" t="n">
        <f aca="false">B295+C295</f>
        <v>0</v>
      </c>
      <c r="E295" s="126" t="n">
        <f aca="false">IF(Y295=0,0,IF(AND(Y295=1,$H$3=1),D295*T295,IF($H$3=2,D295,"N/A")))</f>
        <v>0</v>
      </c>
      <c r="F295" s="126" t="n">
        <f aca="false">E295*X295</f>
        <v>0</v>
      </c>
      <c r="G295" s="142" t="n">
        <f aca="false">VLOOKUP($A295,Table,MATCH(G$4,Curves,0))</f>
        <v>3.987</v>
      </c>
      <c r="H295" s="143" t="n">
        <f aca="false">G295</f>
        <v>3.987</v>
      </c>
      <c r="I295" s="142" t="n">
        <f aca="false">VLOOKUP($A295,Table1,MATCH(I$3,Curves1,0))</f>
        <v>0</v>
      </c>
      <c r="J295" s="142" t="n">
        <f aca="false">VLOOKUP($A295,Table,MATCH(J$4,Curves,0))</f>
        <v>-0.0235</v>
      </c>
      <c r="K295" s="143" t="n">
        <f aca="false">J295</f>
        <v>-0.0235</v>
      </c>
      <c r="L295" s="144" t="n">
        <v>0</v>
      </c>
      <c r="M295" s="142" t="n">
        <f aca="false">VLOOKUP($A295,Table,MATCH(M$4,Curves,0))</f>
        <v>0.0075</v>
      </c>
      <c r="N295" s="143" t="n">
        <f aca="false">M295</f>
        <v>0.0075</v>
      </c>
      <c r="O295" s="144" t="n">
        <v>0</v>
      </c>
      <c r="P295" s="145"/>
      <c r="Q295" s="144" t="n">
        <f aca="false">M295+J295+G295</f>
        <v>3.971</v>
      </c>
      <c r="R295" s="144" t="n">
        <f aca="false">O295+L295+I295</f>
        <v>0</v>
      </c>
      <c r="S295" s="145"/>
      <c r="T295" s="71" t="n">
        <f aca="false">A296-A295</f>
        <v>31</v>
      </c>
      <c r="U295" s="146" t="n">
        <f aca="false">CHOOSE(F$3,A296+24,A295)</f>
        <v>45713</v>
      </c>
      <c r="V295" s="71" t="n">
        <f aca="false">U295-C$3</f>
        <v>8825</v>
      </c>
      <c r="W295" s="142" t="n">
        <f aca="false">VLOOKUP($A295,Table,MATCH(W$4,Curves,0))</f>
        <v>0.058966861357273</v>
      </c>
      <c r="X295" s="147" t="n">
        <f aca="false">1/(1+CHOOSE(F$3,(W296+($K$3/10000))/2,(W295+($K$3/10000))/2))^(2*V295/365.25)</f>
        <v>0.24558044061262</v>
      </c>
      <c r="Y295" s="71" t="n">
        <f aca="false">IF(AND(mthbeg&lt;=A295,mthend&gt;=A295),1,0)</f>
        <v>0</v>
      </c>
      <c r="Z295" s="71" t="n">
        <f aca="false">T295*Y295</f>
        <v>0</v>
      </c>
      <c r="AB295" s="132" t="n">
        <f aca="false">F295*G295</f>
        <v>0</v>
      </c>
      <c r="AC295" s="132" t="n">
        <f aca="false">$F295*H295</f>
        <v>0</v>
      </c>
      <c r="AD295" s="132" t="n">
        <f aca="false">$F295*I295</f>
        <v>0</v>
      </c>
      <c r="AE295" s="132" t="n">
        <f aca="false">$F295*J295</f>
        <v>-0</v>
      </c>
      <c r="AF295" s="132" t="n">
        <f aca="false">$F295*K295</f>
        <v>-0</v>
      </c>
      <c r="AG295" s="132" t="n">
        <f aca="false">$F295*L295</f>
        <v>0</v>
      </c>
      <c r="AH295" s="132" t="n">
        <f aca="false">$F295*M295</f>
        <v>0</v>
      </c>
      <c r="AI295" s="132" t="n">
        <f aca="false">$F295*N295</f>
        <v>0</v>
      </c>
      <c r="AJ295" s="132" t="n">
        <f aca="false">F295*O295</f>
        <v>0</v>
      </c>
      <c r="AK295" s="137"/>
      <c r="AL295" s="132" t="n">
        <f aca="false">CHOOSE($G$3,AC295-AD295,AD295-AC295)</f>
        <v>0</v>
      </c>
      <c r="AM295" s="132" t="n">
        <f aca="false">CHOOSE($G$3,AF295-AG295,AG295-AF295)</f>
        <v>0</v>
      </c>
      <c r="AN295" s="132" t="n">
        <f aca="false">CHOOSE($G$3,AI295-AJ295,AJ295-AI295)</f>
        <v>0</v>
      </c>
      <c r="AO295" s="148" t="n">
        <f aca="false">SUM(AL295:AN295)</f>
        <v>0</v>
      </c>
      <c r="AQ295" s="132" t="n">
        <f aca="false">CHOOSE($G$3,AB295-AC295,AC295-AB295)</f>
        <v>0</v>
      </c>
      <c r="AR295" s="132" t="n">
        <f aca="false">CHOOSE($G$3,AE295-AF295,AF295-AE295)</f>
        <v>0</v>
      </c>
      <c r="AS295" s="132" t="n">
        <f aca="false">CHOOSE($G$3,AH295-AI295,AI295-AH295)</f>
        <v>0</v>
      </c>
      <c r="AT295" s="148" t="n">
        <f aca="false">AQ295+AR295+AS295</f>
        <v>0</v>
      </c>
      <c r="AU295" s="148"/>
      <c r="AV295" s="133" t="n">
        <f aca="false">AT295+AO295</f>
        <v>0</v>
      </c>
      <c r="AX295" s="133" t="n">
        <f aca="false">AJ295+AG295+AD295</f>
        <v>0</v>
      </c>
      <c r="AY295" s="149"/>
      <c r="AZ295" s="76" t="n">
        <f aca="false">R295*E295</f>
        <v>0</v>
      </c>
    </row>
    <row r="296" customFormat="false" ht="12" hidden="false" customHeight="true" outlineLevel="0" collapsed="false">
      <c r="A296" s="138" t="n">
        <f aca="false">EDATE(A295,1)</f>
        <v>45689</v>
      </c>
      <c r="B296" s="139" t="n">
        <f aca="false">VLOOKUP($A296,Table2,MATCH(I$3,Curves2,0))</f>
        <v>0</v>
      </c>
      <c r="C296" s="140"/>
      <c r="D296" s="141" t="n">
        <f aca="false">B296+C296</f>
        <v>0</v>
      </c>
      <c r="E296" s="126" t="n">
        <f aca="false">IF(Y296=0,0,IF(AND(Y296=1,$H$3=1),D296*T296,IF($H$3=2,D296,"N/A")))</f>
        <v>0</v>
      </c>
      <c r="F296" s="126" t="n">
        <f aca="false">E296*X296</f>
        <v>0</v>
      </c>
      <c r="G296" s="142" t="n">
        <f aca="false">VLOOKUP($A296,Table,MATCH(G$4,Curves,0))</f>
        <v>3.987</v>
      </c>
      <c r="H296" s="143" t="n">
        <f aca="false">G296</f>
        <v>3.987</v>
      </c>
      <c r="I296" s="142" t="n">
        <f aca="false">VLOOKUP($A296,Table1,MATCH(I$3,Curves1,0))</f>
        <v>0</v>
      </c>
      <c r="J296" s="142" t="n">
        <f aca="false">VLOOKUP($A296,Table,MATCH(J$4,Curves,0))</f>
        <v>-0.0235</v>
      </c>
      <c r="K296" s="143" t="n">
        <f aca="false">J296</f>
        <v>-0.0235</v>
      </c>
      <c r="L296" s="144" t="n">
        <v>0</v>
      </c>
      <c r="M296" s="142" t="n">
        <f aca="false">VLOOKUP($A296,Table,MATCH(M$4,Curves,0))</f>
        <v>0.0075</v>
      </c>
      <c r="N296" s="143" t="n">
        <f aca="false">M296</f>
        <v>0.0075</v>
      </c>
      <c r="O296" s="144" t="n">
        <v>0</v>
      </c>
      <c r="P296" s="145"/>
      <c r="Q296" s="144" t="n">
        <f aca="false">M296+J296+G296</f>
        <v>3.971</v>
      </c>
      <c r="R296" s="144" t="n">
        <f aca="false">O296+L296+I296</f>
        <v>0</v>
      </c>
      <c r="S296" s="145"/>
      <c r="T296" s="71" t="n">
        <f aca="false">A297-A296</f>
        <v>28</v>
      </c>
      <c r="U296" s="146" t="n">
        <f aca="false">CHOOSE(F$3,A297+24,A296)</f>
        <v>45741</v>
      </c>
      <c r="V296" s="71" t="n">
        <f aca="false">U296-C$3</f>
        <v>8853</v>
      </c>
      <c r="W296" s="142" t="n">
        <f aca="false">VLOOKUP($A296,Table,MATCH(W$4,Curves,0))</f>
        <v>0.058966861357273</v>
      </c>
      <c r="X296" s="147" t="n">
        <f aca="false">1/(1+CHOOSE(F$3,(W297+($K$3/10000))/2,(W296+($K$3/10000))/2))^(2*V296/365.25)</f>
        <v>0.244488805251268</v>
      </c>
      <c r="Y296" s="71" t="n">
        <f aca="false">IF(AND(mthbeg&lt;=A296,mthend&gt;=A296),1,0)</f>
        <v>0</v>
      </c>
      <c r="Z296" s="71" t="n">
        <f aca="false">T296*Y296</f>
        <v>0</v>
      </c>
      <c r="AB296" s="132" t="n">
        <f aca="false">F296*G296</f>
        <v>0</v>
      </c>
      <c r="AC296" s="132" t="n">
        <f aca="false">$F296*H296</f>
        <v>0</v>
      </c>
      <c r="AD296" s="132" t="n">
        <f aca="false">$F296*I296</f>
        <v>0</v>
      </c>
      <c r="AE296" s="132" t="n">
        <f aca="false">$F296*J296</f>
        <v>-0</v>
      </c>
      <c r="AF296" s="132" t="n">
        <f aca="false">$F296*K296</f>
        <v>-0</v>
      </c>
      <c r="AG296" s="132" t="n">
        <f aca="false">$F296*L296</f>
        <v>0</v>
      </c>
      <c r="AH296" s="132" t="n">
        <f aca="false">$F296*M296</f>
        <v>0</v>
      </c>
      <c r="AI296" s="132" t="n">
        <f aca="false">$F296*N296</f>
        <v>0</v>
      </c>
      <c r="AJ296" s="132" t="n">
        <f aca="false">F296*O296</f>
        <v>0</v>
      </c>
      <c r="AK296" s="137"/>
      <c r="AL296" s="132" t="n">
        <f aca="false">CHOOSE($G$3,AC296-AD296,AD296-AC296)</f>
        <v>0</v>
      </c>
      <c r="AM296" s="132" t="n">
        <f aca="false">CHOOSE($G$3,AF296-AG296,AG296-AF296)</f>
        <v>0</v>
      </c>
      <c r="AN296" s="132" t="n">
        <f aca="false">CHOOSE($G$3,AI296-AJ296,AJ296-AI296)</f>
        <v>0</v>
      </c>
      <c r="AO296" s="148" t="n">
        <f aca="false">SUM(AL296:AN296)</f>
        <v>0</v>
      </c>
      <c r="AQ296" s="132" t="n">
        <f aca="false">CHOOSE($G$3,AB296-AC296,AC296-AB296)</f>
        <v>0</v>
      </c>
      <c r="AR296" s="132" t="n">
        <f aca="false">CHOOSE($G$3,AE296-AF296,AF296-AE296)</f>
        <v>0</v>
      </c>
      <c r="AS296" s="132" t="n">
        <f aca="false">CHOOSE($G$3,AH296-AI296,AI296-AH296)</f>
        <v>0</v>
      </c>
      <c r="AT296" s="148" t="n">
        <f aca="false">AQ296+AR296+AS296</f>
        <v>0</v>
      </c>
      <c r="AU296" s="148"/>
      <c r="AV296" s="133" t="n">
        <f aca="false">AT296+AO296</f>
        <v>0</v>
      </c>
      <c r="AX296" s="133" t="n">
        <f aca="false">AJ296+AG296+AD296</f>
        <v>0</v>
      </c>
      <c r="AY296" s="149"/>
      <c r="AZ296" s="76" t="n">
        <f aca="false">R296*E296</f>
        <v>0</v>
      </c>
    </row>
    <row r="297" customFormat="false" ht="12" hidden="false" customHeight="true" outlineLevel="0" collapsed="false">
      <c r="A297" s="138" t="n">
        <f aca="false">EDATE(A296,1)</f>
        <v>45717</v>
      </c>
      <c r="B297" s="139" t="n">
        <f aca="false">VLOOKUP($A297,Table2,MATCH(I$3,Curves2,0))</f>
        <v>0</v>
      </c>
      <c r="C297" s="140"/>
      <c r="D297" s="141" t="n">
        <f aca="false">B297+C297</f>
        <v>0</v>
      </c>
      <c r="E297" s="126" t="n">
        <f aca="false">IF(Y297=0,0,IF(AND(Y297=1,$H$3=1),D297*T297,IF($H$3=2,D297,"N/A")))</f>
        <v>0</v>
      </c>
      <c r="F297" s="126" t="n">
        <f aca="false">E297*X297</f>
        <v>0</v>
      </c>
      <c r="G297" s="142" t="n">
        <f aca="false">VLOOKUP($A297,Table,MATCH(G$4,Curves,0))</f>
        <v>3.987</v>
      </c>
      <c r="H297" s="143" t="n">
        <f aca="false">G297</f>
        <v>3.987</v>
      </c>
      <c r="I297" s="142" t="n">
        <f aca="false">VLOOKUP($A297,Table1,MATCH(I$3,Curves1,0))</f>
        <v>0</v>
      </c>
      <c r="J297" s="142" t="n">
        <f aca="false">VLOOKUP($A297,Table,MATCH(J$4,Curves,0))</f>
        <v>-0.0235</v>
      </c>
      <c r="K297" s="143" t="n">
        <f aca="false">J297</f>
        <v>-0.0235</v>
      </c>
      <c r="L297" s="144" t="n">
        <v>0</v>
      </c>
      <c r="M297" s="142" t="n">
        <f aca="false">VLOOKUP($A297,Table,MATCH(M$4,Curves,0))</f>
        <v>0.0075</v>
      </c>
      <c r="N297" s="143" t="n">
        <f aca="false">M297</f>
        <v>0.0075</v>
      </c>
      <c r="O297" s="144" t="n">
        <v>0</v>
      </c>
      <c r="P297" s="145"/>
      <c r="Q297" s="144" t="n">
        <f aca="false">M297+J297+G297</f>
        <v>3.971</v>
      </c>
      <c r="R297" s="144" t="n">
        <f aca="false">O297+L297+I297</f>
        <v>0</v>
      </c>
      <c r="S297" s="145"/>
      <c r="T297" s="71" t="n">
        <f aca="false">A298-A297</f>
        <v>31</v>
      </c>
      <c r="U297" s="146" t="n">
        <f aca="false">CHOOSE(F$3,A298+24,A297)</f>
        <v>45772</v>
      </c>
      <c r="V297" s="71" t="n">
        <f aca="false">U297-C$3</f>
        <v>8884</v>
      </c>
      <c r="W297" s="142" t="n">
        <f aca="false">VLOOKUP($A297,Table,MATCH(W$4,Curves,0))</f>
        <v>0.058966861357273</v>
      </c>
      <c r="X297" s="147" t="n">
        <f aca="false">1/(1+CHOOSE(F$3,(W298+($K$3/10000))/2,(W297+($K$3/10000))/2))^(2*V297/365.25)</f>
        <v>0.24328586822351</v>
      </c>
      <c r="Y297" s="71" t="n">
        <f aca="false">IF(AND(mthbeg&lt;=A297,mthend&gt;=A297),1,0)</f>
        <v>0</v>
      </c>
      <c r="Z297" s="71" t="n">
        <f aca="false">T297*Y297</f>
        <v>0</v>
      </c>
      <c r="AB297" s="132" t="n">
        <f aca="false">F297*G297</f>
        <v>0</v>
      </c>
      <c r="AC297" s="132" t="n">
        <f aca="false">$F297*H297</f>
        <v>0</v>
      </c>
      <c r="AD297" s="132" t="n">
        <f aca="false">$F297*I297</f>
        <v>0</v>
      </c>
      <c r="AE297" s="132" t="n">
        <f aca="false">$F297*J297</f>
        <v>-0</v>
      </c>
      <c r="AF297" s="132" t="n">
        <f aca="false">$F297*K297</f>
        <v>-0</v>
      </c>
      <c r="AG297" s="132" t="n">
        <f aca="false">$F297*L297</f>
        <v>0</v>
      </c>
      <c r="AH297" s="132" t="n">
        <f aca="false">$F297*M297</f>
        <v>0</v>
      </c>
      <c r="AI297" s="132" t="n">
        <f aca="false">$F297*N297</f>
        <v>0</v>
      </c>
      <c r="AJ297" s="132" t="n">
        <f aca="false">F297*O297</f>
        <v>0</v>
      </c>
      <c r="AK297" s="137"/>
      <c r="AL297" s="132" t="n">
        <f aca="false">CHOOSE($G$3,AC297-AD297,AD297-AC297)</f>
        <v>0</v>
      </c>
      <c r="AM297" s="132" t="n">
        <f aca="false">CHOOSE($G$3,AF297-AG297,AG297-AF297)</f>
        <v>0</v>
      </c>
      <c r="AN297" s="132" t="n">
        <f aca="false">CHOOSE($G$3,AI297-AJ297,AJ297-AI297)</f>
        <v>0</v>
      </c>
      <c r="AO297" s="148" t="n">
        <f aca="false">SUM(AL297:AN297)</f>
        <v>0</v>
      </c>
      <c r="AQ297" s="132" t="n">
        <f aca="false">CHOOSE($G$3,AB297-AC297,AC297-AB297)</f>
        <v>0</v>
      </c>
      <c r="AR297" s="132" t="n">
        <f aca="false">CHOOSE($G$3,AE297-AF297,AF297-AE297)</f>
        <v>0</v>
      </c>
      <c r="AS297" s="132" t="n">
        <f aca="false">CHOOSE($G$3,AH297-AI297,AI297-AH297)</f>
        <v>0</v>
      </c>
      <c r="AT297" s="148" t="n">
        <f aca="false">AQ297+AR297+AS297</f>
        <v>0</v>
      </c>
      <c r="AU297" s="148"/>
      <c r="AV297" s="133" t="n">
        <f aca="false">AT297+AO297</f>
        <v>0</v>
      </c>
      <c r="AX297" s="133" t="n">
        <f aca="false">AJ297+AG297+AD297</f>
        <v>0</v>
      </c>
      <c r="AY297" s="149"/>
      <c r="AZ297" s="76" t="n">
        <f aca="false">R297*E297</f>
        <v>0</v>
      </c>
    </row>
    <row r="298" customFormat="false" ht="12" hidden="false" customHeight="true" outlineLevel="0" collapsed="false">
      <c r="A298" s="138" t="n">
        <f aca="false">EDATE(A297,1)</f>
        <v>45748</v>
      </c>
      <c r="B298" s="139" t="n">
        <f aca="false">VLOOKUP($A298,Table2,MATCH(I$3,Curves2,0))</f>
        <v>0</v>
      </c>
      <c r="C298" s="140"/>
      <c r="D298" s="141" t="n">
        <f aca="false">B298+C298</f>
        <v>0</v>
      </c>
      <c r="E298" s="126" t="n">
        <f aca="false">IF(Y298=0,0,IF(AND(Y298=1,$H$3=1),D298*T298,IF($H$3=2,D298,"N/A")))</f>
        <v>0</v>
      </c>
      <c r="F298" s="126" t="n">
        <f aca="false">E298*X298</f>
        <v>0</v>
      </c>
      <c r="G298" s="142" t="n">
        <f aca="false">VLOOKUP($A298,Table,MATCH(G$4,Curves,0))</f>
        <v>3.987</v>
      </c>
      <c r="H298" s="143" t="n">
        <f aca="false">G298</f>
        <v>3.987</v>
      </c>
      <c r="I298" s="142" t="n">
        <f aca="false">VLOOKUP($A298,Table1,MATCH(I$3,Curves1,0))</f>
        <v>0</v>
      </c>
      <c r="J298" s="142" t="n">
        <f aca="false">VLOOKUP($A298,Table,MATCH(J$4,Curves,0))</f>
        <v>-0.0235</v>
      </c>
      <c r="K298" s="143" t="n">
        <f aca="false">J298</f>
        <v>-0.0235</v>
      </c>
      <c r="L298" s="144" t="n">
        <v>0</v>
      </c>
      <c r="M298" s="142" t="n">
        <f aca="false">VLOOKUP($A298,Table,MATCH(M$4,Curves,0))</f>
        <v>0.0075</v>
      </c>
      <c r="N298" s="143" t="n">
        <f aca="false">M298</f>
        <v>0.0075</v>
      </c>
      <c r="O298" s="144" t="n">
        <v>0</v>
      </c>
      <c r="P298" s="145"/>
      <c r="Q298" s="144" t="n">
        <f aca="false">M298+J298+G298</f>
        <v>3.971</v>
      </c>
      <c r="R298" s="144" t="n">
        <f aca="false">O298+L298+I298</f>
        <v>0</v>
      </c>
      <c r="S298" s="145"/>
      <c r="T298" s="71" t="n">
        <f aca="false">A299-A298</f>
        <v>30</v>
      </c>
      <c r="U298" s="146" t="n">
        <f aca="false">CHOOSE(F$3,A299+24,A298)</f>
        <v>45802</v>
      </c>
      <c r="V298" s="71" t="n">
        <f aca="false">U298-C$3</f>
        <v>8914</v>
      </c>
      <c r="W298" s="142" t="n">
        <f aca="false">VLOOKUP($A298,Table,MATCH(W$4,Curves,0))</f>
        <v>0.058966861357273</v>
      </c>
      <c r="X298" s="147" t="n">
        <f aca="false">1/(1+CHOOSE(F$3,(W299+($K$3/10000))/2,(W298+($K$3/10000))/2))^(2*V298/365.25)</f>
        <v>0.242127371311499</v>
      </c>
      <c r="Y298" s="71" t="n">
        <f aca="false">IF(AND(mthbeg&lt;=A298,mthend&gt;=A298),1,0)</f>
        <v>0</v>
      </c>
      <c r="Z298" s="71" t="n">
        <f aca="false">T298*Y298</f>
        <v>0</v>
      </c>
      <c r="AB298" s="132" t="n">
        <f aca="false">F298*G298</f>
        <v>0</v>
      </c>
      <c r="AC298" s="132" t="n">
        <f aca="false">$F298*H298</f>
        <v>0</v>
      </c>
      <c r="AD298" s="132" t="n">
        <f aca="false">$F298*I298</f>
        <v>0</v>
      </c>
      <c r="AE298" s="132" t="n">
        <f aca="false">$F298*J298</f>
        <v>-0</v>
      </c>
      <c r="AF298" s="132" t="n">
        <f aca="false">$F298*K298</f>
        <v>-0</v>
      </c>
      <c r="AG298" s="132" t="n">
        <f aca="false">$F298*L298</f>
        <v>0</v>
      </c>
      <c r="AH298" s="132" t="n">
        <f aca="false">$F298*M298</f>
        <v>0</v>
      </c>
      <c r="AI298" s="132" t="n">
        <f aca="false">$F298*N298</f>
        <v>0</v>
      </c>
      <c r="AJ298" s="132" t="n">
        <f aca="false">F298*O298</f>
        <v>0</v>
      </c>
      <c r="AK298" s="137"/>
      <c r="AL298" s="132" t="n">
        <f aca="false">CHOOSE($G$3,AC298-AD298,AD298-AC298)</f>
        <v>0</v>
      </c>
      <c r="AM298" s="132" t="n">
        <f aca="false">CHOOSE($G$3,AF298-AG298,AG298-AF298)</f>
        <v>0</v>
      </c>
      <c r="AN298" s="132" t="n">
        <f aca="false">CHOOSE($G$3,AI298-AJ298,AJ298-AI298)</f>
        <v>0</v>
      </c>
      <c r="AO298" s="148" t="n">
        <f aca="false">SUM(AL298:AN298)</f>
        <v>0</v>
      </c>
      <c r="AQ298" s="132" t="n">
        <f aca="false">CHOOSE($G$3,AB298-AC298,AC298-AB298)</f>
        <v>0</v>
      </c>
      <c r="AR298" s="132" t="n">
        <f aca="false">CHOOSE($G$3,AE298-AF298,AF298-AE298)</f>
        <v>0</v>
      </c>
      <c r="AS298" s="132" t="n">
        <f aca="false">CHOOSE($G$3,AH298-AI298,AI298-AH298)</f>
        <v>0</v>
      </c>
      <c r="AT298" s="148" t="n">
        <f aca="false">AQ298+AR298+AS298</f>
        <v>0</v>
      </c>
      <c r="AU298" s="148"/>
      <c r="AV298" s="133" t="n">
        <f aca="false">AT298+AO298</f>
        <v>0</v>
      </c>
      <c r="AX298" s="133" t="n">
        <f aca="false">AJ298+AG298+AD298</f>
        <v>0</v>
      </c>
      <c r="AY298" s="149"/>
      <c r="AZ298" s="76" t="n">
        <f aca="false">R298*E298</f>
        <v>0</v>
      </c>
    </row>
    <row r="299" customFormat="false" ht="12" hidden="false" customHeight="true" outlineLevel="0" collapsed="false">
      <c r="A299" s="138" t="n">
        <f aca="false">EDATE(A298,1)</f>
        <v>45778</v>
      </c>
      <c r="B299" s="139" t="n">
        <f aca="false">VLOOKUP($A299,Table2,MATCH(I$3,Curves2,0))</f>
        <v>0</v>
      </c>
      <c r="C299" s="140"/>
      <c r="D299" s="141" t="n">
        <f aca="false">B299+C299</f>
        <v>0</v>
      </c>
      <c r="E299" s="126" t="n">
        <f aca="false">IF(Y299=0,0,IF(AND(Y299=1,$H$3=1),D299*T299,IF($H$3=2,D299,"N/A")))</f>
        <v>0</v>
      </c>
      <c r="F299" s="126" t="n">
        <f aca="false">E299*X299</f>
        <v>0</v>
      </c>
      <c r="G299" s="142" t="n">
        <f aca="false">VLOOKUP($A299,Table,MATCH(G$4,Curves,0))</f>
        <v>3.987</v>
      </c>
      <c r="H299" s="143" t="n">
        <f aca="false">G299</f>
        <v>3.987</v>
      </c>
      <c r="I299" s="142" t="n">
        <f aca="false">VLOOKUP($A299,Table1,MATCH(I$3,Curves1,0))</f>
        <v>0</v>
      </c>
      <c r="J299" s="142" t="n">
        <f aca="false">VLOOKUP($A299,Table,MATCH(J$4,Curves,0))</f>
        <v>-0.0235</v>
      </c>
      <c r="K299" s="143" t="n">
        <f aca="false">J299</f>
        <v>-0.0235</v>
      </c>
      <c r="L299" s="144" t="n">
        <v>0</v>
      </c>
      <c r="M299" s="142" t="n">
        <f aca="false">VLOOKUP($A299,Table,MATCH(M$4,Curves,0))</f>
        <v>0.0075</v>
      </c>
      <c r="N299" s="143" t="n">
        <f aca="false">M299</f>
        <v>0.0075</v>
      </c>
      <c r="O299" s="144" t="n">
        <v>0</v>
      </c>
      <c r="P299" s="145"/>
      <c r="Q299" s="144" t="n">
        <f aca="false">M299+J299+G299</f>
        <v>3.971</v>
      </c>
      <c r="R299" s="144" t="n">
        <f aca="false">O299+L299+I299</f>
        <v>0</v>
      </c>
      <c r="S299" s="145"/>
      <c r="T299" s="71" t="n">
        <f aca="false">A300-A299</f>
        <v>31</v>
      </c>
      <c r="U299" s="146" t="n">
        <f aca="false">CHOOSE(F$3,A300+24,A299)</f>
        <v>45833</v>
      </c>
      <c r="V299" s="71" t="n">
        <f aca="false">U299-C$3</f>
        <v>8945</v>
      </c>
      <c r="W299" s="142" t="n">
        <f aca="false">VLOOKUP($A299,Table,MATCH(W$4,Curves,0))</f>
        <v>0.058966861357273</v>
      </c>
      <c r="X299" s="147" t="n">
        <f aca="false">1/(1+CHOOSE(F$3,(W300+($K$3/10000))/2,(W299+($K$3/10000))/2))^(2*V299/365.25)</f>
        <v>0.240936053041997</v>
      </c>
      <c r="Y299" s="71" t="n">
        <f aca="false">IF(AND(mthbeg&lt;=A299,mthend&gt;=A299),1,0)</f>
        <v>0</v>
      </c>
      <c r="Z299" s="71" t="n">
        <f aca="false">T299*Y299</f>
        <v>0</v>
      </c>
      <c r="AB299" s="132" t="n">
        <f aca="false">F299*G299</f>
        <v>0</v>
      </c>
      <c r="AC299" s="132" t="n">
        <f aca="false">$F299*H299</f>
        <v>0</v>
      </c>
      <c r="AD299" s="132" t="n">
        <f aca="false">$F299*I299</f>
        <v>0</v>
      </c>
      <c r="AE299" s="132" t="n">
        <f aca="false">$F299*J299</f>
        <v>-0</v>
      </c>
      <c r="AF299" s="132" t="n">
        <f aca="false">$F299*K299</f>
        <v>-0</v>
      </c>
      <c r="AG299" s="132" t="n">
        <f aca="false">$F299*L299</f>
        <v>0</v>
      </c>
      <c r="AH299" s="132" t="n">
        <f aca="false">$F299*M299</f>
        <v>0</v>
      </c>
      <c r="AI299" s="132" t="n">
        <f aca="false">$F299*N299</f>
        <v>0</v>
      </c>
      <c r="AJ299" s="132" t="n">
        <f aca="false">F299*O299</f>
        <v>0</v>
      </c>
      <c r="AK299" s="137"/>
      <c r="AL299" s="132" t="n">
        <f aca="false">CHOOSE($G$3,AC299-AD299,AD299-AC299)</f>
        <v>0</v>
      </c>
      <c r="AM299" s="132" t="n">
        <f aca="false">CHOOSE($G$3,AF299-AG299,AG299-AF299)</f>
        <v>0</v>
      </c>
      <c r="AN299" s="132" t="n">
        <f aca="false">CHOOSE($G$3,AI299-AJ299,AJ299-AI299)</f>
        <v>0</v>
      </c>
      <c r="AO299" s="148" t="n">
        <f aca="false">SUM(AL299:AN299)</f>
        <v>0</v>
      </c>
      <c r="AQ299" s="132" t="n">
        <f aca="false">CHOOSE($G$3,AB299-AC299,AC299-AB299)</f>
        <v>0</v>
      </c>
      <c r="AR299" s="132" t="n">
        <f aca="false">CHOOSE($G$3,AE299-AF299,AF299-AE299)</f>
        <v>0</v>
      </c>
      <c r="AS299" s="132" t="n">
        <f aca="false">CHOOSE($G$3,AH299-AI299,AI299-AH299)</f>
        <v>0</v>
      </c>
      <c r="AT299" s="148" t="n">
        <f aca="false">AQ299+AR299+AS299</f>
        <v>0</v>
      </c>
      <c r="AU299" s="148"/>
      <c r="AV299" s="133" t="n">
        <f aca="false">AT299+AO299</f>
        <v>0</v>
      </c>
      <c r="AX299" s="133" t="n">
        <f aca="false">AJ299+AG299+AD299</f>
        <v>0</v>
      </c>
      <c r="AY299" s="149"/>
      <c r="AZ299" s="76" t="n">
        <f aca="false">R299*E299</f>
        <v>0</v>
      </c>
    </row>
    <row r="300" customFormat="false" ht="12" hidden="false" customHeight="true" outlineLevel="0" collapsed="false">
      <c r="A300" s="138" t="n">
        <f aca="false">EDATE(A299,1)</f>
        <v>45809</v>
      </c>
      <c r="B300" s="139" t="n">
        <f aca="false">VLOOKUP($A300,Table2,MATCH(I$3,Curves2,0))</f>
        <v>0</v>
      </c>
      <c r="C300" s="140"/>
      <c r="D300" s="141" t="n">
        <f aca="false">B300+C300</f>
        <v>0</v>
      </c>
      <c r="E300" s="126" t="n">
        <f aca="false">IF(Y300=0,0,IF(AND(Y300=1,$H$3=1),D300*T300,IF($H$3=2,D300,"N/A")))</f>
        <v>0</v>
      </c>
      <c r="F300" s="126" t="n">
        <f aca="false">E300*X300</f>
        <v>0</v>
      </c>
      <c r="G300" s="142" t="n">
        <f aca="false">VLOOKUP($A300,Table,MATCH(G$4,Curves,0))</f>
        <v>3.987</v>
      </c>
      <c r="H300" s="143" t="n">
        <f aca="false">G300</f>
        <v>3.987</v>
      </c>
      <c r="I300" s="142" t="n">
        <f aca="false">VLOOKUP($A300,Table1,MATCH(I$3,Curves1,0))</f>
        <v>0</v>
      </c>
      <c r="J300" s="142" t="n">
        <f aca="false">VLOOKUP($A300,Table,MATCH(J$4,Curves,0))</f>
        <v>-0.0235</v>
      </c>
      <c r="K300" s="143" t="n">
        <f aca="false">J300</f>
        <v>-0.0235</v>
      </c>
      <c r="L300" s="144" t="n">
        <v>0</v>
      </c>
      <c r="M300" s="142" t="n">
        <f aca="false">VLOOKUP($A300,Table,MATCH(M$4,Curves,0))</f>
        <v>0.0075</v>
      </c>
      <c r="N300" s="143" t="n">
        <f aca="false">M300</f>
        <v>0.0075</v>
      </c>
      <c r="O300" s="144" t="n">
        <v>0</v>
      </c>
      <c r="P300" s="145"/>
      <c r="Q300" s="144" t="n">
        <f aca="false">M300+J300+G300</f>
        <v>3.971</v>
      </c>
      <c r="R300" s="144" t="n">
        <f aca="false">O300+L300+I300</f>
        <v>0</v>
      </c>
      <c r="S300" s="145"/>
      <c r="T300" s="71" t="n">
        <f aca="false">A301-A300</f>
        <v>30</v>
      </c>
      <c r="U300" s="146" t="n">
        <f aca="false">CHOOSE(F$3,A301+24,A300)</f>
        <v>45863</v>
      </c>
      <c r="V300" s="71" t="n">
        <f aca="false">U300-C$3</f>
        <v>8975</v>
      </c>
      <c r="W300" s="142" t="n">
        <f aca="false">VLOOKUP($A300,Table,MATCH(W$4,Curves,0))</f>
        <v>0.058966861357273</v>
      </c>
      <c r="X300" s="147" t="n">
        <f aca="false">1/(1+CHOOSE(F$3,(W301+($K$3/10000))/2,(W300+($K$3/10000))/2))^(2*V300/365.25)</f>
        <v>0.23978874565633</v>
      </c>
      <c r="Y300" s="71" t="n">
        <f aca="false">IF(AND(mthbeg&lt;=A300,mthend&gt;=A300),1,0)</f>
        <v>0</v>
      </c>
      <c r="Z300" s="71" t="n">
        <f aca="false">T300*Y300</f>
        <v>0</v>
      </c>
      <c r="AB300" s="132" t="n">
        <f aca="false">F300*G300</f>
        <v>0</v>
      </c>
      <c r="AC300" s="132" t="n">
        <f aca="false">$F300*H300</f>
        <v>0</v>
      </c>
      <c r="AD300" s="132" t="n">
        <f aca="false">$F300*I300</f>
        <v>0</v>
      </c>
      <c r="AE300" s="132" t="n">
        <f aca="false">$F300*J300</f>
        <v>-0</v>
      </c>
      <c r="AF300" s="132" t="n">
        <f aca="false">$F300*K300</f>
        <v>-0</v>
      </c>
      <c r="AG300" s="132" t="n">
        <f aca="false">$F300*L300</f>
        <v>0</v>
      </c>
      <c r="AH300" s="132" t="n">
        <f aca="false">$F300*M300</f>
        <v>0</v>
      </c>
      <c r="AI300" s="132" t="n">
        <f aca="false">$F300*N300</f>
        <v>0</v>
      </c>
      <c r="AJ300" s="132" t="n">
        <f aca="false">F300*O300</f>
        <v>0</v>
      </c>
      <c r="AK300" s="137"/>
      <c r="AL300" s="132" t="n">
        <f aca="false">CHOOSE($G$3,AC300-AD300,AD300-AC300)</f>
        <v>0</v>
      </c>
      <c r="AM300" s="132" t="n">
        <f aca="false">CHOOSE($G$3,AF300-AG300,AG300-AF300)</f>
        <v>0</v>
      </c>
      <c r="AN300" s="132" t="n">
        <f aca="false">CHOOSE($G$3,AI300-AJ300,AJ300-AI300)</f>
        <v>0</v>
      </c>
      <c r="AO300" s="148" t="n">
        <f aca="false">SUM(AL300:AN300)</f>
        <v>0</v>
      </c>
      <c r="AQ300" s="132" t="n">
        <f aca="false">CHOOSE($G$3,AB300-AC300,AC300-AB300)</f>
        <v>0</v>
      </c>
      <c r="AR300" s="132" t="n">
        <f aca="false">CHOOSE($G$3,AE300-AF300,AF300-AE300)</f>
        <v>0</v>
      </c>
      <c r="AS300" s="132" t="n">
        <f aca="false">CHOOSE($G$3,AH300-AI300,AI300-AH300)</f>
        <v>0</v>
      </c>
      <c r="AT300" s="148" t="n">
        <f aca="false">AQ300+AR300+AS300</f>
        <v>0</v>
      </c>
      <c r="AU300" s="148"/>
      <c r="AV300" s="133" t="n">
        <f aca="false">AT300+AO300</f>
        <v>0</v>
      </c>
      <c r="AX300" s="133" t="n">
        <f aca="false">AJ300+AG300+AD300</f>
        <v>0</v>
      </c>
      <c r="AY300" s="149"/>
      <c r="AZ300" s="76" t="n">
        <f aca="false">R300*E300</f>
        <v>0</v>
      </c>
    </row>
    <row r="301" customFormat="false" ht="12" hidden="false" customHeight="true" outlineLevel="0" collapsed="false">
      <c r="A301" s="138" t="n">
        <f aca="false">EDATE(A300,1)</f>
        <v>45839</v>
      </c>
      <c r="B301" s="139" t="n">
        <f aca="false">VLOOKUP($A301,Table2,MATCH(I$3,Curves2,0))</f>
        <v>0</v>
      </c>
      <c r="C301" s="140"/>
      <c r="D301" s="141" t="n">
        <f aca="false">B301+C301</f>
        <v>0</v>
      </c>
      <c r="E301" s="126" t="n">
        <f aca="false">IF(Y301=0,0,IF(AND(Y301=1,$H$3=1),D301*T301,IF($H$3=2,D301,"N/A")))</f>
        <v>0</v>
      </c>
      <c r="F301" s="126" t="n">
        <f aca="false">E301*X301</f>
        <v>0</v>
      </c>
      <c r="G301" s="142" t="n">
        <f aca="false">VLOOKUP($A301,Table,MATCH(G$4,Curves,0))</f>
        <v>3.987</v>
      </c>
      <c r="H301" s="143" t="n">
        <f aca="false">G301</f>
        <v>3.987</v>
      </c>
      <c r="I301" s="142" t="n">
        <f aca="false">VLOOKUP($A301,Table1,MATCH(I$3,Curves1,0))</f>
        <v>0</v>
      </c>
      <c r="J301" s="142" t="n">
        <f aca="false">VLOOKUP($A301,Table,MATCH(J$4,Curves,0))</f>
        <v>-0.0235</v>
      </c>
      <c r="K301" s="143" t="n">
        <f aca="false">J301</f>
        <v>-0.0235</v>
      </c>
      <c r="L301" s="144" t="n">
        <v>0</v>
      </c>
      <c r="M301" s="142" t="n">
        <f aca="false">VLOOKUP($A301,Table,MATCH(M$4,Curves,0))</f>
        <v>0.0075</v>
      </c>
      <c r="N301" s="143" t="n">
        <f aca="false">M301</f>
        <v>0.0075</v>
      </c>
      <c r="O301" s="144" t="n">
        <v>0</v>
      </c>
      <c r="P301" s="145"/>
      <c r="Q301" s="144" t="n">
        <f aca="false">M301+J301+G301</f>
        <v>3.971</v>
      </c>
      <c r="R301" s="144" t="n">
        <f aca="false">O301+L301+I301</f>
        <v>0</v>
      </c>
      <c r="S301" s="145"/>
      <c r="T301" s="71" t="n">
        <f aca="false">A302-A301</f>
        <v>31</v>
      </c>
      <c r="U301" s="146" t="n">
        <f aca="false">CHOOSE(F$3,A302+24,A301)</f>
        <v>45894</v>
      </c>
      <c r="V301" s="71" t="n">
        <f aca="false">U301-C$3</f>
        <v>9006</v>
      </c>
      <c r="W301" s="142" t="n">
        <f aca="false">VLOOKUP($A301,Table,MATCH(W$4,Curves,0))</f>
        <v>0.058966861357273</v>
      </c>
      <c r="X301" s="147" t="n">
        <f aca="false">1/(1+CHOOSE(F$3,(W302+($K$3/10000))/2,(W301+($K$3/10000))/2))^(2*V301/365.25)</f>
        <v>0.238608933923464</v>
      </c>
      <c r="Y301" s="71" t="n">
        <f aca="false">IF(AND(mthbeg&lt;=A301,mthend&gt;=A301),1,0)</f>
        <v>0</v>
      </c>
      <c r="Z301" s="71" t="n">
        <f aca="false">T301*Y301</f>
        <v>0</v>
      </c>
      <c r="AB301" s="132" t="n">
        <f aca="false">F301*G301</f>
        <v>0</v>
      </c>
      <c r="AC301" s="132" t="n">
        <f aca="false">$F301*H301</f>
        <v>0</v>
      </c>
      <c r="AD301" s="132" t="n">
        <f aca="false">$F301*I301</f>
        <v>0</v>
      </c>
      <c r="AE301" s="132" t="n">
        <f aca="false">$F301*J301</f>
        <v>-0</v>
      </c>
      <c r="AF301" s="132" t="n">
        <f aca="false">$F301*K301</f>
        <v>-0</v>
      </c>
      <c r="AG301" s="132" t="n">
        <f aca="false">$F301*L301</f>
        <v>0</v>
      </c>
      <c r="AH301" s="132" t="n">
        <f aca="false">$F301*M301</f>
        <v>0</v>
      </c>
      <c r="AI301" s="132" t="n">
        <f aca="false">$F301*N301</f>
        <v>0</v>
      </c>
      <c r="AJ301" s="132" t="n">
        <f aca="false">F301*O301</f>
        <v>0</v>
      </c>
      <c r="AK301" s="137"/>
      <c r="AL301" s="132" t="n">
        <f aca="false">CHOOSE($G$3,AC301-AD301,AD301-AC301)</f>
        <v>0</v>
      </c>
      <c r="AM301" s="132" t="n">
        <f aca="false">CHOOSE($G$3,AF301-AG301,AG301-AF301)</f>
        <v>0</v>
      </c>
      <c r="AN301" s="132" t="n">
        <f aca="false">CHOOSE($G$3,AI301-AJ301,AJ301-AI301)</f>
        <v>0</v>
      </c>
      <c r="AO301" s="148" t="n">
        <f aca="false">SUM(AL301:AN301)</f>
        <v>0</v>
      </c>
      <c r="AQ301" s="132" t="n">
        <f aca="false">CHOOSE($G$3,AB301-AC301,AC301-AB301)</f>
        <v>0</v>
      </c>
      <c r="AR301" s="132" t="n">
        <f aca="false">CHOOSE($G$3,AE301-AF301,AF301-AE301)</f>
        <v>0</v>
      </c>
      <c r="AS301" s="132" t="n">
        <f aca="false">CHOOSE($G$3,AH301-AI301,AI301-AH301)</f>
        <v>0</v>
      </c>
      <c r="AT301" s="148" t="n">
        <f aca="false">AQ301+AR301+AS301</f>
        <v>0</v>
      </c>
      <c r="AU301" s="148"/>
      <c r="AV301" s="133" t="n">
        <f aca="false">AT301+AO301</f>
        <v>0</v>
      </c>
      <c r="AX301" s="133" t="n">
        <f aca="false">AJ301+AG301+AD301</f>
        <v>0</v>
      </c>
      <c r="AY301" s="149"/>
      <c r="AZ301" s="76" t="n">
        <f aca="false">R301*E301</f>
        <v>0</v>
      </c>
    </row>
    <row r="302" customFormat="false" ht="12" hidden="false" customHeight="true" outlineLevel="0" collapsed="false">
      <c r="A302" s="138" t="n">
        <f aca="false">EDATE(A301,1)</f>
        <v>45870</v>
      </c>
      <c r="B302" s="139" t="n">
        <f aca="false">VLOOKUP($A302,Table2,MATCH(I$3,Curves2,0))</f>
        <v>0</v>
      </c>
      <c r="C302" s="140"/>
      <c r="D302" s="141" t="n">
        <f aca="false">B302+C302</f>
        <v>0</v>
      </c>
      <c r="E302" s="126" t="n">
        <f aca="false">IF(Y302=0,0,IF(AND(Y302=1,$H$3=1),D302*T302,IF($H$3=2,D302,"N/A")))</f>
        <v>0</v>
      </c>
      <c r="F302" s="126" t="n">
        <f aca="false">E302*X302</f>
        <v>0</v>
      </c>
      <c r="G302" s="142" t="n">
        <f aca="false">VLOOKUP($A302,Table,MATCH(G$4,Curves,0))</f>
        <v>3.987</v>
      </c>
      <c r="H302" s="143" t="n">
        <f aca="false">G302</f>
        <v>3.987</v>
      </c>
      <c r="I302" s="142" t="n">
        <f aca="false">VLOOKUP($A302,Table1,MATCH(I$3,Curves1,0))</f>
        <v>0</v>
      </c>
      <c r="J302" s="142" t="n">
        <f aca="false">VLOOKUP($A302,Table,MATCH(J$4,Curves,0))</f>
        <v>-0.0235</v>
      </c>
      <c r="K302" s="143" t="n">
        <f aca="false">J302</f>
        <v>-0.0235</v>
      </c>
      <c r="L302" s="144" t="n">
        <v>0</v>
      </c>
      <c r="M302" s="142" t="n">
        <f aca="false">VLOOKUP($A302,Table,MATCH(M$4,Curves,0))</f>
        <v>0.0075</v>
      </c>
      <c r="N302" s="143" t="n">
        <f aca="false">M302</f>
        <v>0.0075</v>
      </c>
      <c r="O302" s="144" t="n">
        <v>0</v>
      </c>
      <c r="P302" s="145"/>
      <c r="Q302" s="144" t="n">
        <f aca="false">M302+J302+G302</f>
        <v>3.971</v>
      </c>
      <c r="R302" s="144" t="n">
        <f aca="false">O302+L302+I302</f>
        <v>0</v>
      </c>
      <c r="S302" s="145"/>
      <c r="T302" s="71" t="n">
        <f aca="false">A303-A302</f>
        <v>31</v>
      </c>
      <c r="U302" s="146" t="n">
        <f aca="false">CHOOSE(F$3,A303+24,A302)</f>
        <v>45925</v>
      </c>
      <c r="V302" s="71" t="n">
        <f aca="false">U302-C$3</f>
        <v>9037</v>
      </c>
      <c r="W302" s="142" t="n">
        <f aca="false">VLOOKUP($A302,Table,MATCH(W$4,Curves,0))</f>
        <v>0.058966861357273</v>
      </c>
      <c r="X302" s="147" t="n">
        <f aca="false">1/(1+CHOOSE(F$3,(W303+($K$3/10000))/2,(W302+($K$3/10000))/2))^(2*V302/365.25)</f>
        <v>0.237434927115768</v>
      </c>
      <c r="Y302" s="71" t="n">
        <f aca="false">IF(AND(mthbeg&lt;=A302,mthend&gt;=A302),1,0)</f>
        <v>0</v>
      </c>
      <c r="Z302" s="71" t="n">
        <f aca="false">T302*Y302</f>
        <v>0</v>
      </c>
      <c r="AB302" s="132" t="n">
        <f aca="false">F302*G302</f>
        <v>0</v>
      </c>
      <c r="AC302" s="132" t="n">
        <f aca="false">$F302*H302</f>
        <v>0</v>
      </c>
      <c r="AD302" s="132" t="n">
        <f aca="false">$F302*I302</f>
        <v>0</v>
      </c>
      <c r="AE302" s="132" t="n">
        <f aca="false">$F302*J302</f>
        <v>-0</v>
      </c>
      <c r="AF302" s="132" t="n">
        <f aca="false">$F302*K302</f>
        <v>-0</v>
      </c>
      <c r="AG302" s="132" t="n">
        <f aca="false">$F302*L302</f>
        <v>0</v>
      </c>
      <c r="AH302" s="132" t="n">
        <f aca="false">$F302*M302</f>
        <v>0</v>
      </c>
      <c r="AI302" s="132" t="n">
        <f aca="false">$F302*N302</f>
        <v>0</v>
      </c>
      <c r="AJ302" s="132" t="n">
        <f aca="false">F302*O302</f>
        <v>0</v>
      </c>
      <c r="AK302" s="137"/>
      <c r="AL302" s="132" t="n">
        <f aca="false">CHOOSE($G$3,AC302-AD302,AD302-AC302)</f>
        <v>0</v>
      </c>
      <c r="AM302" s="132" t="n">
        <f aca="false">CHOOSE($G$3,AF302-AG302,AG302-AF302)</f>
        <v>0</v>
      </c>
      <c r="AN302" s="132" t="n">
        <f aca="false">CHOOSE($G$3,AI302-AJ302,AJ302-AI302)</f>
        <v>0</v>
      </c>
      <c r="AO302" s="148" t="n">
        <f aca="false">SUM(AL302:AN302)</f>
        <v>0</v>
      </c>
      <c r="AQ302" s="132" t="n">
        <f aca="false">CHOOSE($G$3,AB302-AC302,AC302-AB302)</f>
        <v>0</v>
      </c>
      <c r="AR302" s="132" t="n">
        <f aca="false">CHOOSE($G$3,AE302-AF302,AF302-AE302)</f>
        <v>0</v>
      </c>
      <c r="AS302" s="132" t="n">
        <f aca="false">CHOOSE($G$3,AH302-AI302,AI302-AH302)</f>
        <v>0</v>
      </c>
      <c r="AT302" s="148" t="n">
        <f aca="false">AQ302+AR302+AS302</f>
        <v>0</v>
      </c>
      <c r="AU302" s="148"/>
      <c r="AV302" s="133" t="n">
        <f aca="false">AT302+AO302</f>
        <v>0</v>
      </c>
      <c r="AX302" s="133" t="n">
        <f aca="false">AJ302+AG302+AD302</f>
        <v>0</v>
      </c>
      <c r="AY302" s="149"/>
      <c r="AZ302" s="76" t="n">
        <f aca="false">R302*E302</f>
        <v>0</v>
      </c>
    </row>
    <row r="303" customFormat="false" ht="12" hidden="false" customHeight="true" outlineLevel="0" collapsed="false">
      <c r="A303" s="138" t="n">
        <f aca="false">EDATE(A302,1)</f>
        <v>45901</v>
      </c>
      <c r="B303" s="139" t="n">
        <f aca="false">VLOOKUP($A303,Table2,MATCH(I$3,Curves2,0))</f>
        <v>0</v>
      </c>
      <c r="C303" s="140"/>
      <c r="D303" s="141" t="n">
        <f aca="false">B303+C303</f>
        <v>0</v>
      </c>
      <c r="E303" s="126" t="n">
        <f aca="false">IF(Y303=0,0,IF(AND(Y303=1,$H$3=1),D303*T303,IF($H$3=2,D303,"N/A")))</f>
        <v>0</v>
      </c>
      <c r="F303" s="126" t="n">
        <f aca="false">E303*X303</f>
        <v>0</v>
      </c>
      <c r="G303" s="142" t="n">
        <f aca="false">VLOOKUP($A303,Table,MATCH(G$4,Curves,0))</f>
        <v>3.987</v>
      </c>
      <c r="H303" s="143" t="n">
        <f aca="false">G303</f>
        <v>3.987</v>
      </c>
      <c r="I303" s="142" t="n">
        <f aca="false">VLOOKUP($A303,Table1,MATCH(I$3,Curves1,0))</f>
        <v>0</v>
      </c>
      <c r="J303" s="142" t="n">
        <f aca="false">VLOOKUP($A303,Table,MATCH(J$4,Curves,0))</f>
        <v>-0.0235</v>
      </c>
      <c r="K303" s="143" t="n">
        <f aca="false">J303</f>
        <v>-0.0235</v>
      </c>
      <c r="L303" s="144" t="n">
        <v>0</v>
      </c>
      <c r="M303" s="142" t="n">
        <f aca="false">VLOOKUP($A303,Table,MATCH(M$4,Curves,0))</f>
        <v>0.0075</v>
      </c>
      <c r="N303" s="143" t="n">
        <f aca="false">M303</f>
        <v>0.0075</v>
      </c>
      <c r="O303" s="144" t="n">
        <v>0</v>
      </c>
      <c r="P303" s="145"/>
      <c r="Q303" s="144" t="n">
        <f aca="false">M303+J303+G303</f>
        <v>3.971</v>
      </c>
      <c r="R303" s="144" t="n">
        <f aca="false">O303+L303+I303</f>
        <v>0</v>
      </c>
      <c r="S303" s="145"/>
      <c r="T303" s="71" t="n">
        <f aca="false">A304-A303</f>
        <v>30</v>
      </c>
      <c r="U303" s="146" t="n">
        <f aca="false">CHOOSE(F$3,A304+24,A303)</f>
        <v>45955</v>
      </c>
      <c r="V303" s="71" t="n">
        <f aca="false">U303-C$3</f>
        <v>9067</v>
      </c>
      <c r="W303" s="142" t="n">
        <f aca="false">VLOOKUP($A303,Table,MATCH(W$4,Curves,0))</f>
        <v>0.058966861357273</v>
      </c>
      <c r="X303" s="147" t="n">
        <f aca="false">1/(1+CHOOSE(F$3,(W304+($K$3/10000))/2,(W303+($K$3/10000))/2))^(2*V303/365.25)</f>
        <v>0.236304291654384</v>
      </c>
      <c r="Y303" s="71" t="n">
        <f aca="false">IF(AND(mthbeg&lt;=A303,mthend&gt;=A303),1,0)</f>
        <v>0</v>
      </c>
      <c r="Z303" s="71" t="n">
        <f aca="false">T303*Y303</f>
        <v>0</v>
      </c>
      <c r="AB303" s="132" t="n">
        <f aca="false">F303*G303</f>
        <v>0</v>
      </c>
      <c r="AC303" s="132" t="n">
        <f aca="false">$F303*H303</f>
        <v>0</v>
      </c>
      <c r="AD303" s="132" t="n">
        <f aca="false">$F303*I303</f>
        <v>0</v>
      </c>
      <c r="AE303" s="132" t="n">
        <f aca="false">$F303*J303</f>
        <v>-0</v>
      </c>
      <c r="AF303" s="132" t="n">
        <f aca="false">$F303*K303</f>
        <v>-0</v>
      </c>
      <c r="AG303" s="132" t="n">
        <f aca="false">$F303*L303</f>
        <v>0</v>
      </c>
      <c r="AH303" s="132" t="n">
        <f aca="false">$F303*M303</f>
        <v>0</v>
      </c>
      <c r="AI303" s="132" t="n">
        <f aca="false">$F303*N303</f>
        <v>0</v>
      </c>
      <c r="AJ303" s="132" t="n">
        <f aca="false">F303*O303</f>
        <v>0</v>
      </c>
      <c r="AK303" s="137"/>
      <c r="AL303" s="132" t="n">
        <f aca="false">CHOOSE($G$3,AC303-AD303,AD303-AC303)</f>
        <v>0</v>
      </c>
      <c r="AM303" s="132" t="n">
        <f aca="false">CHOOSE($G$3,AF303-AG303,AG303-AF303)</f>
        <v>0</v>
      </c>
      <c r="AN303" s="132" t="n">
        <f aca="false">CHOOSE($G$3,AI303-AJ303,AJ303-AI303)</f>
        <v>0</v>
      </c>
      <c r="AO303" s="148" t="n">
        <f aca="false">SUM(AL303:AN303)</f>
        <v>0</v>
      </c>
      <c r="AQ303" s="132" t="n">
        <f aca="false">CHOOSE($G$3,AB303-AC303,AC303-AB303)</f>
        <v>0</v>
      </c>
      <c r="AR303" s="132" t="n">
        <f aca="false">CHOOSE($G$3,AE303-AF303,AF303-AE303)</f>
        <v>0</v>
      </c>
      <c r="AS303" s="132" t="n">
        <f aca="false">CHOOSE($G$3,AH303-AI303,AI303-AH303)</f>
        <v>0</v>
      </c>
      <c r="AT303" s="148" t="n">
        <f aca="false">AQ303+AR303+AS303</f>
        <v>0</v>
      </c>
      <c r="AU303" s="148"/>
      <c r="AV303" s="133" t="n">
        <f aca="false">AT303+AO303</f>
        <v>0</v>
      </c>
      <c r="AX303" s="133" t="n">
        <f aca="false">AJ303+AG303+AD303</f>
        <v>0</v>
      </c>
      <c r="AY303" s="149"/>
      <c r="AZ303" s="76" t="n">
        <f aca="false">R303*E303</f>
        <v>0</v>
      </c>
    </row>
    <row r="304" customFormat="false" ht="12" hidden="false" customHeight="true" outlineLevel="0" collapsed="false">
      <c r="A304" s="138" t="n">
        <f aca="false">EDATE(A303,1)</f>
        <v>45931</v>
      </c>
      <c r="B304" s="139" t="n">
        <f aca="false">VLOOKUP($A304,Table2,MATCH(I$3,Curves2,0))</f>
        <v>0</v>
      </c>
      <c r="C304" s="140"/>
      <c r="D304" s="141" t="n">
        <f aca="false">B304+C304</f>
        <v>0</v>
      </c>
      <c r="E304" s="126" t="n">
        <f aca="false">IF(Y304=0,0,IF(AND(Y304=1,$H$3=1),D304*T304,IF($H$3=2,D304,"N/A")))</f>
        <v>0</v>
      </c>
      <c r="F304" s="126" t="n">
        <f aca="false">E304*X304</f>
        <v>0</v>
      </c>
      <c r="G304" s="142" t="n">
        <f aca="false">VLOOKUP($A304,Table,MATCH(G$4,Curves,0))</f>
        <v>3.987</v>
      </c>
      <c r="H304" s="143" t="n">
        <f aca="false">G304</f>
        <v>3.987</v>
      </c>
      <c r="I304" s="142" t="n">
        <f aca="false">VLOOKUP($A304,Table1,MATCH(I$3,Curves1,0))</f>
        <v>0</v>
      </c>
      <c r="J304" s="142" t="n">
        <f aca="false">VLOOKUP($A304,Table,MATCH(J$4,Curves,0))</f>
        <v>-0.0235</v>
      </c>
      <c r="K304" s="143" t="n">
        <f aca="false">J304</f>
        <v>-0.0235</v>
      </c>
      <c r="L304" s="144" t="n">
        <v>0</v>
      </c>
      <c r="M304" s="142" t="n">
        <f aca="false">VLOOKUP($A304,Table,MATCH(M$4,Curves,0))</f>
        <v>0.0075</v>
      </c>
      <c r="N304" s="143" t="n">
        <f aca="false">M304</f>
        <v>0.0075</v>
      </c>
      <c r="O304" s="144" t="n">
        <v>0</v>
      </c>
      <c r="P304" s="145"/>
      <c r="Q304" s="144" t="n">
        <f aca="false">M304+J304+G304</f>
        <v>3.971</v>
      </c>
      <c r="R304" s="144" t="n">
        <f aca="false">O304+L304+I304</f>
        <v>0</v>
      </c>
      <c r="S304" s="145"/>
      <c r="T304" s="71" t="n">
        <f aca="false">A305-A304</f>
        <v>31</v>
      </c>
      <c r="U304" s="146" t="n">
        <f aca="false">CHOOSE(F$3,A305+24,A304)</f>
        <v>45986</v>
      </c>
      <c r="V304" s="71" t="n">
        <f aca="false">U304-C$3</f>
        <v>9098</v>
      </c>
      <c r="W304" s="142" t="n">
        <f aca="false">VLOOKUP($A304,Table,MATCH(W$4,Curves,0))</f>
        <v>0.058966861357273</v>
      </c>
      <c r="X304" s="147" t="n">
        <f aca="false">1/(1+CHOOSE(F$3,(W305+($K$3/10000))/2,(W304+($K$3/10000))/2))^(2*V304/365.25)</f>
        <v>0.235141624177821</v>
      </c>
      <c r="Y304" s="71" t="n">
        <f aca="false">IF(AND(mthbeg&lt;=A304,mthend&gt;=A304),1,0)</f>
        <v>0</v>
      </c>
      <c r="Z304" s="71" t="n">
        <f aca="false">T304*Y304</f>
        <v>0</v>
      </c>
      <c r="AB304" s="132" t="n">
        <f aca="false">F304*G304</f>
        <v>0</v>
      </c>
      <c r="AC304" s="132" t="n">
        <f aca="false">$F304*H304</f>
        <v>0</v>
      </c>
      <c r="AD304" s="132" t="n">
        <f aca="false">$F304*I304</f>
        <v>0</v>
      </c>
      <c r="AE304" s="132" t="n">
        <f aca="false">$F304*J304</f>
        <v>-0</v>
      </c>
      <c r="AF304" s="132" t="n">
        <f aca="false">$F304*K304</f>
        <v>-0</v>
      </c>
      <c r="AG304" s="132" t="n">
        <f aca="false">$F304*L304</f>
        <v>0</v>
      </c>
      <c r="AH304" s="132" t="n">
        <f aca="false">$F304*M304</f>
        <v>0</v>
      </c>
      <c r="AI304" s="132" t="n">
        <f aca="false">$F304*N304</f>
        <v>0</v>
      </c>
      <c r="AJ304" s="132" t="n">
        <f aca="false">F304*O304</f>
        <v>0</v>
      </c>
      <c r="AK304" s="137"/>
      <c r="AL304" s="132" t="n">
        <f aca="false">CHOOSE($G$3,AC304-AD304,AD304-AC304)</f>
        <v>0</v>
      </c>
      <c r="AM304" s="132" t="n">
        <f aca="false">CHOOSE($G$3,AF304-AG304,AG304-AF304)</f>
        <v>0</v>
      </c>
      <c r="AN304" s="132" t="n">
        <f aca="false">CHOOSE($G$3,AI304-AJ304,AJ304-AI304)</f>
        <v>0</v>
      </c>
      <c r="AO304" s="148" t="n">
        <f aca="false">SUM(AL304:AN304)</f>
        <v>0</v>
      </c>
      <c r="AQ304" s="132" t="n">
        <f aca="false">CHOOSE($G$3,AB304-AC304,AC304-AB304)</f>
        <v>0</v>
      </c>
      <c r="AR304" s="132" t="n">
        <f aca="false">CHOOSE($G$3,AE304-AF304,AF304-AE304)</f>
        <v>0</v>
      </c>
      <c r="AS304" s="132" t="n">
        <f aca="false">CHOOSE($G$3,AH304-AI304,AI304-AH304)</f>
        <v>0</v>
      </c>
      <c r="AT304" s="148" t="n">
        <f aca="false">AQ304+AR304+AS304</f>
        <v>0</v>
      </c>
      <c r="AU304" s="148"/>
      <c r="AV304" s="133" t="n">
        <f aca="false">AT304+AO304</f>
        <v>0</v>
      </c>
      <c r="AX304" s="133" t="n">
        <f aca="false">AJ304+AG304+AD304</f>
        <v>0</v>
      </c>
      <c r="AY304" s="149"/>
      <c r="AZ304" s="76" t="n">
        <f aca="false">R304*E304</f>
        <v>0</v>
      </c>
    </row>
    <row r="305" customFormat="false" ht="12" hidden="false" customHeight="true" outlineLevel="0" collapsed="false">
      <c r="A305" s="138" t="n">
        <f aca="false">EDATE(A304,1)</f>
        <v>45962</v>
      </c>
      <c r="B305" s="139" t="n">
        <f aca="false">VLOOKUP($A305,Table2,MATCH(I$3,Curves2,0))</f>
        <v>0</v>
      </c>
      <c r="C305" s="140"/>
      <c r="D305" s="141" t="n">
        <f aca="false">B305+C305</f>
        <v>0</v>
      </c>
      <c r="E305" s="126" t="n">
        <f aca="false">IF(Y305=0,0,IF(AND(Y305=1,$H$3=1),D305*T305,IF($H$3=2,D305,"N/A")))</f>
        <v>0</v>
      </c>
      <c r="F305" s="126" t="n">
        <f aca="false">E305*X305</f>
        <v>0</v>
      </c>
      <c r="G305" s="142" t="n">
        <f aca="false">VLOOKUP($A305,Table,MATCH(G$4,Curves,0))</f>
        <v>3.987</v>
      </c>
      <c r="H305" s="143" t="n">
        <f aca="false">G305</f>
        <v>3.987</v>
      </c>
      <c r="I305" s="142" t="n">
        <f aca="false">VLOOKUP($A305,Table1,MATCH(I$3,Curves1,0))</f>
        <v>0</v>
      </c>
      <c r="J305" s="142" t="n">
        <f aca="false">VLOOKUP($A305,Table,MATCH(J$4,Curves,0))</f>
        <v>-0.0235</v>
      </c>
      <c r="K305" s="143" t="n">
        <f aca="false">J305</f>
        <v>-0.0235</v>
      </c>
      <c r="L305" s="144" t="n">
        <v>0</v>
      </c>
      <c r="M305" s="142" t="n">
        <f aca="false">VLOOKUP($A305,Table,MATCH(M$4,Curves,0))</f>
        <v>0.0075</v>
      </c>
      <c r="N305" s="143" t="n">
        <f aca="false">M305</f>
        <v>0.0075</v>
      </c>
      <c r="O305" s="144" t="n">
        <v>0</v>
      </c>
      <c r="P305" s="145"/>
      <c r="Q305" s="144" t="n">
        <f aca="false">M305+J305+G305</f>
        <v>3.971</v>
      </c>
      <c r="R305" s="144" t="n">
        <f aca="false">O305+L305+I305</f>
        <v>0</v>
      </c>
      <c r="S305" s="145"/>
      <c r="T305" s="71" t="n">
        <f aca="false">A306-A305</f>
        <v>30</v>
      </c>
      <c r="U305" s="146" t="n">
        <f aca="false">CHOOSE(F$3,A306+24,A305)</f>
        <v>46016</v>
      </c>
      <c r="V305" s="71" t="n">
        <f aca="false">U305-C$3</f>
        <v>9128</v>
      </c>
      <c r="W305" s="142" t="n">
        <f aca="false">VLOOKUP($A305,Table,MATCH(W$4,Curves,0))</f>
        <v>0.058966861357273</v>
      </c>
      <c r="X305" s="147" t="n">
        <f aca="false">1/(1+CHOOSE(F$3,(W306+($K$3/10000))/2,(W305+($K$3/10000))/2))^(2*V305/365.25)</f>
        <v>0.234021909138536</v>
      </c>
      <c r="Y305" s="71" t="n">
        <f aca="false">IF(AND(mthbeg&lt;=A305,mthend&gt;=A305),1,0)</f>
        <v>0</v>
      </c>
      <c r="Z305" s="71" t="n">
        <f aca="false">T305*Y305</f>
        <v>0</v>
      </c>
      <c r="AB305" s="132" t="n">
        <f aca="false">F305*G305</f>
        <v>0</v>
      </c>
      <c r="AC305" s="132" t="n">
        <f aca="false">$F305*H305</f>
        <v>0</v>
      </c>
      <c r="AD305" s="132" t="n">
        <f aca="false">$F305*I305</f>
        <v>0</v>
      </c>
      <c r="AE305" s="132" t="n">
        <f aca="false">$F305*J305</f>
        <v>-0</v>
      </c>
      <c r="AF305" s="132" t="n">
        <f aca="false">$F305*K305</f>
        <v>-0</v>
      </c>
      <c r="AG305" s="132" t="n">
        <f aca="false">$F305*L305</f>
        <v>0</v>
      </c>
      <c r="AH305" s="132" t="n">
        <f aca="false">$F305*M305</f>
        <v>0</v>
      </c>
      <c r="AI305" s="132" t="n">
        <f aca="false">$F305*N305</f>
        <v>0</v>
      </c>
      <c r="AJ305" s="132" t="n">
        <f aca="false">F305*O305</f>
        <v>0</v>
      </c>
      <c r="AK305" s="137"/>
      <c r="AL305" s="132" t="n">
        <f aca="false">CHOOSE($G$3,AC305-AD305,AD305-AC305)</f>
        <v>0</v>
      </c>
      <c r="AM305" s="132" t="n">
        <f aca="false">CHOOSE($G$3,AF305-AG305,AG305-AF305)</f>
        <v>0</v>
      </c>
      <c r="AN305" s="132" t="n">
        <f aca="false">CHOOSE($G$3,AI305-AJ305,AJ305-AI305)</f>
        <v>0</v>
      </c>
      <c r="AO305" s="148" t="n">
        <f aca="false">SUM(AL305:AN305)</f>
        <v>0</v>
      </c>
      <c r="AQ305" s="132" t="n">
        <f aca="false">CHOOSE($G$3,AB305-AC305,AC305-AB305)</f>
        <v>0</v>
      </c>
      <c r="AR305" s="132" t="n">
        <f aca="false">CHOOSE($G$3,AE305-AF305,AF305-AE305)</f>
        <v>0</v>
      </c>
      <c r="AS305" s="132" t="n">
        <f aca="false">CHOOSE($G$3,AH305-AI305,AI305-AH305)</f>
        <v>0</v>
      </c>
      <c r="AT305" s="148" t="n">
        <f aca="false">AQ305+AR305+AS305</f>
        <v>0</v>
      </c>
      <c r="AU305" s="148"/>
      <c r="AV305" s="133" t="n">
        <f aca="false">AT305+AO305</f>
        <v>0</v>
      </c>
      <c r="AX305" s="133" t="n">
        <f aca="false">AJ305+AG305+AD305</f>
        <v>0</v>
      </c>
      <c r="AY305" s="149"/>
      <c r="AZ305" s="76" t="n">
        <f aca="false">R305*E305</f>
        <v>0</v>
      </c>
    </row>
    <row r="306" customFormat="false" ht="12" hidden="false" customHeight="true" outlineLevel="0" collapsed="false">
      <c r="A306" s="138" t="n">
        <f aca="false">EDATE(A305,1)</f>
        <v>45992</v>
      </c>
      <c r="B306" s="139" t="n">
        <f aca="false">VLOOKUP($A306,Table2,MATCH(I$3,Curves2,0))</f>
        <v>0</v>
      </c>
      <c r="C306" s="140"/>
      <c r="D306" s="141" t="n">
        <f aca="false">B306+C306</f>
        <v>0</v>
      </c>
      <c r="E306" s="126" t="n">
        <f aca="false">IF(Y306=0,0,IF(AND(Y306=1,$H$3=1),D306*T306,IF($H$3=2,D306,"N/A")))</f>
        <v>0</v>
      </c>
      <c r="F306" s="126" t="n">
        <f aca="false">E306*X306</f>
        <v>0</v>
      </c>
      <c r="G306" s="142" t="n">
        <f aca="false">VLOOKUP($A306,Table,MATCH(G$4,Curves,0))</f>
        <v>3.987</v>
      </c>
      <c r="H306" s="143" t="n">
        <f aca="false">G306</f>
        <v>3.987</v>
      </c>
      <c r="I306" s="142" t="n">
        <f aca="false">VLOOKUP($A306,Table1,MATCH(I$3,Curves1,0))</f>
        <v>0</v>
      </c>
      <c r="J306" s="142" t="n">
        <f aca="false">VLOOKUP($A306,Table,MATCH(J$4,Curves,0))</f>
        <v>-0.0235</v>
      </c>
      <c r="K306" s="143" t="n">
        <f aca="false">J306</f>
        <v>-0.0235</v>
      </c>
      <c r="L306" s="144" t="n">
        <v>0</v>
      </c>
      <c r="M306" s="142" t="n">
        <f aca="false">VLOOKUP($A306,Table,MATCH(M$4,Curves,0))</f>
        <v>0.0075</v>
      </c>
      <c r="N306" s="143" t="n">
        <f aca="false">M306</f>
        <v>0.0075</v>
      </c>
      <c r="O306" s="144" t="n">
        <v>0</v>
      </c>
      <c r="P306" s="145"/>
      <c r="Q306" s="144" t="n">
        <f aca="false">M306+J306+G306</f>
        <v>3.971</v>
      </c>
      <c r="R306" s="144" t="n">
        <f aca="false">O306+L306+I306</f>
        <v>0</v>
      </c>
      <c r="S306" s="145"/>
      <c r="T306" s="71" t="n">
        <f aca="false">A307-A306</f>
        <v>31</v>
      </c>
      <c r="U306" s="146" t="n">
        <f aca="false">CHOOSE(F$3,A307+24,A306)</f>
        <v>46047</v>
      </c>
      <c r="V306" s="71" t="n">
        <f aca="false">U306-C$3</f>
        <v>9159</v>
      </c>
      <c r="W306" s="142" t="n">
        <f aca="false">VLOOKUP($A306,Table,MATCH(W$4,Curves,0))</f>
        <v>0.058966861357273</v>
      </c>
      <c r="X306" s="147" t="n">
        <f aca="false">1/(1+CHOOSE(F$3,(W307+($K$3/10000))/2,(W306+($K$3/10000))/2))^(2*V306/365.25)</f>
        <v>0.232870471470377</v>
      </c>
      <c r="Y306" s="71" t="n">
        <f aca="false">IF(AND(mthbeg&lt;=A306,mthend&gt;=A306),1,0)</f>
        <v>0</v>
      </c>
      <c r="Z306" s="71" t="n">
        <f aca="false">T306*Y306</f>
        <v>0</v>
      </c>
      <c r="AB306" s="132" t="n">
        <f aca="false">F306*G306</f>
        <v>0</v>
      </c>
      <c r="AC306" s="132" t="n">
        <f aca="false">$F306*H306</f>
        <v>0</v>
      </c>
      <c r="AD306" s="132" t="n">
        <f aca="false">$F306*I306</f>
        <v>0</v>
      </c>
      <c r="AE306" s="132" t="n">
        <f aca="false">$F306*J306</f>
        <v>-0</v>
      </c>
      <c r="AF306" s="132" t="n">
        <f aca="false">$F306*K306</f>
        <v>-0</v>
      </c>
      <c r="AG306" s="132" t="n">
        <f aca="false">$F306*L306</f>
        <v>0</v>
      </c>
      <c r="AH306" s="132" t="n">
        <f aca="false">$F306*M306</f>
        <v>0</v>
      </c>
      <c r="AI306" s="132" t="n">
        <f aca="false">$F306*N306</f>
        <v>0</v>
      </c>
      <c r="AJ306" s="132" t="n">
        <f aca="false">F306*O306</f>
        <v>0</v>
      </c>
      <c r="AK306" s="137"/>
      <c r="AL306" s="132" t="n">
        <f aca="false">CHOOSE($G$3,AC306-AD306,AD306-AC306)</f>
        <v>0</v>
      </c>
      <c r="AM306" s="132" t="n">
        <f aca="false">CHOOSE($G$3,AF306-AG306,AG306-AF306)</f>
        <v>0</v>
      </c>
      <c r="AN306" s="132" t="n">
        <f aca="false">CHOOSE($G$3,AI306-AJ306,AJ306-AI306)</f>
        <v>0</v>
      </c>
      <c r="AO306" s="148" t="n">
        <f aca="false">SUM(AL306:AN306)</f>
        <v>0</v>
      </c>
      <c r="AQ306" s="132" t="n">
        <f aca="false">CHOOSE($G$3,AB306-AC306,AC306-AB306)</f>
        <v>0</v>
      </c>
      <c r="AR306" s="132" t="n">
        <f aca="false">CHOOSE($G$3,AE306-AF306,AF306-AE306)</f>
        <v>0</v>
      </c>
      <c r="AS306" s="132" t="n">
        <f aca="false">CHOOSE($G$3,AH306-AI306,AI306-AH306)</f>
        <v>0</v>
      </c>
      <c r="AT306" s="148" t="n">
        <f aca="false">AQ306+AR306+AS306</f>
        <v>0</v>
      </c>
      <c r="AU306" s="148"/>
      <c r="AV306" s="133" t="n">
        <f aca="false">AT306+AO306</f>
        <v>0</v>
      </c>
      <c r="AX306" s="133" t="n">
        <f aca="false">AJ306+AG306+AD306</f>
        <v>0</v>
      </c>
      <c r="AY306" s="149"/>
      <c r="AZ306" s="76" t="n">
        <f aca="false">R306*E306</f>
        <v>0</v>
      </c>
    </row>
    <row r="307" customFormat="false" ht="12" hidden="false" customHeight="true" outlineLevel="0" collapsed="false">
      <c r="A307" s="138" t="n">
        <f aca="false">EDATE(A306,1)</f>
        <v>46023</v>
      </c>
      <c r="B307" s="139" t="n">
        <f aca="false">VLOOKUP($A307,Table2,MATCH(I$3,Curves2,0))</f>
        <v>0</v>
      </c>
      <c r="C307" s="140"/>
      <c r="D307" s="141" t="n">
        <f aca="false">B307+C307</f>
        <v>0</v>
      </c>
      <c r="E307" s="126" t="n">
        <f aca="false">IF(Y307=0,0,IF(AND(Y307=1,$H$3=1),D307*T307,IF($H$3=2,D307,"N/A")))</f>
        <v>0</v>
      </c>
      <c r="F307" s="126" t="n">
        <f aca="false">E307*X307</f>
        <v>0</v>
      </c>
      <c r="G307" s="142" t="n">
        <f aca="false">VLOOKUP($A307,Table,MATCH(G$4,Curves,0))</f>
        <v>3.987</v>
      </c>
      <c r="H307" s="143" t="n">
        <f aca="false">G307</f>
        <v>3.987</v>
      </c>
      <c r="I307" s="142" t="n">
        <f aca="false">VLOOKUP($A307,Table1,MATCH(I$3,Curves1,0))</f>
        <v>0</v>
      </c>
      <c r="J307" s="142" t="n">
        <f aca="false">VLOOKUP($A307,Table,MATCH(J$4,Curves,0))</f>
        <v>-0.0235</v>
      </c>
      <c r="K307" s="143" t="n">
        <f aca="false">J307</f>
        <v>-0.0235</v>
      </c>
      <c r="L307" s="144" t="n">
        <v>0</v>
      </c>
      <c r="M307" s="142" t="n">
        <f aca="false">VLOOKUP($A307,Table,MATCH(M$4,Curves,0))</f>
        <v>0.0075</v>
      </c>
      <c r="N307" s="143" t="n">
        <f aca="false">M307</f>
        <v>0.0075</v>
      </c>
      <c r="O307" s="144" t="n">
        <v>0</v>
      </c>
      <c r="P307" s="145"/>
      <c r="Q307" s="144" t="n">
        <f aca="false">M307+J307+G307</f>
        <v>3.971</v>
      </c>
      <c r="R307" s="144" t="n">
        <f aca="false">O307+L307+I307</f>
        <v>0</v>
      </c>
      <c r="S307" s="145"/>
      <c r="T307" s="71" t="n">
        <f aca="false">A308-A307</f>
        <v>31</v>
      </c>
      <c r="U307" s="146" t="n">
        <f aca="false">CHOOSE(F$3,A308+24,A307)</f>
        <v>46078</v>
      </c>
      <c r="V307" s="71" t="n">
        <f aca="false">U307-C$3</f>
        <v>9190</v>
      </c>
      <c r="W307" s="142" t="n">
        <f aca="false">VLOOKUP($A307,Table,MATCH(W$4,Curves,0))</f>
        <v>0.058966861357273</v>
      </c>
      <c r="X307" s="147" t="n">
        <f aca="false">1/(1+CHOOSE(F$3,(W308+($K$3/10000))/2,(W307+($K$3/10000))/2))^(2*V307/365.25)</f>
        <v>0.231724699120942</v>
      </c>
      <c r="Y307" s="71" t="n">
        <f aca="false">IF(AND(mthbeg&lt;=A307,mthend&gt;=A307),1,0)</f>
        <v>0</v>
      </c>
      <c r="Z307" s="71" t="n">
        <f aca="false">T307*Y307</f>
        <v>0</v>
      </c>
      <c r="AB307" s="132" t="n">
        <f aca="false">F307*G307</f>
        <v>0</v>
      </c>
      <c r="AC307" s="132" t="n">
        <f aca="false">$F307*H307</f>
        <v>0</v>
      </c>
      <c r="AD307" s="132" t="n">
        <f aca="false">$F307*I307</f>
        <v>0</v>
      </c>
      <c r="AE307" s="132" t="n">
        <f aca="false">$F307*J307</f>
        <v>-0</v>
      </c>
      <c r="AF307" s="132" t="n">
        <f aca="false">$F307*K307</f>
        <v>-0</v>
      </c>
      <c r="AG307" s="132" t="n">
        <f aca="false">$F307*L307</f>
        <v>0</v>
      </c>
      <c r="AH307" s="132" t="n">
        <f aca="false">$F307*M307</f>
        <v>0</v>
      </c>
      <c r="AI307" s="132" t="n">
        <f aca="false">$F307*N307</f>
        <v>0</v>
      </c>
      <c r="AJ307" s="132" t="n">
        <f aca="false">F307*O307</f>
        <v>0</v>
      </c>
      <c r="AK307" s="137"/>
      <c r="AL307" s="132" t="n">
        <f aca="false">CHOOSE($G$3,AC307-AD307,AD307-AC307)</f>
        <v>0</v>
      </c>
      <c r="AM307" s="132" t="n">
        <f aca="false">CHOOSE($G$3,AF307-AG307,AG307-AF307)</f>
        <v>0</v>
      </c>
      <c r="AN307" s="132" t="n">
        <f aca="false">CHOOSE($G$3,AI307-AJ307,AJ307-AI307)</f>
        <v>0</v>
      </c>
      <c r="AO307" s="148" t="n">
        <f aca="false">SUM(AL307:AN307)</f>
        <v>0</v>
      </c>
      <c r="AQ307" s="132" t="n">
        <f aca="false">CHOOSE($G$3,AB307-AC307,AC307-AB307)</f>
        <v>0</v>
      </c>
      <c r="AR307" s="132" t="n">
        <f aca="false">CHOOSE($G$3,AE307-AF307,AF307-AE307)</f>
        <v>0</v>
      </c>
      <c r="AS307" s="132" t="n">
        <f aca="false">CHOOSE($G$3,AH307-AI307,AI307-AH307)</f>
        <v>0</v>
      </c>
      <c r="AT307" s="148" t="n">
        <f aca="false">AQ307+AR307+AS307</f>
        <v>0</v>
      </c>
      <c r="AU307" s="148"/>
      <c r="AV307" s="133" t="n">
        <f aca="false">AT307+AO307</f>
        <v>0</v>
      </c>
      <c r="AX307" s="133" t="n">
        <f aca="false">AJ307+AG307+AD307</f>
        <v>0</v>
      </c>
      <c r="AY307" s="149"/>
      <c r="AZ307" s="76" t="n">
        <f aca="false">R307*E307</f>
        <v>0</v>
      </c>
    </row>
    <row r="308" customFormat="false" ht="12" hidden="false" customHeight="true" outlineLevel="0" collapsed="false">
      <c r="A308" s="138" t="n">
        <f aca="false">EDATE(A307,1)</f>
        <v>46054</v>
      </c>
      <c r="B308" s="139" t="n">
        <f aca="false">VLOOKUP($A308,Table2,MATCH(I$3,Curves2,0))</f>
        <v>0</v>
      </c>
      <c r="C308" s="140"/>
      <c r="D308" s="141" t="n">
        <f aca="false">B308+C308</f>
        <v>0</v>
      </c>
      <c r="E308" s="126" t="n">
        <f aca="false">IF(Y308=0,0,IF(AND(Y308=1,$H$3=1),D308*T308,IF($H$3=2,D308,"N/A")))</f>
        <v>0</v>
      </c>
      <c r="F308" s="126" t="n">
        <f aca="false">E308*X308</f>
        <v>0</v>
      </c>
      <c r="G308" s="142" t="n">
        <f aca="false">VLOOKUP($A308,Table,MATCH(G$4,Curves,0))</f>
        <v>3.987</v>
      </c>
      <c r="H308" s="143" t="n">
        <f aca="false">G308</f>
        <v>3.987</v>
      </c>
      <c r="I308" s="142" t="n">
        <f aca="false">VLOOKUP($A308,Table1,MATCH(I$3,Curves1,0))</f>
        <v>0</v>
      </c>
      <c r="J308" s="142" t="n">
        <f aca="false">VLOOKUP($A308,Table,MATCH(J$4,Curves,0))</f>
        <v>-0.0235</v>
      </c>
      <c r="K308" s="143" t="n">
        <f aca="false">J308</f>
        <v>-0.0235</v>
      </c>
      <c r="L308" s="144" t="n">
        <v>0</v>
      </c>
      <c r="M308" s="142" t="n">
        <f aca="false">VLOOKUP($A308,Table,MATCH(M$4,Curves,0))</f>
        <v>0.0075</v>
      </c>
      <c r="N308" s="143" t="n">
        <f aca="false">M308</f>
        <v>0.0075</v>
      </c>
      <c r="O308" s="144" t="n">
        <v>0</v>
      </c>
      <c r="P308" s="145"/>
      <c r="Q308" s="144" t="n">
        <f aca="false">M308+J308+G308</f>
        <v>3.971</v>
      </c>
      <c r="R308" s="144" t="n">
        <f aca="false">O308+L308+I308</f>
        <v>0</v>
      </c>
      <c r="S308" s="145"/>
      <c r="T308" s="71" t="n">
        <f aca="false">A309-A308</f>
        <v>28</v>
      </c>
      <c r="U308" s="146" t="n">
        <f aca="false">CHOOSE(F$3,A309+24,A308)</f>
        <v>46106</v>
      </c>
      <c r="V308" s="71" t="n">
        <f aca="false">U308-C$3</f>
        <v>9218</v>
      </c>
      <c r="W308" s="142" t="n">
        <f aca="false">VLOOKUP($A308,Table,MATCH(W$4,Curves,0))</f>
        <v>0.058966861357273</v>
      </c>
      <c r="X308" s="147" t="n">
        <f aca="false">1/(1+CHOOSE(F$3,(W309+($K$3/10000))/2,(W308+($K$3/10000))/2))^(2*V308/365.25)</f>
        <v>0.230694654240219</v>
      </c>
      <c r="Y308" s="71" t="n">
        <f aca="false">IF(AND(mthbeg&lt;=A308,mthend&gt;=A308),1,0)</f>
        <v>0</v>
      </c>
      <c r="Z308" s="71" t="n">
        <f aca="false">T308*Y308</f>
        <v>0</v>
      </c>
      <c r="AB308" s="132" t="n">
        <f aca="false">F308*G308</f>
        <v>0</v>
      </c>
      <c r="AC308" s="132" t="n">
        <f aca="false">$F308*H308</f>
        <v>0</v>
      </c>
      <c r="AD308" s="132" t="n">
        <f aca="false">$F308*I308</f>
        <v>0</v>
      </c>
      <c r="AE308" s="132" t="n">
        <f aca="false">$F308*J308</f>
        <v>-0</v>
      </c>
      <c r="AF308" s="132" t="n">
        <f aca="false">$F308*K308</f>
        <v>-0</v>
      </c>
      <c r="AG308" s="132" t="n">
        <f aca="false">$F308*L308</f>
        <v>0</v>
      </c>
      <c r="AH308" s="132" t="n">
        <f aca="false">$F308*M308</f>
        <v>0</v>
      </c>
      <c r="AI308" s="132" t="n">
        <f aca="false">$F308*N308</f>
        <v>0</v>
      </c>
      <c r="AJ308" s="132" t="n">
        <f aca="false">F308*O308</f>
        <v>0</v>
      </c>
      <c r="AK308" s="137"/>
      <c r="AL308" s="132" t="n">
        <f aca="false">CHOOSE($G$3,AC308-AD308,AD308-AC308)</f>
        <v>0</v>
      </c>
      <c r="AM308" s="132" t="n">
        <f aca="false">CHOOSE($G$3,AF308-AG308,AG308-AF308)</f>
        <v>0</v>
      </c>
      <c r="AN308" s="132" t="n">
        <f aca="false">CHOOSE($G$3,AI308-AJ308,AJ308-AI308)</f>
        <v>0</v>
      </c>
      <c r="AO308" s="148" t="n">
        <f aca="false">SUM(AL308:AN308)</f>
        <v>0</v>
      </c>
      <c r="AQ308" s="132" t="n">
        <f aca="false">CHOOSE($G$3,AB308-AC308,AC308-AB308)</f>
        <v>0</v>
      </c>
      <c r="AR308" s="132" t="n">
        <f aca="false">CHOOSE($G$3,AE308-AF308,AF308-AE308)</f>
        <v>0</v>
      </c>
      <c r="AS308" s="132" t="n">
        <f aca="false">CHOOSE($G$3,AH308-AI308,AI308-AH308)</f>
        <v>0</v>
      </c>
      <c r="AT308" s="148" t="n">
        <f aca="false">AQ308+AR308+AS308</f>
        <v>0</v>
      </c>
      <c r="AU308" s="148"/>
      <c r="AV308" s="133" t="n">
        <f aca="false">AT308+AO308</f>
        <v>0</v>
      </c>
      <c r="AX308" s="133" t="n">
        <f aca="false">AJ308+AG308+AD308</f>
        <v>0</v>
      </c>
      <c r="AY308" s="149"/>
      <c r="AZ308" s="76" t="n">
        <f aca="false">R308*E308</f>
        <v>0</v>
      </c>
    </row>
    <row r="309" customFormat="false" ht="12" hidden="false" customHeight="true" outlineLevel="0" collapsed="false">
      <c r="A309" s="138" t="n">
        <f aca="false">EDATE(A308,1)</f>
        <v>46082</v>
      </c>
      <c r="B309" s="139" t="n">
        <f aca="false">VLOOKUP($A309,Table2,MATCH(I$3,Curves2,0))</f>
        <v>0</v>
      </c>
      <c r="C309" s="140"/>
      <c r="D309" s="141" t="n">
        <f aca="false">B309+C309</f>
        <v>0</v>
      </c>
      <c r="E309" s="126" t="n">
        <f aca="false">IF(Y309=0,0,IF(AND(Y309=1,$H$3=1),D309*T309,IF($H$3=2,D309,"N/A")))</f>
        <v>0</v>
      </c>
      <c r="F309" s="126" t="n">
        <f aca="false">E309*X309</f>
        <v>0</v>
      </c>
      <c r="G309" s="142" t="n">
        <f aca="false">VLOOKUP($A309,Table,MATCH(G$4,Curves,0))</f>
        <v>3.987</v>
      </c>
      <c r="H309" s="143" t="n">
        <f aca="false">G309</f>
        <v>3.987</v>
      </c>
      <c r="I309" s="142" t="n">
        <f aca="false">VLOOKUP($A309,Table1,MATCH(I$3,Curves1,0))</f>
        <v>0</v>
      </c>
      <c r="J309" s="142" t="n">
        <f aca="false">VLOOKUP($A309,Table,MATCH(J$4,Curves,0))</f>
        <v>-0.0235</v>
      </c>
      <c r="K309" s="143" t="n">
        <f aca="false">J309</f>
        <v>-0.0235</v>
      </c>
      <c r="L309" s="144" t="n">
        <v>0</v>
      </c>
      <c r="M309" s="142" t="n">
        <f aca="false">VLOOKUP($A309,Table,MATCH(M$4,Curves,0))</f>
        <v>0.0075</v>
      </c>
      <c r="N309" s="143" t="n">
        <f aca="false">M309</f>
        <v>0.0075</v>
      </c>
      <c r="O309" s="144" t="n">
        <v>0</v>
      </c>
      <c r="P309" s="145"/>
      <c r="Q309" s="144" t="n">
        <f aca="false">M309+J309+G309</f>
        <v>3.971</v>
      </c>
      <c r="R309" s="144" t="n">
        <f aca="false">O309+L309+I309</f>
        <v>0</v>
      </c>
      <c r="S309" s="145"/>
      <c r="T309" s="71" t="n">
        <f aca="false">A310-A309</f>
        <v>31</v>
      </c>
      <c r="U309" s="146" t="n">
        <f aca="false">CHOOSE(F$3,A310+24,A309)</f>
        <v>46137</v>
      </c>
      <c r="V309" s="71" t="n">
        <f aca="false">U309-C$3</f>
        <v>9249</v>
      </c>
      <c r="W309" s="142" t="n">
        <f aca="false">VLOOKUP($A309,Table,MATCH(W$4,Curves,0))</f>
        <v>0.058966861357273</v>
      </c>
      <c r="X309" s="147" t="n">
        <f aca="false">1/(1+CHOOSE(F$3,(W310+($K$3/10000))/2,(W309+($K$3/10000))/2))^(2*V309/365.25)</f>
        <v>0.22955958737527</v>
      </c>
      <c r="Y309" s="71" t="n">
        <f aca="false">IF(AND(mthbeg&lt;=A309,mthend&gt;=A309),1,0)</f>
        <v>0</v>
      </c>
      <c r="Z309" s="71" t="n">
        <f aca="false">T309*Y309</f>
        <v>0</v>
      </c>
      <c r="AB309" s="132" t="n">
        <f aca="false">F309*G309</f>
        <v>0</v>
      </c>
      <c r="AC309" s="132" t="n">
        <f aca="false">$F309*H309</f>
        <v>0</v>
      </c>
      <c r="AD309" s="132" t="n">
        <f aca="false">$F309*I309</f>
        <v>0</v>
      </c>
      <c r="AE309" s="132" t="n">
        <f aca="false">$F309*J309</f>
        <v>-0</v>
      </c>
      <c r="AF309" s="132" t="n">
        <f aca="false">$F309*K309</f>
        <v>-0</v>
      </c>
      <c r="AG309" s="132" t="n">
        <f aca="false">$F309*L309</f>
        <v>0</v>
      </c>
      <c r="AH309" s="132" t="n">
        <f aca="false">$F309*M309</f>
        <v>0</v>
      </c>
      <c r="AI309" s="132" t="n">
        <f aca="false">$F309*N309</f>
        <v>0</v>
      </c>
      <c r="AJ309" s="132" t="n">
        <f aca="false">F309*O309</f>
        <v>0</v>
      </c>
      <c r="AK309" s="137"/>
      <c r="AL309" s="132" t="n">
        <f aca="false">CHOOSE($G$3,AC309-AD309,AD309-AC309)</f>
        <v>0</v>
      </c>
      <c r="AM309" s="132" t="n">
        <f aca="false">CHOOSE($G$3,AF309-AG309,AG309-AF309)</f>
        <v>0</v>
      </c>
      <c r="AN309" s="132" t="n">
        <f aca="false">CHOOSE($G$3,AI309-AJ309,AJ309-AI309)</f>
        <v>0</v>
      </c>
      <c r="AO309" s="148" t="n">
        <f aca="false">SUM(AL309:AN309)</f>
        <v>0</v>
      </c>
      <c r="AQ309" s="132" t="n">
        <f aca="false">CHOOSE($G$3,AB309-AC309,AC309-AB309)</f>
        <v>0</v>
      </c>
      <c r="AR309" s="132" t="n">
        <f aca="false">CHOOSE($G$3,AE309-AF309,AF309-AE309)</f>
        <v>0</v>
      </c>
      <c r="AS309" s="132" t="n">
        <f aca="false">CHOOSE($G$3,AH309-AI309,AI309-AH309)</f>
        <v>0</v>
      </c>
      <c r="AT309" s="148" t="n">
        <f aca="false">AQ309+AR309+AS309</f>
        <v>0</v>
      </c>
      <c r="AU309" s="148"/>
      <c r="AV309" s="133" t="n">
        <f aca="false">AT309+AO309</f>
        <v>0</v>
      </c>
      <c r="AX309" s="133" t="n">
        <f aca="false">AJ309+AG309+AD309</f>
        <v>0</v>
      </c>
      <c r="AY309" s="149"/>
      <c r="AZ309" s="76" t="n">
        <f aca="false">R309*E309</f>
        <v>0</v>
      </c>
    </row>
    <row r="310" customFormat="false" ht="12" hidden="false" customHeight="true" outlineLevel="0" collapsed="false">
      <c r="A310" s="138" t="n">
        <f aca="false">EDATE(A309,1)</f>
        <v>46113</v>
      </c>
      <c r="B310" s="139" t="n">
        <f aca="false">VLOOKUP($A310,Table2,MATCH(I$3,Curves2,0))</f>
        <v>0</v>
      </c>
      <c r="C310" s="140"/>
      <c r="D310" s="141" t="n">
        <f aca="false">B310+C310</f>
        <v>0</v>
      </c>
      <c r="E310" s="126" t="n">
        <f aca="false">IF(Y310=0,0,IF(AND(Y310=1,$H$3=1),D310*T310,IF($H$3=2,D310,"N/A")))</f>
        <v>0</v>
      </c>
      <c r="F310" s="126" t="n">
        <f aca="false">E310*X310</f>
        <v>0</v>
      </c>
      <c r="G310" s="142" t="n">
        <f aca="false">VLOOKUP($A310,Table,MATCH(G$4,Curves,0))</f>
        <v>3.987</v>
      </c>
      <c r="H310" s="143" t="n">
        <f aca="false">G310</f>
        <v>3.987</v>
      </c>
      <c r="I310" s="142" t="n">
        <f aca="false">VLOOKUP($A310,Table1,MATCH(I$3,Curves1,0))</f>
        <v>0</v>
      </c>
      <c r="J310" s="142" t="n">
        <f aca="false">VLOOKUP($A310,Table,MATCH(J$4,Curves,0))</f>
        <v>-0.0235</v>
      </c>
      <c r="K310" s="143" t="n">
        <f aca="false">J310</f>
        <v>-0.0235</v>
      </c>
      <c r="L310" s="144" t="n">
        <v>0</v>
      </c>
      <c r="M310" s="142" t="n">
        <f aca="false">VLOOKUP($A310,Table,MATCH(M$4,Curves,0))</f>
        <v>0.0075</v>
      </c>
      <c r="N310" s="143" t="n">
        <f aca="false">M310</f>
        <v>0.0075</v>
      </c>
      <c r="O310" s="144" t="n">
        <v>0</v>
      </c>
      <c r="P310" s="145"/>
      <c r="Q310" s="144" t="n">
        <f aca="false">M310+J310+G310</f>
        <v>3.971</v>
      </c>
      <c r="R310" s="144" t="n">
        <f aca="false">O310+L310+I310</f>
        <v>0</v>
      </c>
      <c r="S310" s="145"/>
      <c r="T310" s="71" t="n">
        <f aca="false">A311-A310</f>
        <v>30</v>
      </c>
      <c r="U310" s="146" t="n">
        <f aca="false">CHOOSE(F$3,A311+24,A310)</f>
        <v>46167</v>
      </c>
      <c r="V310" s="71" t="n">
        <f aca="false">U310-C$3</f>
        <v>9279</v>
      </c>
      <c r="W310" s="142" t="n">
        <f aca="false">VLOOKUP($A310,Table,MATCH(W$4,Curves,0))</f>
        <v>0.058966861357273</v>
      </c>
      <c r="X310" s="147" t="n">
        <f aca="false">1/(1+CHOOSE(F$3,(W311+($K$3/10000))/2,(W310+($K$3/10000))/2))^(2*V310/365.25)</f>
        <v>0.228466453297904</v>
      </c>
      <c r="Y310" s="71" t="n">
        <f aca="false">IF(AND(mthbeg&lt;=A310,mthend&gt;=A310),1,0)</f>
        <v>0</v>
      </c>
      <c r="Z310" s="71" t="n">
        <f aca="false">T310*Y310</f>
        <v>0</v>
      </c>
      <c r="AB310" s="132" t="n">
        <f aca="false">F310*G310</f>
        <v>0</v>
      </c>
      <c r="AC310" s="132" t="n">
        <f aca="false">$F310*H310</f>
        <v>0</v>
      </c>
      <c r="AD310" s="132" t="n">
        <f aca="false">$F310*I310</f>
        <v>0</v>
      </c>
      <c r="AE310" s="132" t="n">
        <f aca="false">$F310*J310</f>
        <v>-0</v>
      </c>
      <c r="AF310" s="132" t="n">
        <f aca="false">$F310*K310</f>
        <v>-0</v>
      </c>
      <c r="AG310" s="132" t="n">
        <f aca="false">$F310*L310</f>
        <v>0</v>
      </c>
      <c r="AH310" s="132" t="n">
        <f aca="false">$F310*M310</f>
        <v>0</v>
      </c>
      <c r="AI310" s="132" t="n">
        <f aca="false">$F310*N310</f>
        <v>0</v>
      </c>
      <c r="AJ310" s="132" t="n">
        <f aca="false">F310*O310</f>
        <v>0</v>
      </c>
      <c r="AK310" s="137"/>
      <c r="AL310" s="132" t="n">
        <f aca="false">CHOOSE($G$3,AC310-AD310,AD310-AC310)</f>
        <v>0</v>
      </c>
      <c r="AM310" s="132" t="n">
        <f aca="false">CHOOSE($G$3,AF310-AG310,AG310-AF310)</f>
        <v>0</v>
      </c>
      <c r="AN310" s="132" t="n">
        <f aca="false">CHOOSE($G$3,AI310-AJ310,AJ310-AI310)</f>
        <v>0</v>
      </c>
      <c r="AO310" s="148" t="n">
        <f aca="false">SUM(AL310:AN310)</f>
        <v>0</v>
      </c>
      <c r="AQ310" s="132" t="n">
        <f aca="false">CHOOSE($G$3,AB310-AC310,AC310-AB310)</f>
        <v>0</v>
      </c>
      <c r="AR310" s="132" t="n">
        <f aca="false">CHOOSE($G$3,AE310-AF310,AF310-AE310)</f>
        <v>0</v>
      </c>
      <c r="AS310" s="132" t="n">
        <f aca="false">CHOOSE($G$3,AH310-AI310,AI310-AH310)</f>
        <v>0</v>
      </c>
      <c r="AT310" s="148" t="n">
        <f aca="false">AQ310+AR310+AS310</f>
        <v>0</v>
      </c>
      <c r="AU310" s="148"/>
      <c r="AV310" s="133" t="n">
        <f aca="false">AT310+AO310</f>
        <v>0</v>
      </c>
      <c r="AX310" s="133" t="n">
        <f aca="false">AJ310+AG310+AD310</f>
        <v>0</v>
      </c>
      <c r="AY310" s="149"/>
      <c r="AZ310" s="76" t="n">
        <f aca="false">R310*E310</f>
        <v>0</v>
      </c>
    </row>
    <row r="311" customFormat="false" ht="12" hidden="false" customHeight="true" outlineLevel="0" collapsed="false">
      <c r="A311" s="138" t="n">
        <f aca="false">EDATE(A310,1)</f>
        <v>46143</v>
      </c>
      <c r="B311" s="139" t="n">
        <f aca="false">VLOOKUP($A311,Table2,MATCH(I$3,Curves2,0))</f>
        <v>0</v>
      </c>
      <c r="C311" s="140"/>
      <c r="D311" s="141" t="n">
        <f aca="false">B311+C311</f>
        <v>0</v>
      </c>
      <c r="E311" s="126" t="n">
        <f aca="false">IF(Y311=0,0,IF(AND(Y311=1,$H$3=1),D311*T311,IF($H$3=2,D311,"N/A")))</f>
        <v>0</v>
      </c>
      <c r="F311" s="126" t="n">
        <f aca="false">E311*X311</f>
        <v>0</v>
      </c>
      <c r="G311" s="142" t="n">
        <f aca="false">VLOOKUP($A311,Table,MATCH(G$4,Curves,0))</f>
        <v>3.987</v>
      </c>
      <c r="H311" s="143" t="n">
        <f aca="false">G311</f>
        <v>3.987</v>
      </c>
      <c r="I311" s="142" t="n">
        <f aca="false">VLOOKUP($A311,Table1,MATCH(I$3,Curves1,0))</f>
        <v>0</v>
      </c>
      <c r="J311" s="142" t="n">
        <f aca="false">VLOOKUP($A311,Table,MATCH(J$4,Curves,0))</f>
        <v>-0.0235</v>
      </c>
      <c r="K311" s="143" t="n">
        <f aca="false">J311</f>
        <v>-0.0235</v>
      </c>
      <c r="L311" s="144" t="n">
        <v>0</v>
      </c>
      <c r="M311" s="142" t="n">
        <f aca="false">VLOOKUP($A311,Table,MATCH(M$4,Curves,0))</f>
        <v>0.0075</v>
      </c>
      <c r="N311" s="143" t="n">
        <f aca="false">M311</f>
        <v>0.0075</v>
      </c>
      <c r="O311" s="144" t="n">
        <v>0</v>
      </c>
      <c r="P311" s="145"/>
      <c r="Q311" s="144" t="n">
        <f aca="false">M311+J311+G311</f>
        <v>3.971</v>
      </c>
      <c r="R311" s="144" t="n">
        <f aca="false">O311+L311+I311</f>
        <v>0</v>
      </c>
      <c r="S311" s="145"/>
      <c r="T311" s="71" t="n">
        <f aca="false">A312-A311</f>
        <v>31</v>
      </c>
      <c r="U311" s="146" t="n">
        <f aca="false">CHOOSE(F$3,A312+24,A311)</f>
        <v>46198</v>
      </c>
      <c r="V311" s="71" t="n">
        <f aca="false">U311-C$3</f>
        <v>9310</v>
      </c>
      <c r="W311" s="142" t="n">
        <f aca="false">VLOOKUP($A311,Table,MATCH(W$4,Curves,0))</f>
        <v>0.058966861357273</v>
      </c>
      <c r="X311" s="147" t="n">
        <f aca="false">1/(1+CHOOSE(F$3,(W312+($K$3/10000))/2,(W311+($K$3/10000))/2))^(2*V311/365.25)</f>
        <v>0.22734234965647</v>
      </c>
      <c r="Y311" s="71" t="n">
        <f aca="false">IF(AND(mthbeg&lt;=A311,mthend&gt;=A311),1,0)</f>
        <v>0</v>
      </c>
      <c r="Z311" s="71" t="n">
        <f aca="false">T311*Y311</f>
        <v>0</v>
      </c>
      <c r="AB311" s="132" t="n">
        <f aca="false">F311*G311</f>
        <v>0</v>
      </c>
      <c r="AC311" s="132" t="n">
        <f aca="false">$F311*H311</f>
        <v>0</v>
      </c>
      <c r="AD311" s="132" t="n">
        <f aca="false">$F311*I311</f>
        <v>0</v>
      </c>
      <c r="AE311" s="132" t="n">
        <f aca="false">$F311*J311</f>
        <v>-0</v>
      </c>
      <c r="AF311" s="132" t="n">
        <f aca="false">$F311*K311</f>
        <v>-0</v>
      </c>
      <c r="AG311" s="132" t="n">
        <f aca="false">$F311*L311</f>
        <v>0</v>
      </c>
      <c r="AH311" s="132" t="n">
        <f aca="false">$F311*M311</f>
        <v>0</v>
      </c>
      <c r="AI311" s="132" t="n">
        <f aca="false">$F311*N311</f>
        <v>0</v>
      </c>
      <c r="AJ311" s="132" t="n">
        <f aca="false">F311*O311</f>
        <v>0</v>
      </c>
      <c r="AK311" s="137"/>
      <c r="AL311" s="132" t="n">
        <f aca="false">CHOOSE($G$3,AC311-AD311,AD311-AC311)</f>
        <v>0</v>
      </c>
      <c r="AM311" s="132" t="n">
        <f aca="false">CHOOSE($G$3,AF311-AG311,AG311-AF311)</f>
        <v>0</v>
      </c>
      <c r="AN311" s="132" t="n">
        <f aca="false">CHOOSE($G$3,AI311-AJ311,AJ311-AI311)</f>
        <v>0</v>
      </c>
      <c r="AO311" s="148" t="n">
        <f aca="false">SUM(AL311:AN311)</f>
        <v>0</v>
      </c>
      <c r="AQ311" s="132" t="n">
        <f aca="false">CHOOSE($G$3,AB311-AC311,AC311-AB311)</f>
        <v>0</v>
      </c>
      <c r="AR311" s="132" t="n">
        <f aca="false">CHOOSE($G$3,AE311-AF311,AF311-AE311)</f>
        <v>0</v>
      </c>
      <c r="AS311" s="132" t="n">
        <f aca="false">CHOOSE($G$3,AH311-AI311,AI311-AH311)</f>
        <v>0</v>
      </c>
      <c r="AT311" s="148" t="n">
        <f aca="false">AQ311+AR311+AS311</f>
        <v>0</v>
      </c>
      <c r="AU311" s="148"/>
      <c r="AV311" s="133" t="n">
        <f aca="false">AT311+AO311</f>
        <v>0</v>
      </c>
      <c r="AX311" s="133" t="n">
        <f aca="false">AJ311+AG311+AD311</f>
        <v>0</v>
      </c>
      <c r="AY311" s="149"/>
      <c r="AZ311" s="76" t="n">
        <f aca="false">R311*E311</f>
        <v>0</v>
      </c>
    </row>
    <row r="312" customFormat="false" ht="12" hidden="false" customHeight="true" outlineLevel="0" collapsed="false">
      <c r="A312" s="138" t="n">
        <f aca="false">EDATE(A311,1)</f>
        <v>46174</v>
      </c>
      <c r="B312" s="139" t="n">
        <f aca="false">VLOOKUP($A312,Table2,MATCH(I$3,Curves2,0))</f>
        <v>0</v>
      </c>
      <c r="C312" s="140"/>
      <c r="D312" s="141" t="n">
        <f aca="false">B312+C312</f>
        <v>0</v>
      </c>
      <c r="E312" s="126" t="n">
        <f aca="false">IF(Y312=0,0,IF(AND(Y312=1,$H$3=1),D312*T312,IF($H$3=2,D312,"N/A")))</f>
        <v>0</v>
      </c>
      <c r="F312" s="126" t="n">
        <f aca="false">E312*X312</f>
        <v>0</v>
      </c>
      <c r="G312" s="142" t="n">
        <f aca="false">VLOOKUP($A312,Table,MATCH(G$4,Curves,0))</f>
        <v>3.987</v>
      </c>
      <c r="H312" s="143" t="n">
        <f aca="false">G312</f>
        <v>3.987</v>
      </c>
      <c r="I312" s="142" t="n">
        <f aca="false">VLOOKUP($A312,Table1,MATCH(I$3,Curves1,0))</f>
        <v>0</v>
      </c>
      <c r="J312" s="142" t="n">
        <f aca="false">VLOOKUP($A312,Table,MATCH(J$4,Curves,0))</f>
        <v>-0.0235</v>
      </c>
      <c r="K312" s="143" t="n">
        <f aca="false">J312</f>
        <v>-0.0235</v>
      </c>
      <c r="L312" s="144" t="n">
        <v>0</v>
      </c>
      <c r="M312" s="142" t="n">
        <f aca="false">VLOOKUP($A312,Table,MATCH(M$4,Curves,0))</f>
        <v>0.0075</v>
      </c>
      <c r="N312" s="143" t="n">
        <f aca="false">M312</f>
        <v>0.0075</v>
      </c>
      <c r="O312" s="144" t="n">
        <v>0</v>
      </c>
      <c r="P312" s="145"/>
      <c r="Q312" s="144" t="n">
        <f aca="false">M312+J312+G312</f>
        <v>3.971</v>
      </c>
      <c r="R312" s="144" t="n">
        <f aca="false">O312+L312+I312</f>
        <v>0</v>
      </c>
      <c r="S312" s="145"/>
      <c r="T312" s="71" t="n">
        <f aca="false">A313-A312</f>
        <v>30</v>
      </c>
      <c r="U312" s="146" t="n">
        <f aca="false">CHOOSE(F$3,A313+24,A312)</f>
        <v>46228</v>
      </c>
      <c r="V312" s="71" t="n">
        <f aca="false">U312-C$3</f>
        <v>9340</v>
      </c>
      <c r="W312" s="142" t="n">
        <f aca="false">VLOOKUP($A312,Table,MATCH(W$4,Curves,0))</f>
        <v>0.058966861357273</v>
      </c>
      <c r="X312" s="147" t="n">
        <f aca="false">1/(1+CHOOSE(F$3,(W313+($K$3/10000))/2,(W312+($K$3/10000))/2))^(2*V312/365.25)</f>
        <v>0.226259773788133</v>
      </c>
      <c r="Y312" s="71" t="n">
        <f aca="false">IF(AND(mthbeg&lt;=A312,mthend&gt;=A312),1,0)</f>
        <v>0</v>
      </c>
      <c r="Z312" s="71" t="n">
        <f aca="false">T312*Y312</f>
        <v>0</v>
      </c>
      <c r="AB312" s="132" t="n">
        <f aca="false">F312*G312</f>
        <v>0</v>
      </c>
      <c r="AC312" s="132" t="n">
        <f aca="false">$F312*H312</f>
        <v>0</v>
      </c>
      <c r="AD312" s="132" t="n">
        <f aca="false">$F312*I312</f>
        <v>0</v>
      </c>
      <c r="AE312" s="132" t="n">
        <f aca="false">$F312*J312</f>
        <v>-0</v>
      </c>
      <c r="AF312" s="132" t="n">
        <f aca="false">$F312*K312</f>
        <v>-0</v>
      </c>
      <c r="AG312" s="132" t="n">
        <f aca="false">$F312*L312</f>
        <v>0</v>
      </c>
      <c r="AH312" s="132" t="n">
        <f aca="false">$F312*M312</f>
        <v>0</v>
      </c>
      <c r="AI312" s="132" t="n">
        <f aca="false">$F312*N312</f>
        <v>0</v>
      </c>
      <c r="AJ312" s="132" t="n">
        <f aca="false">F312*O312</f>
        <v>0</v>
      </c>
      <c r="AK312" s="137"/>
      <c r="AL312" s="132" t="n">
        <f aca="false">CHOOSE($G$3,AC312-AD312,AD312-AC312)</f>
        <v>0</v>
      </c>
      <c r="AM312" s="132" t="n">
        <f aca="false">CHOOSE($G$3,AF312-AG312,AG312-AF312)</f>
        <v>0</v>
      </c>
      <c r="AN312" s="132" t="n">
        <f aca="false">CHOOSE($G$3,AI312-AJ312,AJ312-AI312)</f>
        <v>0</v>
      </c>
      <c r="AO312" s="148" t="n">
        <f aca="false">SUM(AL312:AN312)</f>
        <v>0</v>
      </c>
      <c r="AQ312" s="132" t="n">
        <f aca="false">CHOOSE($G$3,AB312-AC312,AC312-AB312)</f>
        <v>0</v>
      </c>
      <c r="AR312" s="132" t="n">
        <f aca="false">CHOOSE($G$3,AE312-AF312,AF312-AE312)</f>
        <v>0</v>
      </c>
      <c r="AS312" s="132" t="n">
        <f aca="false">CHOOSE($G$3,AH312-AI312,AI312-AH312)</f>
        <v>0</v>
      </c>
      <c r="AT312" s="148" t="n">
        <f aca="false">AQ312+AR312+AS312</f>
        <v>0</v>
      </c>
      <c r="AU312" s="148"/>
      <c r="AV312" s="133" t="n">
        <f aca="false">AT312+AO312</f>
        <v>0</v>
      </c>
      <c r="AX312" s="133" t="n">
        <f aca="false">AJ312+AG312+AD312</f>
        <v>0</v>
      </c>
      <c r="AY312" s="149"/>
      <c r="AZ312" s="76" t="n">
        <f aca="false">R312*E312</f>
        <v>0</v>
      </c>
    </row>
    <row r="313" customFormat="false" ht="12" hidden="false" customHeight="true" outlineLevel="0" collapsed="false">
      <c r="A313" s="138" t="n">
        <f aca="false">EDATE(A312,1)</f>
        <v>46204</v>
      </c>
      <c r="B313" s="139" t="n">
        <f aca="false">VLOOKUP($A313,Table2,MATCH(I$3,Curves2,0))</f>
        <v>0</v>
      </c>
      <c r="C313" s="140"/>
      <c r="D313" s="141" t="n">
        <f aca="false">B313+C313</f>
        <v>0</v>
      </c>
      <c r="E313" s="126" t="n">
        <f aca="false">IF(Y313=0,0,IF(AND(Y313=1,$H$3=1),D313*T313,IF($H$3=2,D313,"N/A")))</f>
        <v>0</v>
      </c>
      <c r="F313" s="126" t="n">
        <f aca="false">E313*X313</f>
        <v>0</v>
      </c>
      <c r="G313" s="142" t="n">
        <f aca="false">VLOOKUP($A313,Table,MATCH(G$4,Curves,0))</f>
        <v>3.987</v>
      </c>
      <c r="H313" s="143" t="n">
        <f aca="false">G313</f>
        <v>3.987</v>
      </c>
      <c r="I313" s="142" t="n">
        <f aca="false">VLOOKUP($A313,Table1,MATCH(I$3,Curves1,0))</f>
        <v>0</v>
      </c>
      <c r="J313" s="142" t="n">
        <f aca="false">VLOOKUP($A313,Table,MATCH(J$4,Curves,0))</f>
        <v>-0.0235</v>
      </c>
      <c r="K313" s="143" t="n">
        <f aca="false">J313</f>
        <v>-0.0235</v>
      </c>
      <c r="L313" s="144" t="n">
        <v>0</v>
      </c>
      <c r="M313" s="142" t="n">
        <f aca="false">VLOOKUP($A313,Table,MATCH(M$4,Curves,0))</f>
        <v>0.0075</v>
      </c>
      <c r="N313" s="143" t="n">
        <f aca="false">M313</f>
        <v>0.0075</v>
      </c>
      <c r="O313" s="144" t="n">
        <v>0</v>
      </c>
      <c r="P313" s="145"/>
      <c r="Q313" s="144" t="n">
        <f aca="false">M313+J313+G313</f>
        <v>3.971</v>
      </c>
      <c r="R313" s="144" t="n">
        <f aca="false">O313+L313+I313</f>
        <v>0</v>
      </c>
      <c r="S313" s="145"/>
      <c r="T313" s="71" t="n">
        <f aca="false">A314-A313</f>
        <v>31</v>
      </c>
      <c r="U313" s="146" t="n">
        <f aca="false">CHOOSE(F$3,A314+24,A313)</f>
        <v>46259</v>
      </c>
      <c r="V313" s="71" t="n">
        <f aca="false">U313-C$3</f>
        <v>9371</v>
      </c>
      <c r="W313" s="142" t="n">
        <f aca="false">VLOOKUP($A313,Table,MATCH(W$4,Curves,0))</f>
        <v>0.058966861357273</v>
      </c>
      <c r="X313" s="147" t="n">
        <f aca="false">1/(1+CHOOSE(F$3,(W314+($K$3/10000))/2,(W313+($K$3/10000))/2))^(2*V313/365.25)</f>
        <v>0.225146527480179</v>
      </c>
      <c r="Y313" s="71" t="n">
        <f aca="false">IF(AND(mthbeg&lt;=A313,mthend&gt;=A313),1,0)</f>
        <v>0</v>
      </c>
      <c r="Z313" s="71" t="n">
        <f aca="false">T313*Y313</f>
        <v>0</v>
      </c>
      <c r="AB313" s="132" t="n">
        <f aca="false">F313*G313</f>
        <v>0</v>
      </c>
      <c r="AC313" s="132" t="n">
        <f aca="false">$F313*H313</f>
        <v>0</v>
      </c>
      <c r="AD313" s="132" t="n">
        <f aca="false">$F313*I313</f>
        <v>0</v>
      </c>
      <c r="AE313" s="132" t="n">
        <f aca="false">$F313*J313</f>
        <v>-0</v>
      </c>
      <c r="AF313" s="132" t="n">
        <f aca="false">$F313*K313</f>
        <v>-0</v>
      </c>
      <c r="AG313" s="132" t="n">
        <f aca="false">$F313*L313</f>
        <v>0</v>
      </c>
      <c r="AH313" s="132" t="n">
        <f aca="false">$F313*M313</f>
        <v>0</v>
      </c>
      <c r="AI313" s="132" t="n">
        <f aca="false">$F313*N313</f>
        <v>0</v>
      </c>
      <c r="AJ313" s="132" t="n">
        <f aca="false">F313*O313</f>
        <v>0</v>
      </c>
      <c r="AK313" s="137"/>
      <c r="AL313" s="132" t="n">
        <f aca="false">CHOOSE($G$3,AC313-AD313,AD313-AC313)</f>
        <v>0</v>
      </c>
      <c r="AM313" s="132" t="n">
        <f aca="false">CHOOSE($G$3,AF313-AG313,AG313-AF313)</f>
        <v>0</v>
      </c>
      <c r="AN313" s="132" t="n">
        <f aca="false">CHOOSE($G$3,AI313-AJ313,AJ313-AI313)</f>
        <v>0</v>
      </c>
      <c r="AO313" s="148" t="n">
        <f aca="false">SUM(AL313:AN313)</f>
        <v>0</v>
      </c>
      <c r="AQ313" s="132" t="n">
        <f aca="false">CHOOSE($G$3,AB313-AC313,AC313-AB313)</f>
        <v>0</v>
      </c>
      <c r="AR313" s="132" t="n">
        <f aca="false">CHOOSE($G$3,AE313-AF313,AF313-AE313)</f>
        <v>0</v>
      </c>
      <c r="AS313" s="132" t="n">
        <f aca="false">CHOOSE($G$3,AH313-AI313,AI313-AH313)</f>
        <v>0</v>
      </c>
      <c r="AT313" s="148" t="n">
        <f aca="false">AQ313+AR313+AS313</f>
        <v>0</v>
      </c>
      <c r="AU313" s="148"/>
      <c r="AV313" s="133" t="n">
        <f aca="false">AT313+AO313</f>
        <v>0</v>
      </c>
      <c r="AX313" s="133" t="n">
        <f aca="false">AJ313+AG313+AD313</f>
        <v>0</v>
      </c>
      <c r="AY313" s="149"/>
      <c r="AZ313" s="76" t="n">
        <f aca="false">R313*E313</f>
        <v>0</v>
      </c>
    </row>
    <row r="314" customFormat="false" ht="12" hidden="false" customHeight="true" outlineLevel="0" collapsed="false">
      <c r="A314" s="138" t="n">
        <f aca="false">EDATE(A313,1)</f>
        <v>46235</v>
      </c>
      <c r="B314" s="139" t="n">
        <f aca="false">VLOOKUP($A314,Table2,MATCH(I$3,Curves2,0))</f>
        <v>0</v>
      </c>
      <c r="C314" s="140"/>
      <c r="D314" s="141" t="n">
        <f aca="false">B314+C314</f>
        <v>0</v>
      </c>
      <c r="E314" s="126" t="n">
        <f aca="false">IF(Y314=0,0,IF(AND(Y314=1,$H$3=1),D314*T314,IF($H$3=2,D314,"N/A")))</f>
        <v>0</v>
      </c>
      <c r="F314" s="126" t="n">
        <f aca="false">E314*X314</f>
        <v>0</v>
      </c>
      <c r="G314" s="142" t="n">
        <f aca="false">VLOOKUP($A314,Table,MATCH(G$4,Curves,0))</f>
        <v>3.987</v>
      </c>
      <c r="H314" s="143" t="n">
        <f aca="false">G314</f>
        <v>3.987</v>
      </c>
      <c r="I314" s="142" t="n">
        <f aca="false">VLOOKUP($A314,Table1,MATCH(I$3,Curves1,0))</f>
        <v>0</v>
      </c>
      <c r="J314" s="142" t="n">
        <f aca="false">VLOOKUP($A314,Table,MATCH(J$4,Curves,0))</f>
        <v>-0.0235</v>
      </c>
      <c r="K314" s="143" t="n">
        <f aca="false">J314</f>
        <v>-0.0235</v>
      </c>
      <c r="L314" s="144" t="n">
        <v>0</v>
      </c>
      <c r="M314" s="142" t="n">
        <f aca="false">VLOOKUP($A314,Table,MATCH(M$4,Curves,0))</f>
        <v>0.0075</v>
      </c>
      <c r="N314" s="143" t="n">
        <f aca="false">M314</f>
        <v>0.0075</v>
      </c>
      <c r="O314" s="144" t="n">
        <v>0</v>
      </c>
      <c r="P314" s="145"/>
      <c r="Q314" s="144" t="n">
        <f aca="false">M314+J314+G314</f>
        <v>3.971</v>
      </c>
      <c r="R314" s="144" t="n">
        <f aca="false">O314+L314+I314</f>
        <v>0</v>
      </c>
      <c r="S314" s="145"/>
      <c r="T314" s="71" t="n">
        <f aca="false">A315-A314</f>
        <v>31</v>
      </c>
      <c r="U314" s="146" t="n">
        <f aca="false">CHOOSE(F$3,A315+24,A314)</f>
        <v>46290</v>
      </c>
      <c r="V314" s="71" t="n">
        <f aca="false">U314-C$3</f>
        <v>9402</v>
      </c>
      <c r="W314" s="142" t="n">
        <f aca="false">VLOOKUP($A314,Table,MATCH(W$4,Curves,0))</f>
        <v>0.058966861357273</v>
      </c>
      <c r="X314" s="147" t="n">
        <f aca="false">1/(1+CHOOSE(F$3,(W315+($K$3/10000))/2,(W314+($K$3/10000))/2))^(2*V314/365.25)</f>
        <v>0.224038758581317</v>
      </c>
      <c r="Y314" s="71" t="n">
        <f aca="false">IF(AND(mthbeg&lt;=A314,mthend&gt;=A314),1,0)</f>
        <v>0</v>
      </c>
      <c r="Z314" s="71" t="n">
        <f aca="false">T314*Y314</f>
        <v>0</v>
      </c>
      <c r="AB314" s="132" t="n">
        <f aca="false">F314*G314</f>
        <v>0</v>
      </c>
      <c r="AC314" s="132" t="n">
        <f aca="false">$F314*H314</f>
        <v>0</v>
      </c>
      <c r="AD314" s="132" t="n">
        <f aca="false">$F314*I314</f>
        <v>0</v>
      </c>
      <c r="AE314" s="132" t="n">
        <f aca="false">$F314*J314</f>
        <v>-0</v>
      </c>
      <c r="AF314" s="132" t="n">
        <f aca="false">$F314*K314</f>
        <v>-0</v>
      </c>
      <c r="AG314" s="132" t="n">
        <f aca="false">$F314*L314</f>
        <v>0</v>
      </c>
      <c r="AH314" s="132" t="n">
        <f aca="false">$F314*M314</f>
        <v>0</v>
      </c>
      <c r="AI314" s="132" t="n">
        <f aca="false">$F314*N314</f>
        <v>0</v>
      </c>
      <c r="AJ314" s="132" t="n">
        <f aca="false">F314*O314</f>
        <v>0</v>
      </c>
      <c r="AK314" s="137"/>
      <c r="AL314" s="132" t="n">
        <f aca="false">CHOOSE($G$3,AC314-AD314,AD314-AC314)</f>
        <v>0</v>
      </c>
      <c r="AM314" s="132" t="n">
        <f aca="false">CHOOSE($G$3,AF314-AG314,AG314-AF314)</f>
        <v>0</v>
      </c>
      <c r="AN314" s="132" t="n">
        <f aca="false">CHOOSE($G$3,AI314-AJ314,AJ314-AI314)</f>
        <v>0</v>
      </c>
      <c r="AO314" s="148" t="n">
        <f aca="false">SUM(AL314:AN314)</f>
        <v>0</v>
      </c>
      <c r="AQ314" s="132" t="n">
        <f aca="false">CHOOSE($G$3,AB314-AC314,AC314-AB314)</f>
        <v>0</v>
      </c>
      <c r="AR314" s="132" t="n">
        <f aca="false">CHOOSE($G$3,AE314-AF314,AF314-AE314)</f>
        <v>0</v>
      </c>
      <c r="AS314" s="132" t="n">
        <f aca="false">CHOOSE($G$3,AH314-AI314,AI314-AH314)</f>
        <v>0</v>
      </c>
      <c r="AT314" s="148" t="n">
        <f aca="false">AQ314+AR314+AS314</f>
        <v>0</v>
      </c>
      <c r="AU314" s="148"/>
      <c r="AV314" s="133" t="n">
        <f aca="false">AT314+AO314</f>
        <v>0</v>
      </c>
      <c r="AX314" s="133" t="n">
        <f aca="false">AJ314+AG314+AD314</f>
        <v>0</v>
      </c>
      <c r="AY314" s="149"/>
      <c r="AZ314" s="76" t="n">
        <f aca="false">R314*E314</f>
        <v>0</v>
      </c>
    </row>
    <row r="315" customFormat="false" ht="12" hidden="false" customHeight="true" outlineLevel="0" collapsed="false">
      <c r="A315" s="138" t="n">
        <f aca="false">EDATE(A314,1)</f>
        <v>46266</v>
      </c>
      <c r="B315" s="139" t="n">
        <f aca="false">VLOOKUP($A315,Table2,MATCH(I$3,Curves2,0))</f>
        <v>0</v>
      </c>
      <c r="C315" s="140"/>
      <c r="D315" s="141" t="n">
        <f aca="false">B315+C315</f>
        <v>0</v>
      </c>
      <c r="E315" s="126" t="n">
        <f aca="false">IF(Y315=0,0,IF(AND(Y315=1,$H$3=1),D315*T315,IF($H$3=2,D315,"N/A")))</f>
        <v>0</v>
      </c>
      <c r="F315" s="126" t="n">
        <f aca="false">E315*X315</f>
        <v>0</v>
      </c>
      <c r="G315" s="142" t="n">
        <f aca="false">VLOOKUP($A315,Table,MATCH(G$4,Curves,0))</f>
        <v>3.987</v>
      </c>
      <c r="H315" s="143" t="n">
        <f aca="false">G315</f>
        <v>3.987</v>
      </c>
      <c r="I315" s="142" t="n">
        <f aca="false">VLOOKUP($A315,Table1,MATCH(I$3,Curves1,0))</f>
        <v>0</v>
      </c>
      <c r="J315" s="142" t="n">
        <f aca="false">VLOOKUP($A315,Table,MATCH(J$4,Curves,0))</f>
        <v>-0.0235</v>
      </c>
      <c r="K315" s="143" t="n">
        <f aca="false">J315</f>
        <v>-0.0235</v>
      </c>
      <c r="L315" s="144" t="n">
        <v>0</v>
      </c>
      <c r="M315" s="142" t="n">
        <f aca="false">VLOOKUP($A315,Table,MATCH(M$4,Curves,0))</f>
        <v>0.0075</v>
      </c>
      <c r="N315" s="143" t="n">
        <f aca="false">M315</f>
        <v>0.0075</v>
      </c>
      <c r="O315" s="144" t="n">
        <v>0</v>
      </c>
      <c r="P315" s="145"/>
      <c r="Q315" s="144" t="n">
        <f aca="false">M315+J315+G315</f>
        <v>3.971</v>
      </c>
      <c r="R315" s="144" t="n">
        <f aca="false">O315+L315+I315</f>
        <v>0</v>
      </c>
      <c r="S315" s="145"/>
      <c r="T315" s="71" t="n">
        <f aca="false">A316-A315</f>
        <v>30</v>
      </c>
      <c r="U315" s="146" t="n">
        <f aca="false">CHOOSE(F$3,A316+24,A315)</f>
        <v>46320</v>
      </c>
      <c r="V315" s="71" t="n">
        <f aca="false">U315-C$3</f>
        <v>9432</v>
      </c>
      <c r="W315" s="142" t="n">
        <f aca="false">VLOOKUP($A315,Table,MATCH(W$4,Curves,0))</f>
        <v>0.058966861357273</v>
      </c>
      <c r="X315" s="147" t="n">
        <f aca="false">1/(1+CHOOSE(F$3,(W316+($K$3/10000))/2,(W315+($K$3/10000))/2))^(2*V315/365.25)</f>
        <v>0.222971914000979</v>
      </c>
      <c r="Y315" s="71" t="n">
        <f aca="false">IF(AND(mthbeg&lt;=A315,mthend&gt;=A315),1,0)</f>
        <v>0</v>
      </c>
      <c r="Z315" s="71" t="n">
        <f aca="false">T315*Y315</f>
        <v>0</v>
      </c>
      <c r="AB315" s="132" t="n">
        <f aca="false">F315*G315</f>
        <v>0</v>
      </c>
      <c r="AC315" s="132" t="n">
        <f aca="false">$F315*H315</f>
        <v>0</v>
      </c>
      <c r="AD315" s="132" t="n">
        <f aca="false">$F315*I315</f>
        <v>0</v>
      </c>
      <c r="AE315" s="132" t="n">
        <f aca="false">$F315*J315</f>
        <v>-0</v>
      </c>
      <c r="AF315" s="132" t="n">
        <f aca="false">$F315*K315</f>
        <v>-0</v>
      </c>
      <c r="AG315" s="132" t="n">
        <f aca="false">$F315*L315</f>
        <v>0</v>
      </c>
      <c r="AH315" s="132" t="n">
        <f aca="false">$F315*M315</f>
        <v>0</v>
      </c>
      <c r="AI315" s="132" t="n">
        <f aca="false">$F315*N315</f>
        <v>0</v>
      </c>
      <c r="AJ315" s="132" t="n">
        <f aca="false">F315*O315</f>
        <v>0</v>
      </c>
      <c r="AK315" s="137"/>
      <c r="AL315" s="132" t="n">
        <f aca="false">CHOOSE($G$3,AC315-AD315,AD315-AC315)</f>
        <v>0</v>
      </c>
      <c r="AM315" s="132" t="n">
        <f aca="false">CHOOSE($G$3,AF315-AG315,AG315-AF315)</f>
        <v>0</v>
      </c>
      <c r="AN315" s="132" t="n">
        <f aca="false">CHOOSE($G$3,AI315-AJ315,AJ315-AI315)</f>
        <v>0</v>
      </c>
      <c r="AO315" s="148" t="n">
        <f aca="false">SUM(AL315:AN315)</f>
        <v>0</v>
      </c>
      <c r="AQ315" s="132" t="n">
        <f aca="false">CHOOSE($G$3,AB315-AC315,AC315-AB315)</f>
        <v>0</v>
      </c>
      <c r="AR315" s="132" t="n">
        <f aca="false">CHOOSE($G$3,AE315-AF315,AF315-AE315)</f>
        <v>0</v>
      </c>
      <c r="AS315" s="132" t="n">
        <f aca="false">CHOOSE($G$3,AH315-AI315,AI315-AH315)</f>
        <v>0</v>
      </c>
      <c r="AT315" s="148" t="n">
        <f aca="false">AQ315+AR315+AS315</f>
        <v>0</v>
      </c>
      <c r="AU315" s="148"/>
      <c r="AV315" s="133" t="n">
        <f aca="false">AT315+AO315</f>
        <v>0</v>
      </c>
      <c r="AX315" s="133" t="n">
        <f aca="false">AJ315+AG315+AD315</f>
        <v>0</v>
      </c>
      <c r="AY315" s="149"/>
      <c r="AZ315" s="76" t="n">
        <f aca="false">R315*E315</f>
        <v>0</v>
      </c>
    </row>
    <row r="316" customFormat="false" ht="12" hidden="false" customHeight="true" outlineLevel="0" collapsed="false">
      <c r="A316" s="138" t="n">
        <f aca="false">EDATE(A315,1)</f>
        <v>46296</v>
      </c>
      <c r="B316" s="139" t="n">
        <f aca="false">VLOOKUP($A316,Table2,MATCH(I$3,Curves2,0))</f>
        <v>0</v>
      </c>
      <c r="C316" s="140"/>
      <c r="D316" s="141" t="n">
        <f aca="false">B316+C316</f>
        <v>0</v>
      </c>
      <c r="E316" s="126" t="n">
        <f aca="false">IF(Y316=0,0,IF(AND(Y316=1,$H$3=1),D316*T316,IF($H$3=2,D316,"N/A")))</f>
        <v>0</v>
      </c>
      <c r="F316" s="126" t="n">
        <f aca="false">E316*X316</f>
        <v>0</v>
      </c>
      <c r="G316" s="142" t="n">
        <f aca="false">VLOOKUP($A316,Table,MATCH(G$4,Curves,0))</f>
        <v>3.987</v>
      </c>
      <c r="H316" s="143" t="n">
        <f aca="false">G316</f>
        <v>3.987</v>
      </c>
      <c r="I316" s="142" t="n">
        <f aca="false">VLOOKUP($A316,Table1,MATCH(I$3,Curves1,0))</f>
        <v>0</v>
      </c>
      <c r="J316" s="142" t="n">
        <f aca="false">VLOOKUP($A316,Table,MATCH(J$4,Curves,0))</f>
        <v>-0.0235</v>
      </c>
      <c r="K316" s="143" t="n">
        <f aca="false">J316</f>
        <v>-0.0235</v>
      </c>
      <c r="L316" s="144" t="n">
        <v>0</v>
      </c>
      <c r="M316" s="142" t="n">
        <f aca="false">VLOOKUP($A316,Table,MATCH(M$4,Curves,0))</f>
        <v>0.0075</v>
      </c>
      <c r="N316" s="143" t="n">
        <f aca="false">M316</f>
        <v>0.0075</v>
      </c>
      <c r="O316" s="144" t="n">
        <v>0</v>
      </c>
      <c r="P316" s="145"/>
      <c r="Q316" s="144" t="n">
        <f aca="false">M316+J316+G316</f>
        <v>3.971</v>
      </c>
      <c r="R316" s="144" t="n">
        <f aca="false">O316+L316+I316</f>
        <v>0</v>
      </c>
      <c r="S316" s="145"/>
      <c r="T316" s="71" t="n">
        <f aca="false">A317-A316</f>
        <v>31</v>
      </c>
      <c r="U316" s="146" t="n">
        <f aca="false">CHOOSE(F$3,A317+24,A316)</f>
        <v>46351</v>
      </c>
      <c r="V316" s="71" t="n">
        <f aca="false">U316-C$3</f>
        <v>9463</v>
      </c>
      <c r="W316" s="142" t="n">
        <f aca="false">VLOOKUP($A316,Table,MATCH(W$4,Curves,0))</f>
        <v>0.058966861357273</v>
      </c>
      <c r="X316" s="147" t="n">
        <f aca="false">1/(1+CHOOSE(F$3,(W317+($K$3/10000))/2,(W316+($K$3/10000))/2))^(2*V316/365.25)</f>
        <v>0.221874844663893</v>
      </c>
      <c r="Y316" s="71" t="n">
        <f aca="false">IF(AND(mthbeg&lt;=A316,mthend&gt;=A316),1,0)</f>
        <v>0</v>
      </c>
      <c r="Z316" s="71" t="n">
        <f aca="false">T316*Y316</f>
        <v>0</v>
      </c>
      <c r="AB316" s="132" t="n">
        <f aca="false">F316*G316</f>
        <v>0</v>
      </c>
      <c r="AC316" s="132" t="n">
        <f aca="false">$F316*H316</f>
        <v>0</v>
      </c>
      <c r="AD316" s="132" t="n">
        <f aca="false">$F316*I316</f>
        <v>0</v>
      </c>
      <c r="AE316" s="132" t="n">
        <f aca="false">$F316*J316</f>
        <v>-0</v>
      </c>
      <c r="AF316" s="132" t="n">
        <f aca="false">$F316*K316</f>
        <v>-0</v>
      </c>
      <c r="AG316" s="132" t="n">
        <f aca="false">$F316*L316</f>
        <v>0</v>
      </c>
      <c r="AH316" s="132" t="n">
        <f aca="false">$F316*M316</f>
        <v>0</v>
      </c>
      <c r="AI316" s="132" t="n">
        <f aca="false">$F316*N316</f>
        <v>0</v>
      </c>
      <c r="AJ316" s="132" t="n">
        <f aca="false">F316*O316</f>
        <v>0</v>
      </c>
      <c r="AK316" s="137"/>
      <c r="AL316" s="132" t="n">
        <f aca="false">CHOOSE($G$3,AC316-AD316,AD316-AC316)</f>
        <v>0</v>
      </c>
      <c r="AM316" s="132" t="n">
        <f aca="false">CHOOSE($G$3,AF316-AG316,AG316-AF316)</f>
        <v>0</v>
      </c>
      <c r="AN316" s="132" t="n">
        <f aca="false">CHOOSE($G$3,AI316-AJ316,AJ316-AI316)</f>
        <v>0</v>
      </c>
      <c r="AO316" s="148" t="n">
        <f aca="false">SUM(AL316:AN316)</f>
        <v>0</v>
      </c>
      <c r="AQ316" s="132" t="n">
        <f aca="false">CHOOSE($G$3,AB316-AC316,AC316-AB316)</f>
        <v>0</v>
      </c>
      <c r="AR316" s="132" t="n">
        <f aca="false">CHOOSE($G$3,AE316-AF316,AF316-AE316)</f>
        <v>0</v>
      </c>
      <c r="AS316" s="132" t="n">
        <f aca="false">CHOOSE($G$3,AH316-AI316,AI316-AH316)</f>
        <v>0</v>
      </c>
      <c r="AT316" s="148" t="n">
        <f aca="false">AQ316+AR316+AS316</f>
        <v>0</v>
      </c>
      <c r="AU316" s="148"/>
      <c r="AV316" s="133" t="n">
        <f aca="false">AT316+AO316</f>
        <v>0</v>
      </c>
      <c r="AX316" s="133" t="n">
        <f aca="false">AJ316+AG316+AD316</f>
        <v>0</v>
      </c>
      <c r="AY316" s="149"/>
      <c r="AZ316" s="76" t="n">
        <f aca="false">R316*E316</f>
        <v>0</v>
      </c>
    </row>
    <row r="317" customFormat="false" ht="12" hidden="false" customHeight="true" outlineLevel="0" collapsed="false">
      <c r="A317" s="138" t="n">
        <f aca="false">EDATE(A316,1)</f>
        <v>46327</v>
      </c>
      <c r="B317" s="139" t="n">
        <f aca="false">VLOOKUP($A317,Table2,MATCH(I$3,Curves2,0))</f>
        <v>0</v>
      </c>
      <c r="C317" s="140"/>
      <c r="D317" s="141" t="n">
        <f aca="false">B317+C317</f>
        <v>0</v>
      </c>
      <c r="E317" s="126" t="n">
        <f aca="false">IF(Y317=0,0,IF(AND(Y317=1,$H$3=1),D317*T317,IF($H$3=2,D317,"N/A")))</f>
        <v>0</v>
      </c>
      <c r="F317" s="126" t="n">
        <f aca="false">E317*X317</f>
        <v>0</v>
      </c>
      <c r="G317" s="142" t="n">
        <f aca="false">VLOOKUP($A317,Table,MATCH(G$4,Curves,0))</f>
        <v>3.987</v>
      </c>
      <c r="H317" s="143" t="n">
        <f aca="false">G317</f>
        <v>3.987</v>
      </c>
      <c r="I317" s="142" t="n">
        <f aca="false">VLOOKUP($A317,Table1,MATCH(I$3,Curves1,0))</f>
        <v>0</v>
      </c>
      <c r="J317" s="142" t="n">
        <f aca="false">VLOOKUP($A317,Table,MATCH(J$4,Curves,0))</f>
        <v>-0.0235</v>
      </c>
      <c r="K317" s="143" t="n">
        <f aca="false">J317</f>
        <v>-0.0235</v>
      </c>
      <c r="L317" s="144" t="n">
        <v>0</v>
      </c>
      <c r="M317" s="142" t="n">
        <f aca="false">VLOOKUP($A317,Table,MATCH(M$4,Curves,0))</f>
        <v>0.0075</v>
      </c>
      <c r="N317" s="143" t="n">
        <f aca="false">M317</f>
        <v>0.0075</v>
      </c>
      <c r="O317" s="144" t="n">
        <v>0</v>
      </c>
      <c r="P317" s="145"/>
      <c r="Q317" s="144" t="n">
        <f aca="false">M317+J317+G317</f>
        <v>3.971</v>
      </c>
      <c r="R317" s="144" t="n">
        <f aca="false">O317+L317+I317</f>
        <v>0</v>
      </c>
      <c r="S317" s="145"/>
      <c r="T317" s="71" t="n">
        <f aca="false">A318-A317</f>
        <v>30</v>
      </c>
      <c r="U317" s="146" t="n">
        <f aca="false">CHOOSE(F$3,A318+24,A317)</f>
        <v>46381</v>
      </c>
      <c r="V317" s="71" t="n">
        <f aca="false">U317-C$3</f>
        <v>9493</v>
      </c>
      <c r="W317" s="142" t="n">
        <f aca="false">VLOOKUP($A317,Table,MATCH(W$4,Curves,0))</f>
        <v>0.058966861357273</v>
      </c>
      <c r="X317" s="147" t="n">
        <f aca="false">1/(1+CHOOSE(F$3,(W318+($K$3/10000))/2,(W317+($K$3/10000))/2))^(2*V317/365.25)</f>
        <v>0.220818304371302</v>
      </c>
      <c r="Y317" s="71" t="n">
        <f aca="false">IF(AND(mthbeg&lt;=A317,mthend&gt;=A317),1,0)</f>
        <v>0</v>
      </c>
      <c r="Z317" s="71" t="n">
        <f aca="false">T317*Y317</f>
        <v>0</v>
      </c>
      <c r="AB317" s="132" t="n">
        <f aca="false">F317*G317</f>
        <v>0</v>
      </c>
      <c r="AC317" s="132" t="n">
        <f aca="false">$F317*H317</f>
        <v>0</v>
      </c>
      <c r="AD317" s="132" t="n">
        <f aca="false">$F317*I317</f>
        <v>0</v>
      </c>
      <c r="AE317" s="132" t="n">
        <f aca="false">$F317*J317</f>
        <v>-0</v>
      </c>
      <c r="AF317" s="132" t="n">
        <f aca="false">$F317*K317</f>
        <v>-0</v>
      </c>
      <c r="AG317" s="132" t="n">
        <f aca="false">$F317*L317</f>
        <v>0</v>
      </c>
      <c r="AH317" s="132" t="n">
        <f aca="false">$F317*M317</f>
        <v>0</v>
      </c>
      <c r="AI317" s="132" t="n">
        <f aca="false">$F317*N317</f>
        <v>0</v>
      </c>
      <c r="AJ317" s="132" t="n">
        <f aca="false">F317*O317</f>
        <v>0</v>
      </c>
      <c r="AK317" s="137"/>
      <c r="AL317" s="132" t="n">
        <f aca="false">CHOOSE($G$3,AC317-AD317,AD317-AC317)</f>
        <v>0</v>
      </c>
      <c r="AM317" s="132" t="n">
        <f aca="false">CHOOSE($G$3,AF317-AG317,AG317-AF317)</f>
        <v>0</v>
      </c>
      <c r="AN317" s="132" t="n">
        <f aca="false">CHOOSE($G$3,AI317-AJ317,AJ317-AI317)</f>
        <v>0</v>
      </c>
      <c r="AO317" s="148" t="n">
        <f aca="false">SUM(AL317:AN317)</f>
        <v>0</v>
      </c>
      <c r="AQ317" s="132" t="n">
        <f aca="false">CHOOSE($G$3,AB317-AC317,AC317-AB317)</f>
        <v>0</v>
      </c>
      <c r="AR317" s="132" t="n">
        <f aca="false">CHOOSE($G$3,AE317-AF317,AF317-AE317)</f>
        <v>0</v>
      </c>
      <c r="AS317" s="132" t="n">
        <f aca="false">CHOOSE($G$3,AH317-AI317,AI317-AH317)</f>
        <v>0</v>
      </c>
      <c r="AT317" s="148" t="n">
        <f aca="false">AQ317+AR317+AS317</f>
        <v>0</v>
      </c>
      <c r="AU317" s="148"/>
      <c r="AV317" s="133" t="n">
        <f aca="false">AT317+AO317</f>
        <v>0</v>
      </c>
      <c r="AX317" s="133" t="n">
        <f aca="false">AJ317+AG317+AD317</f>
        <v>0</v>
      </c>
      <c r="AY317" s="149"/>
      <c r="AZ317" s="76" t="n">
        <f aca="false">R317*E317</f>
        <v>0</v>
      </c>
    </row>
    <row r="318" customFormat="false" ht="12" hidden="false" customHeight="true" outlineLevel="0" collapsed="false">
      <c r="A318" s="138" t="n">
        <f aca="false">EDATE(A317,1)</f>
        <v>46357</v>
      </c>
      <c r="B318" s="139" t="n">
        <f aca="false">VLOOKUP($A318,Table2,MATCH(I$3,Curves2,0))</f>
        <v>0</v>
      </c>
      <c r="C318" s="140"/>
      <c r="D318" s="141" t="n">
        <f aca="false">B318+C318</f>
        <v>0</v>
      </c>
      <c r="E318" s="126" t="n">
        <f aca="false">IF(Y318=0,0,IF(AND(Y318=1,$H$3=1),D318*T318,IF($H$3=2,D318,"N/A")))</f>
        <v>0</v>
      </c>
      <c r="F318" s="126" t="n">
        <f aca="false">E318*X318</f>
        <v>0</v>
      </c>
      <c r="G318" s="142" t="n">
        <f aca="false">VLOOKUP($A318,Table,MATCH(G$4,Curves,0))</f>
        <v>3.987</v>
      </c>
      <c r="H318" s="143" t="n">
        <f aca="false">G318</f>
        <v>3.987</v>
      </c>
      <c r="I318" s="142" t="n">
        <f aca="false">VLOOKUP($A318,Table1,MATCH(I$3,Curves1,0))</f>
        <v>0</v>
      </c>
      <c r="J318" s="142" t="n">
        <f aca="false">VLOOKUP($A318,Table,MATCH(J$4,Curves,0))</f>
        <v>-0.0235</v>
      </c>
      <c r="K318" s="143" t="n">
        <f aca="false">J318</f>
        <v>-0.0235</v>
      </c>
      <c r="L318" s="144" t="n">
        <v>0</v>
      </c>
      <c r="M318" s="142" t="n">
        <f aca="false">VLOOKUP($A318,Table,MATCH(M$4,Curves,0))</f>
        <v>0.0075</v>
      </c>
      <c r="N318" s="143" t="n">
        <f aca="false">M318</f>
        <v>0.0075</v>
      </c>
      <c r="O318" s="144" t="n">
        <v>0</v>
      </c>
      <c r="P318" s="145"/>
      <c r="Q318" s="144" t="n">
        <f aca="false">M318+J318+G318</f>
        <v>3.971</v>
      </c>
      <c r="R318" s="144" t="n">
        <f aca="false">O318+L318+I318</f>
        <v>0</v>
      </c>
      <c r="S318" s="145"/>
      <c r="T318" s="71" t="n">
        <f aca="false">A319-A318</f>
        <v>31</v>
      </c>
      <c r="U318" s="146" t="n">
        <f aca="false">CHOOSE(F$3,A319+24,A318)</f>
        <v>46412</v>
      </c>
      <c r="V318" s="71" t="n">
        <f aca="false">U318-C$3</f>
        <v>9524</v>
      </c>
      <c r="W318" s="142" t="n">
        <f aca="false">VLOOKUP($A318,Table,MATCH(W$4,Curves,0))</f>
        <v>0.058966861357273</v>
      </c>
      <c r="X318" s="147" t="n">
        <f aca="false">1/(1+CHOOSE(F$3,(W319+($K$3/10000))/2,(W318+($K$3/10000))/2))^(2*V318/365.25)</f>
        <v>0.219731831252575</v>
      </c>
      <c r="Y318" s="71" t="n">
        <f aca="false">IF(AND(mthbeg&lt;=A318,mthend&gt;=A318),1,0)</f>
        <v>0</v>
      </c>
      <c r="Z318" s="71" t="n">
        <f aca="false">T318*Y318</f>
        <v>0</v>
      </c>
      <c r="AB318" s="132" t="n">
        <f aca="false">F318*G318</f>
        <v>0</v>
      </c>
      <c r="AC318" s="132" t="n">
        <f aca="false">$F318*H318</f>
        <v>0</v>
      </c>
      <c r="AD318" s="132" t="n">
        <f aca="false">$F318*I318</f>
        <v>0</v>
      </c>
      <c r="AE318" s="132" t="n">
        <f aca="false">$F318*J318</f>
        <v>-0</v>
      </c>
      <c r="AF318" s="132" t="n">
        <f aca="false">$F318*K318</f>
        <v>-0</v>
      </c>
      <c r="AG318" s="132" t="n">
        <f aca="false">$F318*L318</f>
        <v>0</v>
      </c>
      <c r="AH318" s="132" t="n">
        <f aca="false">$F318*M318</f>
        <v>0</v>
      </c>
      <c r="AI318" s="132" t="n">
        <f aca="false">$F318*N318</f>
        <v>0</v>
      </c>
      <c r="AJ318" s="132" t="n">
        <f aca="false">F318*O318</f>
        <v>0</v>
      </c>
      <c r="AK318" s="137"/>
      <c r="AL318" s="132" t="n">
        <f aca="false">CHOOSE($G$3,AC318-AD318,AD318-AC318)</f>
        <v>0</v>
      </c>
      <c r="AM318" s="132" t="n">
        <f aca="false">CHOOSE($G$3,AF318-AG318,AG318-AF318)</f>
        <v>0</v>
      </c>
      <c r="AN318" s="132" t="n">
        <f aca="false">CHOOSE($G$3,AI318-AJ318,AJ318-AI318)</f>
        <v>0</v>
      </c>
      <c r="AO318" s="148" t="n">
        <f aca="false">SUM(AL318:AN318)</f>
        <v>0</v>
      </c>
      <c r="AQ318" s="132" t="n">
        <f aca="false">CHOOSE($G$3,AB318-AC318,AC318-AB318)</f>
        <v>0</v>
      </c>
      <c r="AR318" s="132" t="n">
        <f aca="false">CHOOSE($G$3,AE318-AF318,AF318-AE318)</f>
        <v>0</v>
      </c>
      <c r="AS318" s="132" t="n">
        <f aca="false">CHOOSE($G$3,AH318-AI318,AI318-AH318)</f>
        <v>0</v>
      </c>
      <c r="AT318" s="148" t="n">
        <f aca="false">AQ318+AR318+AS318</f>
        <v>0</v>
      </c>
      <c r="AU318" s="148"/>
      <c r="AV318" s="133" t="n">
        <f aca="false">AT318+AO318</f>
        <v>0</v>
      </c>
      <c r="AX318" s="133" t="n">
        <f aca="false">AJ318+AG318+AD318</f>
        <v>0</v>
      </c>
      <c r="AY318" s="149"/>
      <c r="AZ318" s="76" t="n">
        <f aca="false">R318*E318</f>
        <v>0</v>
      </c>
    </row>
    <row r="319" customFormat="false" ht="12" hidden="false" customHeight="true" outlineLevel="0" collapsed="false">
      <c r="A319" s="138" t="n">
        <f aca="false">EDATE(A318,1)</f>
        <v>46388</v>
      </c>
      <c r="B319" s="139" t="n">
        <f aca="false">VLOOKUP($A319,Table2,MATCH(I$3,Curves2,0))</f>
        <v>0</v>
      </c>
      <c r="C319" s="140"/>
      <c r="D319" s="141" t="n">
        <f aca="false">B319+C319</f>
        <v>0</v>
      </c>
      <c r="E319" s="126" t="n">
        <f aca="false">IF(Y319=0,0,IF(AND(Y319=1,$H$3=1),D319*T319,IF($H$3=2,D319,"N/A")))</f>
        <v>0</v>
      </c>
      <c r="F319" s="126" t="n">
        <f aca="false">E319*X319</f>
        <v>0</v>
      </c>
      <c r="G319" s="142" t="n">
        <f aca="false">VLOOKUP($A319,Table,MATCH(G$4,Curves,0))</f>
        <v>3.987</v>
      </c>
      <c r="H319" s="143" t="n">
        <f aca="false">G319</f>
        <v>3.987</v>
      </c>
      <c r="I319" s="142" t="n">
        <f aca="false">VLOOKUP($A319,Table1,MATCH(I$3,Curves1,0))</f>
        <v>0</v>
      </c>
      <c r="J319" s="142" t="n">
        <f aca="false">VLOOKUP($A319,Table,MATCH(J$4,Curves,0))</f>
        <v>-0.0235</v>
      </c>
      <c r="K319" s="143" t="n">
        <f aca="false">J319</f>
        <v>-0.0235</v>
      </c>
      <c r="L319" s="144" t="n">
        <v>0</v>
      </c>
      <c r="M319" s="142" t="n">
        <f aca="false">VLOOKUP($A319,Table,MATCH(M$4,Curves,0))</f>
        <v>0.0075</v>
      </c>
      <c r="N319" s="143" t="n">
        <f aca="false">M319</f>
        <v>0.0075</v>
      </c>
      <c r="O319" s="144" t="n">
        <v>0</v>
      </c>
      <c r="P319" s="145"/>
      <c r="Q319" s="144" t="n">
        <f aca="false">M319+J319+G319</f>
        <v>3.971</v>
      </c>
      <c r="R319" s="144" t="n">
        <f aca="false">O319+L319+I319</f>
        <v>0</v>
      </c>
      <c r="S319" s="145"/>
      <c r="T319" s="71" t="n">
        <f aca="false">A320-A319</f>
        <v>31</v>
      </c>
      <c r="U319" s="146" t="n">
        <f aca="false">CHOOSE(F$3,A320+24,A319)</f>
        <v>46443</v>
      </c>
      <c r="V319" s="71" t="n">
        <f aca="false">U319-C$3</f>
        <v>9555</v>
      </c>
      <c r="W319" s="142" t="n">
        <f aca="false">VLOOKUP($A319,Table,MATCH(W$4,Curves,0))</f>
        <v>0.058966861357273</v>
      </c>
      <c r="X319" s="147" t="n">
        <f aca="false">1/(1+CHOOSE(F$3,(W320+($K$3/10000))/2,(W319+($K$3/10000))/2))^(2*V319/365.25)</f>
        <v>0.218650703813144</v>
      </c>
      <c r="Y319" s="71" t="n">
        <f aca="false">IF(AND(mthbeg&lt;=A319,mthend&gt;=A319),1,0)</f>
        <v>0</v>
      </c>
      <c r="Z319" s="71" t="n">
        <f aca="false">T319*Y319</f>
        <v>0</v>
      </c>
      <c r="AB319" s="132" t="n">
        <f aca="false">F319*G319</f>
        <v>0</v>
      </c>
      <c r="AC319" s="132" t="n">
        <f aca="false">$F319*H319</f>
        <v>0</v>
      </c>
      <c r="AD319" s="132" t="n">
        <f aca="false">$F319*I319</f>
        <v>0</v>
      </c>
      <c r="AE319" s="132" t="n">
        <f aca="false">$F319*J319</f>
        <v>-0</v>
      </c>
      <c r="AF319" s="132" t="n">
        <f aca="false">$F319*K319</f>
        <v>-0</v>
      </c>
      <c r="AG319" s="132" t="n">
        <f aca="false">$F319*L319</f>
        <v>0</v>
      </c>
      <c r="AH319" s="132" t="n">
        <f aca="false">$F319*M319</f>
        <v>0</v>
      </c>
      <c r="AI319" s="132" t="n">
        <f aca="false">$F319*N319</f>
        <v>0</v>
      </c>
      <c r="AJ319" s="132" t="n">
        <f aca="false">F319*O319</f>
        <v>0</v>
      </c>
      <c r="AK319" s="137"/>
      <c r="AL319" s="132" t="n">
        <f aca="false">CHOOSE($G$3,AC319-AD319,AD319-AC319)</f>
        <v>0</v>
      </c>
      <c r="AM319" s="132" t="n">
        <f aca="false">CHOOSE($G$3,AF319-AG319,AG319-AF319)</f>
        <v>0</v>
      </c>
      <c r="AN319" s="132" t="n">
        <f aca="false">CHOOSE($G$3,AI319-AJ319,AJ319-AI319)</f>
        <v>0</v>
      </c>
      <c r="AO319" s="148" t="n">
        <f aca="false">SUM(AL319:AN319)</f>
        <v>0</v>
      </c>
      <c r="AQ319" s="132" t="n">
        <f aca="false">CHOOSE($G$3,AB319-AC319,AC319-AB319)</f>
        <v>0</v>
      </c>
      <c r="AR319" s="132" t="n">
        <f aca="false">CHOOSE($G$3,AE319-AF319,AF319-AE319)</f>
        <v>0</v>
      </c>
      <c r="AS319" s="132" t="n">
        <f aca="false">CHOOSE($G$3,AH319-AI319,AI319-AH319)</f>
        <v>0</v>
      </c>
      <c r="AT319" s="148" t="n">
        <f aca="false">AQ319+AR319+AS319</f>
        <v>0</v>
      </c>
      <c r="AU319" s="148"/>
      <c r="AV319" s="133" t="n">
        <f aca="false">AT319+AO319</f>
        <v>0</v>
      </c>
      <c r="AX319" s="133" t="n">
        <f aca="false">AJ319+AG319+AD319</f>
        <v>0</v>
      </c>
      <c r="AY319" s="149"/>
      <c r="AZ319" s="76" t="n">
        <f aca="false">R319*E319</f>
        <v>0</v>
      </c>
    </row>
    <row r="320" customFormat="false" ht="12" hidden="false" customHeight="true" outlineLevel="0" collapsed="false">
      <c r="A320" s="138" t="n">
        <f aca="false">EDATE(A319,1)</f>
        <v>46419</v>
      </c>
      <c r="B320" s="139" t="n">
        <f aca="false">VLOOKUP($A320,Table2,MATCH(I$3,Curves2,0))</f>
        <v>0</v>
      </c>
      <c r="C320" s="140"/>
      <c r="D320" s="141" t="n">
        <f aca="false">B320+C320</f>
        <v>0</v>
      </c>
      <c r="E320" s="126" t="n">
        <f aca="false">IF(Y320=0,0,IF(AND(Y320=1,$H$3=1),D320*T320,IF($H$3=2,D320,"N/A")))</f>
        <v>0</v>
      </c>
      <c r="F320" s="126" t="n">
        <f aca="false">E320*X320</f>
        <v>0</v>
      </c>
      <c r="G320" s="142" t="n">
        <f aca="false">VLOOKUP($A320,Table,MATCH(G$4,Curves,0))</f>
        <v>3.987</v>
      </c>
      <c r="H320" s="143" t="n">
        <f aca="false">G320</f>
        <v>3.987</v>
      </c>
      <c r="I320" s="142" t="n">
        <f aca="false">VLOOKUP($A320,Table1,MATCH(I$3,Curves1,0))</f>
        <v>0</v>
      </c>
      <c r="J320" s="142" t="n">
        <f aca="false">VLOOKUP($A320,Table,MATCH(J$4,Curves,0))</f>
        <v>-0.0235</v>
      </c>
      <c r="K320" s="143" t="n">
        <f aca="false">J320</f>
        <v>-0.0235</v>
      </c>
      <c r="L320" s="144" t="n">
        <v>0</v>
      </c>
      <c r="M320" s="142" t="n">
        <f aca="false">VLOOKUP($A320,Table,MATCH(M$4,Curves,0))</f>
        <v>0.0075</v>
      </c>
      <c r="N320" s="143" t="n">
        <f aca="false">M320</f>
        <v>0.0075</v>
      </c>
      <c r="O320" s="144" t="n">
        <v>0</v>
      </c>
      <c r="P320" s="145"/>
      <c r="Q320" s="144" t="n">
        <f aca="false">M320+J320+G320</f>
        <v>3.971</v>
      </c>
      <c r="R320" s="144" t="n">
        <f aca="false">O320+L320+I320</f>
        <v>0</v>
      </c>
      <c r="S320" s="145"/>
      <c r="T320" s="71" t="n">
        <f aca="false">A321-A320</f>
        <v>28</v>
      </c>
      <c r="U320" s="146" t="n">
        <f aca="false">CHOOSE(F$3,A321+24,A320)</f>
        <v>46471</v>
      </c>
      <c r="V320" s="71" t="n">
        <f aca="false">U320-C$3</f>
        <v>9583</v>
      </c>
      <c r="W320" s="142" t="n">
        <f aca="false">VLOOKUP($A320,Table,MATCH(W$4,Curves,0))</f>
        <v>0.058966861357273</v>
      </c>
      <c r="X320" s="147" t="n">
        <f aca="false">1/(1+CHOOSE(F$3,(W321+($K$3/10000))/2,(W320+($K$3/10000))/2))^(2*V320/365.25)</f>
        <v>0.217678774454799</v>
      </c>
      <c r="Y320" s="71" t="n">
        <f aca="false">IF(AND(mthbeg&lt;=A320,mthend&gt;=A320),1,0)</f>
        <v>0</v>
      </c>
      <c r="Z320" s="71" t="n">
        <f aca="false">T320*Y320</f>
        <v>0</v>
      </c>
      <c r="AB320" s="132" t="n">
        <f aca="false">F320*G320</f>
        <v>0</v>
      </c>
      <c r="AC320" s="132" t="n">
        <f aca="false">$F320*H320</f>
        <v>0</v>
      </c>
      <c r="AD320" s="132" t="n">
        <f aca="false">$F320*I320</f>
        <v>0</v>
      </c>
      <c r="AE320" s="132" t="n">
        <f aca="false">$F320*J320</f>
        <v>-0</v>
      </c>
      <c r="AF320" s="132" t="n">
        <f aca="false">$F320*K320</f>
        <v>-0</v>
      </c>
      <c r="AG320" s="132" t="n">
        <f aca="false">$F320*L320</f>
        <v>0</v>
      </c>
      <c r="AH320" s="132" t="n">
        <f aca="false">$F320*M320</f>
        <v>0</v>
      </c>
      <c r="AI320" s="132" t="n">
        <f aca="false">$F320*N320</f>
        <v>0</v>
      </c>
      <c r="AJ320" s="132" t="n">
        <f aca="false">F320*O320</f>
        <v>0</v>
      </c>
      <c r="AK320" s="137"/>
      <c r="AL320" s="132" t="n">
        <f aca="false">CHOOSE($G$3,AC320-AD320,AD320-AC320)</f>
        <v>0</v>
      </c>
      <c r="AM320" s="132" t="n">
        <f aca="false">CHOOSE($G$3,AF320-AG320,AG320-AF320)</f>
        <v>0</v>
      </c>
      <c r="AN320" s="132" t="n">
        <f aca="false">CHOOSE($G$3,AI320-AJ320,AJ320-AI320)</f>
        <v>0</v>
      </c>
      <c r="AO320" s="148" t="n">
        <f aca="false">SUM(AL320:AN320)</f>
        <v>0</v>
      </c>
      <c r="AQ320" s="132" t="n">
        <f aca="false">CHOOSE($G$3,AB320-AC320,AC320-AB320)</f>
        <v>0</v>
      </c>
      <c r="AR320" s="132" t="n">
        <f aca="false">CHOOSE($G$3,AE320-AF320,AF320-AE320)</f>
        <v>0</v>
      </c>
      <c r="AS320" s="132" t="n">
        <f aca="false">CHOOSE($G$3,AH320-AI320,AI320-AH320)</f>
        <v>0</v>
      </c>
      <c r="AT320" s="148" t="n">
        <f aca="false">AQ320+AR320+AS320</f>
        <v>0</v>
      </c>
      <c r="AU320" s="148"/>
      <c r="AV320" s="133" t="n">
        <f aca="false">AT320+AO320</f>
        <v>0</v>
      </c>
      <c r="AX320" s="133" t="n">
        <f aca="false">AJ320+AG320+AD320</f>
        <v>0</v>
      </c>
      <c r="AY320" s="149"/>
      <c r="AZ320" s="76" t="n">
        <f aca="false">R320*E320</f>
        <v>0</v>
      </c>
    </row>
    <row r="321" customFormat="false" ht="12" hidden="false" customHeight="true" outlineLevel="0" collapsed="false">
      <c r="A321" s="138" t="n">
        <f aca="false">EDATE(A320,1)</f>
        <v>46447</v>
      </c>
      <c r="B321" s="139" t="n">
        <f aca="false">VLOOKUP($A321,Table2,MATCH(I$3,Curves2,0))</f>
        <v>0</v>
      </c>
      <c r="C321" s="140"/>
      <c r="D321" s="141" t="n">
        <f aca="false">B321+C321</f>
        <v>0</v>
      </c>
      <c r="E321" s="126" t="n">
        <f aca="false">IF(Y321=0,0,IF(AND(Y321=1,$H$3=1),D321*T321,IF($H$3=2,D321,"N/A")))</f>
        <v>0</v>
      </c>
      <c r="F321" s="126" t="n">
        <f aca="false">E321*X321</f>
        <v>0</v>
      </c>
      <c r="G321" s="142" t="n">
        <f aca="false">VLOOKUP($A321,Table,MATCH(G$4,Curves,0))</f>
        <v>3.987</v>
      </c>
      <c r="H321" s="143" t="n">
        <f aca="false">G321</f>
        <v>3.987</v>
      </c>
      <c r="I321" s="142" t="n">
        <f aca="false">VLOOKUP($A321,Table1,MATCH(I$3,Curves1,0))</f>
        <v>0</v>
      </c>
      <c r="J321" s="142" t="n">
        <f aca="false">VLOOKUP($A321,Table,MATCH(J$4,Curves,0))</f>
        <v>-0.0235</v>
      </c>
      <c r="K321" s="143" t="n">
        <f aca="false">J321</f>
        <v>-0.0235</v>
      </c>
      <c r="L321" s="144" t="n">
        <v>0</v>
      </c>
      <c r="M321" s="142" t="n">
        <f aca="false">VLOOKUP($A321,Table,MATCH(M$4,Curves,0))</f>
        <v>0.0075</v>
      </c>
      <c r="N321" s="143" t="n">
        <f aca="false">M321</f>
        <v>0.0075</v>
      </c>
      <c r="O321" s="144" t="n">
        <v>0</v>
      </c>
      <c r="P321" s="145"/>
      <c r="Q321" s="144" t="n">
        <f aca="false">M321+J321+G321</f>
        <v>3.971</v>
      </c>
      <c r="R321" s="144" t="n">
        <f aca="false">O321+L321+I321</f>
        <v>0</v>
      </c>
      <c r="S321" s="145"/>
      <c r="T321" s="71" t="n">
        <f aca="false">A322-A321</f>
        <v>31</v>
      </c>
      <c r="U321" s="146" t="n">
        <f aca="false">CHOOSE(F$3,A322+24,A321)</f>
        <v>46502</v>
      </c>
      <c r="V321" s="71" t="n">
        <f aca="false">U321-C$3</f>
        <v>9614</v>
      </c>
      <c r="W321" s="142" t="n">
        <f aca="false">VLOOKUP($A321,Table,MATCH(W$4,Curves,0))</f>
        <v>0.058966861357273</v>
      </c>
      <c r="X321" s="147" t="n">
        <f aca="false">1/(1+CHOOSE(F$3,(W322+($K$3/10000))/2,(W321+($K$3/10000))/2))^(2*V321/365.25)</f>
        <v>0.216607748492364</v>
      </c>
      <c r="Y321" s="71" t="n">
        <f aca="false">IF(AND(mthbeg&lt;=A321,mthend&gt;=A321),1,0)</f>
        <v>0</v>
      </c>
      <c r="Z321" s="71" t="n">
        <f aca="false">T321*Y321</f>
        <v>0</v>
      </c>
      <c r="AB321" s="132" t="n">
        <f aca="false">F321*G321</f>
        <v>0</v>
      </c>
      <c r="AC321" s="132" t="n">
        <f aca="false">$F321*H321</f>
        <v>0</v>
      </c>
      <c r="AD321" s="132" t="n">
        <f aca="false">$F321*I321</f>
        <v>0</v>
      </c>
      <c r="AE321" s="132" t="n">
        <f aca="false">$F321*J321</f>
        <v>-0</v>
      </c>
      <c r="AF321" s="132" t="n">
        <f aca="false">$F321*K321</f>
        <v>-0</v>
      </c>
      <c r="AG321" s="132" t="n">
        <f aca="false">$F321*L321</f>
        <v>0</v>
      </c>
      <c r="AH321" s="132" t="n">
        <f aca="false">$F321*M321</f>
        <v>0</v>
      </c>
      <c r="AI321" s="132" t="n">
        <f aca="false">$F321*N321</f>
        <v>0</v>
      </c>
      <c r="AJ321" s="132" t="n">
        <f aca="false">F321*O321</f>
        <v>0</v>
      </c>
      <c r="AK321" s="137"/>
      <c r="AL321" s="132" t="n">
        <f aca="false">CHOOSE($G$3,AC321-AD321,AD321-AC321)</f>
        <v>0</v>
      </c>
      <c r="AM321" s="132" t="n">
        <f aca="false">CHOOSE($G$3,AF321-AG321,AG321-AF321)</f>
        <v>0</v>
      </c>
      <c r="AN321" s="132" t="n">
        <f aca="false">CHOOSE($G$3,AI321-AJ321,AJ321-AI321)</f>
        <v>0</v>
      </c>
      <c r="AO321" s="148" t="n">
        <f aca="false">SUM(AL321:AN321)</f>
        <v>0</v>
      </c>
      <c r="AQ321" s="132" t="n">
        <f aca="false">CHOOSE($G$3,AB321-AC321,AC321-AB321)</f>
        <v>0</v>
      </c>
      <c r="AR321" s="132" t="n">
        <f aca="false">CHOOSE($G$3,AE321-AF321,AF321-AE321)</f>
        <v>0</v>
      </c>
      <c r="AS321" s="132" t="n">
        <f aca="false">CHOOSE($G$3,AH321-AI321,AI321-AH321)</f>
        <v>0</v>
      </c>
      <c r="AT321" s="148" t="n">
        <f aca="false">AQ321+AR321+AS321</f>
        <v>0</v>
      </c>
      <c r="AU321" s="148"/>
      <c r="AV321" s="133" t="n">
        <f aca="false">AT321+AO321</f>
        <v>0</v>
      </c>
      <c r="AX321" s="133" t="n">
        <f aca="false">AJ321+AG321+AD321</f>
        <v>0</v>
      </c>
      <c r="AY321" s="149"/>
      <c r="AZ321" s="76" t="n">
        <f aca="false">R321*E321</f>
        <v>0</v>
      </c>
    </row>
    <row r="322" customFormat="false" ht="12" hidden="false" customHeight="true" outlineLevel="0" collapsed="false">
      <c r="A322" s="138" t="n">
        <f aca="false">EDATE(A321,1)</f>
        <v>46478</v>
      </c>
      <c r="B322" s="139" t="n">
        <f aca="false">VLOOKUP($A322,Table2,MATCH(I$3,Curves2,0))</f>
        <v>0</v>
      </c>
      <c r="C322" s="140"/>
      <c r="D322" s="141" t="n">
        <f aca="false">B322+C322</f>
        <v>0</v>
      </c>
      <c r="E322" s="126" t="n">
        <f aca="false">IF(Y322=0,0,IF(AND(Y322=1,$H$3=1),D322*T322,IF($H$3=2,D322,"N/A")))</f>
        <v>0</v>
      </c>
      <c r="F322" s="126" t="n">
        <f aca="false">E322*X322</f>
        <v>0</v>
      </c>
      <c r="G322" s="142" t="n">
        <f aca="false">VLOOKUP($A322,Table,MATCH(G$4,Curves,0))</f>
        <v>3.987</v>
      </c>
      <c r="H322" s="143" t="n">
        <f aca="false">G322</f>
        <v>3.987</v>
      </c>
      <c r="I322" s="142" t="n">
        <f aca="false">VLOOKUP($A322,Table1,MATCH(I$3,Curves1,0))</f>
        <v>0</v>
      </c>
      <c r="J322" s="142" t="n">
        <f aca="false">VLOOKUP($A322,Table,MATCH(J$4,Curves,0))</f>
        <v>-0.0235</v>
      </c>
      <c r="K322" s="143" t="n">
        <f aca="false">J322</f>
        <v>-0.0235</v>
      </c>
      <c r="L322" s="144" t="n">
        <v>0</v>
      </c>
      <c r="M322" s="142" t="n">
        <f aca="false">VLOOKUP($A322,Table,MATCH(M$4,Curves,0))</f>
        <v>0.0075</v>
      </c>
      <c r="N322" s="143" t="n">
        <f aca="false">M322</f>
        <v>0.0075</v>
      </c>
      <c r="O322" s="144" t="n">
        <v>0</v>
      </c>
      <c r="P322" s="145"/>
      <c r="Q322" s="144" t="n">
        <f aca="false">M322+J322+G322</f>
        <v>3.971</v>
      </c>
      <c r="R322" s="144" t="n">
        <f aca="false">O322+L322+I322</f>
        <v>0</v>
      </c>
      <c r="S322" s="145"/>
      <c r="T322" s="71" t="n">
        <f aca="false">A323-A322</f>
        <v>30</v>
      </c>
      <c r="U322" s="146" t="n">
        <f aca="false">CHOOSE(F$3,A323+24,A322)</f>
        <v>46532</v>
      </c>
      <c r="V322" s="71" t="n">
        <f aca="false">U322-C$3</f>
        <v>9644</v>
      </c>
      <c r="W322" s="142" t="n">
        <f aca="false">VLOOKUP($A322,Table,MATCH(W$4,Curves,0))</f>
        <v>0.058966861357273</v>
      </c>
      <c r="X322" s="147" t="n">
        <f aca="false">1/(1+CHOOSE(F$3,(W323+($K$3/10000))/2,(W322+($K$3/10000))/2))^(2*V322/365.25)</f>
        <v>0.21557628945375</v>
      </c>
      <c r="Y322" s="71" t="n">
        <f aca="false">IF(AND(mthbeg&lt;=A322,mthend&gt;=A322),1,0)</f>
        <v>0</v>
      </c>
      <c r="Z322" s="71" t="n">
        <f aca="false">T322*Y322</f>
        <v>0</v>
      </c>
      <c r="AB322" s="132" t="n">
        <f aca="false">F322*G322</f>
        <v>0</v>
      </c>
      <c r="AC322" s="132" t="n">
        <f aca="false">$F322*H322</f>
        <v>0</v>
      </c>
      <c r="AD322" s="132" t="n">
        <f aca="false">$F322*I322</f>
        <v>0</v>
      </c>
      <c r="AE322" s="132" t="n">
        <f aca="false">$F322*J322</f>
        <v>-0</v>
      </c>
      <c r="AF322" s="132" t="n">
        <f aca="false">$F322*K322</f>
        <v>-0</v>
      </c>
      <c r="AG322" s="132" t="n">
        <f aca="false">$F322*L322</f>
        <v>0</v>
      </c>
      <c r="AH322" s="132" t="n">
        <f aca="false">$F322*M322</f>
        <v>0</v>
      </c>
      <c r="AI322" s="132" t="n">
        <f aca="false">$F322*N322</f>
        <v>0</v>
      </c>
      <c r="AJ322" s="132" t="n">
        <f aca="false">F322*O322</f>
        <v>0</v>
      </c>
      <c r="AK322" s="137"/>
      <c r="AL322" s="132" t="n">
        <f aca="false">CHOOSE($G$3,AC322-AD322,AD322-AC322)</f>
        <v>0</v>
      </c>
      <c r="AM322" s="132" t="n">
        <f aca="false">CHOOSE($G$3,AF322-AG322,AG322-AF322)</f>
        <v>0</v>
      </c>
      <c r="AN322" s="132" t="n">
        <f aca="false">CHOOSE($G$3,AI322-AJ322,AJ322-AI322)</f>
        <v>0</v>
      </c>
      <c r="AO322" s="148" t="n">
        <f aca="false">SUM(AL322:AN322)</f>
        <v>0</v>
      </c>
      <c r="AQ322" s="132" t="n">
        <f aca="false">CHOOSE($G$3,AB322-AC322,AC322-AB322)</f>
        <v>0</v>
      </c>
      <c r="AR322" s="132" t="n">
        <f aca="false">CHOOSE($G$3,AE322-AF322,AF322-AE322)</f>
        <v>0</v>
      </c>
      <c r="AS322" s="132" t="n">
        <f aca="false">CHOOSE($G$3,AH322-AI322,AI322-AH322)</f>
        <v>0</v>
      </c>
      <c r="AT322" s="148" t="n">
        <f aca="false">AQ322+AR322+AS322</f>
        <v>0</v>
      </c>
      <c r="AU322" s="148"/>
      <c r="AV322" s="133" t="n">
        <f aca="false">AT322+AO322</f>
        <v>0</v>
      </c>
      <c r="AX322" s="133" t="n">
        <f aca="false">AJ322+AG322+AD322</f>
        <v>0</v>
      </c>
      <c r="AY322" s="149"/>
      <c r="AZ322" s="76" t="n">
        <f aca="false">R322*E322</f>
        <v>0</v>
      </c>
    </row>
    <row r="323" customFormat="false" ht="12" hidden="false" customHeight="true" outlineLevel="0" collapsed="false">
      <c r="A323" s="138" t="n">
        <f aca="false">EDATE(A322,1)</f>
        <v>46508</v>
      </c>
      <c r="B323" s="139" t="n">
        <f aca="false">VLOOKUP($A323,Table2,MATCH(I$3,Curves2,0))</f>
        <v>0</v>
      </c>
      <c r="C323" s="140"/>
      <c r="D323" s="141" t="n">
        <f aca="false">B323+C323</f>
        <v>0</v>
      </c>
      <c r="E323" s="126" t="n">
        <f aca="false">IF(Y323=0,0,IF(AND(Y323=1,$H$3=1),D323*T323,IF($H$3=2,D323,"N/A")))</f>
        <v>0</v>
      </c>
      <c r="F323" s="126" t="n">
        <f aca="false">E323*X323</f>
        <v>0</v>
      </c>
      <c r="G323" s="142" t="n">
        <f aca="false">VLOOKUP($A323,Table,MATCH(G$4,Curves,0))</f>
        <v>3.987</v>
      </c>
      <c r="H323" s="143" t="n">
        <f aca="false">G323</f>
        <v>3.987</v>
      </c>
      <c r="I323" s="142" t="n">
        <f aca="false">VLOOKUP($A323,Table1,MATCH(I$3,Curves1,0))</f>
        <v>0</v>
      </c>
      <c r="J323" s="142" t="n">
        <f aca="false">VLOOKUP($A323,Table,MATCH(J$4,Curves,0))</f>
        <v>-0.0235</v>
      </c>
      <c r="K323" s="143" t="n">
        <f aca="false">J323</f>
        <v>-0.0235</v>
      </c>
      <c r="L323" s="144" t="n">
        <v>0</v>
      </c>
      <c r="M323" s="142" t="n">
        <f aca="false">VLOOKUP($A323,Table,MATCH(M$4,Curves,0))</f>
        <v>0.0075</v>
      </c>
      <c r="N323" s="143" t="n">
        <f aca="false">M323</f>
        <v>0.0075</v>
      </c>
      <c r="O323" s="144" t="n">
        <v>0</v>
      </c>
      <c r="P323" s="145"/>
      <c r="Q323" s="144" t="n">
        <f aca="false">M323+J323+G323</f>
        <v>3.971</v>
      </c>
      <c r="R323" s="144" t="n">
        <f aca="false">O323+L323+I323</f>
        <v>0</v>
      </c>
      <c r="S323" s="145"/>
      <c r="T323" s="71" t="n">
        <f aca="false">A324-A323</f>
        <v>31</v>
      </c>
      <c r="U323" s="146" t="n">
        <f aca="false">CHOOSE(F$3,A324+24,A323)</f>
        <v>46563</v>
      </c>
      <c r="V323" s="71" t="n">
        <f aca="false">U323-C$3</f>
        <v>9675</v>
      </c>
      <c r="W323" s="142" t="n">
        <f aca="false">VLOOKUP($A323,Table,MATCH(W$4,Curves,0))</f>
        <v>0.058966861357273</v>
      </c>
      <c r="X323" s="147" t="n">
        <f aca="false">1/(1+CHOOSE(F$3,(W324+($K$3/10000))/2,(W323+($K$3/10000))/2))^(2*V323/365.25)</f>
        <v>0.214515608165606</v>
      </c>
      <c r="Y323" s="71" t="n">
        <f aca="false">IF(AND(mthbeg&lt;=A323,mthend&gt;=A323),1,0)</f>
        <v>0</v>
      </c>
      <c r="Z323" s="71" t="n">
        <f aca="false">T323*Y323</f>
        <v>0</v>
      </c>
      <c r="AB323" s="132" t="n">
        <f aca="false">F323*G323</f>
        <v>0</v>
      </c>
      <c r="AC323" s="132" t="n">
        <f aca="false">$F323*H323</f>
        <v>0</v>
      </c>
      <c r="AD323" s="132" t="n">
        <f aca="false">$F323*I323</f>
        <v>0</v>
      </c>
      <c r="AE323" s="132" t="n">
        <f aca="false">$F323*J323</f>
        <v>-0</v>
      </c>
      <c r="AF323" s="132" t="n">
        <f aca="false">$F323*K323</f>
        <v>-0</v>
      </c>
      <c r="AG323" s="132" t="n">
        <f aca="false">$F323*L323</f>
        <v>0</v>
      </c>
      <c r="AH323" s="132" t="n">
        <f aca="false">$F323*M323</f>
        <v>0</v>
      </c>
      <c r="AI323" s="132" t="n">
        <f aca="false">$F323*N323</f>
        <v>0</v>
      </c>
      <c r="AJ323" s="132" t="n">
        <f aca="false">F323*O323</f>
        <v>0</v>
      </c>
      <c r="AK323" s="137"/>
      <c r="AL323" s="132" t="n">
        <f aca="false">CHOOSE($G$3,AC323-AD323,AD323-AC323)</f>
        <v>0</v>
      </c>
      <c r="AM323" s="132" t="n">
        <f aca="false">CHOOSE($G$3,AF323-AG323,AG323-AF323)</f>
        <v>0</v>
      </c>
      <c r="AN323" s="132" t="n">
        <f aca="false">CHOOSE($G$3,AI323-AJ323,AJ323-AI323)</f>
        <v>0</v>
      </c>
      <c r="AO323" s="148" t="n">
        <f aca="false">SUM(AL323:AN323)</f>
        <v>0</v>
      </c>
      <c r="AQ323" s="132" t="n">
        <f aca="false">CHOOSE($G$3,AB323-AC323,AC323-AB323)</f>
        <v>0</v>
      </c>
      <c r="AR323" s="132" t="n">
        <f aca="false">CHOOSE($G$3,AE323-AF323,AF323-AE323)</f>
        <v>0</v>
      </c>
      <c r="AS323" s="132" t="n">
        <f aca="false">CHOOSE($G$3,AH323-AI323,AI323-AH323)</f>
        <v>0</v>
      </c>
      <c r="AT323" s="148" t="n">
        <f aca="false">AQ323+AR323+AS323</f>
        <v>0</v>
      </c>
      <c r="AU323" s="148"/>
      <c r="AV323" s="133" t="n">
        <f aca="false">AT323+AO323</f>
        <v>0</v>
      </c>
      <c r="AX323" s="133" t="n">
        <f aca="false">AJ323+AG323+AD323</f>
        <v>0</v>
      </c>
      <c r="AY323" s="149"/>
      <c r="AZ323" s="76" t="n">
        <f aca="false">R323*E323</f>
        <v>0</v>
      </c>
    </row>
    <row r="324" customFormat="false" ht="12" hidden="false" customHeight="true" outlineLevel="0" collapsed="false">
      <c r="A324" s="138" t="n">
        <f aca="false">EDATE(A323,1)</f>
        <v>46539</v>
      </c>
      <c r="B324" s="139" t="n">
        <f aca="false">VLOOKUP($A324,Table2,MATCH(I$3,Curves2,0))</f>
        <v>0</v>
      </c>
      <c r="C324" s="140"/>
      <c r="D324" s="141" t="n">
        <f aca="false">B324+C324</f>
        <v>0</v>
      </c>
      <c r="E324" s="126" t="n">
        <f aca="false">IF(Y324=0,0,IF(AND(Y324=1,$H$3=1),D324*T324,IF($H$3=2,D324,"N/A")))</f>
        <v>0</v>
      </c>
      <c r="F324" s="126" t="n">
        <f aca="false">E324*X324</f>
        <v>0</v>
      </c>
      <c r="G324" s="142" t="n">
        <f aca="false">VLOOKUP($A324,Table,MATCH(G$4,Curves,0))</f>
        <v>3.987</v>
      </c>
      <c r="H324" s="143" t="n">
        <f aca="false">G324</f>
        <v>3.987</v>
      </c>
      <c r="I324" s="142" t="n">
        <f aca="false">VLOOKUP($A324,Table1,MATCH(I$3,Curves1,0))</f>
        <v>0</v>
      </c>
      <c r="J324" s="142" t="n">
        <f aca="false">VLOOKUP($A324,Table,MATCH(J$4,Curves,0))</f>
        <v>-0.0235</v>
      </c>
      <c r="K324" s="143" t="n">
        <f aca="false">J324</f>
        <v>-0.0235</v>
      </c>
      <c r="L324" s="144" t="n">
        <v>0</v>
      </c>
      <c r="M324" s="142" t="n">
        <f aca="false">VLOOKUP($A324,Table,MATCH(M$4,Curves,0))</f>
        <v>0.0075</v>
      </c>
      <c r="N324" s="143" t="n">
        <f aca="false">M324</f>
        <v>0.0075</v>
      </c>
      <c r="O324" s="144" t="n">
        <v>0</v>
      </c>
      <c r="P324" s="145"/>
      <c r="Q324" s="144" t="n">
        <f aca="false">M324+J324+G324</f>
        <v>3.971</v>
      </c>
      <c r="R324" s="144" t="n">
        <f aca="false">O324+L324+I324</f>
        <v>0</v>
      </c>
      <c r="S324" s="145"/>
      <c r="T324" s="71" t="n">
        <f aca="false">A325-A324</f>
        <v>30</v>
      </c>
      <c r="U324" s="146" t="n">
        <f aca="false">CHOOSE(F$3,A325+24,A324)</f>
        <v>46593</v>
      </c>
      <c r="V324" s="71" t="n">
        <f aca="false">U324-C$3</f>
        <v>9705</v>
      </c>
      <c r="W324" s="142" t="n">
        <f aca="false">VLOOKUP($A324,Table,MATCH(W$4,Curves,0))</f>
        <v>0.058966861357273</v>
      </c>
      <c r="X324" s="147" t="n">
        <f aca="false">1/(1+CHOOSE(F$3,(W325+($K$3/10000))/2,(W324+($K$3/10000))/2))^(2*V324/365.25)</f>
        <v>0.213494111637868</v>
      </c>
      <c r="Y324" s="71" t="n">
        <f aca="false">IF(AND(mthbeg&lt;=A324,mthend&gt;=A324),1,0)</f>
        <v>0</v>
      </c>
      <c r="Z324" s="71" t="n">
        <f aca="false">T324*Y324</f>
        <v>0</v>
      </c>
      <c r="AB324" s="132" t="n">
        <f aca="false">F324*G324</f>
        <v>0</v>
      </c>
      <c r="AC324" s="132" t="n">
        <f aca="false">$F324*H324</f>
        <v>0</v>
      </c>
      <c r="AD324" s="132" t="n">
        <f aca="false">$F324*I324</f>
        <v>0</v>
      </c>
      <c r="AE324" s="132" t="n">
        <f aca="false">$F324*J324</f>
        <v>-0</v>
      </c>
      <c r="AF324" s="132" t="n">
        <f aca="false">$F324*K324</f>
        <v>-0</v>
      </c>
      <c r="AG324" s="132" t="n">
        <f aca="false">$F324*L324</f>
        <v>0</v>
      </c>
      <c r="AH324" s="132" t="n">
        <f aca="false">$F324*M324</f>
        <v>0</v>
      </c>
      <c r="AI324" s="132" t="n">
        <f aca="false">$F324*N324</f>
        <v>0</v>
      </c>
      <c r="AJ324" s="132" t="n">
        <f aca="false">F324*O324</f>
        <v>0</v>
      </c>
      <c r="AK324" s="137"/>
      <c r="AL324" s="132" t="n">
        <f aca="false">CHOOSE($G$3,AC324-AD324,AD324-AC324)</f>
        <v>0</v>
      </c>
      <c r="AM324" s="132" t="n">
        <f aca="false">CHOOSE($G$3,AF324-AG324,AG324-AF324)</f>
        <v>0</v>
      </c>
      <c r="AN324" s="132" t="n">
        <f aca="false">CHOOSE($G$3,AI324-AJ324,AJ324-AI324)</f>
        <v>0</v>
      </c>
      <c r="AO324" s="148" t="n">
        <f aca="false">SUM(AL324:AN324)</f>
        <v>0</v>
      </c>
      <c r="AQ324" s="132" t="n">
        <f aca="false">CHOOSE($G$3,AB324-AC324,AC324-AB324)</f>
        <v>0</v>
      </c>
      <c r="AR324" s="132" t="n">
        <f aca="false">CHOOSE($G$3,AE324-AF324,AF324-AE324)</f>
        <v>0</v>
      </c>
      <c r="AS324" s="132" t="n">
        <f aca="false">CHOOSE($G$3,AH324-AI324,AI324-AH324)</f>
        <v>0</v>
      </c>
      <c r="AT324" s="148" t="n">
        <f aca="false">AQ324+AR324+AS324</f>
        <v>0</v>
      </c>
      <c r="AU324" s="148"/>
      <c r="AV324" s="133" t="n">
        <f aca="false">AT324+AO324</f>
        <v>0</v>
      </c>
      <c r="AX324" s="133" t="n">
        <f aca="false">AJ324+AG324+AD324</f>
        <v>0</v>
      </c>
      <c r="AY324" s="149"/>
      <c r="AZ324" s="76" t="n">
        <f aca="false">R324*E324</f>
        <v>0</v>
      </c>
    </row>
    <row r="325" customFormat="false" ht="12" hidden="false" customHeight="true" outlineLevel="0" collapsed="false">
      <c r="A325" s="138" t="n">
        <f aca="false">EDATE(A324,1)</f>
        <v>46569</v>
      </c>
      <c r="B325" s="139" t="n">
        <f aca="false">VLOOKUP($A325,Table2,MATCH(I$3,Curves2,0))</f>
        <v>0</v>
      </c>
      <c r="C325" s="140"/>
      <c r="D325" s="141" t="n">
        <f aca="false">B325+C325</f>
        <v>0</v>
      </c>
      <c r="E325" s="126" t="n">
        <f aca="false">IF(Y325=0,0,IF(AND(Y325=1,$H$3=1),D325*T325,IF($H$3=2,D325,"N/A")))</f>
        <v>0</v>
      </c>
      <c r="F325" s="126" t="n">
        <f aca="false">E325*X325</f>
        <v>0</v>
      </c>
      <c r="G325" s="142" t="n">
        <f aca="false">VLOOKUP($A325,Table,MATCH(G$4,Curves,0))</f>
        <v>3.987</v>
      </c>
      <c r="H325" s="143" t="n">
        <f aca="false">G325</f>
        <v>3.987</v>
      </c>
      <c r="I325" s="142" t="n">
        <f aca="false">VLOOKUP($A325,Table1,MATCH(I$3,Curves1,0))</f>
        <v>0</v>
      </c>
      <c r="J325" s="142" t="n">
        <f aca="false">VLOOKUP($A325,Table,MATCH(J$4,Curves,0))</f>
        <v>-0.0235</v>
      </c>
      <c r="K325" s="143" t="n">
        <f aca="false">J325</f>
        <v>-0.0235</v>
      </c>
      <c r="L325" s="144" t="n">
        <v>0</v>
      </c>
      <c r="M325" s="142" t="n">
        <f aca="false">VLOOKUP($A325,Table,MATCH(M$4,Curves,0))</f>
        <v>0.0075</v>
      </c>
      <c r="N325" s="143" t="n">
        <f aca="false">M325</f>
        <v>0.0075</v>
      </c>
      <c r="O325" s="144" t="n">
        <v>0</v>
      </c>
      <c r="P325" s="145"/>
      <c r="Q325" s="144" t="n">
        <f aca="false">M325+J325+G325</f>
        <v>3.971</v>
      </c>
      <c r="R325" s="144" t="n">
        <f aca="false">O325+L325+I325</f>
        <v>0</v>
      </c>
      <c r="S325" s="145"/>
      <c r="T325" s="71" t="n">
        <f aca="false">A326-A325</f>
        <v>31</v>
      </c>
      <c r="U325" s="146" t="n">
        <f aca="false">CHOOSE(F$3,A326+24,A325)</f>
        <v>46624</v>
      </c>
      <c r="V325" s="71" t="n">
        <f aca="false">U325-C$3</f>
        <v>9736</v>
      </c>
      <c r="W325" s="142" t="n">
        <f aca="false">VLOOKUP($A325,Table,MATCH(W$4,Curves,0))</f>
        <v>0.058966861357273</v>
      </c>
      <c r="X325" s="147" t="n">
        <f aca="false">1/(1+CHOOSE(F$3,(W326+($K$3/10000))/2,(W325+($K$3/10000))/2))^(2*V325/365.25)</f>
        <v>0.212443675108336</v>
      </c>
      <c r="Y325" s="71" t="n">
        <f aca="false">IF(AND(mthbeg&lt;=A325,mthend&gt;=A325),1,0)</f>
        <v>0</v>
      </c>
      <c r="Z325" s="71" t="n">
        <f aca="false">T325*Y325</f>
        <v>0</v>
      </c>
      <c r="AB325" s="132" t="n">
        <f aca="false">F325*G325</f>
        <v>0</v>
      </c>
      <c r="AC325" s="132" t="n">
        <f aca="false">$F325*H325</f>
        <v>0</v>
      </c>
      <c r="AD325" s="132" t="n">
        <f aca="false">$F325*I325</f>
        <v>0</v>
      </c>
      <c r="AE325" s="132" t="n">
        <f aca="false">$F325*J325</f>
        <v>-0</v>
      </c>
      <c r="AF325" s="132" t="n">
        <f aca="false">$F325*K325</f>
        <v>-0</v>
      </c>
      <c r="AG325" s="132" t="n">
        <f aca="false">$F325*L325</f>
        <v>0</v>
      </c>
      <c r="AH325" s="132" t="n">
        <f aca="false">$F325*M325</f>
        <v>0</v>
      </c>
      <c r="AI325" s="132" t="n">
        <f aca="false">$F325*N325</f>
        <v>0</v>
      </c>
      <c r="AJ325" s="132" t="n">
        <f aca="false">F325*O325</f>
        <v>0</v>
      </c>
      <c r="AK325" s="137"/>
      <c r="AL325" s="132" t="n">
        <f aca="false">CHOOSE($G$3,AC325-AD325,AD325-AC325)</f>
        <v>0</v>
      </c>
      <c r="AM325" s="132" t="n">
        <f aca="false">CHOOSE($G$3,AF325-AG325,AG325-AF325)</f>
        <v>0</v>
      </c>
      <c r="AN325" s="132" t="n">
        <f aca="false">CHOOSE($G$3,AI325-AJ325,AJ325-AI325)</f>
        <v>0</v>
      </c>
      <c r="AO325" s="148" t="n">
        <f aca="false">SUM(AL325:AN325)</f>
        <v>0</v>
      </c>
      <c r="AQ325" s="132" t="n">
        <f aca="false">CHOOSE($G$3,AB325-AC325,AC325-AB325)</f>
        <v>0</v>
      </c>
      <c r="AR325" s="132" t="n">
        <f aca="false">CHOOSE($G$3,AE325-AF325,AF325-AE325)</f>
        <v>0</v>
      </c>
      <c r="AS325" s="132" t="n">
        <f aca="false">CHOOSE($G$3,AH325-AI325,AI325-AH325)</f>
        <v>0</v>
      </c>
      <c r="AT325" s="148" t="n">
        <f aca="false">AQ325+AR325+AS325</f>
        <v>0</v>
      </c>
      <c r="AU325" s="148"/>
      <c r="AV325" s="133" t="n">
        <f aca="false">AT325+AO325</f>
        <v>0</v>
      </c>
      <c r="AX325" s="133" t="n">
        <f aca="false">AJ325+AG325+AD325</f>
        <v>0</v>
      </c>
      <c r="AY325" s="149"/>
      <c r="AZ325" s="76" t="n">
        <f aca="false">R325*E325</f>
        <v>0</v>
      </c>
    </row>
    <row r="326" customFormat="false" ht="12" hidden="false" customHeight="true" outlineLevel="0" collapsed="false">
      <c r="A326" s="138" t="n">
        <f aca="false">EDATE(A325,1)</f>
        <v>46600</v>
      </c>
      <c r="B326" s="139" t="n">
        <f aca="false">VLOOKUP($A326,Table2,MATCH(I$3,Curves2,0))</f>
        <v>0</v>
      </c>
      <c r="C326" s="140"/>
      <c r="D326" s="141" t="n">
        <f aca="false">B326+C326</f>
        <v>0</v>
      </c>
      <c r="E326" s="126" t="n">
        <f aca="false">IF(Y326=0,0,IF(AND(Y326=1,$H$3=1),D326*T326,IF($H$3=2,D326,"N/A")))</f>
        <v>0</v>
      </c>
      <c r="F326" s="126" t="n">
        <f aca="false">E326*X326</f>
        <v>0</v>
      </c>
      <c r="G326" s="142" t="n">
        <f aca="false">VLOOKUP($A326,Table,MATCH(G$4,Curves,0))</f>
        <v>3.987</v>
      </c>
      <c r="H326" s="143" t="n">
        <f aca="false">G326</f>
        <v>3.987</v>
      </c>
      <c r="I326" s="142" t="n">
        <f aca="false">VLOOKUP($A326,Table1,MATCH(I$3,Curves1,0))</f>
        <v>0</v>
      </c>
      <c r="J326" s="142" t="n">
        <f aca="false">VLOOKUP($A326,Table,MATCH(J$4,Curves,0))</f>
        <v>-0.0235</v>
      </c>
      <c r="K326" s="143" t="n">
        <f aca="false">J326</f>
        <v>-0.0235</v>
      </c>
      <c r="L326" s="144" t="n">
        <v>0</v>
      </c>
      <c r="M326" s="142" t="n">
        <f aca="false">VLOOKUP($A326,Table,MATCH(M$4,Curves,0))</f>
        <v>0.0075</v>
      </c>
      <c r="N326" s="143" t="n">
        <f aca="false">M326</f>
        <v>0.0075</v>
      </c>
      <c r="O326" s="144" t="n">
        <v>0</v>
      </c>
      <c r="P326" s="145"/>
      <c r="Q326" s="144" t="n">
        <f aca="false">M326+J326+G326</f>
        <v>3.971</v>
      </c>
      <c r="R326" s="144" t="n">
        <f aca="false">O326+L326+I326</f>
        <v>0</v>
      </c>
      <c r="S326" s="145"/>
      <c r="T326" s="71" t="n">
        <f aca="false">A327-A326</f>
        <v>31</v>
      </c>
      <c r="U326" s="146" t="n">
        <f aca="false">CHOOSE(F$3,A327+24,A326)</f>
        <v>46655</v>
      </c>
      <c r="V326" s="71" t="n">
        <f aca="false">U326-C$3</f>
        <v>9767</v>
      </c>
      <c r="W326" s="142" t="n">
        <f aca="false">VLOOKUP($A326,Table,MATCH(W$4,Curves,0))</f>
        <v>0.058966861357273</v>
      </c>
      <c r="X326" s="147" t="n">
        <f aca="false">1/(1+CHOOSE(F$3,(W327+($K$3/10000))/2,(W326+($K$3/10000))/2))^(2*V326/365.25)</f>
        <v>0.211398406950401</v>
      </c>
      <c r="Y326" s="71" t="n">
        <f aca="false">IF(AND(mthbeg&lt;=A326,mthend&gt;=A326),1,0)</f>
        <v>0</v>
      </c>
      <c r="Z326" s="71" t="n">
        <f aca="false">T326*Y326</f>
        <v>0</v>
      </c>
      <c r="AB326" s="132" t="n">
        <f aca="false">F326*G326</f>
        <v>0</v>
      </c>
      <c r="AC326" s="132" t="n">
        <f aca="false">$F326*H326</f>
        <v>0</v>
      </c>
      <c r="AD326" s="132" t="n">
        <f aca="false">$F326*I326</f>
        <v>0</v>
      </c>
      <c r="AE326" s="132" t="n">
        <f aca="false">$F326*J326</f>
        <v>-0</v>
      </c>
      <c r="AF326" s="132" t="n">
        <f aca="false">$F326*K326</f>
        <v>-0</v>
      </c>
      <c r="AG326" s="132" t="n">
        <f aca="false">$F326*L326</f>
        <v>0</v>
      </c>
      <c r="AH326" s="132" t="n">
        <f aca="false">$F326*M326</f>
        <v>0</v>
      </c>
      <c r="AI326" s="132" t="n">
        <f aca="false">$F326*N326</f>
        <v>0</v>
      </c>
      <c r="AJ326" s="132" t="n">
        <f aca="false">F326*O326</f>
        <v>0</v>
      </c>
      <c r="AK326" s="137"/>
      <c r="AL326" s="132" t="n">
        <f aca="false">CHOOSE($G$3,AC326-AD326,AD326-AC326)</f>
        <v>0</v>
      </c>
      <c r="AM326" s="132" t="n">
        <f aca="false">CHOOSE($G$3,AF326-AG326,AG326-AF326)</f>
        <v>0</v>
      </c>
      <c r="AN326" s="132" t="n">
        <f aca="false">CHOOSE($G$3,AI326-AJ326,AJ326-AI326)</f>
        <v>0</v>
      </c>
      <c r="AO326" s="148" t="n">
        <f aca="false">SUM(AL326:AN326)</f>
        <v>0</v>
      </c>
      <c r="AQ326" s="132" t="n">
        <f aca="false">CHOOSE($G$3,AB326-AC326,AC326-AB326)</f>
        <v>0</v>
      </c>
      <c r="AR326" s="132" t="n">
        <f aca="false">CHOOSE($G$3,AE326-AF326,AF326-AE326)</f>
        <v>0</v>
      </c>
      <c r="AS326" s="132" t="n">
        <f aca="false">CHOOSE($G$3,AH326-AI326,AI326-AH326)</f>
        <v>0</v>
      </c>
      <c r="AT326" s="148" t="n">
        <f aca="false">AQ326+AR326+AS326</f>
        <v>0</v>
      </c>
      <c r="AU326" s="148"/>
      <c r="AV326" s="133" t="n">
        <f aca="false">AT326+AO326</f>
        <v>0</v>
      </c>
      <c r="AX326" s="133" t="n">
        <f aca="false">AJ326+AG326+AD326</f>
        <v>0</v>
      </c>
      <c r="AY326" s="149"/>
      <c r="AZ326" s="76" t="n">
        <f aca="false">R326*E326</f>
        <v>0</v>
      </c>
    </row>
    <row r="327" customFormat="false" ht="12" hidden="false" customHeight="true" outlineLevel="0" collapsed="false">
      <c r="A327" s="138" t="n">
        <f aca="false">EDATE(A326,1)</f>
        <v>46631</v>
      </c>
      <c r="B327" s="139" t="n">
        <f aca="false">VLOOKUP($A327,Table2,MATCH(I$3,Curves2,0))</f>
        <v>0</v>
      </c>
      <c r="C327" s="140"/>
      <c r="D327" s="141" t="n">
        <f aca="false">B327+C327</f>
        <v>0</v>
      </c>
      <c r="E327" s="126" t="n">
        <f aca="false">IF(Y327=0,0,IF(AND(Y327=1,$H$3=1),D327*T327,IF($H$3=2,D327,"N/A")))</f>
        <v>0</v>
      </c>
      <c r="F327" s="126" t="n">
        <f aca="false">E327*X327</f>
        <v>0</v>
      </c>
      <c r="G327" s="142" t="n">
        <f aca="false">VLOOKUP($A327,Table,MATCH(G$4,Curves,0))</f>
        <v>3.987</v>
      </c>
      <c r="H327" s="143" t="n">
        <f aca="false">G327</f>
        <v>3.987</v>
      </c>
      <c r="I327" s="142" t="n">
        <f aca="false">VLOOKUP($A327,Table1,MATCH(I$3,Curves1,0))</f>
        <v>0</v>
      </c>
      <c r="J327" s="142" t="n">
        <f aca="false">VLOOKUP($A327,Table,MATCH(J$4,Curves,0))</f>
        <v>-0.0235</v>
      </c>
      <c r="K327" s="143" t="n">
        <f aca="false">J327</f>
        <v>-0.0235</v>
      </c>
      <c r="L327" s="144" t="n">
        <v>0</v>
      </c>
      <c r="M327" s="142" t="n">
        <f aca="false">VLOOKUP($A327,Table,MATCH(M$4,Curves,0))</f>
        <v>0.0075</v>
      </c>
      <c r="N327" s="143" t="n">
        <f aca="false">M327</f>
        <v>0.0075</v>
      </c>
      <c r="O327" s="144" t="n">
        <v>0</v>
      </c>
      <c r="P327" s="145"/>
      <c r="Q327" s="144" t="n">
        <f aca="false">M327+J327+G327</f>
        <v>3.971</v>
      </c>
      <c r="R327" s="144" t="n">
        <f aca="false">O327+L327+I327</f>
        <v>0</v>
      </c>
      <c r="S327" s="145"/>
      <c r="T327" s="71" t="n">
        <f aca="false">A328-A327</f>
        <v>30</v>
      </c>
      <c r="U327" s="146" t="n">
        <f aca="false">CHOOSE(F$3,A328+24,A327)</f>
        <v>46685</v>
      </c>
      <c r="V327" s="71" t="n">
        <f aca="false">U327-C$3</f>
        <v>9797</v>
      </c>
      <c r="W327" s="142" t="n">
        <f aca="false">VLOOKUP($A327,Table,MATCH(W$4,Curves,0))</f>
        <v>0.058966861357273</v>
      </c>
      <c r="X327" s="147" t="n">
        <f aca="false">1/(1+CHOOSE(F$3,(W328+($K$3/10000))/2,(W327+($K$3/10000))/2))^(2*V327/365.25)</f>
        <v>0.210391754145433</v>
      </c>
      <c r="Y327" s="71" t="n">
        <f aca="false">IF(AND(mthbeg&lt;=A327,mthend&gt;=A327),1,0)</f>
        <v>0</v>
      </c>
      <c r="Z327" s="71" t="n">
        <f aca="false">T327*Y327</f>
        <v>0</v>
      </c>
      <c r="AB327" s="132" t="n">
        <f aca="false">F327*G327</f>
        <v>0</v>
      </c>
      <c r="AC327" s="132" t="n">
        <f aca="false">$F327*H327</f>
        <v>0</v>
      </c>
      <c r="AD327" s="132" t="n">
        <f aca="false">$F327*I327</f>
        <v>0</v>
      </c>
      <c r="AE327" s="132" t="n">
        <f aca="false">$F327*J327</f>
        <v>-0</v>
      </c>
      <c r="AF327" s="132" t="n">
        <f aca="false">$F327*K327</f>
        <v>-0</v>
      </c>
      <c r="AG327" s="132" t="n">
        <f aca="false">$F327*L327</f>
        <v>0</v>
      </c>
      <c r="AH327" s="132" t="n">
        <f aca="false">$F327*M327</f>
        <v>0</v>
      </c>
      <c r="AI327" s="132" t="n">
        <f aca="false">$F327*N327</f>
        <v>0</v>
      </c>
      <c r="AJ327" s="132" t="n">
        <f aca="false">F327*O327</f>
        <v>0</v>
      </c>
      <c r="AK327" s="137"/>
      <c r="AL327" s="132" t="n">
        <f aca="false">CHOOSE($G$3,AC327-AD327,AD327-AC327)</f>
        <v>0</v>
      </c>
      <c r="AM327" s="132" t="n">
        <f aca="false">CHOOSE($G$3,AF327-AG327,AG327-AF327)</f>
        <v>0</v>
      </c>
      <c r="AN327" s="132" t="n">
        <f aca="false">CHOOSE($G$3,AI327-AJ327,AJ327-AI327)</f>
        <v>0</v>
      </c>
      <c r="AO327" s="148" t="n">
        <f aca="false">SUM(AL327:AN327)</f>
        <v>0</v>
      </c>
      <c r="AQ327" s="132" t="n">
        <f aca="false">CHOOSE($G$3,AB327-AC327,AC327-AB327)</f>
        <v>0</v>
      </c>
      <c r="AR327" s="132" t="n">
        <f aca="false">CHOOSE($G$3,AE327-AF327,AF327-AE327)</f>
        <v>0</v>
      </c>
      <c r="AS327" s="132" t="n">
        <f aca="false">CHOOSE($G$3,AH327-AI327,AI327-AH327)</f>
        <v>0</v>
      </c>
      <c r="AT327" s="148" t="n">
        <f aca="false">AQ327+AR327+AS327</f>
        <v>0</v>
      </c>
      <c r="AU327" s="148"/>
      <c r="AV327" s="133" t="n">
        <f aca="false">AT327+AO327</f>
        <v>0</v>
      </c>
      <c r="AX327" s="133" t="n">
        <f aca="false">AJ327+AG327+AD327</f>
        <v>0</v>
      </c>
      <c r="AY327" s="149"/>
      <c r="AZ327" s="76" t="n">
        <f aca="false">R327*E327</f>
        <v>0</v>
      </c>
    </row>
    <row r="328" customFormat="false" ht="12" hidden="false" customHeight="true" outlineLevel="0" collapsed="false">
      <c r="A328" s="138" t="n">
        <f aca="false">EDATE(A327,1)</f>
        <v>46661</v>
      </c>
      <c r="B328" s="139" t="n">
        <f aca="false">VLOOKUP($A328,Table2,MATCH(I$3,Curves2,0))</f>
        <v>0</v>
      </c>
      <c r="C328" s="140"/>
      <c r="D328" s="141" t="n">
        <f aca="false">B328+C328</f>
        <v>0</v>
      </c>
      <c r="E328" s="126" t="n">
        <f aca="false">IF(Y328=0,0,IF(AND(Y328=1,$H$3=1),D328*T328,IF($H$3=2,D328,"N/A")))</f>
        <v>0</v>
      </c>
      <c r="F328" s="126" t="n">
        <f aca="false">E328*X328</f>
        <v>0</v>
      </c>
      <c r="G328" s="142" t="n">
        <f aca="false">VLOOKUP($A328,Table,MATCH(G$4,Curves,0))</f>
        <v>3.987</v>
      </c>
      <c r="H328" s="143" t="n">
        <f aca="false">G328</f>
        <v>3.987</v>
      </c>
      <c r="I328" s="142" t="n">
        <f aca="false">VLOOKUP($A328,Table1,MATCH(I$3,Curves1,0))</f>
        <v>0</v>
      </c>
      <c r="J328" s="142" t="n">
        <f aca="false">VLOOKUP($A328,Table,MATCH(J$4,Curves,0))</f>
        <v>-0.0235</v>
      </c>
      <c r="K328" s="143" t="n">
        <f aca="false">J328</f>
        <v>-0.0235</v>
      </c>
      <c r="L328" s="144" t="n">
        <v>0</v>
      </c>
      <c r="M328" s="142" t="n">
        <f aca="false">VLOOKUP($A328,Table,MATCH(M$4,Curves,0))</f>
        <v>0.0075</v>
      </c>
      <c r="N328" s="143" t="n">
        <f aca="false">M328</f>
        <v>0.0075</v>
      </c>
      <c r="O328" s="144" t="n">
        <v>0</v>
      </c>
      <c r="P328" s="145"/>
      <c r="Q328" s="144" t="n">
        <f aca="false">M328+J328+G328</f>
        <v>3.971</v>
      </c>
      <c r="R328" s="144" t="n">
        <f aca="false">O328+L328+I328</f>
        <v>0</v>
      </c>
      <c r="S328" s="145"/>
      <c r="T328" s="71" t="n">
        <f aca="false">A329-A328</f>
        <v>31</v>
      </c>
      <c r="U328" s="146" t="n">
        <f aca="false">CHOOSE(F$3,A329+24,A328)</f>
        <v>46716</v>
      </c>
      <c r="V328" s="71" t="n">
        <f aca="false">U328-C$3</f>
        <v>9828</v>
      </c>
      <c r="W328" s="142" t="n">
        <f aca="false">VLOOKUP($A328,Table,MATCH(W$4,Curves,0))</f>
        <v>0.058966861357273</v>
      </c>
      <c r="X328" s="147" t="n">
        <f aca="false">1/(1+CHOOSE(F$3,(W329+($K$3/10000))/2,(W328+($K$3/10000))/2))^(2*V328/365.25)</f>
        <v>0.209356581875944</v>
      </c>
      <c r="Y328" s="71" t="n">
        <f aca="false">IF(AND(mthbeg&lt;=A328,mthend&gt;=A328),1,0)</f>
        <v>0</v>
      </c>
      <c r="Z328" s="71" t="n">
        <f aca="false">T328*Y328</f>
        <v>0</v>
      </c>
      <c r="AB328" s="132" t="n">
        <f aca="false">F328*G328</f>
        <v>0</v>
      </c>
      <c r="AC328" s="132" t="n">
        <f aca="false">$F328*H328</f>
        <v>0</v>
      </c>
      <c r="AD328" s="132" t="n">
        <f aca="false">$F328*I328</f>
        <v>0</v>
      </c>
      <c r="AE328" s="132" t="n">
        <f aca="false">$F328*J328</f>
        <v>-0</v>
      </c>
      <c r="AF328" s="132" t="n">
        <f aca="false">$F328*K328</f>
        <v>-0</v>
      </c>
      <c r="AG328" s="132" t="n">
        <f aca="false">$F328*L328</f>
        <v>0</v>
      </c>
      <c r="AH328" s="132" t="n">
        <f aca="false">$F328*M328</f>
        <v>0</v>
      </c>
      <c r="AI328" s="132" t="n">
        <f aca="false">$F328*N328</f>
        <v>0</v>
      </c>
      <c r="AJ328" s="132" t="n">
        <f aca="false">F328*O328</f>
        <v>0</v>
      </c>
      <c r="AK328" s="137"/>
      <c r="AL328" s="132" t="n">
        <f aca="false">CHOOSE($G$3,AC328-AD328,AD328-AC328)</f>
        <v>0</v>
      </c>
      <c r="AM328" s="132" t="n">
        <f aca="false">CHOOSE($G$3,AF328-AG328,AG328-AF328)</f>
        <v>0</v>
      </c>
      <c r="AN328" s="132" t="n">
        <f aca="false">CHOOSE($G$3,AI328-AJ328,AJ328-AI328)</f>
        <v>0</v>
      </c>
      <c r="AO328" s="148" t="n">
        <f aca="false">SUM(AL328:AN328)</f>
        <v>0</v>
      </c>
      <c r="AQ328" s="132" t="n">
        <f aca="false">CHOOSE($G$3,AB328-AC328,AC328-AB328)</f>
        <v>0</v>
      </c>
      <c r="AR328" s="132" t="n">
        <f aca="false">CHOOSE($G$3,AE328-AF328,AF328-AE328)</f>
        <v>0</v>
      </c>
      <c r="AS328" s="132" t="n">
        <f aca="false">CHOOSE($G$3,AH328-AI328,AI328-AH328)</f>
        <v>0</v>
      </c>
      <c r="AT328" s="148" t="n">
        <f aca="false">AQ328+AR328+AS328</f>
        <v>0</v>
      </c>
      <c r="AU328" s="148"/>
      <c r="AV328" s="133" t="n">
        <f aca="false">AT328+AO328</f>
        <v>0</v>
      </c>
      <c r="AX328" s="133" t="n">
        <f aca="false">AJ328+AG328+AD328</f>
        <v>0</v>
      </c>
      <c r="AY328" s="149"/>
      <c r="AZ328" s="76" t="n">
        <f aca="false">R328*E328</f>
        <v>0</v>
      </c>
    </row>
    <row r="329" customFormat="false" ht="12" hidden="false" customHeight="true" outlineLevel="0" collapsed="false">
      <c r="A329" s="138" t="n">
        <f aca="false">EDATE(A328,1)</f>
        <v>46692</v>
      </c>
      <c r="B329" s="139" t="n">
        <f aca="false">VLOOKUP($A329,Table2,MATCH(I$3,Curves2,0))</f>
        <v>0</v>
      </c>
      <c r="C329" s="140"/>
      <c r="D329" s="141" t="n">
        <f aca="false">B329+C329</f>
        <v>0</v>
      </c>
      <c r="E329" s="126" t="n">
        <f aca="false">IF(Y329=0,0,IF(AND(Y329=1,$H$3=1),D329*T329,IF($H$3=2,D329,"N/A")))</f>
        <v>0</v>
      </c>
      <c r="F329" s="126" t="n">
        <f aca="false">E329*X329</f>
        <v>0</v>
      </c>
      <c r="G329" s="142" t="n">
        <f aca="false">VLOOKUP($A329,Table,MATCH(G$4,Curves,0))</f>
        <v>3.987</v>
      </c>
      <c r="H329" s="143" t="n">
        <f aca="false">G329</f>
        <v>3.987</v>
      </c>
      <c r="I329" s="142" t="n">
        <f aca="false">VLOOKUP($A329,Table1,MATCH(I$3,Curves1,0))</f>
        <v>0</v>
      </c>
      <c r="J329" s="142" t="n">
        <f aca="false">VLOOKUP($A329,Table,MATCH(J$4,Curves,0))</f>
        <v>-0.0235</v>
      </c>
      <c r="K329" s="143" t="n">
        <f aca="false">J329</f>
        <v>-0.0235</v>
      </c>
      <c r="L329" s="144" t="n">
        <v>0</v>
      </c>
      <c r="M329" s="142" t="n">
        <f aca="false">VLOOKUP($A329,Table,MATCH(M$4,Curves,0))</f>
        <v>0.0075</v>
      </c>
      <c r="N329" s="143" t="n">
        <f aca="false">M329</f>
        <v>0.0075</v>
      </c>
      <c r="O329" s="144" t="n">
        <v>0</v>
      </c>
      <c r="P329" s="145"/>
      <c r="Q329" s="144" t="n">
        <f aca="false">M329+J329+G329</f>
        <v>3.971</v>
      </c>
      <c r="R329" s="144" t="n">
        <f aca="false">O329+L329+I329</f>
        <v>0</v>
      </c>
      <c r="S329" s="145"/>
      <c r="T329" s="71" t="n">
        <f aca="false">A330-A329</f>
        <v>30</v>
      </c>
      <c r="U329" s="146" t="n">
        <f aca="false">CHOOSE(F$3,A330+24,A329)</f>
        <v>46746</v>
      </c>
      <c r="V329" s="71" t="n">
        <f aca="false">U329-C$3</f>
        <v>9858</v>
      </c>
      <c r="W329" s="142" t="n">
        <f aca="false">VLOOKUP($A329,Table,MATCH(W$4,Curves,0))</f>
        <v>0.058966861357273</v>
      </c>
      <c r="X329" s="147" t="n">
        <f aca="false">1/(1+CHOOSE(F$3,(W330+($K$3/10000))/2,(W329+($K$3/10000))/2))^(2*V329/365.25)</f>
        <v>0.208359651986907</v>
      </c>
      <c r="Y329" s="71" t="n">
        <f aca="false">IF(AND(mthbeg&lt;=A329,mthend&gt;=A329),1,0)</f>
        <v>0</v>
      </c>
      <c r="Z329" s="71" t="n">
        <f aca="false">T329*Y329</f>
        <v>0</v>
      </c>
      <c r="AB329" s="132" t="n">
        <f aca="false">F329*G329</f>
        <v>0</v>
      </c>
      <c r="AC329" s="132" t="n">
        <f aca="false">$F329*H329</f>
        <v>0</v>
      </c>
      <c r="AD329" s="132" t="n">
        <f aca="false">$F329*I329</f>
        <v>0</v>
      </c>
      <c r="AE329" s="132" t="n">
        <f aca="false">$F329*J329</f>
        <v>-0</v>
      </c>
      <c r="AF329" s="132" t="n">
        <f aca="false">$F329*K329</f>
        <v>-0</v>
      </c>
      <c r="AG329" s="132" t="n">
        <f aca="false">$F329*L329</f>
        <v>0</v>
      </c>
      <c r="AH329" s="132" t="n">
        <f aca="false">$F329*M329</f>
        <v>0</v>
      </c>
      <c r="AI329" s="132" t="n">
        <f aca="false">$F329*N329</f>
        <v>0</v>
      </c>
      <c r="AJ329" s="132" t="n">
        <f aca="false">F329*O329</f>
        <v>0</v>
      </c>
      <c r="AK329" s="137"/>
      <c r="AL329" s="132" t="n">
        <f aca="false">CHOOSE($G$3,AC329-AD329,AD329-AC329)</f>
        <v>0</v>
      </c>
      <c r="AM329" s="132" t="n">
        <f aca="false">CHOOSE($G$3,AF329-AG329,AG329-AF329)</f>
        <v>0</v>
      </c>
      <c r="AN329" s="132" t="n">
        <f aca="false">CHOOSE($G$3,AI329-AJ329,AJ329-AI329)</f>
        <v>0</v>
      </c>
      <c r="AO329" s="148" t="n">
        <f aca="false">SUM(AL329:AN329)</f>
        <v>0</v>
      </c>
      <c r="AQ329" s="132" t="n">
        <f aca="false">CHOOSE($G$3,AB329-AC329,AC329-AB329)</f>
        <v>0</v>
      </c>
      <c r="AR329" s="132" t="n">
        <f aca="false">CHOOSE($G$3,AE329-AF329,AF329-AE329)</f>
        <v>0</v>
      </c>
      <c r="AS329" s="132" t="n">
        <f aca="false">CHOOSE($G$3,AH329-AI329,AI329-AH329)</f>
        <v>0</v>
      </c>
      <c r="AT329" s="148" t="n">
        <f aca="false">AQ329+AR329+AS329</f>
        <v>0</v>
      </c>
      <c r="AU329" s="148"/>
      <c r="AV329" s="133" t="n">
        <f aca="false">AT329+AO329</f>
        <v>0</v>
      </c>
      <c r="AX329" s="133" t="n">
        <f aca="false">AJ329+AG329+AD329</f>
        <v>0</v>
      </c>
      <c r="AY329" s="149"/>
      <c r="AZ329" s="76" t="n">
        <f aca="false">R329*E329</f>
        <v>0</v>
      </c>
    </row>
    <row r="330" customFormat="false" ht="12" hidden="false" customHeight="true" outlineLevel="0" collapsed="false">
      <c r="A330" s="138" t="n">
        <f aca="false">EDATE(A329,1)</f>
        <v>46722</v>
      </c>
      <c r="B330" s="139" t="n">
        <f aca="false">VLOOKUP($A330,Table2,MATCH(I$3,Curves2,0))</f>
        <v>0</v>
      </c>
      <c r="C330" s="140"/>
      <c r="D330" s="141" t="n">
        <f aca="false">B330+C330</f>
        <v>0</v>
      </c>
      <c r="E330" s="126" t="n">
        <f aca="false">IF(Y330=0,0,IF(AND(Y330=1,$H$3=1),D330*T330,IF($H$3=2,D330,"N/A")))</f>
        <v>0</v>
      </c>
      <c r="F330" s="126" t="n">
        <f aca="false">E330*X330</f>
        <v>0</v>
      </c>
      <c r="G330" s="142" t="n">
        <f aca="false">VLOOKUP($A330,Table,MATCH(G$4,Curves,0))</f>
        <v>3.987</v>
      </c>
      <c r="H330" s="143" t="n">
        <f aca="false">G330</f>
        <v>3.987</v>
      </c>
      <c r="I330" s="142" t="n">
        <f aca="false">VLOOKUP($A330,Table1,MATCH(I$3,Curves1,0))</f>
        <v>0</v>
      </c>
      <c r="J330" s="142" t="n">
        <f aca="false">VLOOKUP($A330,Table,MATCH(J$4,Curves,0))</f>
        <v>-0.0235</v>
      </c>
      <c r="K330" s="143" t="n">
        <f aca="false">J330</f>
        <v>-0.0235</v>
      </c>
      <c r="L330" s="144" t="n">
        <v>0</v>
      </c>
      <c r="M330" s="142" t="n">
        <f aca="false">VLOOKUP($A330,Table,MATCH(M$4,Curves,0))</f>
        <v>0.0075</v>
      </c>
      <c r="N330" s="143" t="n">
        <f aca="false">M330</f>
        <v>0.0075</v>
      </c>
      <c r="O330" s="144" t="n">
        <v>0</v>
      </c>
      <c r="P330" s="145"/>
      <c r="Q330" s="144" t="n">
        <f aca="false">M330+J330+G330</f>
        <v>3.971</v>
      </c>
      <c r="R330" s="144" t="n">
        <f aca="false">O330+L330+I330</f>
        <v>0</v>
      </c>
      <c r="S330" s="145"/>
      <c r="T330" s="71" t="n">
        <f aca="false">A331-A330</f>
        <v>31</v>
      </c>
      <c r="U330" s="146" t="n">
        <f aca="false">CHOOSE(F$3,A331+24,A330)</f>
        <v>46777</v>
      </c>
      <c r="V330" s="71" t="n">
        <f aca="false">U330-C$3</f>
        <v>9889</v>
      </c>
      <c r="W330" s="142" t="n">
        <f aca="false">VLOOKUP($A330,Table,MATCH(W$4,Curves,0))</f>
        <v>0.058966861357273</v>
      </c>
      <c r="X330" s="147" t="n">
        <f aca="false">1/(1+CHOOSE(F$3,(W331+($K$3/10000))/2,(W330+($K$3/10000))/2))^(2*V330/365.25)</f>
        <v>0.207334478093123</v>
      </c>
      <c r="Y330" s="71" t="n">
        <f aca="false">IF(AND(mthbeg&lt;=A330,mthend&gt;=A330),1,0)</f>
        <v>0</v>
      </c>
      <c r="Z330" s="71" t="n">
        <f aca="false">T330*Y330</f>
        <v>0</v>
      </c>
      <c r="AB330" s="132" t="n">
        <f aca="false">F330*G330</f>
        <v>0</v>
      </c>
      <c r="AC330" s="132" t="n">
        <f aca="false">$F330*H330</f>
        <v>0</v>
      </c>
      <c r="AD330" s="132" t="n">
        <f aca="false">$F330*I330</f>
        <v>0</v>
      </c>
      <c r="AE330" s="132" t="n">
        <f aca="false">$F330*J330</f>
        <v>-0</v>
      </c>
      <c r="AF330" s="132" t="n">
        <f aca="false">$F330*K330</f>
        <v>-0</v>
      </c>
      <c r="AG330" s="132" t="n">
        <f aca="false">$F330*L330</f>
        <v>0</v>
      </c>
      <c r="AH330" s="132" t="n">
        <f aca="false">$F330*M330</f>
        <v>0</v>
      </c>
      <c r="AI330" s="132" t="n">
        <f aca="false">$F330*N330</f>
        <v>0</v>
      </c>
      <c r="AJ330" s="132" t="n">
        <f aca="false">F330*O330</f>
        <v>0</v>
      </c>
      <c r="AK330" s="137"/>
      <c r="AL330" s="132" t="n">
        <f aca="false">CHOOSE($G$3,AC330-AD330,AD330-AC330)</f>
        <v>0</v>
      </c>
      <c r="AM330" s="132" t="n">
        <f aca="false">CHOOSE($G$3,AF330-AG330,AG330-AF330)</f>
        <v>0</v>
      </c>
      <c r="AN330" s="132" t="n">
        <f aca="false">CHOOSE($G$3,AI330-AJ330,AJ330-AI330)</f>
        <v>0</v>
      </c>
      <c r="AO330" s="148" t="n">
        <f aca="false">SUM(AL330:AN330)</f>
        <v>0</v>
      </c>
      <c r="AQ330" s="132" t="n">
        <f aca="false">CHOOSE($G$3,AB330-AC330,AC330-AB330)</f>
        <v>0</v>
      </c>
      <c r="AR330" s="132" t="n">
        <f aca="false">CHOOSE($G$3,AE330-AF330,AF330-AE330)</f>
        <v>0</v>
      </c>
      <c r="AS330" s="132" t="n">
        <f aca="false">CHOOSE($G$3,AH330-AI330,AI330-AH330)</f>
        <v>0</v>
      </c>
      <c r="AT330" s="148" t="n">
        <f aca="false">AQ330+AR330+AS330</f>
        <v>0</v>
      </c>
      <c r="AU330" s="148"/>
      <c r="AV330" s="133" t="n">
        <f aca="false">AT330+AO330</f>
        <v>0</v>
      </c>
      <c r="AX330" s="133" t="n">
        <f aca="false">AJ330+AG330+AD330</f>
        <v>0</v>
      </c>
      <c r="AY330" s="149"/>
      <c r="AZ330" s="76" t="n">
        <f aca="false">R330*E330</f>
        <v>0</v>
      </c>
    </row>
    <row r="331" customFormat="false" ht="12" hidden="false" customHeight="true" outlineLevel="0" collapsed="false">
      <c r="A331" s="138" t="n">
        <f aca="false">EDATE(A330,1)</f>
        <v>46753</v>
      </c>
      <c r="B331" s="139" t="n">
        <f aca="false">VLOOKUP($A331,Table2,MATCH(I$3,Curves2,0))</f>
        <v>0</v>
      </c>
      <c r="C331" s="140"/>
      <c r="D331" s="141" t="n">
        <f aca="false">B331+C331</f>
        <v>0</v>
      </c>
      <c r="E331" s="126" t="n">
        <f aca="false">IF(Y331=0,0,IF(AND(Y331=1,$H$3=1),D331*T331,IF($H$3=2,D331,"N/A")))</f>
        <v>0</v>
      </c>
      <c r="F331" s="126" t="n">
        <f aca="false">E331*X331</f>
        <v>0</v>
      </c>
      <c r="G331" s="142" t="n">
        <f aca="false">VLOOKUP($A331,Table,MATCH(G$4,Curves,0))</f>
        <v>3.987</v>
      </c>
      <c r="H331" s="143" t="n">
        <f aca="false">G331</f>
        <v>3.987</v>
      </c>
      <c r="I331" s="142" t="n">
        <f aca="false">VLOOKUP($A331,Table1,MATCH(I$3,Curves1,0))</f>
        <v>0</v>
      </c>
      <c r="J331" s="142" t="n">
        <f aca="false">VLOOKUP($A331,Table,MATCH(J$4,Curves,0))</f>
        <v>-0.0235</v>
      </c>
      <c r="K331" s="143" t="n">
        <f aca="false">J331</f>
        <v>-0.0235</v>
      </c>
      <c r="L331" s="144" t="n">
        <v>0</v>
      </c>
      <c r="M331" s="142" t="n">
        <f aca="false">VLOOKUP($A331,Table,MATCH(M$4,Curves,0))</f>
        <v>0.0075</v>
      </c>
      <c r="N331" s="143" t="n">
        <f aca="false">M331</f>
        <v>0.0075</v>
      </c>
      <c r="O331" s="144" t="n">
        <v>0</v>
      </c>
      <c r="P331" s="145"/>
      <c r="Q331" s="144" t="n">
        <f aca="false">M331+J331+G331</f>
        <v>3.971</v>
      </c>
      <c r="R331" s="144" t="n">
        <f aca="false">O331+L331+I331</f>
        <v>0</v>
      </c>
      <c r="S331" s="145"/>
      <c r="T331" s="71" t="n">
        <f aca="false">A332-A331</f>
        <v>31</v>
      </c>
      <c r="U331" s="146" t="n">
        <f aca="false">CHOOSE(F$3,A332+24,A331)</f>
        <v>46808</v>
      </c>
      <c r="V331" s="71" t="n">
        <f aca="false">U331-C$3</f>
        <v>9920</v>
      </c>
      <c r="W331" s="142" t="n">
        <f aca="false">VLOOKUP($A331,Table,MATCH(W$4,Curves,0))</f>
        <v>0.058966861357273</v>
      </c>
      <c r="X331" s="147" t="n">
        <f aca="false">1/(1+CHOOSE(F$3,(W332+($K$3/10000))/2,(W331+($K$3/10000))/2))^(2*V331/365.25)</f>
        <v>0.206314348273384</v>
      </c>
      <c r="Y331" s="71" t="n">
        <f aca="false">IF(AND(mthbeg&lt;=A331,mthend&gt;=A331),1,0)</f>
        <v>0</v>
      </c>
      <c r="Z331" s="71" t="n">
        <f aca="false">T331*Y331</f>
        <v>0</v>
      </c>
      <c r="AB331" s="132" t="n">
        <f aca="false">F331*G331</f>
        <v>0</v>
      </c>
      <c r="AC331" s="132" t="n">
        <f aca="false">$F331*H331</f>
        <v>0</v>
      </c>
      <c r="AD331" s="132" t="n">
        <f aca="false">$F331*I331</f>
        <v>0</v>
      </c>
      <c r="AE331" s="132" t="n">
        <f aca="false">$F331*J331</f>
        <v>-0</v>
      </c>
      <c r="AF331" s="132" t="n">
        <f aca="false">$F331*K331</f>
        <v>-0</v>
      </c>
      <c r="AG331" s="132" t="n">
        <f aca="false">$F331*L331</f>
        <v>0</v>
      </c>
      <c r="AH331" s="132" t="n">
        <f aca="false">$F331*M331</f>
        <v>0</v>
      </c>
      <c r="AI331" s="132" t="n">
        <f aca="false">$F331*N331</f>
        <v>0</v>
      </c>
      <c r="AJ331" s="132" t="n">
        <f aca="false">F331*O331</f>
        <v>0</v>
      </c>
      <c r="AK331" s="137"/>
      <c r="AL331" s="132" t="n">
        <f aca="false">CHOOSE($G$3,AC331-AD331,AD331-AC331)</f>
        <v>0</v>
      </c>
      <c r="AM331" s="132" t="n">
        <f aca="false">CHOOSE($G$3,AF331-AG331,AG331-AF331)</f>
        <v>0</v>
      </c>
      <c r="AN331" s="132" t="n">
        <f aca="false">CHOOSE($G$3,AI331-AJ331,AJ331-AI331)</f>
        <v>0</v>
      </c>
      <c r="AO331" s="148" t="n">
        <f aca="false">SUM(AL331:AN331)</f>
        <v>0</v>
      </c>
      <c r="AQ331" s="132" t="n">
        <f aca="false">CHOOSE($G$3,AB331-AC331,AC331-AB331)</f>
        <v>0</v>
      </c>
      <c r="AR331" s="132" t="n">
        <f aca="false">CHOOSE($G$3,AE331-AF331,AF331-AE331)</f>
        <v>0</v>
      </c>
      <c r="AS331" s="132" t="n">
        <f aca="false">CHOOSE($G$3,AH331-AI331,AI331-AH331)</f>
        <v>0</v>
      </c>
      <c r="AT331" s="148" t="n">
        <f aca="false">AQ331+AR331+AS331</f>
        <v>0</v>
      </c>
      <c r="AU331" s="148"/>
      <c r="AV331" s="133" t="n">
        <f aca="false">AT331+AO331</f>
        <v>0</v>
      </c>
      <c r="AX331" s="133" t="n">
        <f aca="false">AJ331+AG331+AD331</f>
        <v>0</v>
      </c>
      <c r="AY331" s="149"/>
      <c r="AZ331" s="76" t="n">
        <f aca="false">R331*E331</f>
        <v>0</v>
      </c>
    </row>
    <row r="332" customFormat="false" ht="12" hidden="false" customHeight="true" outlineLevel="0" collapsed="false">
      <c r="A332" s="138" t="n">
        <f aca="false">EDATE(A331,1)</f>
        <v>46784</v>
      </c>
      <c r="B332" s="139" t="n">
        <f aca="false">VLOOKUP($A332,Table2,MATCH(I$3,Curves2,0))</f>
        <v>0</v>
      </c>
      <c r="C332" s="140"/>
      <c r="D332" s="141" t="n">
        <f aca="false">B332+C332</f>
        <v>0</v>
      </c>
      <c r="E332" s="126" t="n">
        <f aca="false">IF(Y332=0,0,IF(AND(Y332=1,$H$3=1),D332*T332,IF($H$3=2,D332,"N/A")))</f>
        <v>0</v>
      </c>
      <c r="F332" s="126" t="n">
        <f aca="false">E332*X332</f>
        <v>0</v>
      </c>
      <c r="G332" s="142" t="n">
        <f aca="false">VLOOKUP($A332,Table,MATCH(G$4,Curves,0))</f>
        <v>3.987</v>
      </c>
      <c r="H332" s="143" t="n">
        <f aca="false">G332</f>
        <v>3.987</v>
      </c>
      <c r="I332" s="142" t="n">
        <f aca="false">VLOOKUP($A332,Table1,MATCH(I$3,Curves1,0))</f>
        <v>0</v>
      </c>
      <c r="J332" s="142" t="n">
        <f aca="false">VLOOKUP($A332,Table,MATCH(J$4,Curves,0))</f>
        <v>-0.0235</v>
      </c>
      <c r="K332" s="143" t="n">
        <f aca="false">J332</f>
        <v>-0.0235</v>
      </c>
      <c r="L332" s="144" t="n">
        <v>0</v>
      </c>
      <c r="M332" s="142" t="n">
        <f aca="false">VLOOKUP($A332,Table,MATCH(M$4,Curves,0))</f>
        <v>0.0075</v>
      </c>
      <c r="N332" s="143" t="n">
        <f aca="false">M332</f>
        <v>0.0075</v>
      </c>
      <c r="O332" s="144" t="n">
        <v>0</v>
      </c>
      <c r="P332" s="145"/>
      <c r="Q332" s="144" t="n">
        <f aca="false">M332+J332+G332</f>
        <v>3.971</v>
      </c>
      <c r="R332" s="144" t="n">
        <f aca="false">O332+L332+I332</f>
        <v>0</v>
      </c>
      <c r="S332" s="145"/>
      <c r="T332" s="71" t="n">
        <f aca="false">A333-A332</f>
        <v>29</v>
      </c>
      <c r="U332" s="146" t="n">
        <f aca="false">CHOOSE(F$3,A333+24,A332)</f>
        <v>46837</v>
      </c>
      <c r="V332" s="71" t="n">
        <f aca="false">U332-C$3</f>
        <v>9949</v>
      </c>
      <c r="W332" s="142" t="n">
        <f aca="false">VLOOKUP($A332,Table,MATCH(W$4,Curves,0))</f>
        <v>0.058966861357273</v>
      </c>
      <c r="X332" s="147" t="n">
        <f aca="false">1/(1+CHOOSE(F$3,(W333+($K$3/10000))/2,(W332+($K$3/10000))/2))^(2*V332/365.25)</f>
        <v>0.205364577729721</v>
      </c>
      <c r="Y332" s="71" t="n">
        <f aca="false">IF(AND(mthbeg&lt;=A332,mthend&gt;=A332),1,0)</f>
        <v>0</v>
      </c>
      <c r="Z332" s="71" t="n">
        <f aca="false">T332*Y332</f>
        <v>0</v>
      </c>
      <c r="AB332" s="132" t="n">
        <f aca="false">F332*G332</f>
        <v>0</v>
      </c>
      <c r="AC332" s="132" t="n">
        <f aca="false">$F332*H332</f>
        <v>0</v>
      </c>
      <c r="AD332" s="132" t="n">
        <f aca="false">$F332*I332</f>
        <v>0</v>
      </c>
      <c r="AE332" s="132" t="n">
        <f aca="false">$F332*J332</f>
        <v>-0</v>
      </c>
      <c r="AF332" s="132" t="n">
        <f aca="false">$F332*K332</f>
        <v>-0</v>
      </c>
      <c r="AG332" s="132" t="n">
        <f aca="false">$F332*L332</f>
        <v>0</v>
      </c>
      <c r="AH332" s="132" t="n">
        <f aca="false">$F332*M332</f>
        <v>0</v>
      </c>
      <c r="AI332" s="132" t="n">
        <f aca="false">$F332*N332</f>
        <v>0</v>
      </c>
      <c r="AJ332" s="132" t="n">
        <f aca="false">F332*O332</f>
        <v>0</v>
      </c>
      <c r="AK332" s="137"/>
      <c r="AL332" s="132" t="n">
        <f aca="false">CHOOSE($G$3,AC332-AD332,AD332-AC332)</f>
        <v>0</v>
      </c>
      <c r="AM332" s="132" t="n">
        <f aca="false">CHOOSE($G$3,AF332-AG332,AG332-AF332)</f>
        <v>0</v>
      </c>
      <c r="AN332" s="132" t="n">
        <f aca="false">CHOOSE($G$3,AI332-AJ332,AJ332-AI332)</f>
        <v>0</v>
      </c>
      <c r="AO332" s="148" t="n">
        <f aca="false">SUM(AL332:AN332)</f>
        <v>0</v>
      </c>
      <c r="AQ332" s="132" t="n">
        <f aca="false">CHOOSE($G$3,AB332-AC332,AC332-AB332)</f>
        <v>0</v>
      </c>
      <c r="AR332" s="132" t="n">
        <f aca="false">CHOOSE($G$3,AE332-AF332,AF332-AE332)</f>
        <v>0</v>
      </c>
      <c r="AS332" s="132" t="n">
        <f aca="false">CHOOSE($G$3,AH332-AI332,AI332-AH332)</f>
        <v>0</v>
      </c>
      <c r="AT332" s="148" t="n">
        <f aca="false">AQ332+AR332+AS332</f>
        <v>0</v>
      </c>
      <c r="AU332" s="148"/>
      <c r="AV332" s="133" t="n">
        <f aca="false">AT332+AO332</f>
        <v>0</v>
      </c>
      <c r="AX332" s="133" t="n">
        <f aca="false">AJ332+AG332+AD332</f>
        <v>0</v>
      </c>
      <c r="AY332" s="149"/>
      <c r="AZ332" s="76" t="n">
        <f aca="false">R332*E332</f>
        <v>0</v>
      </c>
    </row>
    <row r="333" customFormat="false" ht="12" hidden="false" customHeight="true" outlineLevel="0" collapsed="false">
      <c r="A333" s="138" t="n">
        <f aca="false">EDATE(A332,1)</f>
        <v>46813</v>
      </c>
      <c r="B333" s="139" t="n">
        <f aca="false">VLOOKUP($A333,Table2,MATCH(I$3,Curves2,0))</f>
        <v>0</v>
      </c>
      <c r="C333" s="140"/>
      <c r="D333" s="141" t="n">
        <f aca="false">B333+C333</f>
        <v>0</v>
      </c>
      <c r="E333" s="126" t="n">
        <f aca="false">IF(Y333=0,0,IF(AND(Y333=1,$H$3=1),D333*T333,IF($H$3=2,D333,"N/A")))</f>
        <v>0</v>
      </c>
      <c r="F333" s="126" t="n">
        <f aca="false">E333*X333</f>
        <v>0</v>
      </c>
      <c r="G333" s="142" t="n">
        <f aca="false">VLOOKUP($A333,Table,MATCH(G$4,Curves,0))</f>
        <v>3.987</v>
      </c>
      <c r="H333" s="143" t="n">
        <f aca="false">G333</f>
        <v>3.987</v>
      </c>
      <c r="I333" s="142" t="n">
        <f aca="false">VLOOKUP($A333,Table1,MATCH(I$3,Curves1,0))</f>
        <v>0</v>
      </c>
      <c r="J333" s="142" t="n">
        <f aca="false">VLOOKUP($A333,Table,MATCH(J$4,Curves,0))</f>
        <v>-0.0235</v>
      </c>
      <c r="K333" s="143" t="n">
        <f aca="false">J333</f>
        <v>-0.0235</v>
      </c>
      <c r="L333" s="144" t="n">
        <v>0</v>
      </c>
      <c r="M333" s="142" t="n">
        <f aca="false">VLOOKUP($A333,Table,MATCH(M$4,Curves,0))</f>
        <v>0.0075</v>
      </c>
      <c r="N333" s="143" t="n">
        <f aca="false">M333</f>
        <v>0.0075</v>
      </c>
      <c r="O333" s="144" t="n">
        <v>0</v>
      </c>
      <c r="P333" s="145"/>
      <c r="Q333" s="144" t="n">
        <f aca="false">M333+J333+G333</f>
        <v>3.971</v>
      </c>
      <c r="R333" s="144" t="n">
        <f aca="false">O333+L333+I333</f>
        <v>0</v>
      </c>
      <c r="S333" s="145"/>
      <c r="T333" s="71" t="n">
        <f aca="false">A334-A333</f>
        <v>31</v>
      </c>
      <c r="U333" s="146" t="n">
        <f aca="false">CHOOSE(F$3,A334+24,A333)</f>
        <v>46868</v>
      </c>
      <c r="V333" s="71" t="n">
        <f aca="false">U333-C$3</f>
        <v>9980</v>
      </c>
      <c r="W333" s="142" t="n">
        <f aca="false">VLOOKUP($A333,Table,MATCH(W$4,Curves,0))</f>
        <v>0.058966861357273</v>
      </c>
      <c r="X333" s="147" t="n">
        <f aca="false">1/(1+CHOOSE(F$3,(W334+($K$3/10000))/2,(W333+($K$3/10000))/2))^(2*V333/365.25)</f>
        <v>0.204354140239599</v>
      </c>
      <c r="Y333" s="71" t="n">
        <f aca="false">IF(AND(mthbeg&lt;=A333,mthend&gt;=A333),1,0)</f>
        <v>0</v>
      </c>
      <c r="Z333" s="71" t="n">
        <f aca="false">T333*Y333</f>
        <v>0</v>
      </c>
      <c r="AB333" s="132" t="n">
        <f aca="false">F333*G333</f>
        <v>0</v>
      </c>
      <c r="AC333" s="132" t="n">
        <f aca="false">$F333*H333</f>
        <v>0</v>
      </c>
      <c r="AD333" s="132" t="n">
        <f aca="false">$F333*I333</f>
        <v>0</v>
      </c>
      <c r="AE333" s="132" t="n">
        <f aca="false">$F333*J333</f>
        <v>-0</v>
      </c>
      <c r="AF333" s="132" t="n">
        <f aca="false">$F333*K333</f>
        <v>-0</v>
      </c>
      <c r="AG333" s="132" t="n">
        <f aca="false">$F333*L333</f>
        <v>0</v>
      </c>
      <c r="AH333" s="132" t="n">
        <f aca="false">$F333*M333</f>
        <v>0</v>
      </c>
      <c r="AI333" s="132" t="n">
        <f aca="false">$F333*N333</f>
        <v>0</v>
      </c>
      <c r="AJ333" s="132" t="n">
        <f aca="false">F333*O333</f>
        <v>0</v>
      </c>
      <c r="AK333" s="137"/>
      <c r="AL333" s="132" t="n">
        <f aca="false">CHOOSE($G$3,AC333-AD333,AD333-AC333)</f>
        <v>0</v>
      </c>
      <c r="AM333" s="132" t="n">
        <f aca="false">CHOOSE($G$3,AF333-AG333,AG333-AF333)</f>
        <v>0</v>
      </c>
      <c r="AN333" s="132" t="n">
        <f aca="false">CHOOSE($G$3,AI333-AJ333,AJ333-AI333)</f>
        <v>0</v>
      </c>
      <c r="AO333" s="148" t="n">
        <f aca="false">SUM(AL333:AN333)</f>
        <v>0</v>
      </c>
      <c r="AQ333" s="132" t="n">
        <f aca="false">CHOOSE($G$3,AB333-AC333,AC333-AB333)</f>
        <v>0</v>
      </c>
      <c r="AR333" s="132" t="n">
        <f aca="false">CHOOSE($G$3,AE333-AF333,AF333-AE333)</f>
        <v>0</v>
      </c>
      <c r="AS333" s="132" t="n">
        <f aca="false">CHOOSE($G$3,AH333-AI333,AI333-AH333)</f>
        <v>0</v>
      </c>
      <c r="AT333" s="148" t="n">
        <f aca="false">AQ333+AR333+AS333</f>
        <v>0</v>
      </c>
      <c r="AU333" s="148"/>
      <c r="AV333" s="133" t="n">
        <f aca="false">AT333+AO333</f>
        <v>0</v>
      </c>
      <c r="AX333" s="133" t="n">
        <f aca="false">AJ333+AG333+AD333</f>
        <v>0</v>
      </c>
      <c r="AY333" s="149"/>
      <c r="AZ333" s="76" t="n">
        <f aca="false">R333*E333</f>
        <v>0</v>
      </c>
    </row>
    <row r="334" customFormat="false" ht="12" hidden="false" customHeight="true" outlineLevel="0" collapsed="false">
      <c r="A334" s="138" t="n">
        <f aca="false">EDATE(A333,1)</f>
        <v>46844</v>
      </c>
      <c r="B334" s="139" t="n">
        <f aca="false">VLOOKUP($A334,Table2,MATCH(I$3,Curves2,0))</f>
        <v>0</v>
      </c>
      <c r="C334" s="140"/>
      <c r="D334" s="141" t="n">
        <f aca="false">B334+C334</f>
        <v>0</v>
      </c>
      <c r="E334" s="126" t="n">
        <f aca="false">IF(Y334=0,0,IF(AND(Y334=1,$H$3=1),D334*T334,IF($H$3=2,D334,"N/A")))</f>
        <v>0</v>
      </c>
      <c r="F334" s="126" t="n">
        <f aca="false">E334*X334</f>
        <v>0</v>
      </c>
      <c r="G334" s="142" t="n">
        <f aca="false">VLOOKUP($A334,Table,MATCH(G$4,Curves,0))</f>
        <v>3.987</v>
      </c>
      <c r="H334" s="143" t="n">
        <f aca="false">G334</f>
        <v>3.987</v>
      </c>
      <c r="I334" s="142" t="n">
        <f aca="false">VLOOKUP($A334,Table1,MATCH(I$3,Curves1,0))</f>
        <v>0</v>
      </c>
      <c r="J334" s="142" t="n">
        <f aca="false">VLOOKUP($A334,Table,MATCH(J$4,Curves,0))</f>
        <v>-0.0235</v>
      </c>
      <c r="K334" s="143" t="n">
        <f aca="false">J334</f>
        <v>-0.0235</v>
      </c>
      <c r="L334" s="144" t="n">
        <v>0</v>
      </c>
      <c r="M334" s="142" t="n">
        <f aca="false">VLOOKUP($A334,Table,MATCH(M$4,Curves,0))</f>
        <v>0.0075</v>
      </c>
      <c r="N334" s="143" t="n">
        <f aca="false">M334</f>
        <v>0.0075</v>
      </c>
      <c r="O334" s="144" t="n">
        <v>0</v>
      </c>
      <c r="P334" s="145"/>
      <c r="Q334" s="144" t="n">
        <f aca="false">M334+J334+G334</f>
        <v>3.971</v>
      </c>
      <c r="R334" s="144" t="n">
        <f aca="false">O334+L334+I334</f>
        <v>0</v>
      </c>
      <c r="S334" s="145"/>
      <c r="T334" s="71" t="n">
        <f aca="false">A335-A334</f>
        <v>30</v>
      </c>
      <c r="U334" s="146" t="n">
        <f aca="false">CHOOSE(F$3,A335+24,A334)</f>
        <v>46898</v>
      </c>
      <c r="V334" s="71" t="n">
        <f aca="false">U334-C$3</f>
        <v>10010</v>
      </c>
      <c r="W334" s="142" t="n">
        <f aca="false">VLOOKUP($A334,Table,MATCH(W$4,Curves,0))</f>
        <v>0.058966861357273</v>
      </c>
      <c r="X334" s="147" t="n">
        <f aca="false">1/(1+CHOOSE(F$3,(W335+($K$3/10000))/2,(W334+($K$3/10000))/2))^(2*V334/365.25)</f>
        <v>0.203381031352704</v>
      </c>
      <c r="Y334" s="71" t="n">
        <f aca="false">IF(AND(mthbeg&lt;=A334,mthend&gt;=A334),1,0)</f>
        <v>0</v>
      </c>
      <c r="Z334" s="71" t="n">
        <f aca="false">T334*Y334</f>
        <v>0</v>
      </c>
      <c r="AB334" s="132" t="n">
        <f aca="false">F334*G334</f>
        <v>0</v>
      </c>
      <c r="AC334" s="132" t="n">
        <f aca="false">$F334*H334</f>
        <v>0</v>
      </c>
      <c r="AD334" s="132" t="n">
        <f aca="false">$F334*I334</f>
        <v>0</v>
      </c>
      <c r="AE334" s="132" t="n">
        <f aca="false">$F334*J334</f>
        <v>-0</v>
      </c>
      <c r="AF334" s="132" t="n">
        <f aca="false">$F334*K334</f>
        <v>-0</v>
      </c>
      <c r="AG334" s="132" t="n">
        <f aca="false">$F334*L334</f>
        <v>0</v>
      </c>
      <c r="AH334" s="132" t="n">
        <f aca="false">$F334*M334</f>
        <v>0</v>
      </c>
      <c r="AI334" s="132" t="n">
        <f aca="false">$F334*N334</f>
        <v>0</v>
      </c>
      <c r="AJ334" s="132" t="n">
        <f aca="false">F334*O334</f>
        <v>0</v>
      </c>
      <c r="AK334" s="137"/>
      <c r="AL334" s="132" t="n">
        <f aca="false">CHOOSE($G$3,AC334-AD334,AD334-AC334)</f>
        <v>0</v>
      </c>
      <c r="AM334" s="132" t="n">
        <f aca="false">CHOOSE($G$3,AF334-AG334,AG334-AF334)</f>
        <v>0</v>
      </c>
      <c r="AN334" s="132" t="n">
        <f aca="false">CHOOSE($G$3,AI334-AJ334,AJ334-AI334)</f>
        <v>0</v>
      </c>
      <c r="AO334" s="148" t="n">
        <f aca="false">SUM(AL334:AN334)</f>
        <v>0</v>
      </c>
      <c r="AQ334" s="132" t="n">
        <f aca="false">CHOOSE($G$3,AB334-AC334,AC334-AB334)</f>
        <v>0</v>
      </c>
      <c r="AR334" s="132" t="n">
        <f aca="false">CHOOSE($G$3,AE334-AF334,AF334-AE334)</f>
        <v>0</v>
      </c>
      <c r="AS334" s="132" t="n">
        <f aca="false">CHOOSE($G$3,AH334-AI334,AI334-AH334)</f>
        <v>0</v>
      </c>
      <c r="AT334" s="148" t="n">
        <f aca="false">AQ334+AR334+AS334</f>
        <v>0</v>
      </c>
      <c r="AU334" s="148"/>
      <c r="AV334" s="133" t="n">
        <f aca="false">AT334+AO334</f>
        <v>0</v>
      </c>
      <c r="AX334" s="133" t="n">
        <f aca="false">AJ334+AG334+AD334</f>
        <v>0</v>
      </c>
      <c r="AY334" s="149"/>
      <c r="AZ334" s="76" t="n">
        <f aca="false">R334*E334</f>
        <v>0</v>
      </c>
    </row>
    <row r="335" customFormat="false" ht="12" hidden="false" customHeight="true" outlineLevel="0" collapsed="false">
      <c r="A335" s="138" t="n">
        <f aca="false">EDATE(A334,1)</f>
        <v>46874</v>
      </c>
      <c r="B335" s="139" t="n">
        <f aca="false">VLOOKUP($A335,Table2,MATCH(I$3,Curves2,0))</f>
        <v>0</v>
      </c>
      <c r="C335" s="140"/>
      <c r="D335" s="141" t="n">
        <f aca="false">B335+C335</f>
        <v>0</v>
      </c>
      <c r="E335" s="126" t="n">
        <f aca="false">IF(Y335=0,0,IF(AND(Y335=1,$H$3=1),D335*T335,IF($H$3=2,D335,"N/A")))</f>
        <v>0</v>
      </c>
      <c r="F335" s="126" t="n">
        <f aca="false">E335*X335</f>
        <v>0</v>
      </c>
      <c r="G335" s="142" t="n">
        <f aca="false">VLOOKUP($A335,Table,MATCH(G$4,Curves,0))</f>
        <v>3.987</v>
      </c>
      <c r="H335" s="143" t="n">
        <f aca="false">G335</f>
        <v>3.987</v>
      </c>
      <c r="I335" s="142" t="n">
        <f aca="false">VLOOKUP($A335,Table1,MATCH(I$3,Curves1,0))</f>
        <v>0</v>
      </c>
      <c r="J335" s="142" t="n">
        <f aca="false">VLOOKUP($A335,Table,MATCH(J$4,Curves,0))</f>
        <v>-0.0235</v>
      </c>
      <c r="K335" s="143" t="n">
        <f aca="false">J335</f>
        <v>-0.0235</v>
      </c>
      <c r="L335" s="144" t="n">
        <v>0</v>
      </c>
      <c r="M335" s="142" t="n">
        <f aca="false">VLOOKUP($A335,Table,MATCH(M$4,Curves,0))</f>
        <v>0.0075</v>
      </c>
      <c r="N335" s="143" t="n">
        <f aca="false">M335</f>
        <v>0.0075</v>
      </c>
      <c r="O335" s="144" t="n">
        <v>0</v>
      </c>
      <c r="P335" s="145"/>
      <c r="Q335" s="144" t="n">
        <f aca="false">M335+J335+G335</f>
        <v>3.971</v>
      </c>
      <c r="R335" s="144" t="n">
        <f aca="false">O335+L335+I335</f>
        <v>0</v>
      </c>
      <c r="S335" s="145"/>
      <c r="T335" s="71" t="n">
        <f aca="false">A336-A335</f>
        <v>31</v>
      </c>
      <c r="U335" s="146" t="n">
        <f aca="false">CHOOSE(F$3,A336+24,A335)</f>
        <v>46929</v>
      </c>
      <c r="V335" s="71" t="n">
        <f aca="false">U335-C$3</f>
        <v>10041</v>
      </c>
      <c r="W335" s="142" t="n">
        <f aca="false">VLOOKUP($A335,Table,MATCH(W$4,Curves,0))</f>
        <v>0.058966861357273</v>
      </c>
      <c r="X335" s="147" t="n">
        <f aca="false">1/(1+CHOOSE(F$3,(W336+($K$3/10000))/2,(W335+($K$3/10000))/2))^(2*V335/365.25)</f>
        <v>0.202380353333494</v>
      </c>
      <c r="Y335" s="71" t="n">
        <f aca="false">IF(AND(mthbeg&lt;=A335,mthend&gt;=A335),1,0)</f>
        <v>0</v>
      </c>
      <c r="Z335" s="71" t="n">
        <f aca="false">T335*Y335</f>
        <v>0</v>
      </c>
      <c r="AB335" s="132" t="n">
        <f aca="false">F335*G335</f>
        <v>0</v>
      </c>
      <c r="AC335" s="132" t="n">
        <f aca="false">$F335*H335</f>
        <v>0</v>
      </c>
      <c r="AD335" s="132" t="n">
        <f aca="false">$F335*I335</f>
        <v>0</v>
      </c>
      <c r="AE335" s="132" t="n">
        <f aca="false">$F335*J335</f>
        <v>-0</v>
      </c>
      <c r="AF335" s="132" t="n">
        <f aca="false">$F335*K335</f>
        <v>-0</v>
      </c>
      <c r="AG335" s="132" t="n">
        <f aca="false">$F335*L335</f>
        <v>0</v>
      </c>
      <c r="AH335" s="132" t="n">
        <f aca="false">$F335*M335</f>
        <v>0</v>
      </c>
      <c r="AI335" s="132" t="n">
        <f aca="false">$F335*N335</f>
        <v>0</v>
      </c>
      <c r="AJ335" s="132" t="n">
        <f aca="false">F335*O335</f>
        <v>0</v>
      </c>
      <c r="AK335" s="137"/>
      <c r="AL335" s="132" t="n">
        <f aca="false">CHOOSE($G$3,AC335-AD335,AD335-AC335)</f>
        <v>0</v>
      </c>
      <c r="AM335" s="132" t="n">
        <f aca="false">CHOOSE($G$3,AF335-AG335,AG335-AF335)</f>
        <v>0</v>
      </c>
      <c r="AN335" s="132" t="n">
        <f aca="false">CHOOSE($G$3,AI335-AJ335,AJ335-AI335)</f>
        <v>0</v>
      </c>
      <c r="AO335" s="148" t="n">
        <f aca="false">SUM(AL335:AN335)</f>
        <v>0</v>
      </c>
      <c r="AQ335" s="132" t="n">
        <f aca="false">CHOOSE($G$3,AB335-AC335,AC335-AB335)</f>
        <v>0</v>
      </c>
      <c r="AR335" s="132" t="n">
        <f aca="false">CHOOSE($G$3,AE335-AF335,AF335-AE335)</f>
        <v>0</v>
      </c>
      <c r="AS335" s="132" t="n">
        <f aca="false">CHOOSE($G$3,AH335-AI335,AI335-AH335)</f>
        <v>0</v>
      </c>
      <c r="AT335" s="148" t="n">
        <f aca="false">AQ335+AR335+AS335</f>
        <v>0</v>
      </c>
      <c r="AU335" s="148"/>
      <c r="AV335" s="133" t="n">
        <f aca="false">AT335+AO335</f>
        <v>0</v>
      </c>
      <c r="AX335" s="133" t="n">
        <f aca="false">AJ335+AG335+AD335</f>
        <v>0</v>
      </c>
      <c r="AY335" s="149"/>
      <c r="AZ335" s="76" t="n">
        <f aca="false">R335*E335</f>
        <v>0</v>
      </c>
    </row>
    <row r="336" customFormat="false" ht="12" hidden="false" customHeight="true" outlineLevel="0" collapsed="false">
      <c r="A336" s="138" t="n">
        <f aca="false">EDATE(A335,1)</f>
        <v>46905</v>
      </c>
      <c r="B336" s="139" t="n">
        <f aca="false">VLOOKUP($A336,Table2,MATCH(I$3,Curves2,0))</f>
        <v>0</v>
      </c>
      <c r="C336" s="140"/>
      <c r="D336" s="141" t="n">
        <f aca="false">B336+C336</f>
        <v>0</v>
      </c>
      <c r="E336" s="126" t="n">
        <f aca="false">IF(Y336=0,0,IF(AND(Y336=1,$H$3=1),D336*T336,IF($H$3=2,D336,"N/A")))</f>
        <v>0</v>
      </c>
      <c r="F336" s="126" t="n">
        <f aca="false">E336*X336</f>
        <v>0</v>
      </c>
      <c r="G336" s="142" t="n">
        <f aca="false">VLOOKUP($A336,Table,MATCH(G$4,Curves,0))</f>
        <v>3.987</v>
      </c>
      <c r="H336" s="143" t="n">
        <f aca="false">G336</f>
        <v>3.987</v>
      </c>
      <c r="I336" s="142" t="n">
        <f aca="false">VLOOKUP($A336,Table1,MATCH(I$3,Curves1,0))</f>
        <v>0</v>
      </c>
      <c r="J336" s="142" t="n">
        <f aca="false">VLOOKUP($A336,Table,MATCH(J$4,Curves,0))</f>
        <v>-0.0235</v>
      </c>
      <c r="K336" s="143" t="n">
        <f aca="false">J336</f>
        <v>-0.0235</v>
      </c>
      <c r="L336" s="144" t="n">
        <v>0</v>
      </c>
      <c r="M336" s="142" t="n">
        <f aca="false">VLOOKUP($A336,Table,MATCH(M$4,Curves,0))</f>
        <v>0.0075</v>
      </c>
      <c r="N336" s="143" t="n">
        <f aca="false">M336</f>
        <v>0.0075</v>
      </c>
      <c r="O336" s="144" t="n">
        <v>0</v>
      </c>
      <c r="P336" s="145"/>
      <c r="Q336" s="144" t="n">
        <f aca="false">M336+J336+G336</f>
        <v>3.971</v>
      </c>
      <c r="R336" s="144" t="n">
        <f aca="false">O336+L336+I336</f>
        <v>0</v>
      </c>
      <c r="S336" s="145"/>
      <c r="T336" s="71" t="n">
        <f aca="false">A337-A336</f>
        <v>30</v>
      </c>
      <c r="U336" s="146" t="n">
        <f aca="false">CHOOSE(F$3,A337+24,A336)</f>
        <v>46959</v>
      </c>
      <c r="V336" s="71" t="n">
        <f aca="false">U336-C$3</f>
        <v>10071</v>
      </c>
      <c r="W336" s="142" t="n">
        <f aca="false">VLOOKUP($A336,Table,MATCH(W$4,Curves,0))</f>
        <v>0.058966861357273</v>
      </c>
      <c r="X336" s="147" t="n">
        <f aca="false">1/(1+CHOOSE(F$3,(W337+($K$3/10000))/2,(W336+($K$3/10000))/2))^(2*V336/365.25)</f>
        <v>0.201416643373271</v>
      </c>
      <c r="Y336" s="71" t="n">
        <f aca="false">IF(AND(mthbeg&lt;=A336,mthend&gt;=A336),1,0)</f>
        <v>0</v>
      </c>
      <c r="Z336" s="71" t="n">
        <f aca="false">T336*Y336</f>
        <v>0</v>
      </c>
      <c r="AB336" s="132" t="n">
        <f aca="false">F336*G336</f>
        <v>0</v>
      </c>
      <c r="AC336" s="132" t="n">
        <f aca="false">$F336*H336</f>
        <v>0</v>
      </c>
      <c r="AD336" s="132" t="n">
        <f aca="false">$F336*I336</f>
        <v>0</v>
      </c>
      <c r="AE336" s="132" t="n">
        <f aca="false">$F336*J336</f>
        <v>-0</v>
      </c>
      <c r="AF336" s="132" t="n">
        <f aca="false">$F336*K336</f>
        <v>-0</v>
      </c>
      <c r="AG336" s="132" t="n">
        <f aca="false">$F336*L336</f>
        <v>0</v>
      </c>
      <c r="AH336" s="132" t="n">
        <f aca="false">$F336*M336</f>
        <v>0</v>
      </c>
      <c r="AI336" s="132" t="n">
        <f aca="false">$F336*N336</f>
        <v>0</v>
      </c>
      <c r="AJ336" s="132" t="n">
        <f aca="false">F336*O336</f>
        <v>0</v>
      </c>
      <c r="AK336" s="137"/>
      <c r="AL336" s="132" t="n">
        <f aca="false">CHOOSE($G$3,AC336-AD336,AD336-AC336)</f>
        <v>0</v>
      </c>
      <c r="AM336" s="132" t="n">
        <f aca="false">CHOOSE($G$3,AF336-AG336,AG336-AF336)</f>
        <v>0</v>
      </c>
      <c r="AN336" s="132" t="n">
        <f aca="false">CHOOSE($G$3,AI336-AJ336,AJ336-AI336)</f>
        <v>0</v>
      </c>
      <c r="AO336" s="148" t="n">
        <f aca="false">SUM(AL336:AN336)</f>
        <v>0</v>
      </c>
      <c r="AQ336" s="132" t="n">
        <f aca="false">CHOOSE($G$3,AB336-AC336,AC336-AB336)</f>
        <v>0</v>
      </c>
      <c r="AR336" s="132" t="n">
        <f aca="false">CHOOSE($G$3,AE336-AF336,AF336-AE336)</f>
        <v>0</v>
      </c>
      <c r="AS336" s="132" t="n">
        <f aca="false">CHOOSE($G$3,AH336-AI336,AI336-AH336)</f>
        <v>0</v>
      </c>
      <c r="AT336" s="148" t="n">
        <f aca="false">AQ336+AR336+AS336</f>
        <v>0</v>
      </c>
      <c r="AU336" s="148"/>
      <c r="AV336" s="133" t="n">
        <f aca="false">AT336+AO336</f>
        <v>0</v>
      </c>
      <c r="AX336" s="133" t="n">
        <f aca="false">AJ336+AG336+AD336</f>
        <v>0</v>
      </c>
      <c r="AY336" s="149"/>
      <c r="AZ336" s="76" t="n">
        <f aca="false">R336*E336</f>
        <v>0</v>
      </c>
    </row>
    <row r="337" customFormat="false" ht="12" hidden="false" customHeight="true" outlineLevel="0" collapsed="false">
      <c r="A337" s="138" t="n">
        <f aca="false">EDATE(A336,1)</f>
        <v>46935</v>
      </c>
      <c r="B337" s="139" t="n">
        <f aca="false">VLOOKUP($A337,Table2,MATCH(I$3,Curves2,0))</f>
        <v>0</v>
      </c>
      <c r="C337" s="140"/>
      <c r="D337" s="141" t="n">
        <f aca="false">B337+C337</f>
        <v>0</v>
      </c>
      <c r="E337" s="126" t="n">
        <f aca="false">IF(Y337=0,0,IF(AND(Y337=1,$H$3=1),D337*T337,IF($H$3=2,D337,"N/A")))</f>
        <v>0</v>
      </c>
      <c r="F337" s="126" t="n">
        <f aca="false">E337*X337</f>
        <v>0</v>
      </c>
      <c r="G337" s="142" t="n">
        <f aca="false">VLOOKUP($A337,Table,MATCH(G$4,Curves,0))</f>
        <v>3.987</v>
      </c>
      <c r="H337" s="143" t="n">
        <f aca="false">G337</f>
        <v>3.987</v>
      </c>
      <c r="I337" s="142" t="n">
        <f aca="false">VLOOKUP($A337,Table1,MATCH(I$3,Curves1,0))</f>
        <v>0</v>
      </c>
      <c r="J337" s="142" t="n">
        <f aca="false">VLOOKUP($A337,Table,MATCH(J$4,Curves,0))</f>
        <v>-0.0235</v>
      </c>
      <c r="K337" s="143" t="n">
        <f aca="false">J337</f>
        <v>-0.0235</v>
      </c>
      <c r="L337" s="144" t="n">
        <v>0</v>
      </c>
      <c r="M337" s="142" t="n">
        <f aca="false">VLOOKUP($A337,Table,MATCH(M$4,Curves,0))</f>
        <v>0.0075</v>
      </c>
      <c r="N337" s="143" t="n">
        <f aca="false">M337</f>
        <v>0.0075</v>
      </c>
      <c r="O337" s="144" t="n">
        <v>0</v>
      </c>
      <c r="P337" s="145"/>
      <c r="Q337" s="144" t="n">
        <f aca="false">M337+J337+G337</f>
        <v>3.971</v>
      </c>
      <c r="R337" s="144" t="n">
        <f aca="false">O337+L337+I337</f>
        <v>0</v>
      </c>
      <c r="S337" s="145"/>
      <c r="T337" s="71" t="n">
        <f aca="false">A338-A337</f>
        <v>31</v>
      </c>
      <c r="U337" s="146" t="n">
        <f aca="false">CHOOSE(F$3,A338+24,A337)</f>
        <v>46990</v>
      </c>
      <c r="V337" s="71" t="n">
        <f aca="false">U337-C$3</f>
        <v>10102</v>
      </c>
      <c r="W337" s="142" t="n">
        <f aca="false">VLOOKUP($A337,Table,MATCH(W$4,Curves,0))</f>
        <v>0.058966861357273</v>
      </c>
      <c r="X337" s="147" t="n">
        <f aca="false">1/(1+CHOOSE(F$3,(W338+($K$3/10000))/2,(W337+($K$3/10000))/2))^(2*V337/365.25)</f>
        <v>0.200425630561574</v>
      </c>
      <c r="Y337" s="71" t="n">
        <f aca="false">IF(AND(mthbeg&lt;=A337,mthend&gt;=A337),1,0)</f>
        <v>0</v>
      </c>
      <c r="Z337" s="71" t="n">
        <f aca="false">T337*Y337</f>
        <v>0</v>
      </c>
      <c r="AB337" s="132" t="n">
        <f aca="false">F337*G337</f>
        <v>0</v>
      </c>
      <c r="AC337" s="132" t="n">
        <f aca="false">$F337*H337</f>
        <v>0</v>
      </c>
      <c r="AD337" s="132" t="n">
        <f aca="false">$F337*I337</f>
        <v>0</v>
      </c>
      <c r="AE337" s="132" t="n">
        <f aca="false">$F337*J337</f>
        <v>-0</v>
      </c>
      <c r="AF337" s="132" t="n">
        <f aca="false">$F337*K337</f>
        <v>-0</v>
      </c>
      <c r="AG337" s="132" t="n">
        <f aca="false">$F337*L337</f>
        <v>0</v>
      </c>
      <c r="AH337" s="132" t="n">
        <f aca="false">$F337*M337</f>
        <v>0</v>
      </c>
      <c r="AI337" s="132" t="n">
        <f aca="false">$F337*N337</f>
        <v>0</v>
      </c>
      <c r="AJ337" s="132" t="n">
        <f aca="false">F337*O337</f>
        <v>0</v>
      </c>
      <c r="AK337" s="137"/>
      <c r="AL337" s="132" t="n">
        <f aca="false">CHOOSE($G$3,AC337-AD337,AD337-AC337)</f>
        <v>0</v>
      </c>
      <c r="AM337" s="132" t="n">
        <f aca="false">CHOOSE($G$3,AF337-AG337,AG337-AF337)</f>
        <v>0</v>
      </c>
      <c r="AN337" s="132" t="n">
        <f aca="false">CHOOSE($G$3,AI337-AJ337,AJ337-AI337)</f>
        <v>0</v>
      </c>
      <c r="AO337" s="148" t="n">
        <f aca="false">SUM(AL337:AN337)</f>
        <v>0</v>
      </c>
      <c r="AQ337" s="132" t="n">
        <f aca="false">CHOOSE($G$3,AB337-AC337,AC337-AB337)</f>
        <v>0</v>
      </c>
      <c r="AR337" s="132" t="n">
        <f aca="false">CHOOSE($G$3,AE337-AF337,AF337-AE337)</f>
        <v>0</v>
      </c>
      <c r="AS337" s="132" t="n">
        <f aca="false">CHOOSE($G$3,AH337-AI337,AI337-AH337)</f>
        <v>0</v>
      </c>
      <c r="AT337" s="148" t="n">
        <f aca="false">AQ337+AR337+AS337</f>
        <v>0</v>
      </c>
      <c r="AU337" s="148"/>
      <c r="AV337" s="133" t="n">
        <f aca="false">AT337+AO337</f>
        <v>0</v>
      </c>
      <c r="AX337" s="133" t="n">
        <f aca="false">AJ337+AG337+AD337</f>
        <v>0</v>
      </c>
      <c r="AY337" s="149"/>
      <c r="AZ337" s="76" t="n">
        <f aca="false">R337*E337</f>
        <v>0</v>
      </c>
    </row>
    <row r="338" customFormat="false" ht="12" hidden="false" customHeight="true" outlineLevel="0" collapsed="false">
      <c r="A338" s="138" t="n">
        <f aca="false">EDATE(A337,1)</f>
        <v>46966</v>
      </c>
      <c r="B338" s="139" t="n">
        <f aca="false">VLOOKUP($A338,Table2,MATCH(I$3,Curves2,0))</f>
        <v>0</v>
      </c>
      <c r="C338" s="140"/>
      <c r="D338" s="141" t="n">
        <f aca="false">B338+C338</f>
        <v>0</v>
      </c>
      <c r="E338" s="126" t="n">
        <f aca="false">IF(Y338=0,0,IF(AND(Y338=1,$H$3=1),D338*T338,IF($H$3=2,D338,"N/A")))</f>
        <v>0</v>
      </c>
      <c r="F338" s="126" t="n">
        <f aca="false">E338*X338</f>
        <v>0</v>
      </c>
      <c r="G338" s="142" t="n">
        <f aca="false">VLOOKUP($A338,Table,MATCH(G$4,Curves,0))</f>
        <v>3.987</v>
      </c>
      <c r="H338" s="143" t="n">
        <f aca="false">G338</f>
        <v>3.987</v>
      </c>
      <c r="I338" s="142" t="n">
        <f aca="false">VLOOKUP($A338,Table1,MATCH(I$3,Curves1,0))</f>
        <v>0</v>
      </c>
      <c r="J338" s="142" t="n">
        <f aca="false">VLOOKUP($A338,Table,MATCH(J$4,Curves,0))</f>
        <v>-0.0235</v>
      </c>
      <c r="K338" s="143" t="n">
        <f aca="false">J338</f>
        <v>-0.0235</v>
      </c>
      <c r="L338" s="144" t="n">
        <v>0</v>
      </c>
      <c r="M338" s="142" t="n">
        <f aca="false">VLOOKUP($A338,Table,MATCH(M$4,Curves,0))</f>
        <v>0.0075</v>
      </c>
      <c r="N338" s="143" t="n">
        <f aca="false">M338</f>
        <v>0.0075</v>
      </c>
      <c r="O338" s="144" t="n">
        <v>0</v>
      </c>
      <c r="P338" s="145"/>
      <c r="Q338" s="144" t="n">
        <f aca="false">M338+J338+G338</f>
        <v>3.971</v>
      </c>
      <c r="R338" s="144" t="n">
        <f aca="false">O338+L338+I338</f>
        <v>0</v>
      </c>
      <c r="S338" s="145"/>
      <c r="T338" s="71" t="n">
        <f aca="false">A339-A338</f>
        <v>31</v>
      </c>
      <c r="U338" s="146" t="n">
        <f aca="false">CHOOSE(F$3,A339+24,A338)</f>
        <v>47021</v>
      </c>
      <c r="V338" s="71" t="n">
        <f aca="false">U338-C$3</f>
        <v>10133</v>
      </c>
      <c r="W338" s="142" t="n">
        <f aca="false">VLOOKUP($A338,Table,MATCH(W$4,Curves,0))</f>
        <v>0.058966861357273</v>
      </c>
      <c r="X338" s="147" t="n">
        <f aca="false">1/(1+CHOOSE(F$3,(W339+($K$3/10000))/2,(W338+($K$3/10000))/2))^(2*V338/365.25)</f>
        <v>0.199439493744117</v>
      </c>
      <c r="Y338" s="71" t="n">
        <f aca="false">IF(AND(mthbeg&lt;=A338,mthend&gt;=A338),1,0)</f>
        <v>0</v>
      </c>
      <c r="Z338" s="71" t="n">
        <f aca="false">T338*Y338</f>
        <v>0</v>
      </c>
      <c r="AB338" s="132" t="n">
        <f aca="false">F338*G338</f>
        <v>0</v>
      </c>
      <c r="AC338" s="132" t="n">
        <f aca="false">$F338*H338</f>
        <v>0</v>
      </c>
      <c r="AD338" s="132" t="n">
        <f aca="false">$F338*I338</f>
        <v>0</v>
      </c>
      <c r="AE338" s="132" t="n">
        <f aca="false">$F338*J338</f>
        <v>-0</v>
      </c>
      <c r="AF338" s="132" t="n">
        <f aca="false">$F338*K338</f>
        <v>-0</v>
      </c>
      <c r="AG338" s="132" t="n">
        <f aca="false">$F338*L338</f>
        <v>0</v>
      </c>
      <c r="AH338" s="132" t="n">
        <f aca="false">$F338*M338</f>
        <v>0</v>
      </c>
      <c r="AI338" s="132" t="n">
        <f aca="false">$F338*N338</f>
        <v>0</v>
      </c>
      <c r="AJ338" s="132" t="n">
        <f aca="false">F338*O338</f>
        <v>0</v>
      </c>
      <c r="AK338" s="137"/>
      <c r="AL338" s="132" t="n">
        <f aca="false">CHOOSE($G$3,AC338-AD338,AD338-AC338)</f>
        <v>0</v>
      </c>
      <c r="AM338" s="132" t="n">
        <f aca="false">CHOOSE($G$3,AF338-AG338,AG338-AF338)</f>
        <v>0</v>
      </c>
      <c r="AN338" s="132" t="n">
        <f aca="false">CHOOSE($G$3,AI338-AJ338,AJ338-AI338)</f>
        <v>0</v>
      </c>
      <c r="AO338" s="148" t="n">
        <f aca="false">SUM(AL338:AN338)</f>
        <v>0</v>
      </c>
      <c r="AQ338" s="132" t="n">
        <f aca="false">CHOOSE($G$3,AB338-AC338,AC338-AB338)</f>
        <v>0</v>
      </c>
      <c r="AR338" s="132" t="n">
        <f aca="false">CHOOSE($G$3,AE338-AF338,AF338-AE338)</f>
        <v>0</v>
      </c>
      <c r="AS338" s="132" t="n">
        <f aca="false">CHOOSE($G$3,AH338-AI338,AI338-AH338)</f>
        <v>0</v>
      </c>
      <c r="AT338" s="148" t="n">
        <f aca="false">AQ338+AR338+AS338</f>
        <v>0</v>
      </c>
      <c r="AU338" s="148"/>
      <c r="AV338" s="133" t="n">
        <f aca="false">AT338+AO338</f>
        <v>0</v>
      </c>
      <c r="AX338" s="133" t="n">
        <f aca="false">AJ338+AG338+AD338</f>
        <v>0</v>
      </c>
      <c r="AY338" s="149"/>
      <c r="AZ338" s="76" t="n">
        <f aca="false">R338*E338</f>
        <v>0</v>
      </c>
    </row>
    <row r="339" customFormat="false" ht="12" hidden="false" customHeight="true" outlineLevel="0" collapsed="false">
      <c r="A339" s="138" t="n">
        <f aca="false">EDATE(A338,1)</f>
        <v>46997</v>
      </c>
      <c r="B339" s="139" t="n">
        <f aca="false">VLOOKUP($A339,Table2,MATCH(I$3,Curves2,0))</f>
        <v>0</v>
      </c>
      <c r="C339" s="140"/>
      <c r="D339" s="141" t="n">
        <f aca="false">B339+C339</f>
        <v>0</v>
      </c>
      <c r="E339" s="126" t="n">
        <f aca="false">IF(Y339=0,0,IF(AND(Y339=1,$H$3=1),D339*T339,IF($H$3=2,D339,"N/A")))</f>
        <v>0</v>
      </c>
      <c r="F339" s="126" t="n">
        <f aca="false">E339*X339</f>
        <v>0</v>
      </c>
      <c r="G339" s="142" t="n">
        <f aca="false">VLOOKUP($A339,Table,MATCH(G$4,Curves,0))</f>
        <v>3.987</v>
      </c>
      <c r="H339" s="143" t="n">
        <f aca="false">G339</f>
        <v>3.987</v>
      </c>
      <c r="I339" s="142" t="n">
        <f aca="false">VLOOKUP($A339,Table1,MATCH(I$3,Curves1,0))</f>
        <v>0</v>
      </c>
      <c r="J339" s="142" t="n">
        <f aca="false">VLOOKUP($A339,Table,MATCH(J$4,Curves,0))</f>
        <v>-0.0235</v>
      </c>
      <c r="K339" s="143" t="n">
        <f aca="false">J339</f>
        <v>-0.0235</v>
      </c>
      <c r="L339" s="144" t="n">
        <v>0</v>
      </c>
      <c r="M339" s="142" t="n">
        <f aca="false">VLOOKUP($A339,Table,MATCH(M$4,Curves,0))</f>
        <v>0.0075</v>
      </c>
      <c r="N339" s="143" t="n">
        <f aca="false">M339</f>
        <v>0.0075</v>
      </c>
      <c r="O339" s="144" t="n">
        <v>0</v>
      </c>
      <c r="P339" s="145"/>
      <c r="Q339" s="144" t="n">
        <f aca="false">M339+J339+G339</f>
        <v>3.971</v>
      </c>
      <c r="R339" s="144" t="n">
        <f aca="false">O339+L339+I339</f>
        <v>0</v>
      </c>
      <c r="S339" s="145"/>
      <c r="T339" s="71" t="n">
        <f aca="false">A340-A339</f>
        <v>30</v>
      </c>
      <c r="U339" s="146" t="n">
        <f aca="false">CHOOSE(F$3,A340+24,A339)</f>
        <v>47051</v>
      </c>
      <c r="V339" s="71" t="n">
        <f aca="false">U339-C$3</f>
        <v>10163</v>
      </c>
      <c r="W339" s="142" t="n">
        <f aca="false">VLOOKUP($A339,Table,MATCH(W$4,Curves,0))</f>
        <v>0.058966861357273</v>
      </c>
      <c r="X339" s="147" t="n">
        <f aca="false">1/(1+CHOOSE(F$3,(W340+($K$3/10000))/2,(W339+($K$3/10000))/2))^(2*V339/365.25)</f>
        <v>0.198489787789871</v>
      </c>
      <c r="Y339" s="71" t="n">
        <f aca="false">IF(AND(mthbeg&lt;=A339,mthend&gt;=A339),1,0)</f>
        <v>0</v>
      </c>
      <c r="Z339" s="71" t="n">
        <f aca="false">T339*Y339</f>
        <v>0</v>
      </c>
      <c r="AB339" s="132" t="n">
        <f aca="false">F339*G339</f>
        <v>0</v>
      </c>
      <c r="AC339" s="132" t="n">
        <f aca="false">$F339*H339</f>
        <v>0</v>
      </c>
      <c r="AD339" s="132" t="n">
        <f aca="false">$F339*I339</f>
        <v>0</v>
      </c>
      <c r="AE339" s="132" t="n">
        <f aca="false">$F339*J339</f>
        <v>-0</v>
      </c>
      <c r="AF339" s="132" t="n">
        <f aca="false">$F339*K339</f>
        <v>-0</v>
      </c>
      <c r="AG339" s="132" t="n">
        <f aca="false">$F339*L339</f>
        <v>0</v>
      </c>
      <c r="AH339" s="132" t="n">
        <f aca="false">$F339*M339</f>
        <v>0</v>
      </c>
      <c r="AI339" s="132" t="n">
        <f aca="false">$F339*N339</f>
        <v>0</v>
      </c>
      <c r="AJ339" s="132" t="n">
        <f aca="false">F339*O339</f>
        <v>0</v>
      </c>
      <c r="AK339" s="137"/>
      <c r="AL339" s="132" t="n">
        <f aca="false">CHOOSE($G$3,AC339-AD339,AD339-AC339)</f>
        <v>0</v>
      </c>
      <c r="AM339" s="132" t="n">
        <f aca="false">CHOOSE($G$3,AF339-AG339,AG339-AF339)</f>
        <v>0</v>
      </c>
      <c r="AN339" s="132" t="n">
        <f aca="false">CHOOSE($G$3,AI339-AJ339,AJ339-AI339)</f>
        <v>0</v>
      </c>
      <c r="AO339" s="148" t="n">
        <f aca="false">SUM(AL339:AN339)</f>
        <v>0</v>
      </c>
      <c r="AQ339" s="132" t="n">
        <f aca="false">CHOOSE($G$3,AB339-AC339,AC339-AB339)</f>
        <v>0</v>
      </c>
      <c r="AR339" s="132" t="n">
        <f aca="false">CHOOSE($G$3,AE339-AF339,AF339-AE339)</f>
        <v>0</v>
      </c>
      <c r="AS339" s="132" t="n">
        <f aca="false">CHOOSE($G$3,AH339-AI339,AI339-AH339)</f>
        <v>0</v>
      </c>
      <c r="AT339" s="148" t="n">
        <f aca="false">AQ339+AR339+AS339</f>
        <v>0</v>
      </c>
      <c r="AU339" s="148"/>
      <c r="AV339" s="133" t="n">
        <f aca="false">AT339+AO339</f>
        <v>0</v>
      </c>
      <c r="AX339" s="133" t="n">
        <f aca="false">AJ339+AG339+AD339</f>
        <v>0</v>
      </c>
      <c r="AY339" s="149"/>
      <c r="AZ339" s="76" t="n">
        <f aca="false">R339*E339</f>
        <v>0</v>
      </c>
    </row>
    <row r="340" customFormat="false" ht="12" hidden="false" customHeight="true" outlineLevel="0" collapsed="false">
      <c r="A340" s="138" t="n">
        <f aca="false">EDATE(A339,1)</f>
        <v>47027</v>
      </c>
      <c r="B340" s="139" t="n">
        <f aca="false">VLOOKUP($A340,Table2,MATCH(I$3,Curves2,0))</f>
        <v>0</v>
      </c>
      <c r="C340" s="140"/>
      <c r="D340" s="141" t="n">
        <f aca="false">B340+C340</f>
        <v>0</v>
      </c>
      <c r="E340" s="126" t="n">
        <f aca="false">IF(Y340=0,0,IF(AND(Y340=1,$H$3=1),D340*T340,IF($H$3=2,D340,"N/A")))</f>
        <v>0</v>
      </c>
      <c r="F340" s="126" t="n">
        <f aca="false">E340*X340</f>
        <v>0</v>
      </c>
      <c r="G340" s="142" t="n">
        <f aca="false">VLOOKUP($A340,Table,MATCH(G$4,Curves,0))</f>
        <v>3.987</v>
      </c>
      <c r="H340" s="143" t="n">
        <f aca="false">G340</f>
        <v>3.987</v>
      </c>
      <c r="I340" s="142" t="n">
        <f aca="false">VLOOKUP($A340,Table1,MATCH(I$3,Curves1,0))</f>
        <v>0</v>
      </c>
      <c r="J340" s="142" t="n">
        <f aca="false">VLOOKUP($A340,Table,MATCH(J$4,Curves,0))</f>
        <v>-0.0235</v>
      </c>
      <c r="K340" s="143" t="n">
        <f aca="false">J340</f>
        <v>-0.0235</v>
      </c>
      <c r="L340" s="144" t="n">
        <v>0</v>
      </c>
      <c r="M340" s="142" t="n">
        <f aca="false">VLOOKUP($A340,Table,MATCH(M$4,Curves,0))</f>
        <v>0.0075</v>
      </c>
      <c r="N340" s="143" t="n">
        <f aca="false">M340</f>
        <v>0.0075</v>
      </c>
      <c r="O340" s="144" t="n">
        <v>0</v>
      </c>
      <c r="P340" s="145"/>
      <c r="Q340" s="144" t="n">
        <f aca="false">M340+J340+G340</f>
        <v>3.971</v>
      </c>
      <c r="R340" s="144" t="n">
        <f aca="false">O340+L340+I340</f>
        <v>0</v>
      </c>
      <c r="S340" s="145"/>
      <c r="T340" s="71" t="n">
        <f aca="false">A341-A340</f>
        <v>31</v>
      </c>
      <c r="U340" s="146" t="n">
        <f aca="false">CHOOSE(F$3,A341+24,A340)</f>
        <v>47082</v>
      </c>
      <c r="V340" s="71" t="n">
        <f aca="false">U340-C$3</f>
        <v>10194</v>
      </c>
      <c r="W340" s="142" t="n">
        <f aca="false">VLOOKUP($A340,Table,MATCH(W$4,Curves,0))</f>
        <v>0.058966861357273</v>
      </c>
      <c r="X340" s="147" t="n">
        <f aca="false">1/(1+CHOOSE(F$3,(W341+($K$3/10000))/2,(W340+($K$3/10000))/2))^(2*V340/365.25)</f>
        <v>0.197513175731422</v>
      </c>
      <c r="Y340" s="71" t="n">
        <f aca="false">IF(AND(mthbeg&lt;=A340,mthend&gt;=A340),1,0)</f>
        <v>0</v>
      </c>
      <c r="Z340" s="71" t="n">
        <f aca="false">T340*Y340</f>
        <v>0</v>
      </c>
      <c r="AB340" s="132" t="n">
        <f aca="false">F340*G340</f>
        <v>0</v>
      </c>
      <c r="AC340" s="132" t="n">
        <f aca="false">$F340*H340</f>
        <v>0</v>
      </c>
      <c r="AD340" s="132" t="n">
        <f aca="false">$F340*I340</f>
        <v>0</v>
      </c>
      <c r="AE340" s="132" t="n">
        <f aca="false">$F340*J340</f>
        <v>-0</v>
      </c>
      <c r="AF340" s="132" t="n">
        <f aca="false">$F340*K340</f>
        <v>-0</v>
      </c>
      <c r="AG340" s="132" t="n">
        <f aca="false">$F340*L340</f>
        <v>0</v>
      </c>
      <c r="AH340" s="132" t="n">
        <f aca="false">$F340*M340</f>
        <v>0</v>
      </c>
      <c r="AI340" s="132" t="n">
        <f aca="false">$F340*N340</f>
        <v>0</v>
      </c>
      <c r="AJ340" s="132" t="n">
        <f aca="false">F340*O340</f>
        <v>0</v>
      </c>
      <c r="AK340" s="137"/>
      <c r="AL340" s="132" t="n">
        <f aca="false">CHOOSE($G$3,AC340-AD340,AD340-AC340)</f>
        <v>0</v>
      </c>
      <c r="AM340" s="132" t="n">
        <f aca="false">CHOOSE($G$3,AF340-AG340,AG340-AF340)</f>
        <v>0</v>
      </c>
      <c r="AN340" s="132" t="n">
        <f aca="false">CHOOSE($G$3,AI340-AJ340,AJ340-AI340)</f>
        <v>0</v>
      </c>
      <c r="AO340" s="148" t="n">
        <f aca="false">SUM(AL340:AN340)</f>
        <v>0</v>
      </c>
      <c r="AQ340" s="132" t="n">
        <f aca="false">CHOOSE($G$3,AB340-AC340,AC340-AB340)</f>
        <v>0</v>
      </c>
      <c r="AR340" s="132" t="n">
        <f aca="false">CHOOSE($G$3,AE340-AF340,AF340-AE340)</f>
        <v>0</v>
      </c>
      <c r="AS340" s="132" t="n">
        <f aca="false">CHOOSE($G$3,AH340-AI340,AI340-AH340)</f>
        <v>0</v>
      </c>
      <c r="AT340" s="148" t="n">
        <f aca="false">AQ340+AR340+AS340</f>
        <v>0</v>
      </c>
      <c r="AU340" s="148"/>
      <c r="AV340" s="133" t="n">
        <f aca="false">AT340+AO340</f>
        <v>0</v>
      </c>
      <c r="AX340" s="133" t="n">
        <f aca="false">AJ340+AG340+AD340</f>
        <v>0</v>
      </c>
      <c r="AY340" s="149"/>
      <c r="AZ340" s="76" t="n">
        <f aca="false">R340*E340</f>
        <v>0</v>
      </c>
    </row>
    <row r="341" customFormat="false" ht="12" hidden="false" customHeight="true" outlineLevel="0" collapsed="false">
      <c r="A341" s="138" t="n">
        <f aca="false">EDATE(A340,1)</f>
        <v>47058</v>
      </c>
      <c r="B341" s="139" t="n">
        <f aca="false">VLOOKUP($A341,Table2,MATCH(I$3,Curves2,0))</f>
        <v>0</v>
      </c>
      <c r="C341" s="140"/>
      <c r="D341" s="141" t="n">
        <f aca="false">B341+C341</f>
        <v>0</v>
      </c>
      <c r="E341" s="126" t="n">
        <f aca="false">IF(Y341=0,0,IF(AND(Y341=1,$H$3=1),D341*T341,IF($H$3=2,D341,"N/A")))</f>
        <v>0</v>
      </c>
      <c r="F341" s="126" t="n">
        <f aca="false">E341*X341</f>
        <v>0</v>
      </c>
      <c r="G341" s="142" t="n">
        <f aca="false">VLOOKUP($A341,Table,MATCH(G$4,Curves,0))</f>
        <v>3.987</v>
      </c>
      <c r="H341" s="143" t="n">
        <f aca="false">G341</f>
        <v>3.987</v>
      </c>
      <c r="I341" s="142" t="n">
        <f aca="false">VLOOKUP($A341,Table1,MATCH(I$3,Curves1,0))</f>
        <v>0</v>
      </c>
      <c r="J341" s="142" t="n">
        <f aca="false">VLOOKUP($A341,Table,MATCH(J$4,Curves,0))</f>
        <v>-0.0235</v>
      </c>
      <c r="K341" s="143" t="n">
        <f aca="false">J341</f>
        <v>-0.0235</v>
      </c>
      <c r="L341" s="144" t="n">
        <v>0</v>
      </c>
      <c r="M341" s="142" t="n">
        <f aca="false">VLOOKUP($A341,Table,MATCH(M$4,Curves,0))</f>
        <v>0.0075</v>
      </c>
      <c r="N341" s="143" t="n">
        <f aca="false">M341</f>
        <v>0.0075</v>
      </c>
      <c r="O341" s="144" t="n">
        <v>0</v>
      </c>
      <c r="P341" s="145"/>
      <c r="Q341" s="144" t="n">
        <f aca="false">M341+J341+G341</f>
        <v>3.971</v>
      </c>
      <c r="R341" s="144" t="n">
        <f aca="false">O341+L341+I341</f>
        <v>0</v>
      </c>
      <c r="S341" s="145"/>
      <c r="T341" s="71" t="n">
        <f aca="false">A342-A341</f>
        <v>30</v>
      </c>
      <c r="U341" s="146" t="n">
        <f aca="false">CHOOSE(F$3,A342+24,A341)</f>
        <v>47112</v>
      </c>
      <c r="V341" s="71" t="n">
        <f aca="false">U341-C$3</f>
        <v>10224</v>
      </c>
      <c r="W341" s="142" t="n">
        <f aca="false">VLOOKUP($A341,Table,MATCH(W$4,Curves,0))</f>
        <v>0.058966861357273</v>
      </c>
      <c r="X341" s="147" t="n">
        <f aca="false">1/(1+CHOOSE(F$3,(W342+($K$3/10000))/2,(W341+($K$3/10000))/2))^(2*V341/365.25)</f>
        <v>0.196572642662908</v>
      </c>
      <c r="Y341" s="71" t="n">
        <f aca="false">IF(AND(mthbeg&lt;=A341,mthend&gt;=A341),1,0)</f>
        <v>0</v>
      </c>
      <c r="Z341" s="71" t="n">
        <f aca="false">T341*Y341</f>
        <v>0</v>
      </c>
      <c r="AB341" s="132" t="n">
        <f aca="false">F341*G341</f>
        <v>0</v>
      </c>
      <c r="AC341" s="132" t="n">
        <f aca="false">$F341*H341</f>
        <v>0</v>
      </c>
      <c r="AD341" s="132" t="n">
        <f aca="false">$F341*I341</f>
        <v>0</v>
      </c>
      <c r="AE341" s="132" t="n">
        <f aca="false">$F341*J341</f>
        <v>-0</v>
      </c>
      <c r="AF341" s="132" t="n">
        <f aca="false">$F341*K341</f>
        <v>-0</v>
      </c>
      <c r="AG341" s="132" t="n">
        <f aca="false">$F341*L341</f>
        <v>0</v>
      </c>
      <c r="AH341" s="132" t="n">
        <f aca="false">$F341*M341</f>
        <v>0</v>
      </c>
      <c r="AI341" s="132" t="n">
        <f aca="false">$F341*N341</f>
        <v>0</v>
      </c>
      <c r="AJ341" s="132" t="n">
        <f aca="false">F341*O341</f>
        <v>0</v>
      </c>
      <c r="AK341" s="137"/>
      <c r="AL341" s="132" t="n">
        <f aca="false">CHOOSE($G$3,AC341-AD341,AD341-AC341)</f>
        <v>0</v>
      </c>
      <c r="AM341" s="132" t="n">
        <f aca="false">CHOOSE($G$3,AF341-AG341,AG341-AF341)</f>
        <v>0</v>
      </c>
      <c r="AN341" s="132" t="n">
        <f aca="false">CHOOSE($G$3,AI341-AJ341,AJ341-AI341)</f>
        <v>0</v>
      </c>
      <c r="AO341" s="148" t="n">
        <f aca="false">SUM(AL341:AN341)</f>
        <v>0</v>
      </c>
      <c r="AQ341" s="132" t="n">
        <f aca="false">CHOOSE($G$3,AB341-AC341,AC341-AB341)</f>
        <v>0</v>
      </c>
      <c r="AR341" s="132" t="n">
        <f aca="false">CHOOSE($G$3,AE341-AF341,AF341-AE341)</f>
        <v>0</v>
      </c>
      <c r="AS341" s="132" t="n">
        <f aca="false">CHOOSE($G$3,AH341-AI341,AI341-AH341)</f>
        <v>0</v>
      </c>
      <c r="AT341" s="148" t="n">
        <f aca="false">AQ341+AR341+AS341</f>
        <v>0</v>
      </c>
      <c r="AU341" s="148"/>
      <c r="AV341" s="133" t="n">
        <f aca="false">AT341+AO341</f>
        <v>0</v>
      </c>
      <c r="AX341" s="133" t="n">
        <f aca="false">AJ341+AG341+AD341</f>
        <v>0</v>
      </c>
      <c r="AY341" s="149"/>
      <c r="AZ341" s="76" t="n">
        <f aca="false">R341*E341</f>
        <v>0</v>
      </c>
    </row>
    <row r="342" customFormat="false" ht="12" hidden="false" customHeight="true" outlineLevel="0" collapsed="false">
      <c r="A342" s="138" t="n">
        <f aca="false">EDATE(A341,1)</f>
        <v>47088</v>
      </c>
      <c r="B342" s="139" t="n">
        <f aca="false">VLOOKUP($A342,Table2,MATCH(I$3,Curves2,0))</f>
        <v>0</v>
      </c>
      <c r="C342" s="140"/>
      <c r="D342" s="141" t="n">
        <f aca="false">B342+C342</f>
        <v>0</v>
      </c>
      <c r="E342" s="126" t="n">
        <f aca="false">IF(Y342=0,0,IF(AND(Y342=1,$H$3=1),D342*T342,IF($H$3=2,D342,"N/A")))</f>
        <v>0</v>
      </c>
      <c r="F342" s="126" t="n">
        <f aca="false">E342*X342</f>
        <v>0</v>
      </c>
      <c r="G342" s="142" t="n">
        <f aca="false">VLOOKUP($A342,Table,MATCH(G$4,Curves,0))</f>
        <v>3.987</v>
      </c>
      <c r="H342" s="143" t="n">
        <f aca="false">G342</f>
        <v>3.987</v>
      </c>
      <c r="I342" s="142" t="n">
        <f aca="false">VLOOKUP($A342,Table1,MATCH(I$3,Curves1,0))</f>
        <v>0</v>
      </c>
      <c r="J342" s="142" t="n">
        <f aca="false">VLOOKUP($A342,Table,MATCH(J$4,Curves,0))</f>
        <v>-0.0235</v>
      </c>
      <c r="K342" s="143" t="n">
        <f aca="false">J342</f>
        <v>-0.0235</v>
      </c>
      <c r="L342" s="144" t="n">
        <v>0</v>
      </c>
      <c r="M342" s="142" t="n">
        <f aca="false">VLOOKUP($A342,Table,MATCH(M$4,Curves,0))</f>
        <v>0.0075</v>
      </c>
      <c r="N342" s="143" t="n">
        <f aca="false">M342</f>
        <v>0.0075</v>
      </c>
      <c r="O342" s="144" t="n">
        <v>0</v>
      </c>
      <c r="P342" s="145"/>
      <c r="Q342" s="144" t="n">
        <f aca="false">M342+J342+G342</f>
        <v>3.971</v>
      </c>
      <c r="R342" s="144" t="n">
        <f aca="false">O342+L342+I342</f>
        <v>0</v>
      </c>
      <c r="S342" s="145"/>
      <c r="T342" s="71" t="n">
        <f aca="false">A343-A342</f>
        <v>31</v>
      </c>
      <c r="U342" s="146" t="n">
        <f aca="false">CHOOSE(F$3,A343+24,A342)</f>
        <v>47143</v>
      </c>
      <c r="V342" s="71" t="n">
        <f aca="false">U342-C$3</f>
        <v>10255</v>
      </c>
      <c r="W342" s="142" t="n">
        <f aca="false">VLOOKUP($A342,Table,MATCH(W$4,Curves,0))</f>
        <v>0.058966861357273</v>
      </c>
      <c r="X342" s="147" t="n">
        <f aca="false">1/(1+CHOOSE(F$3,(W343+($K$3/10000))/2,(W342+($K$3/10000))/2))^(2*V342/365.25)</f>
        <v>0.195605463367068</v>
      </c>
      <c r="Y342" s="71" t="n">
        <f aca="false">IF(AND(mthbeg&lt;=A342,mthend&gt;=A342),1,0)</f>
        <v>0</v>
      </c>
      <c r="Z342" s="71" t="n">
        <f aca="false">T342*Y342</f>
        <v>0</v>
      </c>
      <c r="AB342" s="132" t="n">
        <f aca="false">F342*G342</f>
        <v>0</v>
      </c>
      <c r="AC342" s="132" t="n">
        <f aca="false">$F342*H342</f>
        <v>0</v>
      </c>
      <c r="AD342" s="132" t="n">
        <f aca="false">$F342*I342</f>
        <v>0</v>
      </c>
      <c r="AE342" s="132" t="n">
        <f aca="false">$F342*J342</f>
        <v>-0</v>
      </c>
      <c r="AF342" s="132" t="n">
        <f aca="false">$F342*K342</f>
        <v>-0</v>
      </c>
      <c r="AG342" s="132" t="n">
        <f aca="false">$F342*L342</f>
        <v>0</v>
      </c>
      <c r="AH342" s="132" t="n">
        <f aca="false">$F342*M342</f>
        <v>0</v>
      </c>
      <c r="AI342" s="132" t="n">
        <f aca="false">$F342*N342</f>
        <v>0</v>
      </c>
      <c r="AJ342" s="132" t="n">
        <f aca="false">F342*O342</f>
        <v>0</v>
      </c>
      <c r="AK342" s="137"/>
      <c r="AL342" s="132" t="n">
        <f aca="false">CHOOSE($G$3,AC342-AD342,AD342-AC342)</f>
        <v>0</v>
      </c>
      <c r="AM342" s="132" t="n">
        <f aca="false">CHOOSE($G$3,AF342-AG342,AG342-AF342)</f>
        <v>0</v>
      </c>
      <c r="AN342" s="132" t="n">
        <f aca="false">CHOOSE($G$3,AI342-AJ342,AJ342-AI342)</f>
        <v>0</v>
      </c>
      <c r="AO342" s="148" t="n">
        <f aca="false">SUM(AL342:AN342)</f>
        <v>0</v>
      </c>
      <c r="AQ342" s="132" t="n">
        <f aca="false">CHOOSE($G$3,AB342-AC342,AC342-AB342)</f>
        <v>0</v>
      </c>
      <c r="AR342" s="132" t="n">
        <f aca="false">CHOOSE($G$3,AE342-AF342,AF342-AE342)</f>
        <v>0</v>
      </c>
      <c r="AS342" s="132" t="n">
        <f aca="false">CHOOSE($G$3,AH342-AI342,AI342-AH342)</f>
        <v>0</v>
      </c>
      <c r="AT342" s="148" t="n">
        <f aca="false">AQ342+AR342+AS342</f>
        <v>0</v>
      </c>
      <c r="AU342" s="148"/>
      <c r="AV342" s="133" t="n">
        <f aca="false">AT342+AO342</f>
        <v>0</v>
      </c>
      <c r="AX342" s="133" t="n">
        <f aca="false">AJ342+AG342+AD342</f>
        <v>0</v>
      </c>
      <c r="AY342" s="149"/>
      <c r="AZ342" s="76" t="n">
        <f aca="false">R342*E342</f>
        <v>0</v>
      </c>
    </row>
    <row r="343" customFormat="false" ht="12" hidden="false" customHeight="true" outlineLevel="0" collapsed="false">
      <c r="A343" s="138" t="n">
        <f aca="false">EDATE(A342,1)</f>
        <v>47119</v>
      </c>
      <c r="B343" s="139" t="n">
        <f aca="false">VLOOKUP($A343,Table2,MATCH(I$3,Curves2,0))</f>
        <v>0</v>
      </c>
      <c r="C343" s="140"/>
      <c r="D343" s="141" t="n">
        <f aca="false">B343+C343</f>
        <v>0</v>
      </c>
      <c r="E343" s="126" t="n">
        <f aca="false">IF(Y343=0,0,IF(AND(Y343=1,$H$3=1),D343*T343,IF($H$3=2,D343,"N/A")))</f>
        <v>0</v>
      </c>
      <c r="F343" s="126" t="n">
        <f aca="false">E343*X343</f>
        <v>0</v>
      </c>
      <c r="G343" s="142" t="n">
        <f aca="false">VLOOKUP($A343,Table,MATCH(G$4,Curves,0))</f>
        <v>3.987</v>
      </c>
      <c r="H343" s="143" t="n">
        <f aca="false">G343</f>
        <v>3.987</v>
      </c>
      <c r="I343" s="142" t="n">
        <f aca="false">VLOOKUP($A343,Table1,MATCH(I$3,Curves1,0))</f>
        <v>0</v>
      </c>
      <c r="J343" s="142" t="n">
        <f aca="false">VLOOKUP($A343,Table,MATCH(J$4,Curves,0))</f>
        <v>-0.0235</v>
      </c>
      <c r="K343" s="143" t="n">
        <f aca="false">J343</f>
        <v>-0.0235</v>
      </c>
      <c r="L343" s="144" t="n">
        <v>0</v>
      </c>
      <c r="M343" s="142" t="n">
        <f aca="false">VLOOKUP($A343,Table,MATCH(M$4,Curves,0))</f>
        <v>0.0075</v>
      </c>
      <c r="N343" s="143" t="n">
        <f aca="false">M343</f>
        <v>0.0075</v>
      </c>
      <c r="O343" s="144" t="n">
        <v>0</v>
      </c>
      <c r="P343" s="145"/>
      <c r="Q343" s="144" t="n">
        <f aca="false">M343+J343+G343</f>
        <v>3.971</v>
      </c>
      <c r="R343" s="144" t="n">
        <f aca="false">O343+L343+I343</f>
        <v>0</v>
      </c>
      <c r="S343" s="145"/>
      <c r="T343" s="71" t="n">
        <f aca="false">A344-A343</f>
        <v>31</v>
      </c>
      <c r="U343" s="146" t="n">
        <f aca="false">CHOOSE(F$3,A344+24,A343)</f>
        <v>47174</v>
      </c>
      <c r="V343" s="71" t="n">
        <f aca="false">U343-C$3</f>
        <v>10286</v>
      </c>
      <c r="W343" s="142" t="n">
        <f aca="false">VLOOKUP($A343,Table,MATCH(W$4,Curves,0))</f>
        <v>0.058966861357273</v>
      </c>
      <c r="X343" s="147" t="n">
        <f aca="false">1/(1+CHOOSE(F$3,(W344+($K$3/10000))/2,(W343+($K$3/10000))/2))^(2*V343/365.25)</f>
        <v>0.194643042799491</v>
      </c>
      <c r="Y343" s="71" t="n">
        <f aca="false">IF(AND(mthbeg&lt;=A343,mthend&gt;=A343),1,0)</f>
        <v>0</v>
      </c>
      <c r="Z343" s="71" t="n">
        <f aca="false">T343*Y343</f>
        <v>0</v>
      </c>
      <c r="AB343" s="132" t="n">
        <f aca="false">F343*G343</f>
        <v>0</v>
      </c>
      <c r="AC343" s="132" t="n">
        <f aca="false">$F343*H343</f>
        <v>0</v>
      </c>
      <c r="AD343" s="132" t="n">
        <f aca="false">$F343*I343</f>
        <v>0</v>
      </c>
      <c r="AE343" s="132" t="n">
        <f aca="false">$F343*J343</f>
        <v>-0</v>
      </c>
      <c r="AF343" s="132" t="n">
        <f aca="false">$F343*K343</f>
        <v>-0</v>
      </c>
      <c r="AG343" s="132" t="n">
        <f aca="false">$F343*L343</f>
        <v>0</v>
      </c>
      <c r="AH343" s="132" t="n">
        <f aca="false">$F343*M343</f>
        <v>0</v>
      </c>
      <c r="AI343" s="132" t="n">
        <f aca="false">$F343*N343</f>
        <v>0</v>
      </c>
      <c r="AJ343" s="132" t="n">
        <f aca="false">F343*O343</f>
        <v>0</v>
      </c>
      <c r="AK343" s="137"/>
      <c r="AL343" s="132" t="n">
        <f aca="false">CHOOSE($G$3,AC343-AD343,AD343-AC343)</f>
        <v>0</v>
      </c>
      <c r="AM343" s="132" t="n">
        <f aca="false">CHOOSE($G$3,AF343-AG343,AG343-AF343)</f>
        <v>0</v>
      </c>
      <c r="AN343" s="132" t="n">
        <f aca="false">CHOOSE($G$3,AI343-AJ343,AJ343-AI343)</f>
        <v>0</v>
      </c>
      <c r="AO343" s="148" t="n">
        <f aca="false">SUM(AL343:AN343)</f>
        <v>0</v>
      </c>
      <c r="AQ343" s="132" t="n">
        <f aca="false">CHOOSE($G$3,AB343-AC343,AC343-AB343)</f>
        <v>0</v>
      </c>
      <c r="AR343" s="132" t="n">
        <f aca="false">CHOOSE($G$3,AE343-AF343,AF343-AE343)</f>
        <v>0</v>
      </c>
      <c r="AS343" s="132" t="n">
        <f aca="false">CHOOSE($G$3,AH343-AI343,AI343-AH343)</f>
        <v>0</v>
      </c>
      <c r="AT343" s="148" t="n">
        <f aca="false">AQ343+AR343+AS343</f>
        <v>0</v>
      </c>
      <c r="AU343" s="148"/>
      <c r="AV343" s="133" t="n">
        <f aca="false">AT343+AO343</f>
        <v>0</v>
      </c>
      <c r="AX343" s="133" t="n">
        <f aca="false">AJ343+AG343+AD343</f>
        <v>0</v>
      </c>
      <c r="AY343" s="149"/>
      <c r="AZ343" s="76" t="n">
        <f aca="false">R343*E343</f>
        <v>0</v>
      </c>
    </row>
    <row r="344" customFormat="false" ht="12" hidden="false" customHeight="true" outlineLevel="0" collapsed="false">
      <c r="A344" s="138" t="n">
        <f aca="false">EDATE(A343,1)</f>
        <v>47150</v>
      </c>
      <c r="B344" s="139" t="n">
        <f aca="false">VLOOKUP($A344,Table2,MATCH(I$3,Curves2,0))</f>
        <v>0</v>
      </c>
      <c r="C344" s="140"/>
      <c r="D344" s="141" t="n">
        <f aca="false">B344+C344</f>
        <v>0</v>
      </c>
      <c r="E344" s="126" t="n">
        <f aca="false">IF(Y344=0,0,IF(AND(Y344=1,$H$3=1),D344*T344,IF($H$3=2,D344,"N/A")))</f>
        <v>0</v>
      </c>
      <c r="F344" s="126" t="n">
        <f aca="false">E344*X344</f>
        <v>0</v>
      </c>
      <c r="G344" s="142" t="n">
        <f aca="false">VLOOKUP($A344,Table,MATCH(G$4,Curves,0))</f>
        <v>3.987</v>
      </c>
      <c r="H344" s="143" t="n">
        <f aca="false">G344</f>
        <v>3.987</v>
      </c>
      <c r="I344" s="142" t="n">
        <f aca="false">VLOOKUP($A344,Table1,MATCH(I$3,Curves1,0))</f>
        <v>0</v>
      </c>
      <c r="J344" s="142" t="n">
        <f aca="false">VLOOKUP($A344,Table,MATCH(J$4,Curves,0))</f>
        <v>-0.0235</v>
      </c>
      <c r="K344" s="143" t="n">
        <f aca="false">J344</f>
        <v>-0.0235</v>
      </c>
      <c r="L344" s="144" t="n">
        <v>0</v>
      </c>
      <c r="M344" s="142" t="n">
        <f aca="false">VLOOKUP($A344,Table,MATCH(M$4,Curves,0))</f>
        <v>0.0075</v>
      </c>
      <c r="N344" s="143" t="n">
        <f aca="false">M344</f>
        <v>0.0075</v>
      </c>
      <c r="O344" s="144" t="n">
        <v>0</v>
      </c>
      <c r="P344" s="145"/>
      <c r="Q344" s="144" t="n">
        <f aca="false">M344+J344+G344</f>
        <v>3.971</v>
      </c>
      <c r="R344" s="144" t="n">
        <f aca="false">O344+L344+I344</f>
        <v>0</v>
      </c>
      <c r="S344" s="145"/>
      <c r="T344" s="71" t="n">
        <f aca="false">A345-A344</f>
        <v>28</v>
      </c>
      <c r="U344" s="146" t="n">
        <f aca="false">CHOOSE(F$3,A345+24,A344)</f>
        <v>47202</v>
      </c>
      <c r="V344" s="71" t="n">
        <f aca="false">U344-C$3</f>
        <v>10314</v>
      </c>
      <c r="W344" s="142" t="n">
        <f aca="false">VLOOKUP($A344,Table,MATCH(W$4,Curves,0))</f>
        <v>0.058966861357273</v>
      </c>
      <c r="X344" s="147" t="n">
        <f aca="false">1/(1+CHOOSE(F$3,(W345+($K$3/10000))/2,(W344+($K$3/10000))/2))^(2*V344/365.25)</f>
        <v>0.193777830456721</v>
      </c>
      <c r="Y344" s="71" t="n">
        <f aca="false">IF(AND(mthbeg&lt;=A344,mthend&gt;=A344),1,0)</f>
        <v>0</v>
      </c>
      <c r="Z344" s="71" t="n">
        <f aca="false">T344*Y344</f>
        <v>0</v>
      </c>
      <c r="AB344" s="132" t="n">
        <f aca="false">F344*G344</f>
        <v>0</v>
      </c>
      <c r="AC344" s="132" t="n">
        <f aca="false">$F344*H344</f>
        <v>0</v>
      </c>
      <c r="AD344" s="132" t="n">
        <f aca="false">$F344*I344</f>
        <v>0</v>
      </c>
      <c r="AE344" s="132" t="n">
        <f aca="false">$F344*J344</f>
        <v>-0</v>
      </c>
      <c r="AF344" s="132" t="n">
        <f aca="false">$F344*K344</f>
        <v>-0</v>
      </c>
      <c r="AG344" s="132" t="n">
        <f aca="false">$F344*L344</f>
        <v>0</v>
      </c>
      <c r="AH344" s="132" t="n">
        <f aca="false">$F344*M344</f>
        <v>0</v>
      </c>
      <c r="AI344" s="132" t="n">
        <f aca="false">$F344*N344</f>
        <v>0</v>
      </c>
      <c r="AJ344" s="132" t="n">
        <f aca="false">F344*O344</f>
        <v>0</v>
      </c>
      <c r="AK344" s="137"/>
      <c r="AL344" s="132" t="n">
        <f aca="false">CHOOSE($G$3,AC344-AD344,AD344-AC344)</f>
        <v>0</v>
      </c>
      <c r="AM344" s="132" t="n">
        <f aca="false">CHOOSE($G$3,AF344-AG344,AG344-AF344)</f>
        <v>0</v>
      </c>
      <c r="AN344" s="132" t="n">
        <f aca="false">CHOOSE($G$3,AI344-AJ344,AJ344-AI344)</f>
        <v>0</v>
      </c>
      <c r="AO344" s="148" t="n">
        <f aca="false">SUM(AL344:AN344)</f>
        <v>0</v>
      </c>
      <c r="AQ344" s="132" t="n">
        <f aca="false">CHOOSE($G$3,AB344-AC344,AC344-AB344)</f>
        <v>0</v>
      </c>
      <c r="AR344" s="132" t="n">
        <f aca="false">CHOOSE($G$3,AE344-AF344,AF344-AE344)</f>
        <v>0</v>
      </c>
      <c r="AS344" s="132" t="n">
        <f aca="false">CHOOSE($G$3,AH344-AI344,AI344-AH344)</f>
        <v>0</v>
      </c>
      <c r="AT344" s="148" t="n">
        <f aca="false">AQ344+AR344+AS344</f>
        <v>0</v>
      </c>
      <c r="AU344" s="148"/>
      <c r="AV344" s="133" t="n">
        <f aca="false">AT344+AO344</f>
        <v>0</v>
      </c>
      <c r="AX344" s="133" t="n">
        <f aca="false">AJ344+AG344+AD344</f>
        <v>0</v>
      </c>
      <c r="AY344" s="149"/>
      <c r="AZ344" s="76" t="n">
        <f aca="false">R344*E344</f>
        <v>0</v>
      </c>
    </row>
    <row r="345" customFormat="false" ht="12" hidden="false" customHeight="true" outlineLevel="0" collapsed="false">
      <c r="A345" s="138" t="n">
        <f aca="false">EDATE(A344,1)</f>
        <v>47178</v>
      </c>
      <c r="B345" s="139" t="n">
        <f aca="false">VLOOKUP($A345,Table2,MATCH(I$3,Curves2,0))</f>
        <v>0</v>
      </c>
      <c r="C345" s="140"/>
      <c r="D345" s="141" t="n">
        <f aca="false">B345+C345</f>
        <v>0</v>
      </c>
      <c r="E345" s="126" t="n">
        <f aca="false">IF(Y345=0,0,IF(AND(Y345=1,$H$3=1),D345*T345,IF($H$3=2,D345,"N/A")))</f>
        <v>0</v>
      </c>
      <c r="F345" s="126" t="n">
        <f aca="false">E345*X345</f>
        <v>0</v>
      </c>
      <c r="G345" s="142" t="n">
        <f aca="false">VLOOKUP($A345,Table,MATCH(G$4,Curves,0))</f>
        <v>3.987</v>
      </c>
      <c r="H345" s="143" t="n">
        <f aca="false">G345</f>
        <v>3.987</v>
      </c>
      <c r="I345" s="142" t="n">
        <f aca="false">VLOOKUP($A345,Table1,MATCH(I$3,Curves1,0))</f>
        <v>0</v>
      </c>
      <c r="J345" s="142" t="n">
        <f aca="false">VLOOKUP($A345,Table,MATCH(J$4,Curves,0))</f>
        <v>-0.0235</v>
      </c>
      <c r="K345" s="143" t="n">
        <f aca="false">J345</f>
        <v>-0.0235</v>
      </c>
      <c r="L345" s="144" t="n">
        <v>0</v>
      </c>
      <c r="M345" s="142" t="n">
        <f aca="false">VLOOKUP($A345,Table,MATCH(M$4,Curves,0))</f>
        <v>0.0075</v>
      </c>
      <c r="N345" s="143" t="n">
        <f aca="false">M345</f>
        <v>0.0075</v>
      </c>
      <c r="O345" s="144" t="n">
        <v>0</v>
      </c>
      <c r="P345" s="145"/>
      <c r="Q345" s="144" t="n">
        <f aca="false">M345+J345+G345</f>
        <v>3.971</v>
      </c>
      <c r="R345" s="144" t="n">
        <f aca="false">O345+L345+I345</f>
        <v>0</v>
      </c>
      <c r="S345" s="145"/>
      <c r="T345" s="71" t="n">
        <f aca="false">A346-A345</f>
        <v>31</v>
      </c>
      <c r="U345" s="146" t="n">
        <f aca="false">CHOOSE(F$3,A346+24,A345)</f>
        <v>47233</v>
      </c>
      <c r="V345" s="71" t="n">
        <f aca="false">U345-C$3</f>
        <v>10345</v>
      </c>
      <c r="W345" s="142" t="n">
        <f aca="false">VLOOKUP($A345,Table,MATCH(W$4,Curves,0))</f>
        <v>0.058966861357273</v>
      </c>
      <c r="X345" s="147" t="n">
        <f aca="false">1/(1+CHOOSE(F$3,(W346+($K$3/10000))/2,(W345+($K$3/10000))/2))^(2*V345/365.25)</f>
        <v>0.192824402232572</v>
      </c>
      <c r="Y345" s="71" t="n">
        <f aca="false">IF(AND(mthbeg&lt;=A345,mthend&gt;=A345),1,0)</f>
        <v>0</v>
      </c>
      <c r="Z345" s="71" t="n">
        <f aca="false">T345*Y345</f>
        <v>0</v>
      </c>
      <c r="AB345" s="132" t="n">
        <f aca="false">F345*G345</f>
        <v>0</v>
      </c>
      <c r="AC345" s="132" t="n">
        <f aca="false">$F345*H345</f>
        <v>0</v>
      </c>
      <c r="AD345" s="132" t="n">
        <f aca="false">$F345*I345</f>
        <v>0</v>
      </c>
      <c r="AE345" s="132" t="n">
        <f aca="false">$F345*J345</f>
        <v>-0</v>
      </c>
      <c r="AF345" s="132" t="n">
        <f aca="false">$F345*K345</f>
        <v>-0</v>
      </c>
      <c r="AG345" s="132" t="n">
        <f aca="false">$F345*L345</f>
        <v>0</v>
      </c>
      <c r="AH345" s="132" t="n">
        <f aca="false">$F345*M345</f>
        <v>0</v>
      </c>
      <c r="AI345" s="132" t="n">
        <f aca="false">$F345*N345</f>
        <v>0</v>
      </c>
      <c r="AJ345" s="132" t="n">
        <f aca="false">F345*O345</f>
        <v>0</v>
      </c>
      <c r="AK345" s="137"/>
      <c r="AL345" s="132" t="n">
        <f aca="false">CHOOSE($G$3,AC345-AD345,AD345-AC345)</f>
        <v>0</v>
      </c>
      <c r="AM345" s="132" t="n">
        <f aca="false">CHOOSE($G$3,AF345-AG345,AG345-AF345)</f>
        <v>0</v>
      </c>
      <c r="AN345" s="132" t="n">
        <f aca="false">CHOOSE($G$3,AI345-AJ345,AJ345-AI345)</f>
        <v>0</v>
      </c>
      <c r="AO345" s="148" t="n">
        <f aca="false">SUM(AL345:AN345)</f>
        <v>0</v>
      </c>
      <c r="AQ345" s="132" t="n">
        <f aca="false">CHOOSE($G$3,AB345-AC345,AC345-AB345)</f>
        <v>0</v>
      </c>
      <c r="AR345" s="132" t="n">
        <f aca="false">CHOOSE($G$3,AE345-AF345,AF345-AE345)</f>
        <v>0</v>
      </c>
      <c r="AS345" s="132" t="n">
        <f aca="false">CHOOSE($G$3,AH345-AI345,AI345-AH345)</f>
        <v>0</v>
      </c>
      <c r="AT345" s="148" t="n">
        <f aca="false">AQ345+AR345+AS345</f>
        <v>0</v>
      </c>
      <c r="AU345" s="148"/>
      <c r="AV345" s="133" t="n">
        <f aca="false">AT345+AO345</f>
        <v>0</v>
      </c>
      <c r="AX345" s="133" t="n">
        <f aca="false">AJ345+AG345+AD345</f>
        <v>0</v>
      </c>
      <c r="AY345" s="149"/>
      <c r="AZ345" s="76" t="n">
        <f aca="false">R345*E345</f>
        <v>0</v>
      </c>
    </row>
    <row r="346" customFormat="false" ht="12" hidden="false" customHeight="true" outlineLevel="0" collapsed="false">
      <c r="A346" s="138" t="n">
        <f aca="false">EDATE(A345,1)</f>
        <v>47209</v>
      </c>
      <c r="B346" s="139" t="n">
        <f aca="false">VLOOKUP($A346,Table2,MATCH(I$3,Curves2,0))</f>
        <v>0</v>
      </c>
      <c r="C346" s="140"/>
      <c r="D346" s="141" t="n">
        <f aca="false">B346+C346</f>
        <v>0</v>
      </c>
      <c r="E346" s="126" t="n">
        <f aca="false">IF(Y346=0,0,IF(AND(Y346=1,$H$3=1),D346*T346,IF($H$3=2,D346,"N/A")))</f>
        <v>0</v>
      </c>
      <c r="F346" s="126" t="n">
        <f aca="false">E346*X346</f>
        <v>0</v>
      </c>
      <c r="G346" s="142" t="n">
        <f aca="false">VLOOKUP($A346,Table,MATCH(G$4,Curves,0))</f>
        <v>3.987</v>
      </c>
      <c r="H346" s="143" t="n">
        <f aca="false">G346</f>
        <v>3.987</v>
      </c>
      <c r="I346" s="142" t="n">
        <f aca="false">VLOOKUP($A346,Table1,MATCH(I$3,Curves1,0))</f>
        <v>0</v>
      </c>
      <c r="J346" s="142" t="n">
        <f aca="false">VLOOKUP($A346,Table,MATCH(J$4,Curves,0))</f>
        <v>-0.0235</v>
      </c>
      <c r="K346" s="143" t="n">
        <f aca="false">J346</f>
        <v>-0.0235</v>
      </c>
      <c r="L346" s="144" t="n">
        <v>0</v>
      </c>
      <c r="M346" s="142" t="n">
        <f aca="false">VLOOKUP($A346,Table,MATCH(M$4,Curves,0))</f>
        <v>0.0075</v>
      </c>
      <c r="N346" s="143" t="n">
        <f aca="false">M346</f>
        <v>0.0075</v>
      </c>
      <c r="O346" s="144" t="n">
        <v>0</v>
      </c>
      <c r="P346" s="145"/>
      <c r="Q346" s="144" t="n">
        <f aca="false">M346+J346+G346</f>
        <v>3.971</v>
      </c>
      <c r="R346" s="144" t="n">
        <f aca="false">O346+L346+I346</f>
        <v>0</v>
      </c>
      <c r="S346" s="145"/>
      <c r="T346" s="71" t="n">
        <f aca="false">A347-A346</f>
        <v>30</v>
      </c>
      <c r="U346" s="146" t="n">
        <f aca="false">CHOOSE(F$3,A347+24,A346)</f>
        <v>47263</v>
      </c>
      <c r="V346" s="71" t="n">
        <f aca="false">U346-C$3</f>
        <v>10375</v>
      </c>
      <c r="W346" s="142" t="n">
        <f aca="false">VLOOKUP($A346,Table,MATCH(W$4,Curves,0))</f>
        <v>0.058966861357273</v>
      </c>
      <c r="X346" s="147" t="n">
        <f aca="false">1/(1+CHOOSE(F$3,(W347+($K$3/10000))/2,(W346+($K$3/10000))/2))^(2*V346/365.25)</f>
        <v>0.191906196517715</v>
      </c>
      <c r="Y346" s="71" t="n">
        <f aca="false">IF(AND(mthbeg&lt;=A346,mthend&gt;=A346),1,0)</f>
        <v>0</v>
      </c>
      <c r="Z346" s="71" t="n">
        <f aca="false">T346*Y346</f>
        <v>0</v>
      </c>
      <c r="AB346" s="132" t="n">
        <f aca="false">F346*G346</f>
        <v>0</v>
      </c>
      <c r="AC346" s="132" t="n">
        <f aca="false">$F346*H346</f>
        <v>0</v>
      </c>
      <c r="AD346" s="132" t="n">
        <f aca="false">$F346*I346</f>
        <v>0</v>
      </c>
      <c r="AE346" s="132" t="n">
        <f aca="false">$F346*J346</f>
        <v>-0</v>
      </c>
      <c r="AF346" s="132" t="n">
        <f aca="false">$F346*K346</f>
        <v>-0</v>
      </c>
      <c r="AG346" s="132" t="n">
        <f aca="false">$F346*L346</f>
        <v>0</v>
      </c>
      <c r="AH346" s="132" t="n">
        <f aca="false">$F346*M346</f>
        <v>0</v>
      </c>
      <c r="AI346" s="132" t="n">
        <f aca="false">$F346*N346</f>
        <v>0</v>
      </c>
      <c r="AJ346" s="132" t="n">
        <f aca="false">F346*O346</f>
        <v>0</v>
      </c>
      <c r="AK346" s="137"/>
      <c r="AL346" s="132" t="n">
        <f aca="false">CHOOSE($G$3,AC346-AD346,AD346-AC346)</f>
        <v>0</v>
      </c>
      <c r="AM346" s="132" t="n">
        <f aca="false">CHOOSE($G$3,AF346-AG346,AG346-AF346)</f>
        <v>0</v>
      </c>
      <c r="AN346" s="132" t="n">
        <f aca="false">CHOOSE($G$3,AI346-AJ346,AJ346-AI346)</f>
        <v>0</v>
      </c>
      <c r="AO346" s="148" t="n">
        <f aca="false">SUM(AL346:AN346)</f>
        <v>0</v>
      </c>
      <c r="AQ346" s="132" t="n">
        <f aca="false">CHOOSE($G$3,AB346-AC346,AC346-AB346)</f>
        <v>0</v>
      </c>
      <c r="AR346" s="132" t="n">
        <f aca="false">CHOOSE($G$3,AE346-AF346,AF346-AE346)</f>
        <v>0</v>
      </c>
      <c r="AS346" s="132" t="n">
        <f aca="false">CHOOSE($G$3,AH346-AI346,AI346-AH346)</f>
        <v>0</v>
      </c>
      <c r="AT346" s="148" t="n">
        <f aca="false">AQ346+AR346+AS346</f>
        <v>0</v>
      </c>
      <c r="AU346" s="148"/>
      <c r="AV346" s="133" t="n">
        <f aca="false">AT346+AO346</f>
        <v>0</v>
      </c>
      <c r="AX346" s="133" t="n">
        <f aca="false">AJ346+AG346+AD346</f>
        <v>0</v>
      </c>
      <c r="AY346" s="149"/>
      <c r="AZ346" s="76" t="n">
        <f aca="false">R346*E346</f>
        <v>0</v>
      </c>
    </row>
    <row r="347" customFormat="false" ht="12" hidden="false" customHeight="true" outlineLevel="0" collapsed="false">
      <c r="A347" s="138" t="n">
        <f aca="false">EDATE(A346,1)</f>
        <v>47239</v>
      </c>
      <c r="B347" s="139" t="n">
        <f aca="false">VLOOKUP($A347,Table2,MATCH(I$3,Curves2,0))</f>
        <v>0</v>
      </c>
      <c r="C347" s="140"/>
      <c r="D347" s="141" t="n">
        <f aca="false">B347+C347</f>
        <v>0</v>
      </c>
      <c r="E347" s="126" t="n">
        <f aca="false">IF(Y347=0,0,IF(AND(Y347=1,$H$3=1),D347*T347,IF($H$3=2,D347,"N/A")))</f>
        <v>0</v>
      </c>
      <c r="F347" s="126" t="n">
        <f aca="false">E347*X347</f>
        <v>0</v>
      </c>
      <c r="G347" s="142" t="n">
        <f aca="false">VLOOKUP($A347,Table,MATCH(G$4,Curves,0))</f>
        <v>3.987</v>
      </c>
      <c r="H347" s="143" t="n">
        <f aca="false">G347</f>
        <v>3.987</v>
      </c>
      <c r="I347" s="142" t="n">
        <f aca="false">VLOOKUP($A347,Table1,MATCH(I$3,Curves1,0))</f>
        <v>0</v>
      </c>
      <c r="J347" s="142" t="n">
        <f aca="false">VLOOKUP($A347,Table,MATCH(J$4,Curves,0))</f>
        <v>-0.0235</v>
      </c>
      <c r="K347" s="143" t="n">
        <f aca="false">J347</f>
        <v>-0.0235</v>
      </c>
      <c r="L347" s="144" t="n">
        <v>0</v>
      </c>
      <c r="M347" s="142" t="n">
        <f aca="false">VLOOKUP($A347,Table,MATCH(M$4,Curves,0))</f>
        <v>0.0075</v>
      </c>
      <c r="N347" s="143" t="n">
        <f aca="false">M347</f>
        <v>0.0075</v>
      </c>
      <c r="O347" s="144" t="n">
        <v>0</v>
      </c>
      <c r="P347" s="145"/>
      <c r="Q347" s="144" t="n">
        <f aca="false">M347+J347+G347</f>
        <v>3.971</v>
      </c>
      <c r="R347" s="144" t="n">
        <f aca="false">O347+L347+I347</f>
        <v>0</v>
      </c>
      <c r="S347" s="145"/>
      <c r="T347" s="71" t="n">
        <f aca="false">A348-A347</f>
        <v>31</v>
      </c>
      <c r="U347" s="146" t="n">
        <f aca="false">CHOOSE(F$3,A348+24,A347)</f>
        <v>47294</v>
      </c>
      <c r="V347" s="71" t="n">
        <f aca="false">U347-C$3</f>
        <v>10406</v>
      </c>
      <c r="W347" s="142" t="n">
        <f aca="false">VLOOKUP($A347,Table,MATCH(W$4,Curves,0))</f>
        <v>0.058966861357273</v>
      </c>
      <c r="X347" s="147" t="n">
        <f aca="false">1/(1+CHOOSE(F$3,(W348+($K$3/10000))/2,(W347+($K$3/10000))/2))^(2*V347/365.25)</f>
        <v>0.190961977131432</v>
      </c>
      <c r="Y347" s="71" t="n">
        <f aca="false">IF(AND(mthbeg&lt;=A347,mthend&gt;=A347),1,0)</f>
        <v>0</v>
      </c>
      <c r="Z347" s="71" t="n">
        <f aca="false">T347*Y347</f>
        <v>0</v>
      </c>
      <c r="AB347" s="132" t="n">
        <f aca="false">F347*G347</f>
        <v>0</v>
      </c>
      <c r="AC347" s="132" t="n">
        <f aca="false">$F347*H347</f>
        <v>0</v>
      </c>
      <c r="AD347" s="132" t="n">
        <f aca="false">$F347*I347</f>
        <v>0</v>
      </c>
      <c r="AE347" s="132" t="n">
        <f aca="false">$F347*J347</f>
        <v>-0</v>
      </c>
      <c r="AF347" s="132" t="n">
        <f aca="false">$F347*K347</f>
        <v>-0</v>
      </c>
      <c r="AG347" s="132" t="n">
        <f aca="false">$F347*L347</f>
        <v>0</v>
      </c>
      <c r="AH347" s="132" t="n">
        <f aca="false">$F347*M347</f>
        <v>0</v>
      </c>
      <c r="AI347" s="132" t="n">
        <f aca="false">$F347*N347</f>
        <v>0</v>
      </c>
      <c r="AJ347" s="132" t="n">
        <f aca="false">F347*O347</f>
        <v>0</v>
      </c>
      <c r="AK347" s="137"/>
      <c r="AL347" s="132" t="n">
        <f aca="false">CHOOSE($G$3,AC347-AD347,AD347-AC347)</f>
        <v>0</v>
      </c>
      <c r="AM347" s="132" t="n">
        <f aca="false">CHOOSE($G$3,AF347-AG347,AG347-AF347)</f>
        <v>0</v>
      </c>
      <c r="AN347" s="132" t="n">
        <f aca="false">CHOOSE($G$3,AI347-AJ347,AJ347-AI347)</f>
        <v>0</v>
      </c>
      <c r="AO347" s="148" t="n">
        <f aca="false">SUM(AL347:AN347)</f>
        <v>0</v>
      </c>
      <c r="AQ347" s="132" t="n">
        <f aca="false">CHOOSE($G$3,AB347-AC347,AC347-AB347)</f>
        <v>0</v>
      </c>
      <c r="AR347" s="132" t="n">
        <f aca="false">CHOOSE($G$3,AE347-AF347,AF347-AE347)</f>
        <v>0</v>
      </c>
      <c r="AS347" s="132" t="n">
        <f aca="false">CHOOSE($G$3,AH347-AI347,AI347-AH347)</f>
        <v>0</v>
      </c>
      <c r="AT347" s="148" t="n">
        <f aca="false">AQ347+AR347+AS347</f>
        <v>0</v>
      </c>
      <c r="AU347" s="148"/>
      <c r="AV347" s="133" t="n">
        <f aca="false">AT347+AO347</f>
        <v>0</v>
      </c>
      <c r="AX347" s="133" t="n">
        <f aca="false">AJ347+AG347+AD347</f>
        <v>0</v>
      </c>
      <c r="AY347" s="149"/>
      <c r="AZ347" s="76" t="n">
        <f aca="false">R347*E347</f>
        <v>0</v>
      </c>
    </row>
    <row r="348" customFormat="false" ht="12" hidden="false" customHeight="true" outlineLevel="0" collapsed="false">
      <c r="A348" s="138" t="n">
        <f aca="false">EDATE(A347,1)</f>
        <v>47270</v>
      </c>
      <c r="B348" s="139" t="n">
        <f aca="false">VLOOKUP($A348,Table2,MATCH(I$3,Curves2,0))</f>
        <v>0</v>
      </c>
      <c r="C348" s="140"/>
      <c r="D348" s="141" t="n">
        <f aca="false">B348+C348</f>
        <v>0</v>
      </c>
      <c r="E348" s="126" t="n">
        <f aca="false">IF(Y348=0,0,IF(AND(Y348=1,$H$3=1),D348*T348,IF($H$3=2,D348,"N/A")))</f>
        <v>0</v>
      </c>
      <c r="F348" s="126" t="n">
        <f aca="false">E348*X348</f>
        <v>0</v>
      </c>
      <c r="G348" s="142" t="n">
        <f aca="false">VLOOKUP($A348,Table,MATCH(G$4,Curves,0))</f>
        <v>3.987</v>
      </c>
      <c r="H348" s="143" t="n">
        <f aca="false">G348</f>
        <v>3.987</v>
      </c>
      <c r="I348" s="142" t="n">
        <f aca="false">VLOOKUP($A348,Table1,MATCH(I$3,Curves1,0))</f>
        <v>0</v>
      </c>
      <c r="J348" s="142" t="n">
        <f aca="false">VLOOKUP($A348,Table,MATCH(J$4,Curves,0))</f>
        <v>-0.0235</v>
      </c>
      <c r="K348" s="143" t="n">
        <f aca="false">J348</f>
        <v>-0.0235</v>
      </c>
      <c r="L348" s="144" t="n">
        <v>0</v>
      </c>
      <c r="M348" s="142" t="n">
        <f aca="false">VLOOKUP($A348,Table,MATCH(M$4,Curves,0))</f>
        <v>0.0075</v>
      </c>
      <c r="N348" s="143" t="n">
        <f aca="false">M348</f>
        <v>0.0075</v>
      </c>
      <c r="O348" s="144" t="n">
        <v>0</v>
      </c>
      <c r="P348" s="145"/>
      <c r="Q348" s="144" t="n">
        <f aca="false">M348+J348+G348</f>
        <v>3.971</v>
      </c>
      <c r="R348" s="144" t="n">
        <f aca="false">O348+L348+I348</f>
        <v>0</v>
      </c>
      <c r="S348" s="145"/>
      <c r="T348" s="71" t="n">
        <f aca="false">A349-A348</f>
        <v>30</v>
      </c>
      <c r="U348" s="146" t="n">
        <f aca="false">CHOOSE(F$3,A349+24,A348)</f>
        <v>47324</v>
      </c>
      <c r="V348" s="71" t="n">
        <f aca="false">U348-C$3</f>
        <v>10436</v>
      </c>
      <c r="W348" s="142" t="n">
        <f aca="false">VLOOKUP($A348,Table,MATCH(W$4,Curves,0))</f>
        <v>0.058966861357273</v>
      </c>
      <c r="X348" s="147" t="n">
        <f aca="false">1/(1+CHOOSE(F$3,(W349+($K$3/10000))/2,(W348+($K$3/10000))/2))^(2*V348/365.25)</f>
        <v>0.190052640052243</v>
      </c>
      <c r="Y348" s="71" t="n">
        <f aca="false">IF(AND(mthbeg&lt;=A348,mthend&gt;=A348),1,0)</f>
        <v>0</v>
      </c>
      <c r="Z348" s="71" t="n">
        <f aca="false">T348*Y348</f>
        <v>0</v>
      </c>
      <c r="AB348" s="132" t="n">
        <f aca="false">F348*G348</f>
        <v>0</v>
      </c>
      <c r="AC348" s="132" t="n">
        <f aca="false">$F348*H348</f>
        <v>0</v>
      </c>
      <c r="AD348" s="132" t="n">
        <f aca="false">$F348*I348</f>
        <v>0</v>
      </c>
      <c r="AE348" s="132" t="n">
        <f aca="false">$F348*J348</f>
        <v>-0</v>
      </c>
      <c r="AF348" s="132" t="n">
        <f aca="false">$F348*K348</f>
        <v>-0</v>
      </c>
      <c r="AG348" s="132" t="n">
        <f aca="false">$F348*L348</f>
        <v>0</v>
      </c>
      <c r="AH348" s="132" t="n">
        <f aca="false">$F348*M348</f>
        <v>0</v>
      </c>
      <c r="AI348" s="132" t="n">
        <f aca="false">$F348*N348</f>
        <v>0</v>
      </c>
      <c r="AJ348" s="132" t="n">
        <f aca="false">F348*O348</f>
        <v>0</v>
      </c>
      <c r="AK348" s="137"/>
      <c r="AL348" s="132" t="n">
        <f aca="false">CHOOSE($G$3,AC348-AD348,AD348-AC348)</f>
        <v>0</v>
      </c>
      <c r="AM348" s="132" t="n">
        <f aca="false">CHOOSE($G$3,AF348-AG348,AG348-AF348)</f>
        <v>0</v>
      </c>
      <c r="AN348" s="132" t="n">
        <f aca="false">CHOOSE($G$3,AI348-AJ348,AJ348-AI348)</f>
        <v>0</v>
      </c>
      <c r="AO348" s="148" t="n">
        <f aca="false">SUM(AL348:AN348)</f>
        <v>0</v>
      </c>
      <c r="AQ348" s="132" t="n">
        <f aca="false">CHOOSE($G$3,AB348-AC348,AC348-AB348)</f>
        <v>0</v>
      </c>
      <c r="AR348" s="132" t="n">
        <f aca="false">CHOOSE($G$3,AE348-AF348,AF348-AE348)</f>
        <v>0</v>
      </c>
      <c r="AS348" s="132" t="n">
        <f aca="false">CHOOSE($G$3,AH348-AI348,AI348-AH348)</f>
        <v>0</v>
      </c>
      <c r="AT348" s="148" t="n">
        <f aca="false">AQ348+AR348+AS348</f>
        <v>0</v>
      </c>
      <c r="AU348" s="148"/>
      <c r="AV348" s="133" t="n">
        <f aca="false">AT348+AO348</f>
        <v>0</v>
      </c>
      <c r="AX348" s="133" t="n">
        <f aca="false">AJ348+AG348+AD348</f>
        <v>0</v>
      </c>
      <c r="AY348" s="149"/>
      <c r="AZ348" s="76" t="n">
        <f aca="false">R348*E348</f>
        <v>0</v>
      </c>
    </row>
    <row r="349" customFormat="false" ht="12" hidden="false" customHeight="true" outlineLevel="0" collapsed="false">
      <c r="A349" s="138" t="n">
        <f aca="false">EDATE(A348,1)</f>
        <v>47300</v>
      </c>
      <c r="B349" s="139" t="n">
        <f aca="false">VLOOKUP($A349,Table2,MATCH(I$3,Curves2,0))</f>
        <v>0</v>
      </c>
      <c r="C349" s="140"/>
      <c r="D349" s="141" t="n">
        <f aca="false">B349+C349</f>
        <v>0</v>
      </c>
      <c r="E349" s="126" t="n">
        <f aca="false">IF(Y349=0,0,IF(AND(Y349=1,$H$3=1),D349*T349,IF($H$3=2,D349,"N/A")))</f>
        <v>0</v>
      </c>
      <c r="F349" s="126" t="n">
        <f aca="false">E349*X349</f>
        <v>0</v>
      </c>
      <c r="G349" s="142" t="n">
        <f aca="false">VLOOKUP($A349,Table,MATCH(G$4,Curves,0))</f>
        <v>3.987</v>
      </c>
      <c r="H349" s="143" t="n">
        <f aca="false">G349</f>
        <v>3.987</v>
      </c>
      <c r="I349" s="142" t="n">
        <f aca="false">VLOOKUP($A349,Table1,MATCH(I$3,Curves1,0))</f>
        <v>0</v>
      </c>
      <c r="J349" s="142" t="n">
        <f aca="false">VLOOKUP($A349,Table,MATCH(J$4,Curves,0))</f>
        <v>-0.0235</v>
      </c>
      <c r="K349" s="143" t="n">
        <f aca="false">J349</f>
        <v>-0.0235</v>
      </c>
      <c r="L349" s="144" t="n">
        <v>0</v>
      </c>
      <c r="M349" s="142" t="n">
        <f aca="false">VLOOKUP($A349,Table,MATCH(M$4,Curves,0))</f>
        <v>0.0075</v>
      </c>
      <c r="N349" s="143" t="n">
        <f aca="false">M349</f>
        <v>0.0075</v>
      </c>
      <c r="O349" s="144" t="n">
        <v>0</v>
      </c>
      <c r="P349" s="145"/>
      <c r="Q349" s="144" t="n">
        <f aca="false">M349+J349+G349</f>
        <v>3.971</v>
      </c>
      <c r="R349" s="144" t="n">
        <f aca="false">O349+L349+I349</f>
        <v>0</v>
      </c>
      <c r="S349" s="145"/>
      <c r="T349" s="71" t="n">
        <f aca="false">A350-A349</f>
        <v>31</v>
      </c>
      <c r="U349" s="146" t="n">
        <f aca="false">CHOOSE(F$3,A350+24,A349)</f>
        <v>47355</v>
      </c>
      <c r="V349" s="71" t="n">
        <f aca="false">U349-C$3</f>
        <v>10467</v>
      </c>
      <c r="W349" s="142" t="n">
        <f aca="false">VLOOKUP($A349,Table,MATCH(W$4,Curves,0))</f>
        <v>0.058966861357273</v>
      </c>
      <c r="X349" s="147" t="n">
        <f aca="false">1/(1+CHOOSE(F$3,(W350+($K$3/10000))/2,(W349+($K$3/10000))/2))^(2*V349/365.25)</f>
        <v>0.189117540558803</v>
      </c>
      <c r="Y349" s="71" t="n">
        <f aca="false">IF(AND(mthbeg&lt;=A349,mthend&gt;=A349),1,0)</f>
        <v>0</v>
      </c>
      <c r="Z349" s="71" t="n">
        <f aca="false">T349*Y349</f>
        <v>0</v>
      </c>
      <c r="AB349" s="132" t="n">
        <f aca="false">F349*G349</f>
        <v>0</v>
      </c>
      <c r="AC349" s="132" t="n">
        <f aca="false">$F349*H349</f>
        <v>0</v>
      </c>
      <c r="AD349" s="132" t="n">
        <f aca="false">$F349*I349</f>
        <v>0</v>
      </c>
      <c r="AE349" s="132" t="n">
        <f aca="false">$F349*J349</f>
        <v>-0</v>
      </c>
      <c r="AF349" s="132" t="n">
        <f aca="false">$F349*K349</f>
        <v>-0</v>
      </c>
      <c r="AG349" s="132" t="n">
        <f aca="false">$F349*L349</f>
        <v>0</v>
      </c>
      <c r="AH349" s="132" t="n">
        <f aca="false">$F349*M349</f>
        <v>0</v>
      </c>
      <c r="AI349" s="132" t="n">
        <f aca="false">$F349*N349</f>
        <v>0</v>
      </c>
      <c r="AJ349" s="132" t="n">
        <f aca="false">F349*O349</f>
        <v>0</v>
      </c>
      <c r="AK349" s="137"/>
      <c r="AL349" s="132" t="n">
        <f aca="false">CHOOSE($G$3,AC349-AD349,AD349-AC349)</f>
        <v>0</v>
      </c>
      <c r="AM349" s="132" t="n">
        <f aca="false">CHOOSE($G$3,AF349-AG349,AG349-AF349)</f>
        <v>0</v>
      </c>
      <c r="AN349" s="132" t="n">
        <f aca="false">CHOOSE($G$3,AI349-AJ349,AJ349-AI349)</f>
        <v>0</v>
      </c>
      <c r="AO349" s="148" t="n">
        <f aca="false">SUM(AL349:AN349)</f>
        <v>0</v>
      </c>
      <c r="AQ349" s="132" t="n">
        <f aca="false">CHOOSE($G$3,AB349-AC349,AC349-AB349)</f>
        <v>0</v>
      </c>
      <c r="AR349" s="132" t="n">
        <f aca="false">CHOOSE($G$3,AE349-AF349,AF349-AE349)</f>
        <v>0</v>
      </c>
      <c r="AS349" s="132" t="n">
        <f aca="false">CHOOSE($G$3,AH349-AI349,AI349-AH349)</f>
        <v>0</v>
      </c>
      <c r="AT349" s="148" t="n">
        <f aca="false">AQ349+AR349+AS349</f>
        <v>0</v>
      </c>
      <c r="AU349" s="148"/>
      <c r="AV349" s="133" t="n">
        <f aca="false">AT349+AO349</f>
        <v>0</v>
      </c>
      <c r="AX349" s="133" t="n">
        <f aca="false">AJ349+AG349+AD349</f>
        <v>0</v>
      </c>
      <c r="AY349" s="149"/>
      <c r="AZ349" s="76" t="n">
        <f aca="false">R349*E349</f>
        <v>0</v>
      </c>
    </row>
    <row r="350" customFormat="false" ht="12" hidden="false" customHeight="true" outlineLevel="0" collapsed="false">
      <c r="A350" s="138" t="n">
        <f aca="false">EDATE(A349,1)</f>
        <v>47331</v>
      </c>
      <c r="B350" s="139" t="n">
        <f aca="false">VLOOKUP($A350,Table2,MATCH(I$3,Curves2,0))</f>
        <v>0</v>
      </c>
      <c r="C350" s="140"/>
      <c r="D350" s="141" t="n">
        <f aca="false">B350+C350</f>
        <v>0</v>
      </c>
      <c r="E350" s="126" t="n">
        <f aca="false">IF(Y350=0,0,IF(AND(Y350=1,$H$3=1),D350*T350,IF($H$3=2,D350,"N/A")))</f>
        <v>0</v>
      </c>
      <c r="F350" s="126" t="n">
        <f aca="false">E350*X350</f>
        <v>0</v>
      </c>
      <c r="G350" s="142" t="n">
        <f aca="false">VLOOKUP($A350,Table,MATCH(G$4,Curves,0))</f>
        <v>3.987</v>
      </c>
      <c r="H350" s="143" t="n">
        <f aca="false">G350</f>
        <v>3.987</v>
      </c>
      <c r="I350" s="142" t="n">
        <f aca="false">VLOOKUP($A350,Table1,MATCH(I$3,Curves1,0))</f>
        <v>0</v>
      </c>
      <c r="J350" s="142" t="n">
        <f aca="false">VLOOKUP($A350,Table,MATCH(J$4,Curves,0))</f>
        <v>-0.0235</v>
      </c>
      <c r="K350" s="143" t="n">
        <f aca="false">J350</f>
        <v>-0.0235</v>
      </c>
      <c r="L350" s="144" t="n">
        <v>0</v>
      </c>
      <c r="M350" s="142" t="n">
        <f aca="false">VLOOKUP($A350,Table,MATCH(M$4,Curves,0))</f>
        <v>0.0075</v>
      </c>
      <c r="N350" s="143" t="n">
        <f aca="false">M350</f>
        <v>0.0075</v>
      </c>
      <c r="O350" s="144" t="n">
        <v>0</v>
      </c>
      <c r="P350" s="145"/>
      <c r="Q350" s="144" t="n">
        <f aca="false">M350+J350+G350</f>
        <v>3.971</v>
      </c>
      <c r="R350" s="144" t="n">
        <f aca="false">O350+L350+I350</f>
        <v>0</v>
      </c>
      <c r="S350" s="145"/>
      <c r="T350" s="71" t="n">
        <f aca="false">A351-A350</f>
        <v>31</v>
      </c>
      <c r="U350" s="146" t="n">
        <f aca="false">CHOOSE(F$3,A351+24,A350)</f>
        <v>47386</v>
      </c>
      <c r="V350" s="71" t="n">
        <f aca="false">U350-C$3</f>
        <v>10498</v>
      </c>
      <c r="W350" s="142" t="n">
        <f aca="false">VLOOKUP($A350,Table,MATCH(W$4,Curves,0))</f>
        <v>0.058966861357273</v>
      </c>
      <c r="X350" s="147" t="n">
        <f aca="false">1/(1+CHOOSE(F$3,(W351+($K$3/10000))/2,(W350+($K$3/10000))/2))^(2*V350/365.25)</f>
        <v>0.188187041954162</v>
      </c>
      <c r="Y350" s="71" t="n">
        <f aca="false">IF(AND(mthbeg&lt;=A350,mthend&gt;=A350),1,0)</f>
        <v>0</v>
      </c>
      <c r="Z350" s="71" t="n">
        <f aca="false">T350*Y350</f>
        <v>0</v>
      </c>
      <c r="AB350" s="132" t="n">
        <f aca="false">F350*G350</f>
        <v>0</v>
      </c>
      <c r="AC350" s="132" t="n">
        <f aca="false">$F350*H350</f>
        <v>0</v>
      </c>
      <c r="AD350" s="132" t="n">
        <f aca="false">$F350*I350</f>
        <v>0</v>
      </c>
      <c r="AE350" s="132" t="n">
        <f aca="false">$F350*J350</f>
        <v>-0</v>
      </c>
      <c r="AF350" s="132" t="n">
        <f aca="false">$F350*K350</f>
        <v>-0</v>
      </c>
      <c r="AG350" s="132" t="n">
        <f aca="false">$F350*L350</f>
        <v>0</v>
      </c>
      <c r="AH350" s="132" t="n">
        <f aca="false">$F350*M350</f>
        <v>0</v>
      </c>
      <c r="AI350" s="132" t="n">
        <f aca="false">$F350*N350</f>
        <v>0</v>
      </c>
      <c r="AJ350" s="132" t="n">
        <f aca="false">F350*O350</f>
        <v>0</v>
      </c>
      <c r="AK350" s="137"/>
      <c r="AL350" s="132" t="n">
        <f aca="false">CHOOSE($G$3,AC350-AD350,AD350-AC350)</f>
        <v>0</v>
      </c>
      <c r="AM350" s="132" t="n">
        <f aca="false">CHOOSE($G$3,AF350-AG350,AG350-AF350)</f>
        <v>0</v>
      </c>
      <c r="AN350" s="132" t="n">
        <f aca="false">CHOOSE($G$3,AI350-AJ350,AJ350-AI350)</f>
        <v>0</v>
      </c>
      <c r="AO350" s="148" t="n">
        <f aca="false">SUM(AL350:AN350)</f>
        <v>0</v>
      </c>
      <c r="AQ350" s="132" t="n">
        <f aca="false">CHOOSE($G$3,AB350-AC350,AC350-AB350)</f>
        <v>0</v>
      </c>
      <c r="AR350" s="132" t="n">
        <f aca="false">CHOOSE($G$3,AE350-AF350,AF350-AE350)</f>
        <v>0</v>
      </c>
      <c r="AS350" s="132" t="n">
        <f aca="false">CHOOSE($G$3,AH350-AI350,AI350-AH350)</f>
        <v>0</v>
      </c>
      <c r="AT350" s="148" t="n">
        <f aca="false">AQ350+AR350+AS350</f>
        <v>0</v>
      </c>
      <c r="AU350" s="148"/>
      <c r="AV350" s="133" t="n">
        <f aca="false">AT350+AO350</f>
        <v>0</v>
      </c>
      <c r="AX350" s="133" t="n">
        <f aca="false">AJ350+AG350+AD350</f>
        <v>0</v>
      </c>
      <c r="AY350" s="149"/>
      <c r="AZ350" s="76" t="n">
        <f aca="false">R350*E350</f>
        <v>0</v>
      </c>
    </row>
    <row r="351" customFormat="false" ht="12" hidden="false" customHeight="true" outlineLevel="0" collapsed="false">
      <c r="A351" s="138" t="n">
        <f aca="false">EDATE(A350,1)</f>
        <v>47362</v>
      </c>
      <c r="B351" s="139" t="n">
        <f aca="false">VLOOKUP($A351,Table2,MATCH(I$3,Curves2,0))</f>
        <v>0</v>
      </c>
      <c r="C351" s="140"/>
      <c r="D351" s="141" t="n">
        <f aca="false">B351+C351</f>
        <v>0</v>
      </c>
      <c r="E351" s="126" t="n">
        <f aca="false">IF(Y351=0,0,IF(AND(Y351=1,$H$3=1),D351*T351,IF($H$3=2,D351,"N/A")))</f>
        <v>0</v>
      </c>
      <c r="F351" s="126" t="n">
        <f aca="false">E351*X351</f>
        <v>0</v>
      </c>
      <c r="G351" s="142" t="n">
        <f aca="false">VLOOKUP($A351,Table,MATCH(G$4,Curves,0))</f>
        <v>3.987</v>
      </c>
      <c r="H351" s="143" t="n">
        <f aca="false">G351</f>
        <v>3.987</v>
      </c>
      <c r="I351" s="142" t="n">
        <f aca="false">VLOOKUP($A351,Table1,MATCH(I$3,Curves1,0))</f>
        <v>0</v>
      </c>
      <c r="J351" s="142" t="n">
        <f aca="false">VLOOKUP($A351,Table,MATCH(J$4,Curves,0))</f>
        <v>-0.0235</v>
      </c>
      <c r="K351" s="143" t="n">
        <f aca="false">J351</f>
        <v>-0.0235</v>
      </c>
      <c r="L351" s="144" t="n">
        <v>0</v>
      </c>
      <c r="M351" s="142" t="n">
        <f aca="false">VLOOKUP($A351,Table,MATCH(M$4,Curves,0))</f>
        <v>0.0075</v>
      </c>
      <c r="N351" s="143" t="n">
        <f aca="false">M351</f>
        <v>0.0075</v>
      </c>
      <c r="O351" s="144" t="n">
        <v>0</v>
      </c>
      <c r="P351" s="145"/>
      <c r="Q351" s="144" t="n">
        <f aca="false">M351+J351+G351</f>
        <v>3.971</v>
      </c>
      <c r="R351" s="144" t="n">
        <f aca="false">O351+L351+I351</f>
        <v>0</v>
      </c>
      <c r="S351" s="145"/>
      <c r="T351" s="71" t="n">
        <f aca="false">A352-A351</f>
        <v>30</v>
      </c>
      <c r="U351" s="146" t="n">
        <f aca="false">CHOOSE(F$3,A352+24,A351)</f>
        <v>47416</v>
      </c>
      <c r="V351" s="71" t="n">
        <f aca="false">U351-C$3</f>
        <v>10528</v>
      </c>
      <c r="W351" s="142" t="n">
        <f aca="false">VLOOKUP($A351,Table,MATCH(W$4,Curves,0))</f>
        <v>0.058966861357273</v>
      </c>
      <c r="X351" s="147" t="n">
        <f aca="false">1/(1+CHOOSE(F$3,(W352+($K$3/10000))/2,(W351+($K$3/10000))/2))^(2*V351/365.25)</f>
        <v>0.187290918769628</v>
      </c>
      <c r="Y351" s="71" t="n">
        <f aca="false">IF(AND(mthbeg&lt;=A351,mthend&gt;=A351),1,0)</f>
        <v>0</v>
      </c>
      <c r="Z351" s="71" t="n">
        <f aca="false">T351*Y351</f>
        <v>0</v>
      </c>
      <c r="AB351" s="132" t="n">
        <f aca="false">F351*G351</f>
        <v>0</v>
      </c>
      <c r="AC351" s="132" t="n">
        <f aca="false">$F351*H351</f>
        <v>0</v>
      </c>
      <c r="AD351" s="132" t="n">
        <f aca="false">$F351*I351</f>
        <v>0</v>
      </c>
      <c r="AE351" s="132" t="n">
        <f aca="false">$F351*J351</f>
        <v>-0</v>
      </c>
      <c r="AF351" s="132" t="n">
        <f aca="false">$F351*K351</f>
        <v>-0</v>
      </c>
      <c r="AG351" s="132" t="n">
        <f aca="false">$F351*L351</f>
        <v>0</v>
      </c>
      <c r="AH351" s="132" t="n">
        <f aca="false">$F351*M351</f>
        <v>0</v>
      </c>
      <c r="AI351" s="132" t="n">
        <f aca="false">$F351*N351</f>
        <v>0</v>
      </c>
      <c r="AJ351" s="132" t="n">
        <f aca="false">F351*O351</f>
        <v>0</v>
      </c>
      <c r="AK351" s="137"/>
      <c r="AL351" s="132" t="n">
        <f aca="false">CHOOSE($G$3,AC351-AD351,AD351-AC351)</f>
        <v>0</v>
      </c>
      <c r="AM351" s="132" t="n">
        <f aca="false">CHOOSE($G$3,AF351-AG351,AG351-AF351)</f>
        <v>0</v>
      </c>
      <c r="AN351" s="132" t="n">
        <f aca="false">CHOOSE($G$3,AI351-AJ351,AJ351-AI351)</f>
        <v>0</v>
      </c>
      <c r="AO351" s="148" t="n">
        <f aca="false">SUM(AL351:AN351)</f>
        <v>0</v>
      </c>
      <c r="AQ351" s="132" t="n">
        <f aca="false">CHOOSE($G$3,AB351-AC351,AC351-AB351)</f>
        <v>0</v>
      </c>
      <c r="AR351" s="132" t="n">
        <f aca="false">CHOOSE($G$3,AE351-AF351,AF351-AE351)</f>
        <v>0</v>
      </c>
      <c r="AS351" s="132" t="n">
        <f aca="false">CHOOSE($G$3,AH351-AI351,AI351-AH351)</f>
        <v>0</v>
      </c>
      <c r="AT351" s="148" t="n">
        <f aca="false">AQ351+AR351+AS351</f>
        <v>0</v>
      </c>
      <c r="AU351" s="148"/>
      <c r="AV351" s="133" t="n">
        <f aca="false">AT351+AO351</f>
        <v>0</v>
      </c>
      <c r="AX351" s="133" t="n">
        <f aca="false">AJ351+AG351+AD351</f>
        <v>0</v>
      </c>
      <c r="AY351" s="149"/>
      <c r="AZ351" s="76" t="n">
        <f aca="false">R351*E351</f>
        <v>0</v>
      </c>
    </row>
    <row r="352" customFormat="false" ht="12" hidden="false" customHeight="true" outlineLevel="0" collapsed="false">
      <c r="A352" s="138" t="n">
        <f aca="false">EDATE(A351,1)</f>
        <v>47392</v>
      </c>
      <c r="B352" s="139" t="n">
        <f aca="false">VLOOKUP($A352,Table2,MATCH(I$3,Curves2,0))</f>
        <v>0</v>
      </c>
      <c r="C352" s="140"/>
      <c r="D352" s="141" t="n">
        <f aca="false">B352+C352</f>
        <v>0</v>
      </c>
      <c r="E352" s="126" t="n">
        <f aca="false">IF(Y352=0,0,IF(AND(Y352=1,$H$3=1),D352*T352,IF($H$3=2,D352,"N/A")))</f>
        <v>0</v>
      </c>
      <c r="F352" s="126" t="n">
        <f aca="false">E352*X352</f>
        <v>0</v>
      </c>
      <c r="G352" s="142" t="n">
        <f aca="false">VLOOKUP($A352,Table,MATCH(G$4,Curves,0))</f>
        <v>3.987</v>
      </c>
      <c r="H352" s="143" t="n">
        <f aca="false">G352</f>
        <v>3.987</v>
      </c>
      <c r="I352" s="142" t="n">
        <f aca="false">VLOOKUP($A352,Table1,MATCH(I$3,Curves1,0))</f>
        <v>0</v>
      </c>
      <c r="J352" s="142" t="n">
        <f aca="false">VLOOKUP($A352,Table,MATCH(J$4,Curves,0))</f>
        <v>-0.0235</v>
      </c>
      <c r="K352" s="143" t="n">
        <f aca="false">J352</f>
        <v>-0.0235</v>
      </c>
      <c r="L352" s="144" t="n">
        <v>0</v>
      </c>
      <c r="M352" s="142" t="n">
        <f aca="false">VLOOKUP($A352,Table,MATCH(M$4,Curves,0))</f>
        <v>0.0075</v>
      </c>
      <c r="N352" s="143" t="n">
        <f aca="false">M352</f>
        <v>0.0075</v>
      </c>
      <c r="O352" s="144" t="n">
        <v>0</v>
      </c>
      <c r="P352" s="145"/>
      <c r="Q352" s="144" t="n">
        <f aca="false">M352+J352+G352</f>
        <v>3.971</v>
      </c>
      <c r="R352" s="144" t="n">
        <f aca="false">O352+L352+I352</f>
        <v>0</v>
      </c>
      <c r="S352" s="145"/>
      <c r="T352" s="71" t="n">
        <f aca="false">A353-A352</f>
        <v>31</v>
      </c>
      <c r="U352" s="146" t="n">
        <f aca="false">CHOOSE(F$3,A353+24,A352)</f>
        <v>47447</v>
      </c>
      <c r="V352" s="71" t="n">
        <f aca="false">U352-C$3</f>
        <v>10559</v>
      </c>
      <c r="W352" s="142" t="n">
        <f aca="false">VLOOKUP($A352,Table,MATCH(W$4,Curves,0))</f>
        <v>0.058966861357273</v>
      </c>
      <c r="X352" s="147" t="n">
        <f aca="false">1/(1+CHOOSE(F$3,(W353+($K$3/10000))/2,(W352+($K$3/10000))/2))^(2*V352/365.25)</f>
        <v>0.186369407533482</v>
      </c>
      <c r="Y352" s="71" t="n">
        <f aca="false">IF(AND(mthbeg&lt;=A352,mthend&gt;=A352),1,0)</f>
        <v>0</v>
      </c>
      <c r="Z352" s="71" t="n">
        <f aca="false">T352*Y352</f>
        <v>0</v>
      </c>
      <c r="AB352" s="132" t="n">
        <f aca="false">F352*G352</f>
        <v>0</v>
      </c>
      <c r="AC352" s="132" t="n">
        <f aca="false">$F352*H352</f>
        <v>0</v>
      </c>
      <c r="AD352" s="132" t="n">
        <f aca="false">$F352*I352</f>
        <v>0</v>
      </c>
      <c r="AE352" s="132" t="n">
        <f aca="false">$F352*J352</f>
        <v>-0</v>
      </c>
      <c r="AF352" s="132" t="n">
        <f aca="false">$F352*K352</f>
        <v>-0</v>
      </c>
      <c r="AG352" s="132" t="n">
        <f aca="false">$F352*L352</f>
        <v>0</v>
      </c>
      <c r="AH352" s="132" t="n">
        <f aca="false">$F352*M352</f>
        <v>0</v>
      </c>
      <c r="AI352" s="132" t="n">
        <f aca="false">$F352*N352</f>
        <v>0</v>
      </c>
      <c r="AJ352" s="132" t="n">
        <f aca="false">F352*O352</f>
        <v>0</v>
      </c>
      <c r="AK352" s="137"/>
      <c r="AL352" s="132" t="n">
        <f aca="false">CHOOSE($G$3,AC352-AD352,AD352-AC352)</f>
        <v>0</v>
      </c>
      <c r="AM352" s="132" t="n">
        <f aca="false">CHOOSE($G$3,AF352-AG352,AG352-AF352)</f>
        <v>0</v>
      </c>
      <c r="AN352" s="132" t="n">
        <f aca="false">CHOOSE($G$3,AI352-AJ352,AJ352-AI352)</f>
        <v>0</v>
      </c>
      <c r="AO352" s="148" t="n">
        <f aca="false">SUM(AL352:AN352)</f>
        <v>0</v>
      </c>
      <c r="AQ352" s="132" t="n">
        <f aca="false">CHOOSE($G$3,AB352-AC352,AC352-AB352)</f>
        <v>0</v>
      </c>
      <c r="AR352" s="132" t="n">
        <f aca="false">CHOOSE($G$3,AE352-AF352,AF352-AE352)</f>
        <v>0</v>
      </c>
      <c r="AS352" s="132" t="n">
        <f aca="false">CHOOSE($G$3,AH352-AI352,AI352-AH352)</f>
        <v>0</v>
      </c>
      <c r="AT352" s="148" t="n">
        <f aca="false">AQ352+AR352+AS352</f>
        <v>0</v>
      </c>
      <c r="AU352" s="148"/>
      <c r="AV352" s="133" t="n">
        <f aca="false">AT352+AO352</f>
        <v>0</v>
      </c>
      <c r="AX352" s="133" t="n">
        <f aca="false">AJ352+AG352+AD352</f>
        <v>0</v>
      </c>
      <c r="AY352" s="149"/>
      <c r="AZ352" s="76" t="n">
        <f aca="false">R352*E352</f>
        <v>0</v>
      </c>
    </row>
    <row r="353" customFormat="false" ht="12" hidden="false" customHeight="true" outlineLevel="0" collapsed="false">
      <c r="A353" s="138" t="n">
        <f aca="false">EDATE(A352,1)</f>
        <v>47423</v>
      </c>
      <c r="B353" s="139" t="n">
        <f aca="false">VLOOKUP($A353,Table2,MATCH(I$3,Curves2,0))</f>
        <v>0</v>
      </c>
      <c r="C353" s="140"/>
      <c r="D353" s="141" t="n">
        <f aca="false">B353+C353</f>
        <v>0</v>
      </c>
      <c r="E353" s="126" t="n">
        <f aca="false">IF(Y353=0,0,IF(AND(Y353=1,$H$3=1),D353*T353,IF($H$3=2,D353,"N/A")))</f>
        <v>0</v>
      </c>
      <c r="F353" s="126" t="n">
        <f aca="false">E353*X353</f>
        <v>0</v>
      </c>
      <c r="G353" s="142" t="n">
        <f aca="false">VLOOKUP($A353,Table,MATCH(G$4,Curves,0))</f>
        <v>3.987</v>
      </c>
      <c r="H353" s="143" t="n">
        <f aca="false">G353</f>
        <v>3.987</v>
      </c>
      <c r="I353" s="142" t="n">
        <f aca="false">VLOOKUP($A353,Table1,MATCH(I$3,Curves1,0))</f>
        <v>0</v>
      </c>
      <c r="J353" s="142" t="n">
        <f aca="false">VLOOKUP($A353,Table,MATCH(J$4,Curves,0))</f>
        <v>-0.0235</v>
      </c>
      <c r="K353" s="143" t="n">
        <f aca="false">J353</f>
        <v>-0.0235</v>
      </c>
      <c r="L353" s="144" t="n">
        <v>0</v>
      </c>
      <c r="M353" s="142" t="n">
        <f aca="false">VLOOKUP($A353,Table,MATCH(M$4,Curves,0))</f>
        <v>0.0075</v>
      </c>
      <c r="N353" s="143" t="n">
        <f aca="false">M353</f>
        <v>0.0075</v>
      </c>
      <c r="O353" s="144" t="n">
        <v>0</v>
      </c>
      <c r="P353" s="145"/>
      <c r="Q353" s="144" t="n">
        <f aca="false">M353+J353+G353</f>
        <v>3.971</v>
      </c>
      <c r="R353" s="144" t="n">
        <f aca="false">O353+L353+I353</f>
        <v>0</v>
      </c>
      <c r="S353" s="145"/>
      <c r="T353" s="71" t="n">
        <f aca="false">A354-A353</f>
        <v>30</v>
      </c>
      <c r="U353" s="146" t="n">
        <f aca="false">CHOOSE(F$3,A354+24,A353)</f>
        <v>47477</v>
      </c>
      <c r="V353" s="71" t="n">
        <f aca="false">U353-C$3</f>
        <v>10589</v>
      </c>
      <c r="W353" s="142" t="n">
        <f aca="false">VLOOKUP($A353,Table,MATCH(W$4,Curves,0))</f>
        <v>0.058966861357273</v>
      </c>
      <c r="X353" s="147" t="n">
        <f aca="false">1/(1+CHOOSE(F$3,(W354+($K$3/10000))/2,(W353+($K$3/10000))/2))^(2*V353/365.25)</f>
        <v>0.185481939696993</v>
      </c>
      <c r="Y353" s="71" t="n">
        <f aca="false">IF(AND(mthbeg&lt;=A353,mthend&gt;=A353),1,0)</f>
        <v>0</v>
      </c>
      <c r="Z353" s="71" t="n">
        <f aca="false">T353*Y353</f>
        <v>0</v>
      </c>
      <c r="AB353" s="132" t="n">
        <f aca="false">F353*G353</f>
        <v>0</v>
      </c>
      <c r="AC353" s="132" t="n">
        <f aca="false">$F353*H353</f>
        <v>0</v>
      </c>
      <c r="AD353" s="132" t="n">
        <f aca="false">$F353*I353</f>
        <v>0</v>
      </c>
      <c r="AE353" s="132" t="n">
        <f aca="false">$F353*J353</f>
        <v>-0</v>
      </c>
      <c r="AF353" s="132" t="n">
        <f aca="false">$F353*K353</f>
        <v>-0</v>
      </c>
      <c r="AG353" s="132" t="n">
        <f aca="false">$F353*L353</f>
        <v>0</v>
      </c>
      <c r="AH353" s="132" t="n">
        <f aca="false">$F353*M353</f>
        <v>0</v>
      </c>
      <c r="AI353" s="132" t="n">
        <f aca="false">$F353*N353</f>
        <v>0</v>
      </c>
      <c r="AJ353" s="132" t="n">
        <f aca="false">F353*O353</f>
        <v>0</v>
      </c>
      <c r="AK353" s="137"/>
      <c r="AL353" s="132" t="n">
        <f aca="false">CHOOSE($G$3,AC353-AD353,AD353-AC353)</f>
        <v>0</v>
      </c>
      <c r="AM353" s="132" t="n">
        <f aca="false">CHOOSE($G$3,AF353-AG353,AG353-AF353)</f>
        <v>0</v>
      </c>
      <c r="AN353" s="132" t="n">
        <f aca="false">CHOOSE($G$3,AI353-AJ353,AJ353-AI353)</f>
        <v>0</v>
      </c>
      <c r="AO353" s="148" t="n">
        <f aca="false">SUM(AL353:AN353)</f>
        <v>0</v>
      </c>
      <c r="AQ353" s="132" t="n">
        <f aca="false">CHOOSE($G$3,AB353-AC353,AC353-AB353)</f>
        <v>0</v>
      </c>
      <c r="AR353" s="132" t="n">
        <f aca="false">CHOOSE($G$3,AE353-AF353,AF353-AE353)</f>
        <v>0</v>
      </c>
      <c r="AS353" s="132" t="n">
        <f aca="false">CHOOSE($G$3,AH353-AI353,AI353-AH353)</f>
        <v>0</v>
      </c>
      <c r="AT353" s="148" t="n">
        <f aca="false">AQ353+AR353+AS353</f>
        <v>0</v>
      </c>
      <c r="AU353" s="148"/>
      <c r="AV353" s="133" t="n">
        <f aca="false">AT353+AO353</f>
        <v>0</v>
      </c>
      <c r="AX353" s="133" t="n">
        <f aca="false">AJ353+AG353+AD353</f>
        <v>0</v>
      </c>
      <c r="AY353" s="149"/>
      <c r="AZ353" s="76" t="n">
        <f aca="false">R353*E353</f>
        <v>0</v>
      </c>
    </row>
    <row r="354" customFormat="false" ht="12" hidden="false" customHeight="true" outlineLevel="0" collapsed="false">
      <c r="A354" s="138" t="n">
        <f aca="false">EDATE(A353,1)</f>
        <v>47453</v>
      </c>
      <c r="B354" s="139" t="n">
        <f aca="false">VLOOKUP($A354,Table2,MATCH(I$3,Curves2,0))</f>
        <v>0</v>
      </c>
      <c r="C354" s="140"/>
      <c r="D354" s="141" t="n">
        <f aca="false">B354+C354</f>
        <v>0</v>
      </c>
      <c r="E354" s="126" t="n">
        <f aca="false">IF(Y354=0,0,IF(AND(Y354=1,$H$3=1),D354*T354,IF($H$3=2,D354,"N/A")))</f>
        <v>0</v>
      </c>
      <c r="F354" s="126" t="n">
        <f aca="false">E354*X354</f>
        <v>0</v>
      </c>
      <c r="G354" s="142" t="n">
        <f aca="false">VLOOKUP($A354,Table,MATCH(G$4,Curves,0))</f>
        <v>3.987</v>
      </c>
      <c r="H354" s="143" t="n">
        <f aca="false">G354</f>
        <v>3.987</v>
      </c>
      <c r="I354" s="142" t="n">
        <f aca="false">VLOOKUP($A354,Table1,MATCH(I$3,Curves1,0))</f>
        <v>0</v>
      </c>
      <c r="J354" s="142" t="n">
        <f aca="false">VLOOKUP($A354,Table,MATCH(J$4,Curves,0))</f>
        <v>-0.0235</v>
      </c>
      <c r="K354" s="143" t="n">
        <f aca="false">J354</f>
        <v>-0.0235</v>
      </c>
      <c r="L354" s="144" t="n">
        <v>0</v>
      </c>
      <c r="M354" s="142" t="n">
        <f aca="false">VLOOKUP($A354,Table,MATCH(M$4,Curves,0))</f>
        <v>0.0075</v>
      </c>
      <c r="N354" s="143" t="n">
        <f aca="false">M354</f>
        <v>0.0075</v>
      </c>
      <c r="O354" s="144" t="n">
        <v>0</v>
      </c>
      <c r="P354" s="145"/>
      <c r="Q354" s="144" t="n">
        <f aca="false">M354+J354+G354</f>
        <v>3.971</v>
      </c>
      <c r="R354" s="144" t="n">
        <f aca="false">O354+L354+I354</f>
        <v>0</v>
      </c>
      <c r="S354" s="145"/>
      <c r="T354" s="71" t="n">
        <f aca="false">A355-A354</f>
        <v>31</v>
      </c>
      <c r="U354" s="146" t="n">
        <f aca="false">CHOOSE(F$3,A355+24,A354)</f>
        <v>47508</v>
      </c>
      <c r="V354" s="71" t="n">
        <f aca="false">U354-C$3</f>
        <v>10620</v>
      </c>
      <c r="W354" s="142" t="n">
        <f aca="false">VLOOKUP($A354,Table,MATCH(W$4,Curves,0))</f>
        <v>0.058966861357273</v>
      </c>
      <c r="X354" s="147" t="n">
        <f aca="false">1/(1+CHOOSE(F$3,(W355+($K$3/10000))/2,(W354+($K$3/10000))/2))^(2*V354/365.25)</f>
        <v>0.184569329023417</v>
      </c>
      <c r="Y354" s="71" t="n">
        <f aca="false">IF(AND(mthbeg&lt;=A354,mthend&gt;=A354),1,0)</f>
        <v>0</v>
      </c>
      <c r="Z354" s="71" t="n">
        <f aca="false">T354*Y354</f>
        <v>0</v>
      </c>
      <c r="AB354" s="132" t="n">
        <f aca="false">F354*G354</f>
        <v>0</v>
      </c>
      <c r="AC354" s="132" t="n">
        <f aca="false">$F354*H354</f>
        <v>0</v>
      </c>
      <c r="AD354" s="132" t="n">
        <f aca="false">$F354*I354</f>
        <v>0</v>
      </c>
      <c r="AE354" s="132" t="n">
        <f aca="false">$F354*J354</f>
        <v>-0</v>
      </c>
      <c r="AF354" s="132" t="n">
        <f aca="false">$F354*K354</f>
        <v>-0</v>
      </c>
      <c r="AG354" s="132" t="n">
        <f aca="false">$F354*L354</f>
        <v>0</v>
      </c>
      <c r="AH354" s="132" t="n">
        <f aca="false">$F354*M354</f>
        <v>0</v>
      </c>
      <c r="AI354" s="132" t="n">
        <f aca="false">$F354*N354</f>
        <v>0</v>
      </c>
      <c r="AJ354" s="132" t="n">
        <f aca="false">F354*O354</f>
        <v>0</v>
      </c>
      <c r="AK354" s="137"/>
      <c r="AL354" s="132" t="n">
        <f aca="false">CHOOSE($G$3,AC354-AD354,AD354-AC354)</f>
        <v>0</v>
      </c>
      <c r="AM354" s="132" t="n">
        <f aca="false">CHOOSE($G$3,AF354-AG354,AG354-AF354)</f>
        <v>0</v>
      </c>
      <c r="AN354" s="132" t="n">
        <f aca="false">CHOOSE($G$3,AI354-AJ354,AJ354-AI354)</f>
        <v>0</v>
      </c>
      <c r="AO354" s="148" t="n">
        <f aca="false">SUM(AL354:AN354)</f>
        <v>0</v>
      </c>
      <c r="AQ354" s="132" t="n">
        <f aca="false">CHOOSE($G$3,AB354-AC354,AC354-AB354)</f>
        <v>0</v>
      </c>
      <c r="AR354" s="132" t="n">
        <f aca="false">CHOOSE($G$3,AE354-AF354,AF354-AE354)</f>
        <v>0</v>
      </c>
      <c r="AS354" s="132" t="n">
        <f aca="false">CHOOSE($G$3,AH354-AI354,AI354-AH354)</f>
        <v>0</v>
      </c>
      <c r="AT354" s="148" t="n">
        <f aca="false">AQ354+AR354+AS354</f>
        <v>0</v>
      </c>
      <c r="AU354" s="148"/>
      <c r="AV354" s="133" t="n">
        <f aca="false">AT354+AO354</f>
        <v>0</v>
      </c>
      <c r="AX354" s="133" t="n">
        <f aca="false">AJ354+AG354+AD354</f>
        <v>0</v>
      </c>
      <c r="AY354" s="149"/>
      <c r="AZ354" s="76" t="n">
        <f aca="false">R354*E354</f>
        <v>0</v>
      </c>
    </row>
    <row r="355" customFormat="false" ht="12" hidden="false" customHeight="true" outlineLevel="0" collapsed="false">
      <c r="A355" s="138" t="n">
        <f aca="false">EDATE(A354,1)</f>
        <v>47484</v>
      </c>
      <c r="B355" s="139" t="n">
        <f aca="false">VLOOKUP($A355,Table2,MATCH(I$3,Curves2,0))</f>
        <v>0</v>
      </c>
      <c r="C355" s="140"/>
      <c r="D355" s="141" t="n">
        <f aca="false">B355+C355</f>
        <v>0</v>
      </c>
      <c r="E355" s="126" t="n">
        <f aca="false">IF(Y355=0,0,IF(AND(Y355=1,$H$3=1),D355*T355,IF($H$3=2,D355,"N/A")))</f>
        <v>0</v>
      </c>
      <c r="F355" s="126" t="n">
        <f aca="false">E355*X355</f>
        <v>0</v>
      </c>
      <c r="G355" s="142" t="n">
        <f aca="false">VLOOKUP($A355,Table,MATCH(G$4,Curves,0))</f>
        <v>3.987</v>
      </c>
      <c r="H355" s="143" t="n">
        <f aca="false">G355</f>
        <v>3.987</v>
      </c>
      <c r="I355" s="142" t="n">
        <f aca="false">VLOOKUP($A355,Table1,MATCH(I$3,Curves1,0))</f>
        <v>0</v>
      </c>
      <c r="J355" s="142" t="n">
        <f aca="false">VLOOKUP($A355,Table,MATCH(J$4,Curves,0))</f>
        <v>-0.0235</v>
      </c>
      <c r="K355" s="143" t="n">
        <f aca="false">J355</f>
        <v>-0.0235</v>
      </c>
      <c r="L355" s="144" t="n">
        <v>0</v>
      </c>
      <c r="M355" s="142" t="n">
        <f aca="false">VLOOKUP($A355,Table,MATCH(M$4,Curves,0))</f>
        <v>0.0075</v>
      </c>
      <c r="N355" s="143" t="n">
        <f aca="false">M355</f>
        <v>0.0075</v>
      </c>
      <c r="O355" s="144" t="n">
        <v>0</v>
      </c>
      <c r="P355" s="145"/>
      <c r="Q355" s="144" t="n">
        <f aca="false">M355+J355+G355</f>
        <v>3.971</v>
      </c>
      <c r="R355" s="144" t="n">
        <f aca="false">O355+L355+I355</f>
        <v>0</v>
      </c>
      <c r="S355" s="145"/>
      <c r="T355" s="71" t="n">
        <f aca="false">A356-A355</f>
        <v>31</v>
      </c>
      <c r="U355" s="146" t="n">
        <f aca="false">CHOOSE(F$3,A356+24,A355)</f>
        <v>47539</v>
      </c>
      <c r="V355" s="71" t="n">
        <f aca="false">U355-C$3</f>
        <v>10651</v>
      </c>
      <c r="W355" s="142" t="n">
        <f aca="false">VLOOKUP($A355,Table,MATCH(W$4,Curves,0))</f>
        <v>0.058966861357273</v>
      </c>
      <c r="X355" s="147" t="n">
        <f aca="false">1/(1+CHOOSE(F$3,(W356+($K$3/10000))/2,(W355+($K$3/10000))/2))^(2*V355/365.25)</f>
        <v>0.183661208588853</v>
      </c>
      <c r="Y355" s="71" t="n">
        <f aca="false">IF(AND(mthbeg&lt;=A355,mthend&gt;=A355),1,0)</f>
        <v>0</v>
      </c>
      <c r="Z355" s="71" t="n">
        <f aca="false">T355*Y355</f>
        <v>0</v>
      </c>
      <c r="AB355" s="132" t="n">
        <f aca="false">F355*G355</f>
        <v>0</v>
      </c>
      <c r="AC355" s="132" t="n">
        <f aca="false">$F355*H355</f>
        <v>0</v>
      </c>
      <c r="AD355" s="132" t="n">
        <f aca="false">$F355*I355</f>
        <v>0</v>
      </c>
      <c r="AE355" s="132" t="n">
        <f aca="false">$F355*J355</f>
        <v>-0</v>
      </c>
      <c r="AF355" s="132" t="n">
        <f aca="false">$F355*K355</f>
        <v>-0</v>
      </c>
      <c r="AG355" s="132" t="n">
        <f aca="false">$F355*L355</f>
        <v>0</v>
      </c>
      <c r="AH355" s="132" t="n">
        <f aca="false">$F355*M355</f>
        <v>0</v>
      </c>
      <c r="AI355" s="132" t="n">
        <f aca="false">$F355*N355</f>
        <v>0</v>
      </c>
      <c r="AJ355" s="132" t="n">
        <f aca="false">F355*O355</f>
        <v>0</v>
      </c>
      <c r="AK355" s="137"/>
      <c r="AL355" s="132" t="n">
        <f aca="false">CHOOSE($G$3,AC355-AD355,AD355-AC355)</f>
        <v>0</v>
      </c>
      <c r="AM355" s="132" t="n">
        <f aca="false">CHOOSE($G$3,AF355-AG355,AG355-AF355)</f>
        <v>0</v>
      </c>
      <c r="AN355" s="132" t="n">
        <f aca="false">CHOOSE($G$3,AI355-AJ355,AJ355-AI355)</f>
        <v>0</v>
      </c>
      <c r="AO355" s="148" t="n">
        <f aca="false">SUM(AL355:AN355)</f>
        <v>0</v>
      </c>
      <c r="AQ355" s="132" t="n">
        <f aca="false">CHOOSE($G$3,AB355-AC355,AC355-AB355)</f>
        <v>0</v>
      </c>
      <c r="AR355" s="132" t="n">
        <f aca="false">CHOOSE($G$3,AE355-AF355,AF355-AE355)</f>
        <v>0</v>
      </c>
      <c r="AS355" s="132" t="n">
        <f aca="false">CHOOSE($G$3,AH355-AI355,AI355-AH355)</f>
        <v>0</v>
      </c>
      <c r="AT355" s="148" t="n">
        <f aca="false">AQ355+AR355+AS355</f>
        <v>0</v>
      </c>
      <c r="AU355" s="148"/>
      <c r="AV355" s="133" t="n">
        <f aca="false">AT355+AO355</f>
        <v>0</v>
      </c>
      <c r="AX355" s="133" t="n">
        <f aca="false">AJ355+AG355+AD355</f>
        <v>0</v>
      </c>
      <c r="AY355" s="149"/>
      <c r="AZ355" s="76" t="n">
        <f aca="false">R355*E355</f>
        <v>0</v>
      </c>
    </row>
    <row r="356" customFormat="false" ht="12" hidden="false" customHeight="true" outlineLevel="0" collapsed="false">
      <c r="A356" s="138" t="n">
        <f aca="false">EDATE(A355,1)</f>
        <v>47515</v>
      </c>
      <c r="B356" s="139" t="n">
        <f aca="false">VLOOKUP($A356,Table2,MATCH(I$3,Curves2,0))</f>
        <v>0</v>
      </c>
      <c r="C356" s="140"/>
      <c r="D356" s="141" t="n">
        <f aca="false">B356+C356</f>
        <v>0</v>
      </c>
      <c r="E356" s="126" t="n">
        <f aca="false">IF(Y356=0,0,IF(AND(Y356=1,$H$3=1),D356*T356,IF($H$3=2,D356,"N/A")))</f>
        <v>0</v>
      </c>
      <c r="F356" s="126" t="n">
        <f aca="false">E356*X356</f>
        <v>0</v>
      </c>
      <c r="G356" s="142" t="n">
        <f aca="false">VLOOKUP($A356,Table,MATCH(G$4,Curves,0))</f>
        <v>3.987</v>
      </c>
      <c r="H356" s="143" t="n">
        <f aca="false">G356</f>
        <v>3.987</v>
      </c>
      <c r="I356" s="142" t="n">
        <f aca="false">VLOOKUP($A356,Table1,MATCH(I$3,Curves1,0))</f>
        <v>0</v>
      </c>
      <c r="J356" s="142" t="n">
        <f aca="false">VLOOKUP($A356,Table,MATCH(J$4,Curves,0))</f>
        <v>-0.0235</v>
      </c>
      <c r="K356" s="143" t="n">
        <f aca="false">J356</f>
        <v>-0.0235</v>
      </c>
      <c r="L356" s="144" t="n">
        <v>0</v>
      </c>
      <c r="M356" s="142" t="n">
        <f aca="false">VLOOKUP($A356,Table,MATCH(M$4,Curves,0))</f>
        <v>0.0075</v>
      </c>
      <c r="N356" s="143" t="n">
        <f aca="false">M356</f>
        <v>0.0075</v>
      </c>
      <c r="O356" s="144" t="n">
        <v>0</v>
      </c>
      <c r="P356" s="145"/>
      <c r="Q356" s="144" t="n">
        <f aca="false">M356+J356+G356</f>
        <v>3.971</v>
      </c>
      <c r="R356" s="144" t="n">
        <f aca="false">O356+L356+I356</f>
        <v>0</v>
      </c>
      <c r="S356" s="145"/>
      <c r="T356" s="71" t="n">
        <f aca="false">A357-A356</f>
        <v>28</v>
      </c>
      <c r="U356" s="146" t="n">
        <f aca="false">CHOOSE(F$3,A357+24,A356)</f>
        <v>47567</v>
      </c>
      <c r="V356" s="71" t="n">
        <f aca="false">U356-C$3</f>
        <v>10679</v>
      </c>
      <c r="W356" s="142" t="n">
        <f aca="false">VLOOKUP($A356,Table,MATCH(W$4,Curves,0))</f>
        <v>0.058966861357273</v>
      </c>
      <c r="X356" s="147" t="n">
        <f aca="false">1/(1+CHOOSE(F$3,(W357+($K$3/10000))/2,(W356+($K$3/10000))/2))^(2*V356/365.25)</f>
        <v>0.182844811854227</v>
      </c>
      <c r="Y356" s="71" t="n">
        <f aca="false">IF(AND(mthbeg&lt;=A356,mthend&gt;=A356),1,0)</f>
        <v>0</v>
      </c>
      <c r="Z356" s="71" t="n">
        <f aca="false">T356*Y356</f>
        <v>0</v>
      </c>
      <c r="AB356" s="132" t="n">
        <f aca="false">F356*G356</f>
        <v>0</v>
      </c>
      <c r="AC356" s="132" t="n">
        <f aca="false">$F356*H356</f>
        <v>0</v>
      </c>
      <c r="AD356" s="132" t="n">
        <f aca="false">$F356*I356</f>
        <v>0</v>
      </c>
      <c r="AE356" s="132" t="n">
        <f aca="false">$F356*J356</f>
        <v>-0</v>
      </c>
      <c r="AF356" s="132" t="n">
        <f aca="false">$F356*K356</f>
        <v>-0</v>
      </c>
      <c r="AG356" s="132" t="n">
        <f aca="false">$F356*L356</f>
        <v>0</v>
      </c>
      <c r="AH356" s="132" t="n">
        <f aca="false">$F356*M356</f>
        <v>0</v>
      </c>
      <c r="AI356" s="132" t="n">
        <f aca="false">$F356*N356</f>
        <v>0</v>
      </c>
      <c r="AJ356" s="132" t="n">
        <f aca="false">F356*O356</f>
        <v>0</v>
      </c>
      <c r="AK356" s="137"/>
      <c r="AL356" s="132" t="n">
        <f aca="false">CHOOSE($G$3,AC356-AD356,AD356-AC356)</f>
        <v>0</v>
      </c>
      <c r="AM356" s="132" t="n">
        <f aca="false">CHOOSE($G$3,AF356-AG356,AG356-AF356)</f>
        <v>0</v>
      </c>
      <c r="AN356" s="132" t="n">
        <f aca="false">CHOOSE($G$3,AI356-AJ356,AJ356-AI356)</f>
        <v>0</v>
      </c>
      <c r="AO356" s="148" t="n">
        <f aca="false">SUM(AL356:AN356)</f>
        <v>0</v>
      </c>
      <c r="AQ356" s="132" t="n">
        <f aca="false">CHOOSE($G$3,AB356-AC356,AC356-AB356)</f>
        <v>0</v>
      </c>
      <c r="AR356" s="132" t="n">
        <f aca="false">CHOOSE($G$3,AE356-AF356,AF356-AE356)</f>
        <v>0</v>
      </c>
      <c r="AS356" s="132" t="n">
        <f aca="false">CHOOSE($G$3,AH356-AI356,AI356-AH356)</f>
        <v>0</v>
      </c>
      <c r="AT356" s="148" t="n">
        <f aca="false">AQ356+AR356+AS356</f>
        <v>0</v>
      </c>
      <c r="AU356" s="148"/>
      <c r="AV356" s="133" t="n">
        <f aca="false">AT356+AO356</f>
        <v>0</v>
      </c>
      <c r="AX356" s="133" t="n">
        <f aca="false">AJ356+AG356+AD356</f>
        <v>0</v>
      </c>
      <c r="AY356" s="149"/>
      <c r="AZ356" s="76" t="n">
        <f aca="false">R356*E356</f>
        <v>0</v>
      </c>
    </row>
    <row r="357" customFormat="false" ht="12" hidden="false" customHeight="true" outlineLevel="0" collapsed="false">
      <c r="A357" s="138" t="n">
        <f aca="false">EDATE(A356,1)</f>
        <v>47543</v>
      </c>
      <c r="B357" s="139" t="n">
        <f aca="false">VLOOKUP($A357,Table2,MATCH(I$3,Curves2,0))</f>
        <v>0</v>
      </c>
      <c r="C357" s="140"/>
      <c r="D357" s="141" t="n">
        <f aca="false">B357+C357</f>
        <v>0</v>
      </c>
      <c r="E357" s="126" t="n">
        <f aca="false">IF(Y357=0,0,IF(AND(Y357=1,$H$3=1),D357*T357,IF($H$3=2,D357,"N/A")))</f>
        <v>0</v>
      </c>
      <c r="F357" s="126" t="n">
        <f aca="false">E357*X357</f>
        <v>0</v>
      </c>
      <c r="G357" s="142" t="n">
        <f aca="false">VLOOKUP($A357,Table,MATCH(G$4,Curves,0))</f>
        <v>3.987</v>
      </c>
      <c r="H357" s="143" t="n">
        <f aca="false">G357</f>
        <v>3.987</v>
      </c>
      <c r="I357" s="142" t="n">
        <f aca="false">VLOOKUP($A357,Table1,MATCH(I$3,Curves1,0))</f>
        <v>0</v>
      </c>
      <c r="J357" s="142" t="n">
        <f aca="false">VLOOKUP($A357,Table,MATCH(J$4,Curves,0))</f>
        <v>-0.0235</v>
      </c>
      <c r="K357" s="143" t="n">
        <f aca="false">J357</f>
        <v>-0.0235</v>
      </c>
      <c r="L357" s="144" t="n">
        <v>0</v>
      </c>
      <c r="M357" s="142" t="n">
        <f aca="false">VLOOKUP($A357,Table,MATCH(M$4,Curves,0))</f>
        <v>0.0075</v>
      </c>
      <c r="N357" s="143" t="n">
        <f aca="false">M357</f>
        <v>0.0075</v>
      </c>
      <c r="O357" s="144" t="n">
        <v>0</v>
      </c>
      <c r="P357" s="145"/>
      <c r="Q357" s="144" t="n">
        <f aca="false">M357+J357+G357</f>
        <v>3.971</v>
      </c>
      <c r="R357" s="144" t="n">
        <f aca="false">O357+L357+I357</f>
        <v>0</v>
      </c>
      <c r="S357" s="145"/>
      <c r="T357" s="71" t="n">
        <f aca="false">A358-A357</f>
        <v>31</v>
      </c>
      <c r="U357" s="146" t="n">
        <f aca="false">CHOOSE(F$3,A358+24,A357)</f>
        <v>47598</v>
      </c>
      <c r="V357" s="71" t="n">
        <f aca="false">U357-C$3</f>
        <v>10710</v>
      </c>
      <c r="W357" s="142" t="n">
        <f aca="false">VLOOKUP($A357,Table,MATCH(W$4,Curves,0))</f>
        <v>0.058966861357273</v>
      </c>
      <c r="X357" s="147" t="n">
        <f aca="false">1/(1+CHOOSE(F$3,(W358+($K$3/10000))/2,(W357+($K$3/10000))/2))^(2*V357/365.25)</f>
        <v>0.181945176411668</v>
      </c>
      <c r="Y357" s="71" t="n">
        <f aca="false">IF(AND(mthbeg&lt;=A357,mthend&gt;=A357),1,0)</f>
        <v>0</v>
      </c>
      <c r="Z357" s="71" t="n">
        <f aca="false">T357*Y357</f>
        <v>0</v>
      </c>
      <c r="AB357" s="132" t="n">
        <f aca="false">F357*G357</f>
        <v>0</v>
      </c>
      <c r="AC357" s="132" t="n">
        <f aca="false">$F357*H357</f>
        <v>0</v>
      </c>
      <c r="AD357" s="132" t="n">
        <f aca="false">$F357*I357</f>
        <v>0</v>
      </c>
      <c r="AE357" s="132" t="n">
        <f aca="false">$F357*J357</f>
        <v>-0</v>
      </c>
      <c r="AF357" s="132" t="n">
        <f aca="false">$F357*K357</f>
        <v>-0</v>
      </c>
      <c r="AG357" s="132" t="n">
        <f aca="false">$F357*L357</f>
        <v>0</v>
      </c>
      <c r="AH357" s="132" t="n">
        <f aca="false">$F357*M357</f>
        <v>0</v>
      </c>
      <c r="AI357" s="132" t="n">
        <f aca="false">$F357*N357</f>
        <v>0</v>
      </c>
      <c r="AJ357" s="132" t="n">
        <f aca="false">F357*O357</f>
        <v>0</v>
      </c>
      <c r="AK357" s="137"/>
      <c r="AL357" s="132" t="n">
        <f aca="false">CHOOSE($G$3,AC357-AD357,AD357-AC357)</f>
        <v>0</v>
      </c>
      <c r="AM357" s="132" t="n">
        <f aca="false">CHOOSE($G$3,AF357-AG357,AG357-AF357)</f>
        <v>0</v>
      </c>
      <c r="AN357" s="132" t="n">
        <f aca="false">CHOOSE($G$3,AI357-AJ357,AJ357-AI357)</f>
        <v>0</v>
      </c>
      <c r="AO357" s="148" t="n">
        <f aca="false">SUM(AL357:AN357)</f>
        <v>0</v>
      </c>
      <c r="AQ357" s="132" t="n">
        <f aca="false">CHOOSE($G$3,AB357-AC357,AC357-AB357)</f>
        <v>0</v>
      </c>
      <c r="AR357" s="132" t="n">
        <f aca="false">CHOOSE($G$3,AE357-AF357,AF357-AE357)</f>
        <v>0</v>
      </c>
      <c r="AS357" s="132" t="n">
        <f aca="false">CHOOSE($G$3,AH357-AI357,AI357-AH357)</f>
        <v>0</v>
      </c>
      <c r="AT357" s="148" t="n">
        <f aca="false">AQ357+AR357+AS357</f>
        <v>0</v>
      </c>
      <c r="AU357" s="148"/>
      <c r="AV357" s="133" t="n">
        <f aca="false">AT357+AO357</f>
        <v>0</v>
      </c>
      <c r="AX357" s="133" t="n">
        <f aca="false">AJ357+AG357+AD357</f>
        <v>0</v>
      </c>
      <c r="AY357" s="149"/>
      <c r="AZ357" s="76" t="n">
        <f aca="false">R357*E357</f>
        <v>0</v>
      </c>
    </row>
    <row r="358" customFormat="false" ht="12" hidden="false" customHeight="true" outlineLevel="0" collapsed="false">
      <c r="A358" s="138" t="n">
        <f aca="false">EDATE(A357,1)</f>
        <v>47574</v>
      </c>
      <c r="B358" s="139" t="n">
        <f aca="false">VLOOKUP($A358,Table2,MATCH(I$3,Curves2,0))</f>
        <v>0</v>
      </c>
      <c r="C358" s="140"/>
      <c r="D358" s="141" t="n">
        <f aca="false">B358+C358</f>
        <v>0</v>
      </c>
      <c r="E358" s="126" t="n">
        <f aca="false">IF(Y358=0,0,IF(AND(Y358=1,$H$3=1),D358*T358,IF($H$3=2,D358,"N/A")))</f>
        <v>0</v>
      </c>
      <c r="F358" s="126" t="n">
        <f aca="false">E358*X358</f>
        <v>0</v>
      </c>
      <c r="G358" s="142" t="n">
        <f aca="false">VLOOKUP($A358,Table,MATCH(G$4,Curves,0))</f>
        <v>3.987</v>
      </c>
      <c r="H358" s="143" t="n">
        <f aca="false">G358</f>
        <v>3.987</v>
      </c>
      <c r="I358" s="142" t="n">
        <f aca="false">VLOOKUP($A358,Table1,MATCH(I$3,Curves1,0))</f>
        <v>0</v>
      </c>
      <c r="J358" s="142" t="n">
        <f aca="false">VLOOKUP($A358,Table,MATCH(J$4,Curves,0))</f>
        <v>-0.0235</v>
      </c>
      <c r="K358" s="143" t="n">
        <f aca="false">J358</f>
        <v>-0.0235</v>
      </c>
      <c r="L358" s="144" t="n">
        <v>0</v>
      </c>
      <c r="M358" s="142" t="n">
        <f aca="false">VLOOKUP($A358,Table,MATCH(M$4,Curves,0))</f>
        <v>0.0075</v>
      </c>
      <c r="N358" s="143" t="n">
        <f aca="false">M358</f>
        <v>0.0075</v>
      </c>
      <c r="O358" s="144" t="n">
        <v>0</v>
      </c>
      <c r="P358" s="145"/>
      <c r="Q358" s="144" t="n">
        <f aca="false">M358+J358+G358</f>
        <v>3.971</v>
      </c>
      <c r="R358" s="144" t="n">
        <f aca="false">O358+L358+I358</f>
        <v>0</v>
      </c>
      <c r="S358" s="145"/>
      <c r="T358" s="71" t="n">
        <f aca="false">A359-A358</f>
        <v>30</v>
      </c>
      <c r="U358" s="146" t="n">
        <f aca="false">CHOOSE(F$3,A359+24,A358)</f>
        <v>47628</v>
      </c>
      <c r="V358" s="71" t="n">
        <f aca="false">U358-C$3</f>
        <v>10740</v>
      </c>
      <c r="W358" s="142" t="n">
        <f aca="false">VLOOKUP($A358,Table,MATCH(W$4,Curves,0))</f>
        <v>0.058966861357273</v>
      </c>
      <c r="X358" s="147" t="n">
        <f aca="false">1/(1+CHOOSE(F$3,(W359+($K$3/10000))/2,(W358+($K$3/10000))/2))^(2*V358/365.25)</f>
        <v>0.181078776211084</v>
      </c>
      <c r="Y358" s="71" t="n">
        <f aca="false">IF(AND(mthbeg&lt;=A358,mthend&gt;=A358),1,0)</f>
        <v>0</v>
      </c>
      <c r="Z358" s="71" t="n">
        <f aca="false">T358*Y358</f>
        <v>0</v>
      </c>
      <c r="AB358" s="132" t="n">
        <f aca="false">F358*G358</f>
        <v>0</v>
      </c>
      <c r="AC358" s="132" t="n">
        <f aca="false">$F358*H358</f>
        <v>0</v>
      </c>
      <c r="AD358" s="132" t="n">
        <f aca="false">$F358*I358</f>
        <v>0</v>
      </c>
      <c r="AE358" s="132" t="n">
        <f aca="false">$F358*J358</f>
        <v>-0</v>
      </c>
      <c r="AF358" s="132" t="n">
        <f aca="false">$F358*K358</f>
        <v>-0</v>
      </c>
      <c r="AG358" s="132" t="n">
        <f aca="false">$F358*L358</f>
        <v>0</v>
      </c>
      <c r="AH358" s="132" t="n">
        <f aca="false">$F358*M358</f>
        <v>0</v>
      </c>
      <c r="AI358" s="132" t="n">
        <f aca="false">$F358*N358</f>
        <v>0</v>
      </c>
      <c r="AJ358" s="132" t="n">
        <f aca="false">F358*O358</f>
        <v>0</v>
      </c>
      <c r="AK358" s="137"/>
      <c r="AL358" s="132" t="n">
        <f aca="false">CHOOSE($G$3,AC358-AD358,AD358-AC358)</f>
        <v>0</v>
      </c>
      <c r="AM358" s="132" t="n">
        <f aca="false">CHOOSE($G$3,AF358-AG358,AG358-AF358)</f>
        <v>0</v>
      </c>
      <c r="AN358" s="132" t="n">
        <f aca="false">CHOOSE($G$3,AI358-AJ358,AJ358-AI358)</f>
        <v>0</v>
      </c>
      <c r="AO358" s="148" t="n">
        <f aca="false">SUM(AL358:AN358)</f>
        <v>0</v>
      </c>
      <c r="AQ358" s="132" t="n">
        <f aca="false">CHOOSE($G$3,AB358-AC358,AC358-AB358)</f>
        <v>0</v>
      </c>
      <c r="AR358" s="132" t="n">
        <f aca="false">CHOOSE($G$3,AE358-AF358,AF358-AE358)</f>
        <v>0</v>
      </c>
      <c r="AS358" s="132" t="n">
        <f aca="false">CHOOSE($G$3,AH358-AI358,AI358-AH358)</f>
        <v>0</v>
      </c>
      <c r="AT358" s="148" t="n">
        <f aca="false">AQ358+AR358+AS358</f>
        <v>0</v>
      </c>
      <c r="AU358" s="148"/>
      <c r="AV358" s="133" t="n">
        <f aca="false">AT358+AO358</f>
        <v>0</v>
      </c>
      <c r="AX358" s="133" t="n">
        <f aca="false">AJ358+AG358+AD358</f>
        <v>0</v>
      </c>
      <c r="AY358" s="149"/>
      <c r="AZ358" s="76" t="n">
        <f aca="false">R358*E358</f>
        <v>0</v>
      </c>
    </row>
    <row r="359" customFormat="false" ht="12" hidden="false" customHeight="true" outlineLevel="0" collapsed="false">
      <c r="A359" s="138" t="n">
        <f aca="false">EDATE(A358,1)</f>
        <v>47604</v>
      </c>
      <c r="B359" s="139" t="n">
        <f aca="false">VLOOKUP($A359,Table2,MATCH(I$3,Curves2,0))</f>
        <v>0</v>
      </c>
      <c r="C359" s="140"/>
      <c r="D359" s="141" t="n">
        <f aca="false">B359+C359</f>
        <v>0</v>
      </c>
      <c r="E359" s="126" t="n">
        <f aca="false">IF(Y359=0,0,IF(AND(Y359=1,$H$3=1),D359*T359,IF($H$3=2,D359,"N/A")))</f>
        <v>0</v>
      </c>
      <c r="F359" s="126" t="n">
        <f aca="false">E359*X359</f>
        <v>0</v>
      </c>
      <c r="G359" s="142" t="n">
        <f aca="false">VLOOKUP($A359,Table,MATCH(G$4,Curves,0))</f>
        <v>3.987</v>
      </c>
      <c r="H359" s="143" t="n">
        <f aca="false">G359</f>
        <v>3.987</v>
      </c>
      <c r="I359" s="142" t="n">
        <f aca="false">VLOOKUP($A359,Table1,MATCH(I$3,Curves1,0))</f>
        <v>0</v>
      </c>
      <c r="J359" s="142" t="n">
        <f aca="false">VLOOKUP($A359,Table,MATCH(J$4,Curves,0))</f>
        <v>-0.0235</v>
      </c>
      <c r="K359" s="143" t="n">
        <f aca="false">J359</f>
        <v>-0.0235</v>
      </c>
      <c r="L359" s="144" t="n">
        <v>0</v>
      </c>
      <c r="M359" s="142" t="n">
        <f aca="false">VLOOKUP($A359,Table,MATCH(M$4,Curves,0))</f>
        <v>0.0075</v>
      </c>
      <c r="N359" s="143" t="n">
        <f aca="false">M359</f>
        <v>0.0075</v>
      </c>
      <c r="O359" s="144" t="n">
        <v>0</v>
      </c>
      <c r="P359" s="145"/>
      <c r="Q359" s="144" t="n">
        <f aca="false">M359+J359+G359</f>
        <v>3.971</v>
      </c>
      <c r="R359" s="144" t="n">
        <f aca="false">O359+L359+I359</f>
        <v>0</v>
      </c>
      <c r="S359" s="145"/>
      <c r="T359" s="71" t="n">
        <f aca="false">A360-A359</f>
        <v>31</v>
      </c>
      <c r="U359" s="146" t="n">
        <f aca="false">CHOOSE(F$3,A360+24,A359)</f>
        <v>47659</v>
      </c>
      <c r="V359" s="71" t="n">
        <f aca="false">U359-C$3</f>
        <v>10771</v>
      </c>
      <c r="W359" s="142" t="n">
        <f aca="false">VLOOKUP($A359,Table,MATCH(W$4,Curves,0))</f>
        <v>0.058966861357273</v>
      </c>
      <c r="X359" s="147" t="n">
        <f aca="false">1/(1+CHOOSE(F$3,(W360+($K$3/10000))/2,(W359+($K$3/10000))/2))^(2*V359/365.25)</f>
        <v>0.18018783004027</v>
      </c>
      <c r="Y359" s="71" t="n">
        <f aca="false">IF(AND(mthbeg&lt;=A359,mthend&gt;=A359),1,0)</f>
        <v>0</v>
      </c>
      <c r="Z359" s="71" t="n">
        <f aca="false">T359*Y359</f>
        <v>0</v>
      </c>
      <c r="AB359" s="132" t="n">
        <f aca="false">F359*G359</f>
        <v>0</v>
      </c>
      <c r="AC359" s="132" t="n">
        <f aca="false">$F359*H359</f>
        <v>0</v>
      </c>
      <c r="AD359" s="132" t="n">
        <f aca="false">$F359*I359</f>
        <v>0</v>
      </c>
      <c r="AE359" s="132" t="n">
        <f aca="false">$F359*J359</f>
        <v>-0</v>
      </c>
      <c r="AF359" s="132" t="n">
        <f aca="false">$F359*K359</f>
        <v>-0</v>
      </c>
      <c r="AG359" s="132" t="n">
        <f aca="false">$F359*L359</f>
        <v>0</v>
      </c>
      <c r="AH359" s="132" t="n">
        <f aca="false">$F359*M359</f>
        <v>0</v>
      </c>
      <c r="AI359" s="132" t="n">
        <f aca="false">$F359*N359</f>
        <v>0</v>
      </c>
      <c r="AJ359" s="132" t="n">
        <f aca="false">F359*O359</f>
        <v>0</v>
      </c>
      <c r="AK359" s="137"/>
      <c r="AL359" s="132" t="n">
        <f aca="false">CHOOSE($G$3,AC359-AD359,AD359-AC359)</f>
        <v>0</v>
      </c>
      <c r="AM359" s="132" t="n">
        <f aca="false">CHOOSE($G$3,AF359-AG359,AG359-AF359)</f>
        <v>0</v>
      </c>
      <c r="AN359" s="132" t="n">
        <f aca="false">CHOOSE($G$3,AI359-AJ359,AJ359-AI359)</f>
        <v>0</v>
      </c>
      <c r="AO359" s="148" t="n">
        <f aca="false">SUM(AL359:AN359)</f>
        <v>0</v>
      </c>
      <c r="AQ359" s="132" t="n">
        <f aca="false">CHOOSE($G$3,AB359-AC359,AC359-AB359)</f>
        <v>0</v>
      </c>
      <c r="AR359" s="132" t="n">
        <f aca="false">CHOOSE($G$3,AE359-AF359,AF359-AE359)</f>
        <v>0</v>
      </c>
      <c r="AS359" s="132" t="n">
        <f aca="false">CHOOSE($G$3,AH359-AI359,AI359-AH359)</f>
        <v>0</v>
      </c>
      <c r="AT359" s="148" t="n">
        <f aca="false">AQ359+AR359+AS359</f>
        <v>0</v>
      </c>
      <c r="AU359" s="148"/>
      <c r="AV359" s="133" t="n">
        <f aca="false">AT359+AO359</f>
        <v>0</v>
      </c>
      <c r="AX359" s="133" t="n">
        <f aca="false">AJ359+AG359+AD359</f>
        <v>0</v>
      </c>
      <c r="AY359" s="149"/>
      <c r="AZ359" s="76" t="n">
        <f aca="false">R359*E359</f>
        <v>0</v>
      </c>
    </row>
    <row r="360" customFormat="false" ht="12" hidden="false" customHeight="true" outlineLevel="0" collapsed="false">
      <c r="A360" s="138" t="n">
        <f aca="false">EDATE(A359,1)</f>
        <v>47635</v>
      </c>
      <c r="B360" s="139" t="n">
        <f aca="false">VLOOKUP($A360,Table2,MATCH(I$3,Curves2,0))</f>
        <v>0</v>
      </c>
      <c r="C360" s="140"/>
      <c r="D360" s="141" t="n">
        <f aca="false">B360+C360</f>
        <v>0</v>
      </c>
      <c r="E360" s="126" t="n">
        <f aca="false">IF(Y360=0,0,IF(AND(Y360=1,$H$3=1),D360*T360,IF($H$3=2,D360,"N/A")))</f>
        <v>0</v>
      </c>
      <c r="F360" s="126" t="n">
        <f aca="false">E360*X360</f>
        <v>0</v>
      </c>
      <c r="G360" s="142" t="n">
        <f aca="false">VLOOKUP($A360,Table,MATCH(G$4,Curves,0))</f>
        <v>3.987</v>
      </c>
      <c r="H360" s="143" t="n">
        <f aca="false">G360</f>
        <v>3.987</v>
      </c>
      <c r="I360" s="142" t="n">
        <f aca="false">VLOOKUP($A360,Table1,MATCH(I$3,Curves1,0))</f>
        <v>0</v>
      </c>
      <c r="J360" s="142" t="n">
        <f aca="false">VLOOKUP($A360,Table,MATCH(J$4,Curves,0))</f>
        <v>-0.0235</v>
      </c>
      <c r="K360" s="143" t="n">
        <f aca="false">J360</f>
        <v>-0.0235</v>
      </c>
      <c r="L360" s="144" t="n">
        <v>0</v>
      </c>
      <c r="M360" s="142" t="n">
        <f aca="false">VLOOKUP($A360,Table,MATCH(M$4,Curves,0))</f>
        <v>0.0075</v>
      </c>
      <c r="N360" s="143" t="n">
        <f aca="false">M360</f>
        <v>0.0075</v>
      </c>
      <c r="O360" s="144" t="n">
        <v>0</v>
      </c>
      <c r="P360" s="145"/>
      <c r="Q360" s="144" t="n">
        <f aca="false">M360+J360+G360</f>
        <v>3.971</v>
      </c>
      <c r="R360" s="144" t="n">
        <f aca="false">O360+L360+I360</f>
        <v>0</v>
      </c>
      <c r="S360" s="145"/>
      <c r="T360" s="71" t="n">
        <f aca="false">A361-A360</f>
        <v>30</v>
      </c>
      <c r="U360" s="146" t="n">
        <f aca="false">CHOOSE(F$3,A361+24,A360)</f>
        <v>47689</v>
      </c>
      <c r="V360" s="71" t="n">
        <f aca="false">U360-C$3</f>
        <v>10801</v>
      </c>
      <c r="W360" s="142" t="n">
        <f aca="false">VLOOKUP($A360,Table,MATCH(W$4,Curves,0))</f>
        <v>0.058966861357273</v>
      </c>
      <c r="X360" s="147" t="n">
        <f aca="false">1/(1+CHOOSE(F$3,(W361+($K$3/10000))/2,(W360+($K$3/10000))/2))^(2*V360/365.25)</f>
        <v>0.179329798103569</v>
      </c>
      <c r="Y360" s="71" t="n">
        <f aca="false">IF(AND(mthbeg&lt;=A360,mthend&gt;=A360),1,0)</f>
        <v>0</v>
      </c>
      <c r="Z360" s="71" t="n">
        <f aca="false">T360*Y360</f>
        <v>0</v>
      </c>
      <c r="AB360" s="132" t="n">
        <f aca="false">F360*G360</f>
        <v>0</v>
      </c>
      <c r="AC360" s="132" t="n">
        <f aca="false">$F360*H360</f>
        <v>0</v>
      </c>
      <c r="AD360" s="132" t="n">
        <f aca="false">$F360*I360</f>
        <v>0</v>
      </c>
      <c r="AE360" s="132" t="n">
        <f aca="false">$F360*J360</f>
        <v>-0</v>
      </c>
      <c r="AF360" s="132" t="n">
        <f aca="false">$F360*K360</f>
        <v>-0</v>
      </c>
      <c r="AG360" s="132" t="n">
        <f aca="false">$F360*L360</f>
        <v>0</v>
      </c>
      <c r="AH360" s="132" t="n">
        <f aca="false">$F360*M360</f>
        <v>0</v>
      </c>
      <c r="AI360" s="132" t="n">
        <f aca="false">$F360*N360</f>
        <v>0</v>
      </c>
      <c r="AJ360" s="132" t="n">
        <f aca="false">F360*O360</f>
        <v>0</v>
      </c>
      <c r="AK360" s="137"/>
      <c r="AL360" s="132" t="n">
        <f aca="false">CHOOSE($G$3,AC360-AD360,AD360-AC360)</f>
        <v>0</v>
      </c>
      <c r="AM360" s="132" t="n">
        <f aca="false">CHOOSE($G$3,AF360-AG360,AG360-AF360)</f>
        <v>0</v>
      </c>
      <c r="AN360" s="132" t="n">
        <f aca="false">CHOOSE($G$3,AI360-AJ360,AJ360-AI360)</f>
        <v>0</v>
      </c>
      <c r="AO360" s="148" t="n">
        <f aca="false">SUM(AL360:AN360)</f>
        <v>0</v>
      </c>
      <c r="AQ360" s="132" t="n">
        <f aca="false">CHOOSE($G$3,AB360-AC360,AC360-AB360)</f>
        <v>0</v>
      </c>
      <c r="AR360" s="132" t="n">
        <f aca="false">CHOOSE($G$3,AE360-AF360,AF360-AE360)</f>
        <v>0</v>
      </c>
      <c r="AS360" s="132" t="n">
        <f aca="false">CHOOSE($G$3,AH360-AI360,AI360-AH360)</f>
        <v>0</v>
      </c>
      <c r="AT360" s="148" t="n">
        <f aca="false">AQ360+AR360+AS360</f>
        <v>0</v>
      </c>
      <c r="AU360" s="148"/>
      <c r="AV360" s="133" t="n">
        <f aca="false">AT360+AO360</f>
        <v>0</v>
      </c>
      <c r="AX360" s="133" t="n">
        <f aca="false">AJ360+AG360+AD360</f>
        <v>0</v>
      </c>
      <c r="AY360" s="149"/>
      <c r="AZ360" s="76" t="n">
        <f aca="false">R360*E360</f>
        <v>0</v>
      </c>
    </row>
    <row r="361" customFormat="false" ht="12" hidden="false" customHeight="true" outlineLevel="0" collapsed="false">
      <c r="A361" s="138" t="n">
        <f aca="false">EDATE(A360,1)</f>
        <v>47665</v>
      </c>
      <c r="B361" s="139" t="n">
        <f aca="false">VLOOKUP($A361,Table2,MATCH(I$3,Curves2,0))</f>
        <v>0</v>
      </c>
      <c r="C361" s="140"/>
      <c r="D361" s="141" t="n">
        <f aca="false">B361+C361</f>
        <v>0</v>
      </c>
      <c r="E361" s="126" t="n">
        <f aca="false">IF(Y361=0,0,IF(AND(Y361=1,$H$3=1),D361*T361,IF($H$3=2,D361,"N/A")))</f>
        <v>0</v>
      </c>
      <c r="F361" s="126" t="n">
        <f aca="false">E361*X361</f>
        <v>0</v>
      </c>
      <c r="G361" s="142" t="n">
        <f aca="false">VLOOKUP($A361,Table,MATCH(G$4,Curves,0))</f>
        <v>3.987</v>
      </c>
      <c r="H361" s="143" t="n">
        <f aca="false">G361</f>
        <v>3.987</v>
      </c>
      <c r="I361" s="142" t="n">
        <f aca="false">VLOOKUP($A361,Table1,MATCH(I$3,Curves1,0))</f>
        <v>0</v>
      </c>
      <c r="J361" s="142" t="n">
        <f aca="false">VLOOKUP($A361,Table,MATCH(J$4,Curves,0))</f>
        <v>-0.0235</v>
      </c>
      <c r="K361" s="143" t="n">
        <f aca="false">J361</f>
        <v>-0.0235</v>
      </c>
      <c r="L361" s="144" t="n">
        <v>0</v>
      </c>
      <c r="M361" s="142" t="n">
        <f aca="false">VLOOKUP($A361,Table,MATCH(M$4,Curves,0))</f>
        <v>0.0075</v>
      </c>
      <c r="N361" s="143" t="n">
        <f aca="false">M361</f>
        <v>0.0075</v>
      </c>
      <c r="O361" s="144" t="n">
        <v>0</v>
      </c>
      <c r="P361" s="145"/>
      <c r="Q361" s="144" t="n">
        <f aca="false">M361+J361+G361</f>
        <v>3.971</v>
      </c>
      <c r="R361" s="144" t="n">
        <f aca="false">O361+L361+I361</f>
        <v>0</v>
      </c>
      <c r="S361" s="145"/>
      <c r="T361" s="71" t="n">
        <f aca="false">A362-A361</f>
        <v>31</v>
      </c>
      <c r="U361" s="146" t="n">
        <f aca="false">CHOOSE(F$3,A362+24,A361)</f>
        <v>47720</v>
      </c>
      <c r="V361" s="71" t="n">
        <f aca="false">U361-C$3</f>
        <v>10832</v>
      </c>
      <c r="W361" s="142" t="n">
        <f aca="false">VLOOKUP($A361,Table,MATCH(W$4,Curves,0))</f>
        <v>0.058966861357273</v>
      </c>
      <c r="X361" s="147" t="n">
        <f aca="false">1/(1+CHOOSE(F$3,(W362+($K$3/10000))/2,(W361+($K$3/10000))/2))^(2*V361/365.25)</f>
        <v>0.17844745727779</v>
      </c>
      <c r="Y361" s="71" t="n">
        <f aca="false">IF(AND(mthbeg&lt;=A361,mthend&gt;=A361),1,0)</f>
        <v>0</v>
      </c>
      <c r="Z361" s="71" t="n">
        <f aca="false">T361*Y361</f>
        <v>0</v>
      </c>
      <c r="AB361" s="132" t="n">
        <f aca="false">F361*G361</f>
        <v>0</v>
      </c>
      <c r="AC361" s="132" t="n">
        <f aca="false">$F361*H361</f>
        <v>0</v>
      </c>
      <c r="AD361" s="132" t="n">
        <f aca="false">$F361*I361</f>
        <v>0</v>
      </c>
      <c r="AE361" s="132" t="n">
        <f aca="false">$F361*J361</f>
        <v>-0</v>
      </c>
      <c r="AF361" s="132" t="n">
        <f aca="false">$F361*K361</f>
        <v>-0</v>
      </c>
      <c r="AG361" s="132" t="n">
        <f aca="false">$F361*L361</f>
        <v>0</v>
      </c>
      <c r="AH361" s="132" t="n">
        <f aca="false">$F361*M361</f>
        <v>0</v>
      </c>
      <c r="AI361" s="132" t="n">
        <f aca="false">$F361*N361</f>
        <v>0</v>
      </c>
      <c r="AJ361" s="132" t="n">
        <f aca="false">F361*O361</f>
        <v>0</v>
      </c>
      <c r="AK361" s="137"/>
      <c r="AL361" s="132" t="n">
        <f aca="false">CHOOSE($G$3,AC361-AD361,AD361-AC361)</f>
        <v>0</v>
      </c>
      <c r="AM361" s="132" t="n">
        <f aca="false">CHOOSE($G$3,AF361-AG361,AG361-AF361)</f>
        <v>0</v>
      </c>
      <c r="AN361" s="132" t="n">
        <f aca="false">CHOOSE($G$3,AI361-AJ361,AJ361-AI361)</f>
        <v>0</v>
      </c>
      <c r="AO361" s="148" t="n">
        <f aca="false">SUM(AL361:AN361)</f>
        <v>0</v>
      </c>
      <c r="AQ361" s="132" t="n">
        <f aca="false">CHOOSE($G$3,AB361-AC361,AC361-AB361)</f>
        <v>0</v>
      </c>
      <c r="AR361" s="132" t="n">
        <f aca="false">CHOOSE($G$3,AE361-AF361,AF361-AE361)</f>
        <v>0</v>
      </c>
      <c r="AS361" s="132" t="n">
        <f aca="false">CHOOSE($G$3,AH361-AI361,AI361-AH361)</f>
        <v>0</v>
      </c>
      <c r="AT361" s="148" t="n">
        <f aca="false">AQ361+AR361+AS361</f>
        <v>0</v>
      </c>
      <c r="AU361" s="148"/>
      <c r="AV361" s="133" t="n">
        <f aca="false">AT361+AO361</f>
        <v>0</v>
      </c>
      <c r="AX361" s="133" t="n">
        <f aca="false">AJ361+AG361+AD361</f>
        <v>0</v>
      </c>
      <c r="AY361" s="149"/>
      <c r="AZ361" s="76" t="n">
        <f aca="false">R361*E361</f>
        <v>0</v>
      </c>
    </row>
    <row r="362" customFormat="false" ht="12" hidden="false" customHeight="true" outlineLevel="0" collapsed="false">
      <c r="A362" s="138" t="n">
        <f aca="false">EDATE(A361,1)</f>
        <v>47696</v>
      </c>
      <c r="B362" s="139" t="n">
        <f aca="false">VLOOKUP($A362,Table2,MATCH(I$3,Curves2,0))</f>
        <v>0</v>
      </c>
      <c r="C362" s="140"/>
      <c r="D362" s="141" t="n">
        <f aca="false">B362+C362</f>
        <v>0</v>
      </c>
      <c r="E362" s="126" t="n">
        <f aca="false">IF(Y362=0,0,IF(AND(Y362=1,$H$3=1),D362*T362,IF($H$3=2,D362,"N/A")))</f>
        <v>0</v>
      </c>
      <c r="F362" s="126" t="n">
        <f aca="false">E362*X362</f>
        <v>0</v>
      </c>
      <c r="G362" s="142" t="n">
        <f aca="false">VLOOKUP($A362,Table,MATCH(G$4,Curves,0))</f>
        <v>3.987</v>
      </c>
      <c r="H362" s="143" t="n">
        <f aca="false">G362</f>
        <v>3.987</v>
      </c>
      <c r="I362" s="142" t="n">
        <f aca="false">VLOOKUP($A362,Table1,MATCH(I$3,Curves1,0))</f>
        <v>0</v>
      </c>
      <c r="J362" s="142" t="n">
        <f aca="false">VLOOKUP($A362,Table,MATCH(J$4,Curves,0))</f>
        <v>-0.0235</v>
      </c>
      <c r="K362" s="143" t="n">
        <f aca="false">J362</f>
        <v>-0.0235</v>
      </c>
      <c r="L362" s="144" t="n">
        <v>0</v>
      </c>
      <c r="M362" s="142" t="n">
        <f aca="false">VLOOKUP($A362,Table,MATCH(M$4,Curves,0))</f>
        <v>0.0075</v>
      </c>
      <c r="N362" s="143" t="n">
        <f aca="false">M362</f>
        <v>0.0075</v>
      </c>
      <c r="O362" s="144" t="n">
        <v>0</v>
      </c>
      <c r="P362" s="145"/>
      <c r="Q362" s="144" t="n">
        <f aca="false">M362+J362+G362</f>
        <v>3.971</v>
      </c>
      <c r="R362" s="144" t="n">
        <f aca="false">O362+L362+I362</f>
        <v>0</v>
      </c>
      <c r="S362" s="145"/>
      <c r="T362" s="71" t="n">
        <f aca="false">A363-A362</f>
        <v>31</v>
      </c>
      <c r="U362" s="146" t="n">
        <f aca="false">CHOOSE(F$3,A363+24,A362)</f>
        <v>47751</v>
      </c>
      <c r="V362" s="71" t="n">
        <f aca="false">U362-C$3</f>
        <v>10863</v>
      </c>
      <c r="W362" s="142" t="n">
        <f aca="false">VLOOKUP($A362,Table,MATCH(W$4,Curves,0))</f>
        <v>0.058966861357273</v>
      </c>
      <c r="X362" s="147" t="n">
        <f aca="false">1/(1+CHOOSE(F$3,(W363+($K$3/10000))/2,(W362+($K$3/10000))/2))^(2*V362/365.25)</f>
        <v>0.17756945775692</v>
      </c>
      <c r="Y362" s="71" t="n">
        <f aca="false">IF(AND(mthbeg&lt;=A362,mthend&gt;=A362),1,0)</f>
        <v>0</v>
      </c>
      <c r="Z362" s="71" t="n">
        <f aca="false">T362*Y362</f>
        <v>0</v>
      </c>
      <c r="AB362" s="132" t="n">
        <f aca="false">F362*G362</f>
        <v>0</v>
      </c>
      <c r="AC362" s="132" t="n">
        <f aca="false">$F362*H362</f>
        <v>0</v>
      </c>
      <c r="AD362" s="132" t="n">
        <f aca="false">$F362*I362</f>
        <v>0</v>
      </c>
      <c r="AE362" s="132" t="n">
        <f aca="false">$F362*J362</f>
        <v>-0</v>
      </c>
      <c r="AF362" s="132" t="n">
        <f aca="false">$F362*K362</f>
        <v>-0</v>
      </c>
      <c r="AG362" s="132" t="n">
        <f aca="false">$F362*L362</f>
        <v>0</v>
      </c>
      <c r="AH362" s="132" t="n">
        <f aca="false">$F362*M362</f>
        <v>0</v>
      </c>
      <c r="AI362" s="132" t="n">
        <f aca="false">$F362*N362</f>
        <v>0</v>
      </c>
      <c r="AJ362" s="132" t="n">
        <f aca="false">F362*O362</f>
        <v>0</v>
      </c>
      <c r="AK362" s="137"/>
      <c r="AL362" s="132" t="n">
        <f aca="false">CHOOSE($G$3,AC362-AD362,AD362-AC362)</f>
        <v>0</v>
      </c>
      <c r="AM362" s="132" t="n">
        <f aca="false">CHOOSE($G$3,AF362-AG362,AG362-AF362)</f>
        <v>0</v>
      </c>
      <c r="AN362" s="132" t="n">
        <f aca="false">CHOOSE($G$3,AI362-AJ362,AJ362-AI362)</f>
        <v>0</v>
      </c>
      <c r="AO362" s="148" t="n">
        <f aca="false">SUM(AL362:AN362)</f>
        <v>0</v>
      </c>
      <c r="AQ362" s="132" t="n">
        <f aca="false">CHOOSE($G$3,AB362-AC362,AC362-AB362)</f>
        <v>0</v>
      </c>
      <c r="AR362" s="132" t="n">
        <f aca="false">CHOOSE($G$3,AE362-AF362,AF362-AE362)</f>
        <v>0</v>
      </c>
      <c r="AS362" s="132" t="n">
        <f aca="false">CHOOSE($G$3,AH362-AI362,AI362-AH362)</f>
        <v>0</v>
      </c>
      <c r="AT362" s="148" t="n">
        <f aca="false">AQ362+AR362+AS362</f>
        <v>0</v>
      </c>
      <c r="AU362" s="148"/>
      <c r="AV362" s="133" t="n">
        <f aca="false">AT362+AO362</f>
        <v>0</v>
      </c>
      <c r="AX362" s="133" t="n">
        <f aca="false">AJ362+AG362+AD362</f>
        <v>0</v>
      </c>
      <c r="AY362" s="149"/>
      <c r="AZ362" s="76" t="n">
        <f aca="false">R362*E362</f>
        <v>0</v>
      </c>
    </row>
    <row r="363" customFormat="false" ht="12" hidden="false" customHeight="true" outlineLevel="0" collapsed="false">
      <c r="A363" s="138" t="n">
        <f aca="false">EDATE(A362,1)</f>
        <v>47727</v>
      </c>
      <c r="B363" s="139" t="n">
        <f aca="false">VLOOKUP($A363,Table2,MATCH(I$3,Curves2,0))</f>
        <v>0</v>
      </c>
      <c r="C363" s="140"/>
      <c r="D363" s="141" t="n">
        <f aca="false">B363+C363</f>
        <v>0</v>
      </c>
      <c r="E363" s="126" t="n">
        <f aca="false">IF(Y363=0,0,IF(AND(Y363=1,$H$3=1),D363*T363,IF($H$3=2,D363,"N/A")))</f>
        <v>0</v>
      </c>
      <c r="F363" s="126" t="n">
        <f aca="false">E363*X363</f>
        <v>0</v>
      </c>
      <c r="G363" s="142" t="n">
        <f aca="false">VLOOKUP($A363,Table,MATCH(G$4,Curves,0))</f>
        <v>3.987</v>
      </c>
      <c r="H363" s="143" t="n">
        <f aca="false">G363</f>
        <v>3.987</v>
      </c>
      <c r="I363" s="142" t="n">
        <f aca="false">VLOOKUP($A363,Table1,MATCH(I$3,Curves1,0))</f>
        <v>0</v>
      </c>
      <c r="J363" s="142" t="n">
        <f aca="false">VLOOKUP($A363,Table,MATCH(J$4,Curves,0))</f>
        <v>-0.0235</v>
      </c>
      <c r="K363" s="143" t="n">
        <f aca="false">J363</f>
        <v>-0.0235</v>
      </c>
      <c r="L363" s="144" t="n">
        <v>0</v>
      </c>
      <c r="M363" s="142" t="n">
        <f aca="false">VLOOKUP($A363,Table,MATCH(M$4,Curves,0))</f>
        <v>0.0075</v>
      </c>
      <c r="N363" s="143" t="n">
        <f aca="false">M363</f>
        <v>0.0075</v>
      </c>
      <c r="O363" s="144" t="n">
        <v>0</v>
      </c>
      <c r="P363" s="145"/>
      <c r="Q363" s="144" t="n">
        <f aca="false">M363+J363+G363</f>
        <v>3.971</v>
      </c>
      <c r="R363" s="144" t="n">
        <f aca="false">O363+L363+I363</f>
        <v>0</v>
      </c>
      <c r="S363" s="145"/>
      <c r="T363" s="71" t="n">
        <f aca="false">A364-A363</f>
        <v>30</v>
      </c>
      <c r="U363" s="146" t="n">
        <f aca="false">CHOOSE(F$3,A364+24,A363)</f>
        <v>47781</v>
      </c>
      <c r="V363" s="71" t="n">
        <f aca="false">U363-C$3</f>
        <v>10893</v>
      </c>
      <c r="W363" s="142" t="n">
        <f aca="false">VLOOKUP($A363,Table,MATCH(W$4,Curves,0))</f>
        <v>0.058966861357273</v>
      </c>
      <c r="X363" s="147" t="n">
        <f aca="false">1/(1+CHOOSE(F$3,(W364+($K$3/10000))/2,(W363+($K$3/10000))/2))^(2*V363/365.25)</f>
        <v>0.176723894181933</v>
      </c>
      <c r="Y363" s="71" t="n">
        <f aca="false">IF(AND(mthbeg&lt;=A363,mthend&gt;=A363),1,0)</f>
        <v>0</v>
      </c>
      <c r="Z363" s="71" t="n">
        <f aca="false">T363*Y363</f>
        <v>0</v>
      </c>
      <c r="AB363" s="132" t="n">
        <f aca="false">F363*G363</f>
        <v>0</v>
      </c>
      <c r="AC363" s="132" t="n">
        <f aca="false">$F363*H363</f>
        <v>0</v>
      </c>
      <c r="AD363" s="132" t="n">
        <f aca="false">$F363*I363</f>
        <v>0</v>
      </c>
      <c r="AE363" s="132" t="n">
        <f aca="false">$F363*J363</f>
        <v>-0</v>
      </c>
      <c r="AF363" s="132" t="n">
        <f aca="false">$F363*K363</f>
        <v>-0</v>
      </c>
      <c r="AG363" s="132" t="n">
        <f aca="false">$F363*L363</f>
        <v>0</v>
      </c>
      <c r="AH363" s="132" t="n">
        <f aca="false">$F363*M363</f>
        <v>0</v>
      </c>
      <c r="AI363" s="132" t="n">
        <f aca="false">$F363*N363</f>
        <v>0</v>
      </c>
      <c r="AJ363" s="132" t="n">
        <f aca="false">F363*O363</f>
        <v>0</v>
      </c>
      <c r="AK363" s="137"/>
      <c r="AL363" s="132" t="n">
        <f aca="false">CHOOSE($G$3,AC363-AD363,AD363-AC363)</f>
        <v>0</v>
      </c>
      <c r="AM363" s="132" t="n">
        <f aca="false">CHOOSE($G$3,AF363-AG363,AG363-AF363)</f>
        <v>0</v>
      </c>
      <c r="AN363" s="132" t="n">
        <f aca="false">CHOOSE($G$3,AI363-AJ363,AJ363-AI363)</f>
        <v>0</v>
      </c>
      <c r="AO363" s="148" t="n">
        <f aca="false">SUM(AL363:AN363)</f>
        <v>0</v>
      </c>
      <c r="AQ363" s="132" t="n">
        <f aca="false">CHOOSE($G$3,AB363-AC363,AC363-AB363)</f>
        <v>0</v>
      </c>
      <c r="AR363" s="132" t="n">
        <f aca="false">CHOOSE($G$3,AE363-AF363,AF363-AE363)</f>
        <v>0</v>
      </c>
      <c r="AS363" s="132" t="n">
        <f aca="false">CHOOSE($G$3,AH363-AI363,AI363-AH363)</f>
        <v>0</v>
      </c>
      <c r="AT363" s="148" t="n">
        <f aca="false">AQ363+AR363+AS363</f>
        <v>0</v>
      </c>
      <c r="AU363" s="148"/>
      <c r="AV363" s="133" t="n">
        <f aca="false">AT363+AO363</f>
        <v>0</v>
      </c>
      <c r="AX363" s="133" t="n">
        <f aca="false">AJ363+AG363+AD363</f>
        <v>0</v>
      </c>
      <c r="AY363" s="149"/>
      <c r="AZ363" s="76" t="n">
        <f aca="false">R363*E363</f>
        <v>0</v>
      </c>
    </row>
    <row r="364" customFormat="false" ht="12" hidden="false" customHeight="true" outlineLevel="0" collapsed="false">
      <c r="A364" s="138" t="n">
        <f aca="false">EDATE(A363,1)</f>
        <v>47757</v>
      </c>
      <c r="B364" s="139" t="n">
        <f aca="false">VLOOKUP($A364,Table2,MATCH(I$3,Curves2,0))</f>
        <v>0</v>
      </c>
      <c r="C364" s="140"/>
      <c r="D364" s="141" t="n">
        <f aca="false">B364+C364</f>
        <v>0</v>
      </c>
      <c r="E364" s="126" t="n">
        <f aca="false">IF(Y364=0,0,IF(AND(Y364=1,$H$3=1),D364*T364,IF($H$3=2,D364,"N/A")))</f>
        <v>0</v>
      </c>
      <c r="F364" s="126" t="n">
        <f aca="false">E364*X364</f>
        <v>0</v>
      </c>
      <c r="G364" s="142" t="n">
        <f aca="false">VLOOKUP($A364,Table,MATCH(G$4,Curves,0))</f>
        <v>3.987</v>
      </c>
      <c r="H364" s="143" t="n">
        <f aca="false">G364</f>
        <v>3.987</v>
      </c>
      <c r="I364" s="142" t="n">
        <f aca="false">VLOOKUP($A364,Table1,MATCH(I$3,Curves1,0))</f>
        <v>0</v>
      </c>
      <c r="J364" s="142" t="n">
        <f aca="false">VLOOKUP($A364,Table,MATCH(J$4,Curves,0))</f>
        <v>-0.0235</v>
      </c>
      <c r="K364" s="143" t="n">
        <f aca="false">J364</f>
        <v>-0.0235</v>
      </c>
      <c r="L364" s="144" t="n">
        <v>0</v>
      </c>
      <c r="M364" s="142" t="n">
        <f aca="false">VLOOKUP($A364,Table,MATCH(M$4,Curves,0))</f>
        <v>0.0075</v>
      </c>
      <c r="N364" s="143" t="n">
        <f aca="false">M364</f>
        <v>0.0075</v>
      </c>
      <c r="O364" s="144" t="n">
        <v>0</v>
      </c>
      <c r="P364" s="145"/>
      <c r="Q364" s="144" t="n">
        <f aca="false">M364+J364+G364</f>
        <v>3.971</v>
      </c>
      <c r="R364" s="144" t="n">
        <f aca="false">O364+L364+I364</f>
        <v>0</v>
      </c>
      <c r="S364" s="145"/>
      <c r="T364" s="71" t="n">
        <f aca="false">A365-A364</f>
        <v>31</v>
      </c>
      <c r="U364" s="146" t="n">
        <f aca="false">CHOOSE(F$3,A365+24,A364)</f>
        <v>47812</v>
      </c>
      <c r="V364" s="71" t="n">
        <f aca="false">U364-C$3</f>
        <v>10924</v>
      </c>
      <c r="W364" s="142" t="n">
        <f aca="false">VLOOKUP($A364,Table,MATCH(W$4,Curves,0))</f>
        <v>0.058966861357273</v>
      </c>
      <c r="X364" s="147" t="n">
        <f aca="false">1/(1+CHOOSE(F$3,(W365+($K$3/10000))/2,(W364+($K$3/10000))/2))^(2*V364/365.25)</f>
        <v>0.175854374958823</v>
      </c>
      <c r="Y364" s="71" t="n">
        <f aca="false">IF(AND(mthbeg&lt;=A364,mthend&gt;=A364),1,0)</f>
        <v>0</v>
      </c>
      <c r="Z364" s="71" t="n">
        <f aca="false">T364*Y364</f>
        <v>0</v>
      </c>
      <c r="AB364" s="132" t="n">
        <f aca="false">F364*G364</f>
        <v>0</v>
      </c>
      <c r="AC364" s="132" t="n">
        <f aca="false">$F364*H364</f>
        <v>0</v>
      </c>
      <c r="AD364" s="132" t="n">
        <f aca="false">$F364*I364</f>
        <v>0</v>
      </c>
      <c r="AE364" s="132" t="n">
        <f aca="false">$F364*J364</f>
        <v>-0</v>
      </c>
      <c r="AF364" s="132" t="n">
        <f aca="false">$F364*K364</f>
        <v>-0</v>
      </c>
      <c r="AG364" s="132" t="n">
        <f aca="false">$F364*L364</f>
        <v>0</v>
      </c>
      <c r="AH364" s="132" t="n">
        <f aca="false">$F364*M364</f>
        <v>0</v>
      </c>
      <c r="AI364" s="132" t="n">
        <f aca="false">$F364*N364</f>
        <v>0</v>
      </c>
      <c r="AJ364" s="132" t="n">
        <f aca="false">F364*O364</f>
        <v>0</v>
      </c>
      <c r="AK364" s="137"/>
      <c r="AL364" s="132" t="n">
        <f aca="false">CHOOSE($G$3,AC364-AD364,AD364-AC364)</f>
        <v>0</v>
      </c>
      <c r="AM364" s="132" t="n">
        <f aca="false">CHOOSE($G$3,AF364-AG364,AG364-AF364)</f>
        <v>0</v>
      </c>
      <c r="AN364" s="132" t="n">
        <f aca="false">CHOOSE($G$3,AI364-AJ364,AJ364-AI364)</f>
        <v>0</v>
      </c>
      <c r="AO364" s="148" t="n">
        <f aca="false">SUM(AL364:AN364)</f>
        <v>0</v>
      </c>
      <c r="AQ364" s="132" t="n">
        <f aca="false">CHOOSE($G$3,AB364-AC364,AC364-AB364)</f>
        <v>0</v>
      </c>
      <c r="AR364" s="132" t="n">
        <f aca="false">CHOOSE($G$3,AE364-AF364,AF364-AE364)</f>
        <v>0</v>
      </c>
      <c r="AS364" s="132" t="n">
        <f aca="false">CHOOSE($G$3,AH364-AI364,AI364-AH364)</f>
        <v>0</v>
      </c>
      <c r="AT364" s="148" t="n">
        <f aca="false">AQ364+AR364+AS364</f>
        <v>0</v>
      </c>
      <c r="AU364" s="148"/>
      <c r="AV364" s="133" t="n">
        <f aca="false">AT364+AO364</f>
        <v>0</v>
      </c>
      <c r="AX364" s="133" t="n">
        <f aca="false">AJ364+AG364+AD364</f>
        <v>0</v>
      </c>
      <c r="AY364" s="149"/>
      <c r="AZ364" s="76" t="n">
        <f aca="false">R364*E364</f>
        <v>0</v>
      </c>
    </row>
    <row r="365" customFormat="false" ht="12" hidden="false" customHeight="true" outlineLevel="0" collapsed="false">
      <c r="A365" s="138" t="n">
        <f aca="false">EDATE(A364,1)</f>
        <v>47788</v>
      </c>
      <c r="B365" s="139" t="n">
        <f aca="false">VLOOKUP($A365,Table2,MATCH(I$3,Curves2,0))</f>
        <v>0</v>
      </c>
      <c r="C365" s="140"/>
      <c r="D365" s="141" t="n">
        <f aca="false">B365+C365</f>
        <v>0</v>
      </c>
      <c r="E365" s="126" t="n">
        <f aca="false">IF(Y365=0,0,IF(AND(Y365=1,$H$3=1),D365*T365,IF($H$3=2,D365,"N/A")))</f>
        <v>0</v>
      </c>
      <c r="F365" s="126" t="n">
        <f aca="false">E365*X365</f>
        <v>0</v>
      </c>
      <c r="G365" s="142" t="n">
        <f aca="false">VLOOKUP($A365,Table,MATCH(G$4,Curves,0))</f>
        <v>3.987</v>
      </c>
      <c r="H365" s="143" t="n">
        <f aca="false">G365</f>
        <v>3.987</v>
      </c>
      <c r="I365" s="142" t="n">
        <f aca="false">VLOOKUP($A365,Table1,MATCH(I$3,Curves1,0))</f>
        <v>0</v>
      </c>
      <c r="J365" s="142" t="n">
        <f aca="false">VLOOKUP($A365,Table,MATCH(J$4,Curves,0))</f>
        <v>-0.0235</v>
      </c>
      <c r="K365" s="143" t="n">
        <f aca="false">J365</f>
        <v>-0.0235</v>
      </c>
      <c r="L365" s="144" t="n">
        <v>0</v>
      </c>
      <c r="M365" s="142" t="n">
        <f aca="false">VLOOKUP($A365,Table,MATCH(M$4,Curves,0))</f>
        <v>0.0075</v>
      </c>
      <c r="N365" s="143" t="n">
        <f aca="false">M365</f>
        <v>0.0075</v>
      </c>
      <c r="O365" s="144" t="n">
        <v>0</v>
      </c>
      <c r="P365" s="145"/>
      <c r="Q365" s="144" t="n">
        <f aca="false">M365+J365+G365</f>
        <v>3.971</v>
      </c>
      <c r="R365" s="144" t="n">
        <f aca="false">O365+L365+I365</f>
        <v>0</v>
      </c>
      <c r="S365" s="145"/>
      <c r="T365" s="71" t="n">
        <f aca="false">A366-A365</f>
        <v>30</v>
      </c>
      <c r="U365" s="146" t="n">
        <f aca="false">CHOOSE(F$3,A366+24,A365)</f>
        <v>47842</v>
      </c>
      <c r="V365" s="71" t="n">
        <f aca="false">U365-C$3</f>
        <v>10954</v>
      </c>
      <c r="W365" s="142" t="n">
        <f aca="false">VLOOKUP($A365,Table,MATCH(W$4,Curves,0))</f>
        <v>0.058966861357273</v>
      </c>
      <c r="X365" s="147" t="n">
        <f aca="false">1/(1+CHOOSE(F$3,(W366+($K$3/10000))/2,(W365+($K$3/10000))/2))^(2*V365/365.25)</f>
        <v>0.175016978393864</v>
      </c>
      <c r="Y365" s="71" t="n">
        <f aca="false">IF(AND(mthbeg&lt;=A365,mthend&gt;=A365),1,0)</f>
        <v>0</v>
      </c>
      <c r="Z365" s="71" t="n">
        <f aca="false">T365*Y365</f>
        <v>0</v>
      </c>
      <c r="AB365" s="132" t="n">
        <f aca="false">F365*G365</f>
        <v>0</v>
      </c>
      <c r="AC365" s="132" t="n">
        <f aca="false">$F365*H365</f>
        <v>0</v>
      </c>
      <c r="AD365" s="132" t="n">
        <f aca="false">$F365*I365</f>
        <v>0</v>
      </c>
      <c r="AE365" s="132" t="n">
        <f aca="false">$F365*J365</f>
        <v>-0</v>
      </c>
      <c r="AF365" s="132" t="n">
        <f aca="false">$F365*K365</f>
        <v>-0</v>
      </c>
      <c r="AG365" s="132" t="n">
        <f aca="false">$F365*L365</f>
        <v>0</v>
      </c>
      <c r="AH365" s="132" t="n">
        <f aca="false">$F365*M365</f>
        <v>0</v>
      </c>
      <c r="AI365" s="132" t="n">
        <f aca="false">$F365*N365</f>
        <v>0</v>
      </c>
      <c r="AJ365" s="132" t="n">
        <f aca="false">F365*O365</f>
        <v>0</v>
      </c>
      <c r="AK365" s="137"/>
      <c r="AL365" s="132" t="n">
        <f aca="false">CHOOSE($G$3,AC365-AD365,AD365-AC365)</f>
        <v>0</v>
      </c>
      <c r="AM365" s="132" t="n">
        <f aca="false">CHOOSE($G$3,AF365-AG365,AG365-AF365)</f>
        <v>0</v>
      </c>
      <c r="AN365" s="132" t="n">
        <f aca="false">CHOOSE($G$3,AI365-AJ365,AJ365-AI365)</f>
        <v>0</v>
      </c>
      <c r="AO365" s="148" t="n">
        <f aca="false">SUM(AL365:AN365)</f>
        <v>0</v>
      </c>
      <c r="AQ365" s="132" t="n">
        <f aca="false">CHOOSE($G$3,AB365-AC365,AC365-AB365)</f>
        <v>0</v>
      </c>
      <c r="AR365" s="132" t="n">
        <f aca="false">CHOOSE($G$3,AE365-AF365,AF365-AE365)</f>
        <v>0</v>
      </c>
      <c r="AS365" s="132" t="n">
        <f aca="false">CHOOSE($G$3,AH365-AI365,AI365-AH365)</f>
        <v>0</v>
      </c>
      <c r="AT365" s="148" t="n">
        <f aca="false">AQ365+AR365+AS365</f>
        <v>0</v>
      </c>
      <c r="AU365" s="148"/>
      <c r="AV365" s="133" t="n">
        <f aca="false">AT365+AO365</f>
        <v>0</v>
      </c>
      <c r="AX365" s="133" t="n">
        <f aca="false">AJ365+AG365+AD365</f>
        <v>0</v>
      </c>
      <c r="AY365" s="149"/>
      <c r="AZ365" s="76" t="n">
        <f aca="false">R365*E365</f>
        <v>0</v>
      </c>
    </row>
    <row r="366" customFormat="false" ht="12" hidden="false" customHeight="true" outlineLevel="0" collapsed="false">
      <c r="A366" s="138" t="n">
        <f aca="false">EDATE(A365,1)</f>
        <v>47818</v>
      </c>
      <c r="B366" s="139" t="n">
        <f aca="false">VLOOKUP($A366,Table2,MATCH(I$3,Curves2,0))</f>
        <v>0</v>
      </c>
      <c r="C366" s="140"/>
      <c r="D366" s="141" t="n">
        <f aca="false">B366+C366</f>
        <v>0</v>
      </c>
      <c r="E366" s="126" t="n">
        <f aca="false">IF(Y366=0,0,IF(AND(Y366=1,$H$3=1),D366*T366,IF($H$3=2,D366,"N/A")))</f>
        <v>0</v>
      </c>
      <c r="F366" s="126" t="n">
        <f aca="false">E366*X366</f>
        <v>0</v>
      </c>
      <c r="G366" s="142" t="n">
        <f aca="false">VLOOKUP($A366,Table,MATCH(G$4,Curves,0))</f>
        <v>3.987</v>
      </c>
      <c r="H366" s="143" t="n">
        <f aca="false">G366</f>
        <v>3.987</v>
      </c>
      <c r="I366" s="142" t="n">
        <f aca="false">VLOOKUP($A366,Table1,MATCH(I$3,Curves1,0))</f>
        <v>0</v>
      </c>
      <c r="J366" s="142" t="n">
        <f aca="false">VLOOKUP($A366,Table,MATCH(J$4,Curves,0))</f>
        <v>-0.0235</v>
      </c>
      <c r="K366" s="143" t="n">
        <f aca="false">J366</f>
        <v>-0.0235</v>
      </c>
      <c r="L366" s="144" t="n">
        <v>0</v>
      </c>
      <c r="M366" s="142" t="n">
        <f aca="false">VLOOKUP($A366,Table,MATCH(M$4,Curves,0))</f>
        <v>0.0075</v>
      </c>
      <c r="N366" s="143" t="n">
        <f aca="false">M366</f>
        <v>0.0075</v>
      </c>
      <c r="O366" s="144" t="n">
        <v>0</v>
      </c>
      <c r="P366" s="145"/>
      <c r="Q366" s="144" t="n">
        <f aca="false">M366+J366+G366</f>
        <v>3.971</v>
      </c>
      <c r="R366" s="144" t="n">
        <f aca="false">O366+L366+I366</f>
        <v>0</v>
      </c>
      <c r="S366" s="145"/>
      <c r="T366" s="71" t="n">
        <f aca="false">A367-A366</f>
        <v>31</v>
      </c>
      <c r="U366" s="146" t="n">
        <f aca="false">CHOOSE(F$3,A367+24,A366)</f>
        <v>47873</v>
      </c>
      <c r="V366" s="71" t="n">
        <f aca="false">U366-C$3</f>
        <v>10985</v>
      </c>
      <c r="W366" s="142" t="n">
        <f aca="false">VLOOKUP($A366,Table,MATCH(W$4,Curves,0))</f>
        <v>0.058966861357273</v>
      </c>
      <c r="X366" s="147" t="n">
        <f aca="false">1/(1+CHOOSE(F$3,(W367+($K$3/10000))/2,(W366+($K$3/10000))/2))^(2*V366/365.25)</f>
        <v>0.174155857560212</v>
      </c>
      <c r="Y366" s="71" t="n">
        <f aca="false">IF(AND(mthbeg&lt;=A366,mthend&gt;=A366),1,0)</f>
        <v>0</v>
      </c>
      <c r="Z366" s="71" t="n">
        <f aca="false">T366*Y366</f>
        <v>0</v>
      </c>
      <c r="AB366" s="132" t="n">
        <f aca="false">F366*G366</f>
        <v>0</v>
      </c>
      <c r="AC366" s="132" t="n">
        <f aca="false">$F366*H366</f>
        <v>0</v>
      </c>
      <c r="AD366" s="132" t="n">
        <f aca="false">$F366*I366</f>
        <v>0</v>
      </c>
      <c r="AE366" s="132" t="n">
        <f aca="false">$F366*J366</f>
        <v>-0</v>
      </c>
      <c r="AF366" s="132" t="n">
        <f aca="false">$F366*K366</f>
        <v>-0</v>
      </c>
      <c r="AG366" s="132" t="n">
        <f aca="false">$F366*L366</f>
        <v>0</v>
      </c>
      <c r="AH366" s="132" t="n">
        <f aca="false">$F366*M366</f>
        <v>0</v>
      </c>
      <c r="AI366" s="132" t="n">
        <f aca="false">$F366*N366</f>
        <v>0</v>
      </c>
      <c r="AJ366" s="132" t="n">
        <f aca="false">F366*O366</f>
        <v>0</v>
      </c>
      <c r="AK366" s="137"/>
      <c r="AL366" s="132" t="n">
        <f aca="false">CHOOSE($G$3,AC366-AD366,AD366-AC366)</f>
        <v>0</v>
      </c>
      <c r="AM366" s="132" t="n">
        <f aca="false">CHOOSE($G$3,AF366-AG366,AG366-AF366)</f>
        <v>0</v>
      </c>
      <c r="AN366" s="132" t="n">
        <f aca="false">CHOOSE($G$3,AI366-AJ366,AJ366-AI366)</f>
        <v>0</v>
      </c>
      <c r="AO366" s="148" t="n">
        <f aca="false">SUM(AL366:AN366)</f>
        <v>0</v>
      </c>
      <c r="AQ366" s="132" t="n">
        <f aca="false">CHOOSE($G$3,AB366-AC366,AC366-AB366)</f>
        <v>0</v>
      </c>
      <c r="AR366" s="132" t="n">
        <f aca="false">CHOOSE($G$3,AE366-AF366,AF366-AE366)</f>
        <v>0</v>
      </c>
      <c r="AS366" s="132" t="n">
        <f aca="false">CHOOSE($G$3,AH366-AI366,AI366-AH366)</f>
        <v>0</v>
      </c>
      <c r="AT366" s="148" t="n">
        <f aca="false">AQ366+AR366+AS366</f>
        <v>0</v>
      </c>
      <c r="AU366" s="148"/>
      <c r="AV366" s="133" t="n">
        <f aca="false">AT366+AO366</f>
        <v>0</v>
      </c>
      <c r="AX366" s="133" t="n">
        <f aca="false">AJ366+AG366+AD366</f>
        <v>0</v>
      </c>
      <c r="AY366" s="149"/>
      <c r="AZ366" s="76" t="n">
        <f aca="false">R366*E366</f>
        <v>0</v>
      </c>
    </row>
    <row r="367" customFormat="false" ht="12" hidden="false" customHeight="true" outlineLevel="0" collapsed="false">
      <c r="A367" s="138" t="n">
        <f aca="false">EDATE(A366,1)</f>
        <v>47849</v>
      </c>
      <c r="B367" s="139" t="n">
        <f aca="false">VLOOKUP($A367,Table2,MATCH(I$3,Curves2,0))</f>
        <v>0</v>
      </c>
      <c r="C367" s="140"/>
      <c r="D367" s="141" t="n">
        <f aca="false">B367+C367</f>
        <v>0</v>
      </c>
      <c r="E367" s="126" t="n">
        <f aca="false">IF(Y367=0,0,IF(AND(Y367=1,$H$3=1),D367*T367,IF($H$3=2,D367,"N/A")))</f>
        <v>0</v>
      </c>
      <c r="F367" s="126" t="n">
        <f aca="false">E367*X367</f>
        <v>0</v>
      </c>
      <c r="G367" s="142" t="n">
        <f aca="false">VLOOKUP($A367,Table,MATCH(G$4,Curves,0))</f>
        <v>3.987</v>
      </c>
      <c r="H367" s="143" t="n">
        <f aca="false">G367</f>
        <v>3.987</v>
      </c>
      <c r="I367" s="142" t="n">
        <f aca="false">VLOOKUP($A367,Table1,MATCH(I$3,Curves1,0))</f>
        <v>0</v>
      </c>
      <c r="J367" s="142" t="n">
        <f aca="false">VLOOKUP($A367,Table,MATCH(J$4,Curves,0))</f>
        <v>-0.0235</v>
      </c>
      <c r="K367" s="143" t="n">
        <f aca="false">J367</f>
        <v>-0.0235</v>
      </c>
      <c r="L367" s="144" t="n">
        <v>0</v>
      </c>
      <c r="M367" s="142" t="n">
        <f aca="false">VLOOKUP($A367,Table,MATCH(M$4,Curves,0))</f>
        <v>0.0075</v>
      </c>
      <c r="N367" s="143" t="n">
        <f aca="false">M367</f>
        <v>0.0075</v>
      </c>
      <c r="O367" s="144" t="n">
        <v>0</v>
      </c>
      <c r="P367" s="145"/>
      <c r="Q367" s="144" t="n">
        <f aca="false">M367+J367+G367</f>
        <v>3.971</v>
      </c>
      <c r="R367" s="144" t="n">
        <f aca="false">O367+L367+I367</f>
        <v>0</v>
      </c>
      <c r="S367" s="145"/>
      <c r="T367" s="71" t="n">
        <f aca="false">A368-A367</f>
        <v>31</v>
      </c>
      <c r="U367" s="146" t="n">
        <f aca="false">CHOOSE(F$3,A368+24,A367)</f>
        <v>47904</v>
      </c>
      <c r="V367" s="71" t="n">
        <f aca="false">U367-C$3</f>
        <v>11016</v>
      </c>
      <c r="W367" s="142" t="n">
        <f aca="false">VLOOKUP($A367,Table,MATCH(W$4,Curves,0))</f>
        <v>0.058966861357273</v>
      </c>
      <c r="X367" s="147" t="n">
        <f aca="false">1/(1+CHOOSE(F$3,(W368+($K$3/10000))/2,(W367+($K$3/10000))/2))^(2*V367/365.25)</f>
        <v>0.173298973624586</v>
      </c>
      <c r="Y367" s="71" t="n">
        <f aca="false">IF(AND(mthbeg&lt;=A367,mthend&gt;=A367),1,0)</f>
        <v>0</v>
      </c>
      <c r="Z367" s="71" t="n">
        <f aca="false">T367*Y367</f>
        <v>0</v>
      </c>
      <c r="AB367" s="132" t="n">
        <f aca="false">F367*G367</f>
        <v>0</v>
      </c>
      <c r="AC367" s="132" t="n">
        <f aca="false">$F367*H367</f>
        <v>0</v>
      </c>
      <c r="AD367" s="132" t="n">
        <f aca="false">$F367*I367</f>
        <v>0</v>
      </c>
      <c r="AE367" s="132" t="n">
        <f aca="false">$F367*J367</f>
        <v>-0</v>
      </c>
      <c r="AF367" s="132" t="n">
        <f aca="false">$F367*K367</f>
        <v>-0</v>
      </c>
      <c r="AG367" s="132" t="n">
        <f aca="false">$F367*L367</f>
        <v>0</v>
      </c>
      <c r="AH367" s="132" t="n">
        <f aca="false">$F367*M367</f>
        <v>0</v>
      </c>
      <c r="AI367" s="132" t="n">
        <f aca="false">$F367*N367</f>
        <v>0</v>
      </c>
      <c r="AJ367" s="132" t="n">
        <f aca="false">F367*O367</f>
        <v>0</v>
      </c>
      <c r="AK367" s="137"/>
      <c r="AL367" s="132" t="n">
        <f aca="false">CHOOSE($G$3,AC367-AD367,AD367-AC367)</f>
        <v>0</v>
      </c>
      <c r="AM367" s="132" t="n">
        <f aca="false">CHOOSE($G$3,AF367-AG367,AG367-AF367)</f>
        <v>0</v>
      </c>
      <c r="AN367" s="132" t="n">
        <f aca="false">CHOOSE($G$3,AI367-AJ367,AJ367-AI367)</f>
        <v>0</v>
      </c>
      <c r="AO367" s="148" t="n">
        <f aca="false">SUM(AL367:AN367)</f>
        <v>0</v>
      </c>
      <c r="AQ367" s="132" t="n">
        <f aca="false">CHOOSE($G$3,AB367-AC367,AC367-AB367)</f>
        <v>0</v>
      </c>
      <c r="AR367" s="132" t="n">
        <f aca="false">CHOOSE($G$3,AE367-AF367,AF367-AE367)</f>
        <v>0</v>
      </c>
      <c r="AS367" s="132" t="n">
        <f aca="false">CHOOSE($G$3,AH367-AI367,AI367-AH367)</f>
        <v>0</v>
      </c>
      <c r="AT367" s="148" t="n">
        <f aca="false">AQ367+AR367+AS367</f>
        <v>0</v>
      </c>
      <c r="AU367" s="148"/>
      <c r="AV367" s="133" t="n">
        <f aca="false">AT367+AO367</f>
        <v>0</v>
      </c>
      <c r="AX367" s="133" t="n">
        <f aca="false">AJ367+AG367+AD367</f>
        <v>0</v>
      </c>
      <c r="AY367" s="149"/>
      <c r="AZ367" s="76" t="n">
        <f aca="false">R367*E367</f>
        <v>0</v>
      </c>
    </row>
    <row r="368" customFormat="false" ht="12" hidden="false" customHeight="true" outlineLevel="0" collapsed="false">
      <c r="A368" s="138" t="n">
        <f aca="false">EDATE(A367,1)</f>
        <v>47880</v>
      </c>
      <c r="B368" s="139" t="n">
        <f aca="false">VLOOKUP($A368,Table2,MATCH(I$3,Curves2,0))</f>
        <v>0</v>
      </c>
      <c r="C368" s="140"/>
      <c r="D368" s="141" t="n">
        <f aca="false">B368+C368</f>
        <v>0</v>
      </c>
      <c r="E368" s="126" t="n">
        <f aca="false">IF(Y368=0,0,IF(AND(Y368=1,$H$3=1),D368*T368,IF($H$3=2,D368,"N/A")))</f>
        <v>0</v>
      </c>
      <c r="F368" s="126" t="n">
        <f aca="false">E368*X368</f>
        <v>0</v>
      </c>
      <c r="G368" s="142" t="n">
        <f aca="false">VLOOKUP($A368,Table,MATCH(G$4,Curves,0))</f>
        <v>3.987</v>
      </c>
      <c r="H368" s="143" t="n">
        <f aca="false">G368</f>
        <v>3.987</v>
      </c>
      <c r="I368" s="142" t="n">
        <f aca="false">VLOOKUP($A368,Table1,MATCH(I$3,Curves1,0))</f>
        <v>0</v>
      </c>
      <c r="J368" s="142" t="n">
        <f aca="false">VLOOKUP($A368,Table,MATCH(J$4,Curves,0))</f>
        <v>-0.0235</v>
      </c>
      <c r="K368" s="143" t="n">
        <f aca="false">J368</f>
        <v>-0.0235</v>
      </c>
      <c r="L368" s="144" t="n">
        <v>0</v>
      </c>
      <c r="M368" s="142" t="n">
        <f aca="false">VLOOKUP($A368,Table,MATCH(M$4,Curves,0))</f>
        <v>0.0075</v>
      </c>
      <c r="N368" s="143" t="n">
        <f aca="false">M368</f>
        <v>0.0075</v>
      </c>
      <c r="O368" s="144" t="n">
        <v>0</v>
      </c>
      <c r="P368" s="145"/>
      <c r="Q368" s="144" t="n">
        <f aca="false">M368+J368+G368</f>
        <v>3.971</v>
      </c>
      <c r="R368" s="144" t="n">
        <f aca="false">O368+L368+I368</f>
        <v>0</v>
      </c>
      <c r="S368" s="145"/>
      <c r="T368" s="71" t="n">
        <f aca="false">A369-A368</f>
        <v>28</v>
      </c>
      <c r="U368" s="146" t="n">
        <f aca="false">CHOOSE(F$3,A369+24,A368)</f>
        <v>47932</v>
      </c>
      <c r="V368" s="71" t="n">
        <f aca="false">U368-C$3</f>
        <v>11044</v>
      </c>
      <c r="W368" s="142" t="n">
        <f aca="false">VLOOKUP($A368,Table,MATCH(W$4,Curves,0))</f>
        <v>0.058966861357273</v>
      </c>
      <c r="X368" s="147" t="n">
        <f aca="false">1/(1+CHOOSE(F$3,(W369+($K$3/10000))/2,(W368+($K$3/10000))/2))^(2*V368/365.25)</f>
        <v>0.172528638303001</v>
      </c>
      <c r="Y368" s="71" t="n">
        <f aca="false">IF(AND(mthbeg&lt;=A368,mthend&gt;=A368),1,0)</f>
        <v>0</v>
      </c>
      <c r="Z368" s="71" t="n">
        <f aca="false">T368*Y368</f>
        <v>0</v>
      </c>
      <c r="AB368" s="132" t="n">
        <f aca="false">F368*G368</f>
        <v>0</v>
      </c>
      <c r="AC368" s="132" t="n">
        <f aca="false">$F368*H368</f>
        <v>0</v>
      </c>
      <c r="AD368" s="132" t="n">
        <f aca="false">$F368*I368</f>
        <v>0</v>
      </c>
      <c r="AE368" s="132" t="n">
        <f aca="false">$F368*J368</f>
        <v>-0</v>
      </c>
      <c r="AF368" s="132" t="n">
        <f aca="false">$F368*K368</f>
        <v>-0</v>
      </c>
      <c r="AG368" s="132" t="n">
        <f aca="false">$F368*L368</f>
        <v>0</v>
      </c>
      <c r="AH368" s="132" t="n">
        <f aca="false">$F368*M368</f>
        <v>0</v>
      </c>
      <c r="AI368" s="132" t="n">
        <f aca="false">$F368*N368</f>
        <v>0</v>
      </c>
      <c r="AJ368" s="132" t="n">
        <f aca="false">F368*O368</f>
        <v>0</v>
      </c>
      <c r="AK368" s="137"/>
      <c r="AL368" s="132" t="n">
        <f aca="false">CHOOSE($G$3,AC368-AD368,AD368-AC368)</f>
        <v>0</v>
      </c>
      <c r="AM368" s="132" t="n">
        <f aca="false">CHOOSE($G$3,AF368-AG368,AG368-AF368)</f>
        <v>0</v>
      </c>
      <c r="AN368" s="132" t="n">
        <f aca="false">CHOOSE($G$3,AI368-AJ368,AJ368-AI368)</f>
        <v>0</v>
      </c>
      <c r="AO368" s="148" t="n">
        <f aca="false">SUM(AL368:AN368)</f>
        <v>0</v>
      </c>
      <c r="AQ368" s="132" t="n">
        <f aca="false">CHOOSE($G$3,AB368-AC368,AC368-AB368)</f>
        <v>0</v>
      </c>
      <c r="AR368" s="132" t="n">
        <f aca="false">CHOOSE($G$3,AE368-AF368,AF368-AE368)</f>
        <v>0</v>
      </c>
      <c r="AS368" s="132" t="n">
        <f aca="false">CHOOSE($G$3,AH368-AI368,AI368-AH368)</f>
        <v>0</v>
      </c>
      <c r="AT368" s="148" t="n">
        <f aca="false">AQ368+AR368+AS368</f>
        <v>0</v>
      </c>
      <c r="AU368" s="148"/>
      <c r="AV368" s="133" t="n">
        <f aca="false">AT368+AO368</f>
        <v>0</v>
      </c>
      <c r="AX368" s="133" t="n">
        <f aca="false">AJ368+AG368+AD368</f>
        <v>0</v>
      </c>
      <c r="AY368" s="149"/>
      <c r="AZ368" s="76" t="n">
        <f aca="false">R368*E368</f>
        <v>0</v>
      </c>
    </row>
    <row r="369" customFormat="false" ht="12" hidden="false" customHeight="true" outlineLevel="0" collapsed="false">
      <c r="A369" s="138" t="n">
        <f aca="false">EDATE(A368,1)</f>
        <v>47908</v>
      </c>
      <c r="B369" s="139" t="n">
        <f aca="false">VLOOKUP($A369,Table2,MATCH(I$3,Curves2,0))</f>
        <v>0</v>
      </c>
      <c r="C369" s="140"/>
      <c r="D369" s="141" t="n">
        <f aca="false">B369+C369</f>
        <v>0</v>
      </c>
      <c r="E369" s="126" t="n">
        <f aca="false">IF(Y369=0,0,IF(AND(Y369=1,$H$3=1),D369*T369,IF($H$3=2,D369,"N/A")))</f>
        <v>0</v>
      </c>
      <c r="F369" s="126" t="n">
        <f aca="false">E369*X369</f>
        <v>0</v>
      </c>
      <c r="G369" s="142" t="n">
        <f aca="false">VLOOKUP($A369,Table,MATCH(G$4,Curves,0))</f>
        <v>3.987</v>
      </c>
      <c r="H369" s="143" t="n">
        <f aca="false">G369</f>
        <v>3.987</v>
      </c>
      <c r="I369" s="142" t="n">
        <f aca="false">VLOOKUP($A369,Table1,MATCH(I$3,Curves1,0))</f>
        <v>0</v>
      </c>
      <c r="J369" s="142" t="n">
        <f aca="false">VLOOKUP($A369,Table,MATCH(J$4,Curves,0))</f>
        <v>-0.0235</v>
      </c>
      <c r="K369" s="143" t="n">
        <f aca="false">J369</f>
        <v>-0.0235</v>
      </c>
      <c r="L369" s="144" t="n">
        <v>0</v>
      </c>
      <c r="M369" s="142" t="n">
        <f aca="false">VLOOKUP($A369,Table,MATCH(M$4,Curves,0))</f>
        <v>0.0075</v>
      </c>
      <c r="N369" s="143" t="n">
        <f aca="false">M369</f>
        <v>0.0075</v>
      </c>
      <c r="O369" s="144" t="n">
        <v>0</v>
      </c>
      <c r="P369" s="145"/>
      <c r="Q369" s="144" t="n">
        <f aca="false">M369+J369+G369</f>
        <v>3.971</v>
      </c>
      <c r="R369" s="144" t="n">
        <f aca="false">O369+L369+I369</f>
        <v>0</v>
      </c>
      <c r="S369" s="145"/>
      <c r="T369" s="71" t="n">
        <f aca="false">A370-A369</f>
        <v>31</v>
      </c>
      <c r="U369" s="146" t="n">
        <f aca="false">CHOOSE(F$3,A370+24,A369)</f>
        <v>47963</v>
      </c>
      <c r="V369" s="71" t="n">
        <f aca="false">U369-C$3</f>
        <v>11075</v>
      </c>
      <c r="W369" s="142" t="n">
        <f aca="false">VLOOKUP($A369,Table,MATCH(W$4,Curves,0))</f>
        <v>0.058966861357273</v>
      </c>
      <c r="X369" s="147" t="n">
        <f aca="false">1/(1+CHOOSE(F$3,(W370+($K$3/10000))/2,(W369+($K$3/10000))/2))^(2*V369/365.25)</f>
        <v>0.171679760632916</v>
      </c>
      <c r="Y369" s="71" t="n">
        <f aca="false">IF(AND(mthbeg&lt;=A369,mthend&gt;=A369),1,0)</f>
        <v>0</v>
      </c>
      <c r="Z369" s="71" t="n">
        <f aca="false">T369*Y369</f>
        <v>0</v>
      </c>
      <c r="AB369" s="132" t="n">
        <f aca="false">F369*G369</f>
        <v>0</v>
      </c>
      <c r="AC369" s="132" t="n">
        <f aca="false">$F369*H369</f>
        <v>0</v>
      </c>
      <c r="AD369" s="132" t="n">
        <f aca="false">$F369*I369</f>
        <v>0</v>
      </c>
      <c r="AE369" s="132" t="n">
        <f aca="false">$F369*J369</f>
        <v>-0</v>
      </c>
      <c r="AF369" s="132" t="n">
        <f aca="false">$F369*K369</f>
        <v>-0</v>
      </c>
      <c r="AG369" s="132" t="n">
        <f aca="false">$F369*L369</f>
        <v>0</v>
      </c>
      <c r="AH369" s="132" t="n">
        <f aca="false">$F369*M369</f>
        <v>0</v>
      </c>
      <c r="AI369" s="132" t="n">
        <f aca="false">$F369*N369</f>
        <v>0</v>
      </c>
      <c r="AJ369" s="132" t="n">
        <f aca="false">F369*O369</f>
        <v>0</v>
      </c>
      <c r="AK369" s="137"/>
      <c r="AL369" s="132" t="n">
        <f aca="false">CHOOSE($G$3,AC369-AD369,AD369-AC369)</f>
        <v>0</v>
      </c>
      <c r="AM369" s="132" t="n">
        <f aca="false">CHOOSE($G$3,AF369-AG369,AG369-AF369)</f>
        <v>0</v>
      </c>
      <c r="AN369" s="132" t="n">
        <f aca="false">CHOOSE($G$3,AI369-AJ369,AJ369-AI369)</f>
        <v>0</v>
      </c>
      <c r="AO369" s="148" t="n">
        <f aca="false">SUM(AL369:AN369)</f>
        <v>0</v>
      </c>
      <c r="AQ369" s="132" t="n">
        <f aca="false">CHOOSE($G$3,AB369-AC369,AC369-AB369)</f>
        <v>0</v>
      </c>
      <c r="AR369" s="132" t="n">
        <f aca="false">CHOOSE($G$3,AE369-AF369,AF369-AE369)</f>
        <v>0</v>
      </c>
      <c r="AS369" s="132" t="n">
        <f aca="false">CHOOSE($G$3,AH369-AI369,AI369-AH369)</f>
        <v>0</v>
      </c>
      <c r="AT369" s="148" t="n">
        <f aca="false">AQ369+AR369+AS369</f>
        <v>0</v>
      </c>
      <c r="AU369" s="148"/>
      <c r="AV369" s="151" t="n">
        <f aca="false">AT369+AO369</f>
        <v>0</v>
      </c>
      <c r="AX369" s="151" t="n">
        <f aca="false">AJ369+AG369+AD369</f>
        <v>0</v>
      </c>
      <c r="AY369" s="149"/>
      <c r="AZ369" s="76" t="n">
        <f aca="false">R369*E369</f>
        <v>0</v>
      </c>
    </row>
    <row r="370" customFormat="false" ht="12.75" hidden="false" customHeight="false" outlineLevel="0" collapsed="false">
      <c r="A370" s="138" t="n">
        <f aca="false">EDATE(A369,1)</f>
        <v>47939</v>
      </c>
      <c r="W370" s="142" t="n">
        <f aca="false">VLOOKUP($A370,Table,MATCH(W$4,Curves,0))</f>
        <v>0.058966861357273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74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Q7" activeCellId="0" sqref="Q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41"/>
    <col collapsed="false" customWidth="true" hidden="false" outlineLevel="0" max="4" min="4" style="0" width="11.42"/>
    <col collapsed="false" customWidth="true" hidden="false" outlineLevel="0" max="6" min="6" style="0" width="10.85"/>
    <col collapsed="false" customWidth="true" hidden="false" outlineLevel="0" max="9" min="9" style="0" width="9.7"/>
    <col collapsed="false" customWidth="true" hidden="false" outlineLevel="0" max="10" min="10" style="0" width="9.99"/>
    <col collapsed="false" customWidth="true" hidden="false" outlineLevel="0" max="11" min="11" style="0" width="11.13"/>
    <col collapsed="false" customWidth="true" hidden="false" outlineLevel="0" max="12" min="12" style="0" width="11.56"/>
    <col collapsed="false" customWidth="true" hidden="false" outlineLevel="0" max="14" min="14" style="0" width="14.28"/>
    <col collapsed="false" customWidth="true" hidden="false" outlineLevel="0" max="16" min="16" style="0" width="11.56"/>
    <col collapsed="false" customWidth="true" hidden="false" outlineLevel="0" max="17" min="17" style="0" width="11.99"/>
    <col collapsed="false" customWidth="true" hidden="false" outlineLevel="0" max="20" min="20" style="0" width="9.85"/>
    <col collapsed="false" customWidth="true" hidden="false" outlineLevel="0" max="21" min="21" style="0" width="10.71"/>
    <col collapsed="false" customWidth="true" hidden="false" outlineLevel="0" max="23" min="23" style="0" width="9.85"/>
    <col collapsed="false" customWidth="true" hidden="false" outlineLevel="0" max="24" min="24" style="0" width="1.56"/>
  </cols>
  <sheetData>
    <row r="1" customFormat="false" ht="12.75" hidden="false" customHeight="false" outlineLevel="0" collapsed="false">
      <c r="A1" s="1" t="s">
        <v>201</v>
      </c>
    </row>
    <row r="3" customFormat="false" ht="12.75" hidden="false" customHeight="false" outlineLevel="0" collapsed="false">
      <c r="A3" s="2" t="s">
        <v>102</v>
      </c>
    </row>
    <row r="4" customFormat="false" ht="12.75" hidden="false" customHeight="false" outlineLevel="0" collapsed="false">
      <c r="B4" s="0" t="s">
        <v>173</v>
      </c>
      <c r="F4" s="152" t="n">
        <f aca="false">'Financing Assumptions'!E43</f>
        <v>0</v>
      </c>
      <c r="I4" s="0" t="s">
        <v>174</v>
      </c>
      <c r="L4" s="59" t="n">
        <f aca="false">SUM(I19:I74)</f>
        <v>0</v>
      </c>
      <c r="N4" s="0" t="s">
        <v>175</v>
      </c>
      <c r="Q4" s="59" t="n">
        <v>0</v>
      </c>
    </row>
    <row r="5" customFormat="false" ht="12.75" hidden="false" customHeight="false" outlineLevel="0" collapsed="false">
      <c r="B5" s="0" t="s">
        <v>176</v>
      </c>
      <c r="F5" s="59" t="n">
        <f aca="false">L5</f>
        <v>0</v>
      </c>
      <c r="I5" s="0" t="s">
        <v>177</v>
      </c>
      <c r="L5" s="59" t="n">
        <f aca="false">SUM(J19:J74)</f>
        <v>0</v>
      </c>
      <c r="N5" s="0" t="s">
        <v>178</v>
      </c>
      <c r="Q5" s="153" t="n">
        <v>0</v>
      </c>
    </row>
    <row r="6" customFormat="false" ht="12.75" hidden="false" customHeight="false" outlineLevel="0" collapsed="false">
      <c r="B6" s="0" t="s">
        <v>179</v>
      </c>
      <c r="F6" s="59" t="n">
        <f aca="false">Q74</f>
        <v>0</v>
      </c>
      <c r="I6" s="0" t="s">
        <v>180</v>
      </c>
      <c r="L6" s="0" t="n">
        <v>0</v>
      </c>
      <c r="N6" s="0" t="s">
        <v>181</v>
      </c>
      <c r="Q6" s="59" t="n">
        <v>0</v>
      </c>
    </row>
    <row r="9" customFormat="false" ht="12.75" hidden="false" customHeight="false" outlineLevel="0" collapsed="false">
      <c r="H9" s="154" t="s">
        <v>182</v>
      </c>
      <c r="I9" s="154"/>
      <c r="J9" s="154"/>
      <c r="K9" s="154"/>
      <c r="L9" s="154"/>
      <c r="N9" s="154" t="s">
        <v>183</v>
      </c>
      <c r="O9" s="154"/>
      <c r="P9" s="154"/>
      <c r="Q9" s="154"/>
    </row>
    <row r="10" customFormat="false" ht="12.75" hidden="false" customHeight="false" outlineLevel="0" collapsed="false">
      <c r="H10" s="41" t="s">
        <v>90</v>
      </c>
      <c r="I10" s="41"/>
      <c r="J10" s="41"/>
      <c r="K10" s="41" t="s">
        <v>184</v>
      </c>
      <c r="L10" s="41" t="s">
        <v>3</v>
      </c>
      <c r="N10" s="41" t="s">
        <v>90</v>
      </c>
      <c r="V10" s="41"/>
      <c r="W10" s="41"/>
    </row>
    <row r="11" customFormat="false" ht="12.75" hidden="false" customHeight="false" outlineLevel="0" collapsed="false">
      <c r="B11" s="41" t="s">
        <v>69</v>
      </c>
      <c r="C11" s="41" t="s">
        <v>69</v>
      </c>
      <c r="D11" s="41" t="s">
        <v>89</v>
      </c>
      <c r="E11" s="41" t="s">
        <v>185</v>
      </c>
      <c r="F11" s="41" t="s">
        <v>90</v>
      </c>
      <c r="H11" s="41" t="s">
        <v>122</v>
      </c>
      <c r="I11" s="41" t="s">
        <v>117</v>
      </c>
      <c r="J11" s="41" t="s">
        <v>117</v>
      </c>
      <c r="K11" s="41" t="s">
        <v>186</v>
      </c>
      <c r="L11" s="41" t="s">
        <v>134</v>
      </c>
      <c r="N11" s="41" t="s">
        <v>122</v>
      </c>
      <c r="O11" s="41" t="s">
        <v>117</v>
      </c>
      <c r="P11" s="41" t="s">
        <v>117</v>
      </c>
      <c r="Q11" s="41" t="s">
        <v>187</v>
      </c>
      <c r="S11" s="41" t="s">
        <v>188</v>
      </c>
      <c r="T11" s="41" t="s">
        <v>189</v>
      </c>
      <c r="U11" s="41" t="s">
        <v>129</v>
      </c>
      <c r="V11" s="41" t="s">
        <v>91</v>
      </c>
      <c r="W11" s="41" t="s">
        <v>190</v>
      </c>
      <c r="Y11" s="41" t="s">
        <v>191</v>
      </c>
      <c r="Z11" s="41" t="s">
        <v>186</v>
      </c>
    </row>
    <row r="12" customFormat="false" ht="12.75" hidden="false" customHeight="false" outlineLevel="0" collapsed="false">
      <c r="B12" s="60" t="s">
        <v>75</v>
      </c>
      <c r="C12" s="60" t="s">
        <v>76</v>
      </c>
      <c r="D12" s="60" t="s">
        <v>75</v>
      </c>
      <c r="E12" s="60" t="s">
        <v>192</v>
      </c>
      <c r="F12" s="60" t="s">
        <v>76</v>
      </c>
      <c r="H12" s="60" t="s">
        <v>193</v>
      </c>
      <c r="I12" s="60" t="s">
        <v>131</v>
      </c>
      <c r="J12" s="60" t="s">
        <v>132</v>
      </c>
      <c r="K12" s="60" t="s">
        <v>194</v>
      </c>
      <c r="L12" s="60" t="s">
        <v>195</v>
      </c>
      <c r="N12" s="60" t="s">
        <v>196</v>
      </c>
      <c r="O12" s="60" t="s">
        <v>131</v>
      </c>
      <c r="P12" s="60" t="s">
        <v>132</v>
      </c>
      <c r="Q12" s="60" t="s">
        <v>197</v>
      </c>
      <c r="S12" s="60" t="s">
        <v>93</v>
      </c>
      <c r="T12" s="60" t="s">
        <v>127</v>
      </c>
      <c r="U12" s="60" t="s">
        <v>194</v>
      </c>
      <c r="V12" s="60" t="s">
        <v>93</v>
      </c>
      <c r="W12" s="60" t="s">
        <v>93</v>
      </c>
      <c r="Y12" s="60" t="s">
        <v>93</v>
      </c>
      <c r="Z12" s="60" t="s">
        <v>37</v>
      </c>
    </row>
    <row r="14" customFormat="false" ht="12.75" hidden="false" customHeight="false" outlineLevel="0" collapsed="false">
      <c r="D14" s="66" t="n">
        <f aca="false">Summary!B5</f>
        <v>36888</v>
      </c>
    </row>
    <row r="15" customFormat="false" ht="12.75" hidden="false" customHeight="false" outlineLevel="0" collapsed="false">
      <c r="B15" s="155" t="n">
        <v>36861</v>
      </c>
      <c r="C15" s="0" t="n">
        <f aca="false">EOMONTH(B15,0)-EOMONTH(B15,-1)</f>
        <v>31</v>
      </c>
      <c r="D15" s="66" t="n">
        <f aca="false">WORKDAY(EOMONTH(B15,0)+24,1,'Financing Assumptions'!E33:E39)</f>
        <v>36916</v>
      </c>
      <c r="E15" s="156" t="str">
        <f aca="false">TEXT(D15,"DDD")</f>
        <v>Thu</v>
      </c>
      <c r="F15" s="41" t="n">
        <f aca="false">D15-$D$14</f>
        <v>28</v>
      </c>
    </row>
    <row r="16" customFormat="false" ht="12.75" hidden="false" customHeight="false" outlineLevel="0" collapsed="false">
      <c r="B16" s="155" t="n">
        <v>36892</v>
      </c>
      <c r="C16" s="0" t="n">
        <f aca="false">EOMONTH(B16,0)-EOMONTH(B16,-1)</f>
        <v>31</v>
      </c>
      <c r="D16" s="66" t="n">
        <f aca="false">WORKDAY(EOMONTH(B16,0)+24,1,'Financing Assumptions'!E34:E40)</f>
        <v>36948</v>
      </c>
      <c r="E16" s="156" t="str">
        <f aca="false">TEXT(D16,"DDD")</f>
        <v>Mon</v>
      </c>
      <c r="F16" s="41" t="n">
        <f aca="false">D16-$D$14</f>
        <v>60</v>
      </c>
      <c r="J16" s="0" t="s">
        <v>198</v>
      </c>
      <c r="L16" s="59" t="n">
        <f aca="false">SUM(L19:L74)</f>
        <v>0</v>
      </c>
    </row>
    <row r="17" customFormat="false" ht="12.75" hidden="false" customHeight="false" outlineLevel="0" collapsed="false">
      <c r="B17" s="155" t="n">
        <v>36923</v>
      </c>
      <c r="C17" s="0" t="n">
        <f aca="false">EOMONTH(B17,0)-EOMONTH(B17,-1)</f>
        <v>28</v>
      </c>
      <c r="D17" s="66" t="n">
        <f aca="false">WORKDAY(EOMONTH(B17,0)+24,1,'Financing Assumptions'!E35:E41)</f>
        <v>36976</v>
      </c>
      <c r="E17" s="156" t="str">
        <f aca="false">TEXT(D17,"DDD")</f>
        <v>Mon</v>
      </c>
      <c r="F17" s="41" t="n">
        <f aca="false">D17-$D$14</f>
        <v>88</v>
      </c>
    </row>
    <row r="18" customFormat="false" ht="12.75" hidden="false" customHeight="false" outlineLevel="0" collapsed="false">
      <c r="B18" s="155" t="n">
        <v>36951</v>
      </c>
      <c r="C18" s="0" t="n">
        <f aca="false">EOMONTH(B18,0)-EOMONTH(B18,-1)</f>
        <v>31</v>
      </c>
      <c r="D18" s="66" t="n">
        <f aca="false">WORKDAY(EOMONTH(B18,0)+24,1,'Financing Assumptions'!E36:E42)</f>
        <v>37006</v>
      </c>
      <c r="E18" s="156" t="str">
        <f aca="false">TEXT(D18,"DDD")</f>
        <v>Wed</v>
      </c>
      <c r="F18" s="41" t="n">
        <f aca="false">D18-$D$14</f>
        <v>118</v>
      </c>
    </row>
    <row r="19" customFormat="false" ht="12.75" hidden="false" customHeight="false" outlineLevel="0" collapsed="false">
      <c r="B19" s="155" t="n">
        <v>36982</v>
      </c>
      <c r="C19" s="0" t="n">
        <f aca="false">EOMONTH(B19,0)-EOMONTH(B19,-1)</f>
        <v>30</v>
      </c>
      <c r="D19" s="66" t="n">
        <f aca="false">WORKDAY(EOMONTH(B19,0)+24,1,'Financing Assumptions'!E37:E43)</f>
        <v>37036</v>
      </c>
      <c r="E19" s="156" t="str">
        <f aca="false">TEXT(D19,"DDD")</f>
        <v>Fri</v>
      </c>
      <c r="F19" s="41" t="n">
        <f aca="false">D19-$D$14</f>
        <v>148</v>
      </c>
      <c r="H19" s="0" t="n">
        <f aca="false">(1+Curves!U5/12)^(-12*F19/360)</f>
        <v>0.974015782510108</v>
      </c>
      <c r="I19" s="152" t="n">
        <f aca="false">$F$4*H19*C19</f>
        <v>0</v>
      </c>
      <c r="J19" s="59" t="n">
        <f aca="false">I19*(Curves!B5+Curves!F5+Curves!G5)</f>
        <v>0</v>
      </c>
      <c r="K19" s="68" t="n">
        <v>0</v>
      </c>
      <c r="L19" s="59" t="n">
        <f aca="false">K19*I19-J19</f>
        <v>0</v>
      </c>
      <c r="N19" s="74" t="n">
        <f aca="false">(1+Curves!V5/12)^(-12*F19/360)</f>
        <v>0.970538166269421</v>
      </c>
      <c r="O19" s="59" t="n">
        <f aca="false">$F$4*N19*C19</f>
        <v>0</v>
      </c>
      <c r="P19" s="59" t="n">
        <f aca="false">O19*K19</f>
        <v>0</v>
      </c>
      <c r="Q19" s="59" t="n">
        <f aca="false">P19</f>
        <v>0</v>
      </c>
      <c r="S19" s="59" t="n">
        <f aca="false">O19</f>
        <v>0</v>
      </c>
      <c r="T19" s="59" t="n">
        <f aca="false">S19*(Curves!B5+Curves!F5+Curves!G5)</f>
        <v>0</v>
      </c>
      <c r="U19" s="0" t="n">
        <v>0</v>
      </c>
      <c r="V19" s="59" t="n">
        <f aca="false">(O19/N19)/C19</f>
        <v>0</v>
      </c>
      <c r="W19" s="59" t="n">
        <v>0</v>
      </c>
      <c r="Y19" s="59" t="n">
        <v>0</v>
      </c>
      <c r="Z19" s="68" t="n">
        <v>0</v>
      </c>
    </row>
    <row r="20" customFormat="false" ht="12.75" hidden="false" customHeight="false" outlineLevel="0" collapsed="false">
      <c r="B20" s="155" t="n">
        <v>37012</v>
      </c>
      <c r="C20" s="0" t="n">
        <f aca="false">EOMONTH(B20,0)-EOMONTH(B20,-1)</f>
        <v>31</v>
      </c>
      <c r="D20" s="66" t="n">
        <f aca="false">WORKDAY(EOMONTH(B20,0)+24,1,'Financing Assumptions'!E38:E44)</f>
        <v>37067</v>
      </c>
      <c r="E20" s="156" t="str">
        <f aca="false">TEXT(D20,"DDD")</f>
        <v>Mon</v>
      </c>
      <c r="F20" s="41" t="n">
        <f aca="false">D20-$D$14</f>
        <v>179</v>
      </c>
      <c r="H20" s="0" t="n">
        <f aca="false">(1+Curves!U6/12)^(-12*F20/360)</f>
        <v>0.969132676480879</v>
      </c>
      <c r="I20" s="152" t="n">
        <f aca="false">$F$4*H20*C20</f>
        <v>0</v>
      </c>
      <c r="J20" s="59" t="n">
        <f aca="false">I20*(Curves!B6+Curves!F6+Curves!G6)</f>
        <v>0</v>
      </c>
      <c r="K20" s="68" t="n">
        <v>0</v>
      </c>
      <c r="L20" s="59" t="n">
        <f aca="false">K20*I20-J20</f>
        <v>0</v>
      </c>
      <c r="N20" s="74" t="n">
        <f aca="false">(1+Curves!V6/12)^(-12*F20/360)</f>
        <v>0.964948951660208</v>
      </c>
      <c r="O20" s="59" t="n">
        <f aca="false">$F$4*N20*C20</f>
        <v>0</v>
      </c>
      <c r="P20" s="59" t="n">
        <f aca="false">O20*K20</f>
        <v>0</v>
      </c>
      <c r="Q20" s="59" t="n">
        <f aca="false">P20+Q19</f>
        <v>0</v>
      </c>
      <c r="S20" s="59" t="n">
        <f aca="false">O20</f>
        <v>0</v>
      </c>
      <c r="T20" s="59" t="n">
        <f aca="false">S20*(Curves!B6+Curves!F6+Curves!G6)</f>
        <v>0</v>
      </c>
      <c r="U20" s="0" t="n">
        <v>0</v>
      </c>
      <c r="V20" s="59" t="n">
        <f aca="false">(O20/N20)/C20</f>
        <v>0</v>
      </c>
      <c r="W20" s="59" t="n">
        <v>0</v>
      </c>
      <c r="Y20" s="59" t="n">
        <v>0</v>
      </c>
      <c r="Z20" s="68" t="n">
        <v>0</v>
      </c>
    </row>
    <row r="21" customFormat="false" ht="12.75" hidden="false" customHeight="false" outlineLevel="0" collapsed="false">
      <c r="B21" s="155" t="n">
        <v>37043</v>
      </c>
      <c r="C21" s="0" t="n">
        <f aca="false">EOMONTH(B21,0)-EOMONTH(B21,-1)</f>
        <v>30</v>
      </c>
      <c r="D21" s="66" t="n">
        <f aca="false">WORKDAY(EOMONTH(B21,0)+24,1,'Financing Assumptions'!E39:E45)</f>
        <v>37097</v>
      </c>
      <c r="E21" s="156" t="str">
        <f aca="false">TEXT(D21,"DDD")</f>
        <v>Wed</v>
      </c>
      <c r="F21" s="41" t="n">
        <f aca="false">D21-$D$14</f>
        <v>209</v>
      </c>
      <c r="H21" s="0" t="n">
        <f aca="false">(1+Curves!U7/12)^(-12*F21/360)</f>
        <v>0.964622209264917</v>
      </c>
      <c r="I21" s="152" t="n">
        <f aca="false">$F$4*H21*C21</f>
        <v>0</v>
      </c>
      <c r="J21" s="59" t="n">
        <f aca="false">I21*(Curves!B7+Curves!F7+Curves!G7)</f>
        <v>0</v>
      </c>
      <c r="K21" s="68" t="n">
        <v>0</v>
      </c>
      <c r="L21" s="59" t="n">
        <f aca="false">K21*I21-J21</f>
        <v>0</v>
      </c>
      <c r="N21" s="74" t="n">
        <f aca="false">(1+Curves!V7/12)^(-12*F21/360)</f>
        <v>0.959761387205513</v>
      </c>
      <c r="O21" s="59" t="n">
        <f aca="false">$F$4*N21*C21</f>
        <v>0</v>
      </c>
      <c r="P21" s="59" t="n">
        <f aca="false">O21*K21</f>
        <v>0</v>
      </c>
      <c r="Q21" s="59" t="n">
        <f aca="false">P21+Q20</f>
        <v>0</v>
      </c>
      <c r="S21" s="59" t="n">
        <f aca="false">O21</f>
        <v>0</v>
      </c>
      <c r="T21" s="59" t="n">
        <f aca="false">S21*(Curves!B7+Curves!F7+Curves!G7)</f>
        <v>0</v>
      </c>
      <c r="U21" s="0" t="n">
        <v>0</v>
      </c>
      <c r="V21" s="59" t="n">
        <f aca="false">(O21/N21)/C21</f>
        <v>0</v>
      </c>
      <c r="W21" s="59" t="n">
        <v>0</v>
      </c>
      <c r="Y21" s="59" t="n">
        <v>0</v>
      </c>
      <c r="Z21" s="68" t="n">
        <v>0</v>
      </c>
    </row>
    <row r="22" customFormat="false" ht="12.75" hidden="false" customHeight="false" outlineLevel="0" collapsed="false">
      <c r="B22" s="155" t="n">
        <v>37073</v>
      </c>
      <c r="C22" s="0" t="n">
        <f aca="false">EOMONTH(B22,0)-EOMONTH(B22,-1)</f>
        <v>31</v>
      </c>
      <c r="D22" s="66" t="n">
        <f aca="false">WORKDAY(EOMONTH(B22,0)+24,1,'Financing Assumptions'!E40:E46)</f>
        <v>37130</v>
      </c>
      <c r="E22" s="156" t="str">
        <f aca="false">TEXT(D22,"DDD")</f>
        <v>Mon</v>
      </c>
      <c r="F22" s="41" t="n">
        <f aca="false">D22-$D$14</f>
        <v>242</v>
      </c>
      <c r="H22" s="0" t="n">
        <f aca="false">(1+Curves!U8/12)^(-12*F22/360)</f>
        <v>0.959712969314342</v>
      </c>
      <c r="I22" s="152" t="n">
        <f aca="false">$F$4*H22*C22</f>
        <v>0</v>
      </c>
      <c r="J22" s="59" t="n">
        <f aca="false">I22*(Curves!B8+Curves!F8+Curves!G8)</f>
        <v>0</v>
      </c>
      <c r="K22" s="68" t="n">
        <v>0</v>
      </c>
      <c r="L22" s="59" t="n">
        <f aca="false">K22*I22-J22</f>
        <v>0</v>
      </c>
      <c r="N22" s="74" t="n">
        <f aca="false">(1+Curves!V8/12)^(-12*F22/360)</f>
        <v>0.954115119480747</v>
      </c>
      <c r="O22" s="59" t="n">
        <f aca="false">$F$4*N22*C22</f>
        <v>0</v>
      </c>
      <c r="P22" s="59" t="n">
        <f aca="false">O22*K22</f>
        <v>0</v>
      </c>
      <c r="Q22" s="59" t="n">
        <f aca="false">P22+Q21</f>
        <v>0</v>
      </c>
      <c r="S22" s="59" t="n">
        <f aca="false">O22</f>
        <v>0</v>
      </c>
      <c r="T22" s="59" t="n">
        <f aca="false">S22*(Curves!B8+Curves!F8+Curves!G8)</f>
        <v>0</v>
      </c>
      <c r="U22" s="0" t="n">
        <v>0</v>
      </c>
      <c r="V22" s="59" t="n">
        <f aca="false">(O22/N22)/C22</f>
        <v>0</v>
      </c>
      <c r="W22" s="59" t="n">
        <v>0</v>
      </c>
      <c r="Y22" s="59" t="n">
        <v>0</v>
      </c>
      <c r="Z22" s="68" t="n">
        <v>0</v>
      </c>
    </row>
    <row r="23" customFormat="false" ht="12.75" hidden="false" customHeight="false" outlineLevel="0" collapsed="false">
      <c r="B23" s="155" t="n">
        <v>37104</v>
      </c>
      <c r="C23" s="0" t="n">
        <f aca="false">EOMONTH(B23,0)-EOMONTH(B23,-1)</f>
        <v>31</v>
      </c>
      <c r="D23" s="66" t="n">
        <f aca="false">WORKDAY(EOMONTH(B23,0)+24,1,'Financing Assumptions'!E41:E47)</f>
        <v>37159</v>
      </c>
      <c r="E23" s="156" t="str">
        <f aca="false">TEXT(D23,"DDD")</f>
        <v>Tue</v>
      </c>
      <c r="F23" s="41" t="n">
        <f aca="false">D23-$D$14</f>
        <v>271</v>
      </c>
      <c r="H23" s="0" t="n">
        <f aca="false">(1+Curves!U9/12)^(-12*F23/360)</f>
        <v>0.955489957381465</v>
      </c>
      <c r="I23" s="152" t="n">
        <f aca="false">$F$4*H23*C23</f>
        <v>0</v>
      </c>
      <c r="J23" s="59" t="n">
        <f aca="false">I23*(Curves!B9+Curves!F9+Curves!G9)</f>
        <v>0</v>
      </c>
      <c r="K23" s="68" t="n">
        <v>0</v>
      </c>
      <c r="L23" s="59" t="n">
        <f aca="false">K23*I23-J23</f>
        <v>0</v>
      </c>
      <c r="N23" s="74" t="n">
        <f aca="false">(1+Curves!V9/12)^(-12*F23/360)</f>
        <v>0.949250703405034</v>
      </c>
      <c r="O23" s="59" t="n">
        <f aca="false">$F$4*N23*C23</f>
        <v>0</v>
      </c>
      <c r="P23" s="59" t="n">
        <f aca="false">O23*K23</f>
        <v>0</v>
      </c>
      <c r="Q23" s="59" t="n">
        <f aca="false">P23+Q22</f>
        <v>0</v>
      </c>
      <c r="S23" s="59" t="n">
        <f aca="false">O23</f>
        <v>0</v>
      </c>
      <c r="T23" s="59" t="n">
        <f aca="false">S23*(Curves!B9+Curves!F9+Curves!G9)</f>
        <v>0</v>
      </c>
      <c r="U23" s="0" t="n">
        <v>0</v>
      </c>
      <c r="V23" s="59" t="n">
        <f aca="false">(O23/N23)/C23</f>
        <v>0</v>
      </c>
      <c r="W23" s="59" t="n">
        <v>0</v>
      </c>
      <c r="Y23" s="59" t="n">
        <v>0</v>
      </c>
      <c r="Z23" s="68" t="n">
        <v>0</v>
      </c>
    </row>
    <row r="24" customFormat="false" ht="12.75" hidden="false" customHeight="false" outlineLevel="0" collapsed="false">
      <c r="B24" s="155" t="n">
        <v>37135</v>
      </c>
      <c r="C24" s="0" t="n">
        <f aca="false">EOMONTH(B24,0)-EOMONTH(B24,-1)</f>
        <v>30</v>
      </c>
      <c r="D24" s="66" t="n">
        <f aca="false">WORKDAY(EOMONTH(B24,0)+24,1,'Financing Assumptions'!E42:E48)</f>
        <v>37189</v>
      </c>
      <c r="E24" s="156" t="str">
        <f aca="false">TEXT(D24,"DDD")</f>
        <v>Thu</v>
      </c>
      <c r="F24" s="41" t="n">
        <f aca="false">D24-$D$14</f>
        <v>301</v>
      </c>
      <c r="H24" s="0" t="n">
        <f aca="false">(1+Curves!U10/12)^(-12*F24/360)</f>
        <v>0.951233121215417</v>
      </c>
      <c r="I24" s="152" t="n">
        <f aca="false">$F$4*H24*C24</f>
        <v>0</v>
      </c>
      <c r="J24" s="59" t="n">
        <f aca="false">I24*(Curves!B10+Curves!F10+Curves!G10)</f>
        <v>0</v>
      </c>
      <c r="K24" s="68" t="n">
        <v>0</v>
      </c>
      <c r="L24" s="59" t="n">
        <f aca="false">K24*I24-J24</f>
        <v>0</v>
      </c>
      <c r="N24" s="74" t="n">
        <f aca="false">(1+Curves!V10/12)^(-12*F24/360)</f>
        <v>0.944336153320315</v>
      </c>
      <c r="O24" s="59" t="n">
        <f aca="false">$F$4*N24*C24</f>
        <v>0</v>
      </c>
      <c r="P24" s="59" t="n">
        <f aca="false">O24*K24</f>
        <v>0</v>
      </c>
      <c r="Q24" s="59" t="n">
        <f aca="false">P24+Q23</f>
        <v>0</v>
      </c>
      <c r="S24" s="59" t="n">
        <f aca="false">O24</f>
        <v>0</v>
      </c>
      <c r="T24" s="59" t="n">
        <f aca="false">S24*(Curves!B10+Curves!F10+Curves!G10)</f>
        <v>0</v>
      </c>
      <c r="U24" s="0" t="n">
        <v>0</v>
      </c>
      <c r="V24" s="59" t="n">
        <f aca="false">(O24/N24)/C24</f>
        <v>0</v>
      </c>
      <c r="W24" s="59" t="n">
        <v>0</v>
      </c>
      <c r="Y24" s="59" t="n">
        <v>0</v>
      </c>
      <c r="Z24" s="68" t="n">
        <v>0</v>
      </c>
    </row>
    <row r="25" customFormat="false" ht="12.75" hidden="false" customHeight="false" outlineLevel="0" collapsed="false">
      <c r="B25" s="155" t="n">
        <v>37165</v>
      </c>
      <c r="C25" s="0" t="n">
        <f aca="false">EOMONTH(B25,0)-EOMONTH(B25,-1)</f>
        <v>31</v>
      </c>
      <c r="D25" s="66" t="n">
        <f aca="false">WORKDAY(EOMONTH(B25,0)+24,1,'Financing Assumptions'!E43:E49)</f>
        <v>37221</v>
      </c>
      <c r="E25" s="156" t="str">
        <f aca="false">TEXT(D25,"DDD")</f>
        <v>Mon</v>
      </c>
      <c r="F25" s="41" t="n">
        <f aca="false">D25-$D$14</f>
        <v>333</v>
      </c>
      <c r="H25" s="0" t="n">
        <f aca="false">(1+Curves!U11/12)^(-12*F25/360)</f>
        <v>0.946706523365583</v>
      </c>
      <c r="I25" s="152" t="n">
        <f aca="false">$F$4*H25*C25</f>
        <v>0</v>
      </c>
      <c r="J25" s="59" t="n">
        <f aca="false">I25*(Curves!B11+Curves!F11+Curves!G11)</f>
        <v>0</v>
      </c>
      <c r="K25" s="68" t="n">
        <v>0</v>
      </c>
      <c r="L25" s="59" t="n">
        <f aca="false">K25*I25-J25</f>
        <v>0</v>
      </c>
      <c r="N25" s="74" t="n">
        <f aca="false">(1+Curves!V11/12)^(-12*F25/360)</f>
        <v>0.939115194463977</v>
      </c>
      <c r="O25" s="59" t="n">
        <f aca="false">$F$4*N25*C25</f>
        <v>0</v>
      </c>
      <c r="P25" s="59" t="n">
        <f aca="false">O25*K25</f>
        <v>0</v>
      </c>
      <c r="Q25" s="59" t="n">
        <f aca="false">P25+Q24</f>
        <v>0</v>
      </c>
      <c r="S25" s="59" t="n">
        <f aca="false">O25</f>
        <v>0</v>
      </c>
      <c r="T25" s="59" t="n">
        <f aca="false">S25*(Curves!B11+Curves!F11+Curves!G11)</f>
        <v>0</v>
      </c>
      <c r="U25" s="0" t="n">
        <v>0</v>
      </c>
      <c r="V25" s="59" t="n">
        <f aca="false">(O25/N25)/C25</f>
        <v>0</v>
      </c>
      <c r="W25" s="59" t="n">
        <v>0</v>
      </c>
      <c r="Y25" s="59" t="n">
        <v>0</v>
      </c>
      <c r="Z25" s="68" t="n">
        <v>0</v>
      </c>
    </row>
    <row r="26" customFormat="false" ht="12.75" hidden="false" customHeight="false" outlineLevel="0" collapsed="false">
      <c r="B26" s="155" t="n">
        <v>37196</v>
      </c>
      <c r="C26" s="0" t="n">
        <f aca="false">EOMONTH(B26,0)-EOMONTH(B26,-1)</f>
        <v>30</v>
      </c>
      <c r="D26" s="66" t="n">
        <f aca="false">WORKDAY(EOMONTH(B26,0)+24,1,'Financing Assumptions'!E44:E50)</f>
        <v>37250</v>
      </c>
      <c r="E26" s="156" t="str">
        <f aca="false">TEXT(D26,"DDD")</f>
        <v>Tue</v>
      </c>
      <c r="F26" s="41" t="n">
        <f aca="false">D26-$D$14</f>
        <v>362</v>
      </c>
      <c r="H26" s="0" t="n">
        <f aca="false">(1+Curves!U12/12)^(-12*F26/360)</f>
        <v>0.942661362271595</v>
      </c>
      <c r="I26" s="152" t="n">
        <f aca="false">$F$4*H26*C26</f>
        <v>0</v>
      </c>
      <c r="J26" s="59" t="n">
        <f aca="false">I26*(Curves!B12+Curves!F12+Curves!G12)</f>
        <v>0</v>
      </c>
      <c r="K26" s="68" t="n">
        <v>0</v>
      </c>
      <c r="L26" s="59" t="n">
        <f aca="false">K26*I26-J26</f>
        <v>0</v>
      </c>
      <c r="N26" s="74" t="n">
        <f aca="false">(1+Curves!V12/12)^(-12*F26/360)</f>
        <v>0.934446734219082</v>
      </c>
      <c r="O26" s="59" t="n">
        <f aca="false">$F$4*N26*C26</f>
        <v>0</v>
      </c>
      <c r="P26" s="59" t="n">
        <f aca="false">O26*K26</f>
        <v>0</v>
      </c>
      <c r="Q26" s="59" t="n">
        <f aca="false">P26+Q25</f>
        <v>0</v>
      </c>
      <c r="S26" s="59" t="n">
        <f aca="false">O26</f>
        <v>0</v>
      </c>
      <c r="T26" s="59" t="n">
        <f aca="false">S26*(Curves!B12+Curves!F12+Curves!G12)</f>
        <v>0</v>
      </c>
      <c r="U26" s="0" t="n">
        <v>0</v>
      </c>
      <c r="V26" s="59" t="n">
        <f aca="false">(O26/N26)/C26</f>
        <v>0</v>
      </c>
      <c r="W26" s="59" t="n">
        <v>0</v>
      </c>
      <c r="Y26" s="59" t="n">
        <v>0</v>
      </c>
      <c r="Z26" s="68" t="n">
        <v>0</v>
      </c>
    </row>
    <row r="27" customFormat="false" ht="12.75" hidden="false" customHeight="false" outlineLevel="0" collapsed="false">
      <c r="B27" s="155" t="n">
        <v>37226</v>
      </c>
      <c r="C27" s="0" t="n">
        <f aca="false">EOMONTH(B27,0)-EOMONTH(B27,-1)</f>
        <v>31</v>
      </c>
      <c r="D27" s="66" t="n">
        <f aca="false">WORKDAY(EOMONTH(B27,0)+24,1,'Financing Assumptions'!E45:E51)</f>
        <v>37281</v>
      </c>
      <c r="E27" s="156" t="str">
        <f aca="false">TEXT(D27,"DDD")</f>
        <v>Fri</v>
      </c>
      <c r="F27" s="41" t="n">
        <f aca="false">D27-$D$14</f>
        <v>393</v>
      </c>
      <c r="H27" s="0" t="n">
        <f aca="false">(1+Curves!U13/12)^(-12*F27/360)</f>
        <v>0.938387226828226</v>
      </c>
      <c r="I27" s="152" t="n">
        <f aca="false">$F$4*H27*C27</f>
        <v>0</v>
      </c>
      <c r="J27" s="59" t="n">
        <f aca="false">I27*(Curves!B13+Curves!F13+Curves!G13)</f>
        <v>0</v>
      </c>
      <c r="K27" s="68" t="n">
        <v>0</v>
      </c>
      <c r="L27" s="59" t="n">
        <f aca="false">K27*I27-J27</f>
        <v>0</v>
      </c>
      <c r="N27" s="74" t="n">
        <f aca="false">(1+Curves!V13/12)^(-12*F27/360)</f>
        <v>0.929512547917122</v>
      </c>
      <c r="O27" s="59" t="n">
        <f aca="false">$F$4*N27*C27</f>
        <v>0</v>
      </c>
      <c r="P27" s="59" t="n">
        <f aca="false">O27*K27</f>
        <v>0</v>
      </c>
      <c r="Q27" s="59" t="n">
        <f aca="false">P27+Q26</f>
        <v>0</v>
      </c>
      <c r="S27" s="59" t="n">
        <f aca="false">O27</f>
        <v>0</v>
      </c>
      <c r="T27" s="59" t="n">
        <f aca="false">S27*(Curves!B13+Curves!F13+Curves!G13)</f>
        <v>0</v>
      </c>
      <c r="U27" s="0" t="n">
        <v>0</v>
      </c>
      <c r="V27" s="59" t="n">
        <f aca="false">(O27/N27)/C27</f>
        <v>0</v>
      </c>
      <c r="W27" s="59" t="n">
        <v>0</v>
      </c>
      <c r="Y27" s="59" t="n">
        <v>0</v>
      </c>
      <c r="Z27" s="68" t="n">
        <v>0</v>
      </c>
    </row>
    <row r="28" customFormat="false" ht="12.75" hidden="false" customHeight="false" outlineLevel="0" collapsed="false">
      <c r="B28" s="155" t="n">
        <v>37257</v>
      </c>
      <c r="C28" s="0" t="n">
        <f aca="false">EOMONTH(B28,0)-EOMONTH(B28,-1)</f>
        <v>31</v>
      </c>
      <c r="D28" s="66" t="n">
        <f aca="false">WORKDAY(EOMONTH(B28,0)+24,1,'Financing Assumptions'!E46:E52)</f>
        <v>37312</v>
      </c>
      <c r="E28" s="156" t="str">
        <f aca="false">TEXT(D28,"DDD")</f>
        <v>Mon</v>
      </c>
      <c r="F28" s="41" t="n">
        <f aca="false">D28-$D$14</f>
        <v>424</v>
      </c>
      <c r="H28" s="0" t="n">
        <f aca="false">(1+Curves!U14/12)^(-12*F28/360)</f>
        <v>0.934107231415215</v>
      </c>
      <c r="I28" s="152" t="n">
        <f aca="false">$F$4*H28*C28</f>
        <v>0</v>
      </c>
      <c r="J28" s="59" t="n">
        <f aca="false">I28*(Curves!B14+Curves!F14+Curves!G14)</f>
        <v>0</v>
      </c>
      <c r="K28" s="68" t="n">
        <v>0</v>
      </c>
      <c r="L28" s="59" t="n">
        <f aca="false">K28*I28-J28</f>
        <v>0</v>
      </c>
      <c r="N28" s="74" t="n">
        <f aca="false">(1+Curves!V14/12)^(-12*F28/360)</f>
        <v>0.924579451892352</v>
      </c>
      <c r="O28" s="59" t="n">
        <f aca="false">$F$4*N28*C28</f>
        <v>0</v>
      </c>
      <c r="P28" s="59" t="n">
        <f aca="false">O28*K28</f>
        <v>0</v>
      </c>
      <c r="Q28" s="59" t="n">
        <f aca="false">P28+Q27</f>
        <v>0</v>
      </c>
      <c r="S28" s="59" t="n">
        <f aca="false">O28</f>
        <v>0</v>
      </c>
      <c r="T28" s="59" t="n">
        <f aca="false">S28*(Curves!B14+Curves!F14+Curves!G14)</f>
        <v>0</v>
      </c>
      <c r="U28" s="0" t="n">
        <v>0</v>
      </c>
      <c r="V28" s="59" t="n">
        <f aca="false">(O28/N28)/C28</f>
        <v>0</v>
      </c>
      <c r="W28" s="59" t="n">
        <v>0</v>
      </c>
      <c r="Y28" s="59" t="n">
        <v>0</v>
      </c>
      <c r="Z28" s="68" t="n">
        <v>0</v>
      </c>
    </row>
    <row r="29" customFormat="false" ht="12.75" hidden="false" customHeight="false" outlineLevel="0" collapsed="false">
      <c r="B29" s="155" t="n">
        <v>37288</v>
      </c>
      <c r="C29" s="0" t="n">
        <f aca="false">EOMONTH(B29,0)-EOMONTH(B29,-1)</f>
        <v>28</v>
      </c>
      <c r="D29" s="66" t="n">
        <f aca="false">WORKDAY(EOMONTH(B29,0)+24,1,'Financing Assumptions'!E47:E53)</f>
        <v>37340</v>
      </c>
      <c r="E29" s="156" t="str">
        <f aca="false">TEXT(D29,"DDD")</f>
        <v>Mon</v>
      </c>
      <c r="F29" s="41" t="n">
        <f aca="false">D29-$D$14</f>
        <v>452</v>
      </c>
      <c r="H29" s="0" t="n">
        <f aca="false">(1+Curves!U15/12)^(-12*F29/360)</f>
        <v>0.930179426803669</v>
      </c>
      <c r="I29" s="152" t="n">
        <f aca="false">$F$4*H29*C29</f>
        <v>0</v>
      </c>
      <c r="J29" s="59" t="n">
        <f aca="false">I29*(Curves!B15+Curves!F15+Curves!G15)</f>
        <v>0</v>
      </c>
      <c r="K29" s="68" t="n">
        <v>0</v>
      </c>
      <c r="L29" s="59" t="n">
        <f aca="false">K29*I29-J29</f>
        <v>0</v>
      </c>
      <c r="N29" s="74" t="n">
        <f aca="false">(1+Curves!V15/12)^(-12*F29/360)</f>
        <v>0.920068388416561</v>
      </c>
      <c r="O29" s="59" t="n">
        <f aca="false">$F$4*N29*C29</f>
        <v>0</v>
      </c>
      <c r="P29" s="59" t="n">
        <f aca="false">O29*K29</f>
        <v>0</v>
      </c>
      <c r="Q29" s="59" t="n">
        <f aca="false">P29+Q28</f>
        <v>0</v>
      </c>
      <c r="S29" s="59" t="n">
        <f aca="false">O29</f>
        <v>0</v>
      </c>
      <c r="T29" s="59" t="n">
        <f aca="false">S29*(Curves!B15+Curves!F15+Curves!G15)</f>
        <v>0</v>
      </c>
      <c r="U29" s="0" t="n">
        <v>0</v>
      </c>
      <c r="V29" s="59" t="n">
        <f aca="false">(O29/N29)/C29</f>
        <v>0</v>
      </c>
      <c r="W29" s="59" t="n">
        <v>0</v>
      </c>
      <c r="Y29" s="59" t="n">
        <v>0</v>
      </c>
      <c r="Z29" s="68" t="n">
        <v>0</v>
      </c>
    </row>
    <row r="30" customFormat="false" ht="12.75" hidden="false" customHeight="false" outlineLevel="0" collapsed="false">
      <c r="B30" s="155" t="n">
        <v>37316</v>
      </c>
      <c r="C30" s="0" t="n">
        <f aca="false">EOMONTH(B30,0)-EOMONTH(B30,-1)</f>
        <v>31</v>
      </c>
      <c r="D30" s="66" t="n">
        <f aca="false">WORKDAY(EOMONTH(B30,0)+24,1,'Financing Assumptions'!E48:E54)</f>
        <v>37371</v>
      </c>
      <c r="E30" s="156" t="str">
        <f aca="false">TEXT(D30,"DDD")</f>
        <v>Thu</v>
      </c>
      <c r="F30" s="41" t="n">
        <f aca="false">D30-$D$14</f>
        <v>483</v>
      </c>
      <c r="H30" s="0" t="n">
        <f aca="false">(1+Curves!U16/12)^(-12*F30/360)</f>
        <v>0.925830532354364</v>
      </c>
      <c r="I30" s="152" t="n">
        <f aca="false">$F$4*H30*C30</f>
        <v>0</v>
      </c>
      <c r="J30" s="59" t="n">
        <f aca="false">I30*(Curves!B16+Curves!F16+Curves!G16)</f>
        <v>0</v>
      </c>
      <c r="K30" s="68" t="n">
        <v>0</v>
      </c>
      <c r="L30" s="59" t="n">
        <f aca="false">K30*I30-J30</f>
        <v>0</v>
      </c>
      <c r="N30" s="74" t="n">
        <f aca="false">(1+Curves!V16/12)^(-12*F30/360)</f>
        <v>0.915080390290755</v>
      </c>
      <c r="O30" s="59" t="n">
        <f aca="false">$F$4*N30*C30</f>
        <v>0</v>
      </c>
      <c r="P30" s="59" t="n">
        <f aca="false">O30*K30</f>
        <v>0</v>
      </c>
      <c r="Q30" s="59" t="n">
        <f aca="false">P30+Q29</f>
        <v>0</v>
      </c>
      <c r="S30" s="59" t="n">
        <f aca="false">O30</f>
        <v>0</v>
      </c>
      <c r="T30" s="59" t="n">
        <f aca="false">S30*(Curves!B16+Curves!F16+Curves!G16)</f>
        <v>0</v>
      </c>
      <c r="U30" s="0" t="n">
        <v>0</v>
      </c>
      <c r="V30" s="59" t="n">
        <f aca="false">(O30/N30)/C30</f>
        <v>0</v>
      </c>
      <c r="W30" s="59" t="n">
        <v>0</v>
      </c>
      <c r="Y30" s="59" t="n">
        <v>0</v>
      </c>
      <c r="Z30" s="68" t="n">
        <v>0</v>
      </c>
    </row>
    <row r="31" customFormat="false" ht="12.75" hidden="false" customHeight="false" outlineLevel="0" collapsed="false">
      <c r="B31" s="155" t="n">
        <v>37347</v>
      </c>
      <c r="C31" s="0" t="n">
        <f aca="false">EOMONTH(B31,0)-EOMONTH(B31,-1)</f>
        <v>30</v>
      </c>
      <c r="D31" s="66" t="n">
        <f aca="false">WORKDAY(EOMONTH(B31,0)+24,1,'Financing Assumptions'!E49:E55)</f>
        <v>37403</v>
      </c>
      <c r="E31" s="156" t="str">
        <f aca="false">TEXT(D31,"DDD")</f>
        <v>Mon</v>
      </c>
      <c r="F31" s="41" t="n">
        <f aca="false">D31-$D$14</f>
        <v>515</v>
      </c>
      <c r="H31" s="0" t="n">
        <f aca="false">(1+Curves!U17/12)^(-12*F31/360)</f>
        <v>0.921381722659421</v>
      </c>
      <c r="I31" s="152" t="n">
        <f aca="false">$F$4*H31*C31</f>
        <v>0</v>
      </c>
      <c r="J31" s="59" t="n">
        <f aca="false">I31*(Curves!B17+Curves!F17+Curves!G17)</f>
        <v>0</v>
      </c>
      <c r="K31" s="68" t="n">
        <v>0</v>
      </c>
      <c r="L31" s="59" t="n">
        <f aca="false">K31*I31-J31</f>
        <v>0</v>
      </c>
      <c r="N31" s="74" t="n">
        <f aca="false">(1+Curves!V17/12)^(-12*F31/360)</f>
        <v>0.909978647951969</v>
      </c>
      <c r="O31" s="59" t="n">
        <f aca="false">$F$4*N31*C31</f>
        <v>0</v>
      </c>
      <c r="P31" s="59" t="n">
        <f aca="false">O31*K31</f>
        <v>0</v>
      </c>
      <c r="Q31" s="59" t="n">
        <f aca="false">P31+Q30</f>
        <v>0</v>
      </c>
      <c r="S31" s="59" t="n">
        <f aca="false">O31</f>
        <v>0</v>
      </c>
      <c r="T31" s="59" t="n">
        <f aca="false">S31*(Curves!B17+Curves!F17+Curves!G17)</f>
        <v>0</v>
      </c>
      <c r="U31" s="0" t="n">
        <v>0</v>
      </c>
      <c r="V31" s="59" t="n">
        <f aca="false">(O31/N31)/C31</f>
        <v>0</v>
      </c>
      <c r="W31" s="59" t="n">
        <v>0</v>
      </c>
      <c r="Y31" s="59" t="n">
        <v>0</v>
      </c>
      <c r="Z31" s="68" t="n">
        <v>0</v>
      </c>
    </row>
    <row r="32" customFormat="false" ht="12.75" hidden="false" customHeight="false" outlineLevel="0" collapsed="false">
      <c r="B32" s="155" t="n">
        <v>37377</v>
      </c>
      <c r="C32" s="0" t="n">
        <f aca="false">EOMONTH(B32,0)-EOMONTH(B32,-1)</f>
        <v>31</v>
      </c>
      <c r="D32" s="66" t="n">
        <f aca="false">WORKDAY(EOMONTH(B32,0)+24,1,'Financing Assumptions'!E50:E56)</f>
        <v>37432</v>
      </c>
      <c r="E32" s="156" t="str">
        <f aca="false">TEXT(D32,"DDD")</f>
        <v>Tue</v>
      </c>
      <c r="F32" s="41" t="n">
        <f aca="false">D32-$D$14</f>
        <v>544</v>
      </c>
      <c r="H32" s="0" t="n">
        <f aca="false">(1+Curves!U18/12)^(-12*F32/360)</f>
        <v>0.917362796476308</v>
      </c>
      <c r="I32" s="152" t="n">
        <f aca="false">$F$4*H32*C32</f>
        <v>0</v>
      </c>
      <c r="J32" s="59" t="n">
        <f aca="false">I32*(Curves!B18+Curves!F18+Curves!G18)</f>
        <v>0</v>
      </c>
      <c r="K32" s="68" t="n">
        <v>0</v>
      </c>
      <c r="L32" s="59" t="n">
        <f aca="false">K32*I32-J32</f>
        <v>0</v>
      </c>
      <c r="N32" s="74" t="n">
        <f aca="false">(1+Curves!V18/12)^(-12*F32/360)</f>
        <v>0.905374184223678</v>
      </c>
      <c r="O32" s="59" t="n">
        <f aca="false">$F$4*N32*C32</f>
        <v>0</v>
      </c>
      <c r="P32" s="59" t="n">
        <f aca="false">O32*K32</f>
        <v>0</v>
      </c>
      <c r="Q32" s="59" t="n">
        <f aca="false">P32+Q31</f>
        <v>0</v>
      </c>
      <c r="S32" s="59" t="n">
        <f aca="false">O32</f>
        <v>0</v>
      </c>
      <c r="T32" s="59" t="n">
        <f aca="false">S32*(Curves!B18+Curves!F18+Curves!G18)</f>
        <v>0</v>
      </c>
      <c r="U32" s="0" t="n">
        <v>0</v>
      </c>
      <c r="V32" s="59" t="n">
        <f aca="false">(O32/N32)/C32</f>
        <v>0</v>
      </c>
      <c r="W32" s="59" t="n">
        <v>0</v>
      </c>
      <c r="Y32" s="59" t="n">
        <v>0</v>
      </c>
      <c r="Z32" s="68" t="n">
        <v>0</v>
      </c>
    </row>
    <row r="33" customFormat="false" ht="12.75" hidden="false" customHeight="false" outlineLevel="0" collapsed="false">
      <c r="B33" s="155" t="n">
        <v>37408</v>
      </c>
      <c r="C33" s="0" t="n">
        <f aca="false">EOMONTH(B33,0)-EOMONTH(B33,-1)</f>
        <v>30</v>
      </c>
      <c r="D33" s="66" t="n">
        <f aca="false">WORKDAY(EOMONTH(B33,0)+24,1,'Financing Assumptions'!E51:E57)</f>
        <v>37462</v>
      </c>
      <c r="E33" s="156" t="str">
        <f aca="false">TEXT(D33,"DDD")</f>
        <v>Thu</v>
      </c>
      <c r="F33" s="41" t="n">
        <f aca="false">D33-$D$14</f>
        <v>574</v>
      </c>
      <c r="H33" s="0" t="n">
        <f aca="false">(1+Curves!U19/12)^(-12*F33/360)</f>
        <v>0.913248014448641</v>
      </c>
      <c r="I33" s="152" t="n">
        <f aca="false">$F$4*H33*C33</f>
        <v>0</v>
      </c>
      <c r="J33" s="59" t="n">
        <f aca="false">I33*(Curves!B19+Curves!F19+Curves!G19)</f>
        <v>0</v>
      </c>
      <c r="K33" s="68" t="n">
        <v>0</v>
      </c>
      <c r="L33" s="59" t="n">
        <f aca="false">K33*I33-J33</f>
        <v>0</v>
      </c>
      <c r="N33" s="74" t="n">
        <f aca="false">(1+Curves!V19/12)^(-12*F33/360)</f>
        <v>0.900659391424517</v>
      </c>
      <c r="O33" s="59" t="n">
        <f aca="false">$F$4*N33*C33</f>
        <v>0</v>
      </c>
      <c r="P33" s="59" t="n">
        <f aca="false">O33*K33</f>
        <v>0</v>
      </c>
      <c r="Q33" s="59" t="n">
        <f aca="false">P33+Q32</f>
        <v>0</v>
      </c>
      <c r="S33" s="59" t="n">
        <f aca="false">O33</f>
        <v>0</v>
      </c>
      <c r="T33" s="59" t="n">
        <f aca="false">S33*(Curves!B19+Curves!F19+Curves!G19)</f>
        <v>0</v>
      </c>
      <c r="U33" s="0" t="n">
        <v>0</v>
      </c>
      <c r="V33" s="59" t="n">
        <f aca="false">(O33/N33)/C33</f>
        <v>0</v>
      </c>
      <c r="W33" s="59" t="n">
        <v>0</v>
      </c>
      <c r="Y33" s="59" t="n">
        <v>0</v>
      </c>
      <c r="Z33" s="68" t="n">
        <v>0</v>
      </c>
    </row>
    <row r="34" customFormat="false" ht="12.75" hidden="false" customHeight="false" outlineLevel="0" collapsed="false">
      <c r="B34" s="155" t="n">
        <v>37438</v>
      </c>
      <c r="C34" s="0" t="n">
        <f aca="false">EOMONTH(B34,0)-EOMONTH(B34,-1)</f>
        <v>31</v>
      </c>
      <c r="D34" s="66" t="n">
        <f aca="false">WORKDAY(EOMONTH(B34,0)+24,1,'Financing Assumptions'!E52:E58)</f>
        <v>37494</v>
      </c>
      <c r="E34" s="156" t="str">
        <f aca="false">TEXT(D34,"DDD")</f>
        <v>Mon</v>
      </c>
      <c r="F34" s="41" t="n">
        <f aca="false">D34-$D$14</f>
        <v>606</v>
      </c>
      <c r="H34" s="0" t="n">
        <f aca="false">(1+Curves!U20/12)^(-12*F34/360)</f>
        <v>0.908830005873734</v>
      </c>
      <c r="I34" s="152" t="n">
        <f aca="false">$F$4*H34*C34</f>
        <v>0</v>
      </c>
      <c r="J34" s="59" t="n">
        <f aca="false">I34*(Curves!B20+Curves!F20+Curves!G20)</f>
        <v>0</v>
      </c>
      <c r="K34" s="68" t="n">
        <v>0</v>
      </c>
      <c r="L34" s="59" t="n">
        <f aca="false">K34*I34-J34</f>
        <v>0</v>
      </c>
      <c r="N34" s="74" t="n">
        <f aca="false">(1+Curves!V20/12)^(-12*F34/360)</f>
        <v>0.895608840980752</v>
      </c>
      <c r="O34" s="59" t="n">
        <f aca="false">$F$4*N34*C34</f>
        <v>0</v>
      </c>
      <c r="P34" s="59" t="n">
        <f aca="false">O34*K34</f>
        <v>0</v>
      </c>
      <c r="Q34" s="59" t="n">
        <f aca="false">P34+Q33</f>
        <v>0</v>
      </c>
      <c r="S34" s="59" t="n">
        <f aca="false">O34</f>
        <v>0</v>
      </c>
      <c r="T34" s="59" t="n">
        <f aca="false">S34*(Curves!B20+Curves!F20+Curves!G20)</f>
        <v>0</v>
      </c>
      <c r="U34" s="0" t="n">
        <v>0</v>
      </c>
      <c r="V34" s="59" t="n">
        <f aca="false">(O34/N34)/C34</f>
        <v>0</v>
      </c>
      <c r="W34" s="59" t="n">
        <v>0</v>
      </c>
      <c r="Y34" s="59" t="n">
        <v>0</v>
      </c>
      <c r="Z34" s="68" t="n">
        <v>0</v>
      </c>
    </row>
    <row r="35" customFormat="false" ht="12.75" hidden="false" customHeight="false" outlineLevel="0" collapsed="false">
      <c r="B35" s="155" t="n">
        <v>37469</v>
      </c>
      <c r="C35" s="0" t="n">
        <f aca="false">EOMONTH(B35,0)-EOMONTH(B35,-1)</f>
        <v>31</v>
      </c>
      <c r="D35" s="66" t="n">
        <f aca="false">WORKDAY(EOMONTH(B35,0)+24,1,'Financing Assumptions'!E53:E59)</f>
        <v>37524</v>
      </c>
      <c r="E35" s="156" t="str">
        <f aca="false">TEXT(D35,"DDD")</f>
        <v>Wed</v>
      </c>
      <c r="F35" s="41" t="n">
        <f aca="false">D35-$D$14</f>
        <v>636</v>
      </c>
      <c r="H35" s="0" t="n">
        <f aca="false">(1+Curves!U21/12)^(-12*F35/360)</f>
        <v>0.904655898527032</v>
      </c>
      <c r="I35" s="152" t="n">
        <f aca="false">$F$4*H35*C35</f>
        <v>0</v>
      </c>
      <c r="J35" s="59" t="n">
        <f aca="false">I35*(Curves!B21+Curves!F21+Curves!G21)</f>
        <v>0</v>
      </c>
      <c r="K35" s="68" t="n">
        <v>0</v>
      </c>
      <c r="L35" s="59" t="n">
        <f aca="false">K35*I35-J35</f>
        <v>0</v>
      </c>
      <c r="N35" s="74" t="n">
        <f aca="false">(1+Curves!V21/12)^(-12*F35/360)</f>
        <v>0.890848862390473</v>
      </c>
      <c r="O35" s="59" t="n">
        <f aca="false">$F$4*N35*C35</f>
        <v>0</v>
      </c>
      <c r="P35" s="59" t="n">
        <f aca="false">O35*K35</f>
        <v>0</v>
      </c>
      <c r="Q35" s="59" t="n">
        <f aca="false">P35+Q34</f>
        <v>0</v>
      </c>
      <c r="S35" s="59" t="n">
        <f aca="false">O35</f>
        <v>0</v>
      </c>
      <c r="T35" s="59" t="n">
        <f aca="false">S35*(Curves!B21+Curves!F21+Curves!G21)</f>
        <v>0</v>
      </c>
      <c r="U35" s="0" t="n">
        <v>0</v>
      </c>
      <c r="V35" s="59" t="n">
        <f aca="false">(O35/N35)/C35</f>
        <v>0</v>
      </c>
      <c r="W35" s="59" t="n">
        <v>0</v>
      </c>
      <c r="Y35" s="59" t="n">
        <v>0</v>
      </c>
      <c r="Z35" s="68" t="n">
        <v>0</v>
      </c>
    </row>
    <row r="36" customFormat="false" ht="12.75" hidden="false" customHeight="false" outlineLevel="0" collapsed="false">
      <c r="B36" s="155" t="n">
        <v>37500</v>
      </c>
      <c r="C36" s="0" t="n">
        <f aca="false">EOMONTH(B36,0)-EOMONTH(B36,-1)</f>
        <v>30</v>
      </c>
      <c r="D36" s="66" t="n">
        <f aca="false">WORKDAY(EOMONTH(B36,0)+24,1,'Financing Assumptions'!E54:E60)</f>
        <v>37554</v>
      </c>
      <c r="E36" s="156" t="str">
        <f aca="false">TEXT(D36,"DDD")</f>
        <v>Fri</v>
      </c>
      <c r="F36" s="41" t="n">
        <f aca="false">D36-$D$14</f>
        <v>666</v>
      </c>
      <c r="H36" s="0" t="n">
        <f aca="false">(1+Curves!U22/12)^(-12*F36/360)</f>
        <v>0.900511935900842</v>
      </c>
      <c r="I36" s="152" t="n">
        <f aca="false">$F$4*H36*C36</f>
        <v>0</v>
      </c>
      <c r="J36" s="59" t="n">
        <f aca="false">I36*(Curves!B22+Curves!F22+Curves!G22)</f>
        <v>0</v>
      </c>
      <c r="K36" s="68" t="n">
        <v>0</v>
      </c>
      <c r="L36" s="59" t="n">
        <f aca="false">K36*I36-J36</f>
        <v>0</v>
      </c>
      <c r="N36" s="74" t="n">
        <f aca="false">(1+Curves!V22/12)^(-12*F36/360)</f>
        <v>0.88612497269372</v>
      </c>
      <c r="O36" s="59" t="n">
        <f aca="false">$F$4*N36*C36</f>
        <v>0</v>
      </c>
      <c r="P36" s="59" t="n">
        <f aca="false">O36*K36</f>
        <v>0</v>
      </c>
      <c r="Q36" s="59" t="n">
        <f aca="false">P36+Q35</f>
        <v>0</v>
      </c>
      <c r="S36" s="59" t="n">
        <f aca="false">O36</f>
        <v>0</v>
      </c>
      <c r="T36" s="59" t="n">
        <f aca="false">S36*(Curves!B22+Curves!F22+Curves!G22)</f>
        <v>0</v>
      </c>
      <c r="U36" s="0" t="n">
        <v>0</v>
      </c>
      <c r="V36" s="59" t="n">
        <f aca="false">(O36/N36)/C36</f>
        <v>0</v>
      </c>
      <c r="W36" s="59" t="n">
        <v>0</v>
      </c>
      <c r="Y36" s="59" t="n">
        <v>0</v>
      </c>
      <c r="Z36" s="68" t="n">
        <v>0</v>
      </c>
    </row>
    <row r="37" customFormat="false" ht="12.75" hidden="false" customHeight="false" outlineLevel="0" collapsed="false">
      <c r="B37" s="155" t="n">
        <v>37530</v>
      </c>
      <c r="C37" s="0" t="n">
        <f aca="false">EOMONTH(B37,0)-EOMONTH(B37,-1)</f>
        <v>31</v>
      </c>
      <c r="D37" s="66" t="n">
        <f aca="false">WORKDAY(EOMONTH(B37,0)+24,1,'Financing Assumptions'!E55:E61)</f>
        <v>37585</v>
      </c>
      <c r="E37" s="156" t="str">
        <f aca="false">TEXT(D37,"DDD")</f>
        <v>Mon</v>
      </c>
      <c r="F37" s="41" t="n">
        <f aca="false">D37-$D$14</f>
        <v>697</v>
      </c>
      <c r="H37" s="0" t="n">
        <f aca="false">(1+Curves!U23/12)^(-12*F37/360)</f>
        <v>0.896223045123328</v>
      </c>
      <c r="I37" s="152" t="n">
        <f aca="false">$F$4*H37*C37</f>
        <v>0</v>
      </c>
      <c r="J37" s="59" t="n">
        <f aca="false">I37*(Curves!B23+Curves!F23+Curves!G23)</f>
        <v>0</v>
      </c>
      <c r="K37" s="68" t="n">
        <v>0</v>
      </c>
      <c r="L37" s="59" t="n">
        <f aca="false">K37*I37-J37</f>
        <v>0</v>
      </c>
      <c r="N37" s="74" t="n">
        <f aca="false">(1+Curves!V23/12)^(-12*F37/360)</f>
        <v>0.881243663091805</v>
      </c>
      <c r="O37" s="59" t="n">
        <f aca="false">$F$4*N37*C37</f>
        <v>0</v>
      </c>
      <c r="P37" s="59" t="n">
        <f aca="false">O37*K37</f>
        <v>0</v>
      </c>
      <c r="Q37" s="59" t="n">
        <f aca="false">P37+Q36</f>
        <v>0</v>
      </c>
      <c r="S37" s="59" t="n">
        <f aca="false">O37</f>
        <v>0</v>
      </c>
      <c r="T37" s="59" t="n">
        <f aca="false">S37*(Curves!B23+Curves!F23+Curves!G23)</f>
        <v>0</v>
      </c>
      <c r="U37" s="0" t="n">
        <v>0</v>
      </c>
      <c r="V37" s="59" t="n">
        <f aca="false">(O37/N37)/C37</f>
        <v>0</v>
      </c>
      <c r="W37" s="59" t="n">
        <v>0</v>
      </c>
      <c r="Y37" s="59" t="n">
        <v>0</v>
      </c>
      <c r="Z37" s="68" t="n">
        <v>0</v>
      </c>
    </row>
    <row r="38" customFormat="false" ht="12.75" hidden="false" customHeight="false" outlineLevel="0" collapsed="false">
      <c r="B38" s="155" t="n">
        <v>37561</v>
      </c>
      <c r="C38" s="0" t="n">
        <f aca="false">EOMONTH(B38,0)-EOMONTH(B38,-1)</f>
        <v>30</v>
      </c>
      <c r="D38" s="66" t="n">
        <f aca="false">WORKDAY(EOMONTH(B38,0)+24,1,'Financing Assumptions'!E56:E62)</f>
        <v>37615</v>
      </c>
      <c r="E38" s="156" t="str">
        <f aca="false">TEXT(D38,"DDD")</f>
        <v>Wed</v>
      </c>
      <c r="F38" s="41" t="n">
        <f aca="false">D38-$D$14</f>
        <v>727</v>
      </c>
      <c r="H38" s="0" t="n">
        <f aca="false">(1+Curves!U24/12)^(-12*F38/360)</f>
        <v>0.892061646636689</v>
      </c>
      <c r="I38" s="152" t="n">
        <f aca="false">$F$4*H38*C38</f>
        <v>0</v>
      </c>
      <c r="J38" s="59" t="n">
        <f aca="false">I38*(Curves!B24+Curves!F24+Curves!G24)</f>
        <v>0</v>
      </c>
      <c r="K38" s="68" t="n">
        <v>0</v>
      </c>
      <c r="L38" s="59" t="n">
        <f aca="false">K38*I38-J38</f>
        <v>0</v>
      </c>
      <c r="N38" s="74" t="n">
        <f aca="false">(1+Curves!V24/12)^(-12*F38/360)</f>
        <v>0.876515659430863</v>
      </c>
      <c r="O38" s="59" t="n">
        <f aca="false">$F$4*N38*C38</f>
        <v>0</v>
      </c>
      <c r="P38" s="59" t="n">
        <f aca="false">O38*K38</f>
        <v>0</v>
      </c>
      <c r="Q38" s="59" t="n">
        <f aca="false">P38+Q37</f>
        <v>0</v>
      </c>
      <c r="S38" s="59" t="n">
        <f aca="false">O38</f>
        <v>0</v>
      </c>
      <c r="T38" s="59" t="n">
        <f aca="false">S38*(Curves!B24+Curves!F24+Curves!G24)</f>
        <v>0</v>
      </c>
      <c r="U38" s="0" t="n">
        <v>0</v>
      </c>
      <c r="V38" s="59" t="n">
        <f aca="false">(O38/N38)/C38</f>
        <v>0</v>
      </c>
      <c r="W38" s="59" t="n">
        <v>0</v>
      </c>
      <c r="Y38" s="59" t="n">
        <v>0</v>
      </c>
      <c r="Z38" s="68" t="n">
        <v>0</v>
      </c>
    </row>
    <row r="39" customFormat="false" ht="12.75" hidden="false" customHeight="false" outlineLevel="0" collapsed="false">
      <c r="B39" s="155" t="n">
        <v>37591</v>
      </c>
      <c r="C39" s="0" t="n">
        <f aca="false">EOMONTH(B39,0)-EOMONTH(B39,-1)</f>
        <v>31</v>
      </c>
      <c r="D39" s="66" t="n">
        <f aca="false">WORKDAY(EOMONTH(B39,0)+24,1,'Financing Assumptions'!E57:E63)</f>
        <v>37648</v>
      </c>
      <c r="E39" s="156" t="str">
        <f aca="false">TEXT(D39,"DDD")</f>
        <v>Mon</v>
      </c>
      <c r="F39" s="41" t="n">
        <f aca="false">D39-$D$14</f>
        <v>760</v>
      </c>
      <c r="H39" s="0" t="n">
        <f aca="false">(1+Curves!U25/12)^(-12*F39/360)</f>
        <v>0.887504067329826</v>
      </c>
      <c r="I39" s="152" t="n">
        <f aca="false">$F$4*H39*C39</f>
        <v>0</v>
      </c>
      <c r="J39" s="59" t="n">
        <f aca="false">I39*(Curves!B25+Curves!F25+Curves!G25)</f>
        <v>0</v>
      </c>
      <c r="K39" s="68" t="n">
        <v>0</v>
      </c>
      <c r="L39" s="59" t="n">
        <f aca="false">K39*I39-J39</f>
        <v>0</v>
      </c>
      <c r="N39" s="74" t="n">
        <f aca="false">(1+Curves!V25/12)^(-12*F39/360)</f>
        <v>0.871341838004491</v>
      </c>
      <c r="O39" s="59" t="n">
        <f aca="false">$F$4*N39*C39</f>
        <v>0</v>
      </c>
      <c r="P39" s="59" t="n">
        <f aca="false">O39*K39</f>
        <v>0</v>
      </c>
      <c r="Q39" s="59" t="n">
        <f aca="false">P39+Q38</f>
        <v>0</v>
      </c>
      <c r="S39" s="59" t="n">
        <f aca="false">O39</f>
        <v>0</v>
      </c>
      <c r="T39" s="59" t="n">
        <f aca="false">S39*(Curves!B25+Curves!F25+Curves!G25)</f>
        <v>0</v>
      </c>
      <c r="U39" s="0" t="n">
        <v>0</v>
      </c>
      <c r="V39" s="59" t="n">
        <f aca="false">(O39/N39)/C39</f>
        <v>0</v>
      </c>
      <c r="W39" s="59" t="n">
        <v>0</v>
      </c>
      <c r="Y39" s="59" t="n">
        <v>0</v>
      </c>
      <c r="Z39" s="68" t="n">
        <v>0</v>
      </c>
    </row>
    <row r="40" customFormat="false" ht="12.75" hidden="false" customHeight="false" outlineLevel="0" collapsed="false">
      <c r="B40" s="155" t="n">
        <v>37622</v>
      </c>
      <c r="C40" s="0" t="n">
        <f aca="false">EOMONTH(B40,0)-EOMONTH(B40,-1)</f>
        <v>31</v>
      </c>
      <c r="D40" s="66" t="n">
        <f aca="false">WORKDAY(EOMONTH(B40,0)+24,1,'Financing Assumptions'!E58:E64)</f>
        <v>37677</v>
      </c>
      <c r="E40" s="156" t="str">
        <f aca="false">TEXT(D40,"DDD")</f>
        <v>Tue</v>
      </c>
      <c r="F40" s="41" t="n">
        <f aca="false">D40-$D$14</f>
        <v>789</v>
      </c>
      <c r="H40" s="0" t="n">
        <f aca="false">(1+Curves!U26/12)^(-12*F40/360)</f>
        <v>0.88348674778144</v>
      </c>
      <c r="I40" s="152" t="n">
        <f aca="false">$F$4*H40*C40</f>
        <v>0</v>
      </c>
      <c r="J40" s="59" t="n">
        <f aca="false">I40*(Curves!B26+Curves!F26+Curves!G26)</f>
        <v>0</v>
      </c>
      <c r="K40" s="68" t="n">
        <v>0</v>
      </c>
      <c r="L40" s="59" t="n">
        <f aca="false">K40*I40-J40</f>
        <v>0</v>
      </c>
      <c r="N40" s="74" t="n">
        <f aca="false">(1+Curves!V26/12)^(-12*F40/360)</f>
        <v>0.866789579166575</v>
      </c>
      <c r="O40" s="59" t="n">
        <f aca="false">$F$4*N40*C40</f>
        <v>0</v>
      </c>
      <c r="P40" s="59" t="n">
        <f aca="false">O40*K40</f>
        <v>0</v>
      </c>
      <c r="Q40" s="59" t="n">
        <f aca="false">P40+Q39</f>
        <v>0</v>
      </c>
      <c r="S40" s="59" t="n">
        <f aca="false">O40</f>
        <v>0</v>
      </c>
      <c r="T40" s="59" t="n">
        <f aca="false">S40*(Curves!B26+Curves!F26+Curves!G26)</f>
        <v>0</v>
      </c>
      <c r="U40" s="0" t="n">
        <v>0</v>
      </c>
      <c r="V40" s="59" t="n">
        <f aca="false">(O40/N40)/C40</f>
        <v>0</v>
      </c>
      <c r="W40" s="59" t="n">
        <v>0</v>
      </c>
      <c r="Y40" s="59" t="n">
        <v>0</v>
      </c>
      <c r="Z40" s="68" t="n">
        <v>0</v>
      </c>
    </row>
    <row r="41" customFormat="false" ht="12.75" hidden="false" customHeight="false" outlineLevel="0" collapsed="false">
      <c r="B41" s="155" t="n">
        <v>37653</v>
      </c>
      <c r="C41" s="0" t="n">
        <f aca="false">EOMONTH(B41,0)-EOMONTH(B41,-1)</f>
        <v>28</v>
      </c>
      <c r="D41" s="66" t="n">
        <f aca="false">WORKDAY(EOMONTH(B41,0)+24,1,'Financing Assumptions'!E59:E65)</f>
        <v>37705</v>
      </c>
      <c r="E41" s="156" t="str">
        <f aca="false">TEXT(D41,"DDD")</f>
        <v>Tue</v>
      </c>
      <c r="F41" s="41" t="n">
        <f aca="false">D41-$D$14</f>
        <v>817</v>
      </c>
      <c r="H41" s="0" t="n">
        <f aca="false">(1+Curves!U27/12)^(-12*F41/360)</f>
        <v>0.879571427183127</v>
      </c>
      <c r="I41" s="152" t="n">
        <f aca="false">$F$4*H41*C41</f>
        <v>0</v>
      </c>
      <c r="J41" s="59" t="n">
        <f aca="false">I41*(Curves!B27+Curves!F27+Curves!G27)</f>
        <v>0</v>
      </c>
      <c r="K41" s="68" t="n">
        <v>0</v>
      </c>
      <c r="L41" s="59" t="n">
        <f aca="false">K41*I41-J41</f>
        <v>0</v>
      </c>
      <c r="N41" s="74" t="n">
        <f aca="false">(1+Curves!V27/12)^(-12*F41/360)</f>
        <v>0.862364168512671</v>
      </c>
      <c r="O41" s="59" t="n">
        <f aca="false">$F$4*N41*C41</f>
        <v>0</v>
      </c>
      <c r="P41" s="59" t="n">
        <f aca="false">O41*K41</f>
        <v>0</v>
      </c>
      <c r="Q41" s="59" t="n">
        <f aca="false">P41+Q40</f>
        <v>0</v>
      </c>
      <c r="S41" s="59" t="n">
        <f aca="false">O41</f>
        <v>0</v>
      </c>
      <c r="T41" s="59" t="n">
        <f aca="false">S41*(Curves!B27+Curves!F27+Curves!G27)</f>
        <v>0</v>
      </c>
      <c r="U41" s="0" t="n">
        <v>0</v>
      </c>
      <c r="V41" s="59" t="n">
        <f aca="false">(O41/N41)/C41</f>
        <v>0</v>
      </c>
      <c r="W41" s="59" t="n">
        <v>0</v>
      </c>
      <c r="Y41" s="59" t="n">
        <v>0</v>
      </c>
      <c r="Z41" s="68" t="n">
        <v>0</v>
      </c>
    </row>
    <row r="42" customFormat="false" ht="12.75" hidden="false" customHeight="false" outlineLevel="0" collapsed="false">
      <c r="B42" s="155" t="n">
        <v>37681</v>
      </c>
      <c r="C42" s="0" t="n">
        <f aca="false">EOMONTH(B42,0)-EOMONTH(B42,-1)</f>
        <v>31</v>
      </c>
      <c r="D42" s="66" t="n">
        <f aca="false">WORKDAY(EOMONTH(B42,0)+24,1,'Financing Assumptions'!E60:E66)</f>
        <v>37736</v>
      </c>
      <c r="E42" s="156" t="str">
        <f aca="false">TEXT(D42,"DDD")</f>
        <v>Fri</v>
      </c>
      <c r="F42" s="41" t="n">
        <f aca="false">D42-$D$14</f>
        <v>848</v>
      </c>
      <c r="H42" s="0" t="n">
        <f aca="false">(1+Curves!U28/12)^(-12*F42/360)</f>
        <v>0.875262067194094</v>
      </c>
      <c r="I42" s="152" t="n">
        <f aca="false">$F$4*H42*C42</f>
        <v>0</v>
      </c>
      <c r="J42" s="59" t="n">
        <f aca="false">I42*(Curves!B28+Curves!F28+Curves!G28)</f>
        <v>0</v>
      </c>
      <c r="K42" s="68" t="n">
        <v>0</v>
      </c>
      <c r="L42" s="59" t="n">
        <f aca="false">K42*I42-J42</f>
        <v>0</v>
      </c>
      <c r="N42" s="74" t="n">
        <f aca="false">(1+Curves!V28/12)^(-12*F42/360)</f>
        <v>0.857496069902898</v>
      </c>
      <c r="O42" s="59" t="n">
        <f aca="false">$F$4*N42*C42</f>
        <v>0</v>
      </c>
      <c r="P42" s="59" t="n">
        <f aca="false">O42*K42</f>
        <v>0</v>
      </c>
      <c r="Q42" s="59" t="n">
        <f aca="false">P42+Q41</f>
        <v>0</v>
      </c>
      <c r="S42" s="59" t="n">
        <f aca="false">O42</f>
        <v>0</v>
      </c>
      <c r="T42" s="59" t="n">
        <f aca="false">S42*(Curves!B28+Curves!F28+Curves!G28)</f>
        <v>0</v>
      </c>
      <c r="U42" s="0" t="n">
        <v>0</v>
      </c>
      <c r="V42" s="59" t="n">
        <f aca="false">(O42/N42)/C42</f>
        <v>0</v>
      </c>
      <c r="W42" s="59" t="n">
        <v>0</v>
      </c>
      <c r="Y42" s="59" t="n">
        <v>0</v>
      </c>
      <c r="Z42" s="68" t="n">
        <v>0</v>
      </c>
    </row>
    <row r="43" customFormat="false" ht="12.75" hidden="false" customHeight="false" outlineLevel="0" collapsed="false">
      <c r="B43" s="155" t="n">
        <v>37712</v>
      </c>
      <c r="C43" s="0" t="n">
        <f aca="false">EOMONTH(B43,0)-EOMONTH(B43,-1)</f>
        <v>30</v>
      </c>
      <c r="D43" s="66" t="n">
        <f aca="false">WORKDAY(EOMONTH(B43,0)+24,1,'Financing Assumptions'!E61:E67)</f>
        <v>37767</v>
      </c>
      <c r="E43" s="156" t="str">
        <f aca="false">TEXT(D43,"DDD")</f>
        <v>Mon</v>
      </c>
      <c r="F43" s="41" t="n">
        <f aca="false">D43-$D$14</f>
        <v>879</v>
      </c>
      <c r="H43" s="0" t="n">
        <f aca="false">(1+Curves!U29/12)^(-12*F43/360)</f>
        <v>0.870980464302634</v>
      </c>
      <c r="I43" s="152" t="n">
        <f aca="false">$F$4*H43*C43</f>
        <v>0</v>
      </c>
      <c r="J43" s="59" t="n">
        <f aca="false">I43*(Curves!B29+Curves!F29+Curves!G29)</f>
        <v>0</v>
      </c>
      <c r="K43" s="68" t="n">
        <v>0</v>
      </c>
      <c r="L43" s="59" t="n">
        <f aca="false">K43*I43-J43</f>
        <v>0</v>
      </c>
      <c r="N43" s="74" t="n">
        <f aca="false">(1+Curves!V29/12)^(-12*F43/360)</f>
        <v>0.852661951436238</v>
      </c>
      <c r="O43" s="59" t="n">
        <f aca="false">$F$4*N43*C43</f>
        <v>0</v>
      </c>
      <c r="P43" s="59" t="n">
        <f aca="false">O43*K43</f>
        <v>0</v>
      </c>
      <c r="Q43" s="59" t="n">
        <f aca="false">P43+Q42</f>
        <v>0</v>
      </c>
      <c r="S43" s="59" t="n">
        <f aca="false">O43</f>
        <v>0</v>
      </c>
      <c r="T43" s="59" t="n">
        <f aca="false">S43*(Curves!B29+Curves!F29+Curves!G29)</f>
        <v>0</v>
      </c>
      <c r="U43" s="0" t="n">
        <v>0</v>
      </c>
      <c r="V43" s="59" t="n">
        <f aca="false">(O43/N43)/C43</f>
        <v>0</v>
      </c>
      <c r="W43" s="59" t="n">
        <v>0</v>
      </c>
      <c r="Y43" s="59" t="n">
        <v>0</v>
      </c>
      <c r="Z43" s="68" t="n">
        <v>0</v>
      </c>
    </row>
    <row r="44" customFormat="false" ht="12.75" hidden="false" customHeight="false" outlineLevel="0" collapsed="false">
      <c r="B44" s="155" t="n">
        <v>37742</v>
      </c>
      <c r="C44" s="0" t="n">
        <f aca="false">EOMONTH(B44,0)-EOMONTH(B44,-1)</f>
        <v>31</v>
      </c>
      <c r="D44" s="66" t="n">
        <f aca="false">WORKDAY(EOMONTH(B44,0)+24,1,'Financing Assumptions'!E62:E68)</f>
        <v>37797</v>
      </c>
      <c r="E44" s="156" t="str">
        <f aca="false">TEXT(D44,"DDD")</f>
        <v>Wed</v>
      </c>
      <c r="F44" s="41" t="n">
        <f aca="false">D44-$D$14</f>
        <v>909</v>
      </c>
      <c r="H44" s="0" t="n">
        <f aca="false">(1+Curves!U30/12)^(-12*F44/360)</f>
        <v>0.86687365785672</v>
      </c>
      <c r="I44" s="152" t="n">
        <f aca="false">$F$4*H44*C44</f>
        <v>0</v>
      </c>
      <c r="J44" s="59" t="n">
        <f aca="false">I44*(Curves!B30+Curves!F30+Curves!G30)</f>
        <v>0</v>
      </c>
      <c r="K44" s="68" t="n">
        <v>0</v>
      </c>
      <c r="L44" s="59" t="n">
        <f aca="false">K44*I44-J44</f>
        <v>0</v>
      </c>
      <c r="N44" s="74" t="n">
        <f aca="false">(1+Curves!V30/12)^(-12*F44/360)</f>
        <v>0.848026082861576</v>
      </c>
      <c r="O44" s="59" t="n">
        <f aca="false">$F$4*N44*C44</f>
        <v>0</v>
      </c>
      <c r="P44" s="59" t="n">
        <f aca="false">O44*K44</f>
        <v>0</v>
      </c>
      <c r="Q44" s="59" t="n">
        <f aca="false">P44+Q43</f>
        <v>0</v>
      </c>
      <c r="S44" s="59" t="n">
        <f aca="false">O44</f>
        <v>0</v>
      </c>
      <c r="T44" s="59" t="n">
        <f aca="false">S44*(Curves!B30+Curves!F30+Curves!G30)</f>
        <v>0</v>
      </c>
      <c r="U44" s="0" t="n">
        <v>0</v>
      </c>
      <c r="V44" s="59" t="n">
        <f aca="false">(O44/N44)/C44</f>
        <v>0</v>
      </c>
      <c r="W44" s="59" t="n">
        <v>0</v>
      </c>
      <c r="Y44" s="59" t="n">
        <v>0</v>
      </c>
      <c r="Z44" s="68" t="n">
        <v>0</v>
      </c>
    </row>
    <row r="45" customFormat="false" ht="12.75" hidden="false" customHeight="false" outlineLevel="0" collapsed="false">
      <c r="B45" s="155" t="n">
        <v>37773</v>
      </c>
      <c r="C45" s="0" t="n">
        <f aca="false">EOMONTH(B45,0)-EOMONTH(B45,-1)</f>
        <v>30</v>
      </c>
      <c r="D45" s="66" t="n">
        <f aca="false">WORKDAY(EOMONTH(B45,0)+24,1,'Financing Assumptions'!E63:E69)</f>
        <v>37827</v>
      </c>
      <c r="E45" s="156" t="str">
        <f aca="false">TEXT(D45,"DDD")</f>
        <v>Fri</v>
      </c>
      <c r="F45" s="41" t="n">
        <f aca="false">D45-$D$14</f>
        <v>939</v>
      </c>
      <c r="H45" s="0" t="n">
        <f aca="false">(1+Curves!U31/12)^(-12*F45/360)</f>
        <v>0.862785195287996</v>
      </c>
      <c r="I45" s="152" t="n">
        <f aca="false">$F$4*H45*C45</f>
        <v>0</v>
      </c>
      <c r="J45" s="59" t="n">
        <f aca="false">I45*(Curves!B31+Curves!F31+Curves!G31)</f>
        <v>0</v>
      </c>
      <c r="K45" s="68" t="n">
        <v>0</v>
      </c>
      <c r="L45" s="59" t="n">
        <f aca="false">K45*I45-J45</f>
        <v>0</v>
      </c>
      <c r="N45" s="74" t="n">
        <f aca="false">(1+Curves!V31/12)^(-12*F45/360)</f>
        <v>0.843414422494906</v>
      </c>
      <c r="O45" s="59" t="n">
        <f aca="false">$F$4*N45*C45</f>
        <v>0</v>
      </c>
      <c r="P45" s="59" t="n">
        <f aca="false">O45*K45</f>
        <v>0</v>
      </c>
      <c r="Q45" s="59" t="n">
        <f aca="false">P45+Q44</f>
        <v>0</v>
      </c>
      <c r="S45" s="59" t="n">
        <f aca="false">O45</f>
        <v>0</v>
      </c>
      <c r="T45" s="59" t="n">
        <f aca="false">S45*(Curves!B31+Curves!F31+Curves!G31)</f>
        <v>0</v>
      </c>
      <c r="U45" s="0" t="n">
        <v>0</v>
      </c>
      <c r="V45" s="59" t="n">
        <f aca="false">(O45/N45)/C45</f>
        <v>0</v>
      </c>
      <c r="W45" s="59" t="n">
        <v>0</v>
      </c>
      <c r="Y45" s="59" t="n">
        <v>0</v>
      </c>
      <c r="Z45" s="68" t="n">
        <v>0</v>
      </c>
    </row>
    <row r="46" customFormat="false" ht="12.75" hidden="false" customHeight="false" outlineLevel="0" collapsed="false">
      <c r="B46" s="155" t="n">
        <v>37803</v>
      </c>
      <c r="C46" s="0" t="n">
        <f aca="false">EOMONTH(B46,0)-EOMONTH(B46,-1)</f>
        <v>31</v>
      </c>
      <c r="D46" s="66" t="n">
        <f aca="false">WORKDAY(EOMONTH(B46,0)+24,1,'Financing Assumptions'!E64:E70)</f>
        <v>37858</v>
      </c>
      <c r="E46" s="156" t="str">
        <f aca="false">TEXT(D46,"DDD")</f>
        <v>Mon</v>
      </c>
      <c r="F46" s="41" t="n">
        <f aca="false">D46-$D$14</f>
        <v>970</v>
      </c>
      <c r="H46" s="0" t="n">
        <f aca="false">(1+Curves!U32/12)^(-12*F46/360)</f>
        <v>0.85857232440857</v>
      </c>
      <c r="I46" s="152" t="n">
        <f aca="false">$F$4*H46*C46</f>
        <v>0</v>
      </c>
      <c r="J46" s="59" t="n">
        <f aca="false">I46*(Curves!B32+Curves!F32+Curves!G32)</f>
        <v>0</v>
      </c>
      <c r="K46" s="68" t="n">
        <v>0</v>
      </c>
      <c r="L46" s="59" t="n">
        <f aca="false">K46*I46-J46</f>
        <v>0</v>
      </c>
      <c r="N46" s="74" t="n">
        <f aca="false">(1+Curves!V32/12)^(-12*F46/360)</f>
        <v>0.83866720285067</v>
      </c>
      <c r="O46" s="59" t="n">
        <f aca="false">$F$4*N46*C46</f>
        <v>0</v>
      </c>
      <c r="P46" s="59" t="n">
        <f aca="false">O46*K46</f>
        <v>0</v>
      </c>
      <c r="Q46" s="59" t="n">
        <f aca="false">P46+Q45</f>
        <v>0</v>
      </c>
      <c r="S46" s="59" t="n">
        <f aca="false">O46</f>
        <v>0</v>
      </c>
      <c r="T46" s="59" t="n">
        <f aca="false">S46*(Curves!B32+Curves!F32+Curves!G32)</f>
        <v>0</v>
      </c>
      <c r="U46" s="0" t="n">
        <v>0</v>
      </c>
      <c r="V46" s="59" t="n">
        <f aca="false">(O46/N46)/C46</f>
        <v>0</v>
      </c>
      <c r="W46" s="59" t="n">
        <v>0</v>
      </c>
      <c r="Y46" s="59" t="n">
        <v>0</v>
      </c>
      <c r="Z46" s="68" t="n">
        <v>0</v>
      </c>
    </row>
    <row r="47" customFormat="false" ht="12.75" hidden="false" customHeight="false" outlineLevel="0" collapsed="false">
      <c r="B47" s="155" t="n">
        <v>37834</v>
      </c>
      <c r="C47" s="0" t="n">
        <f aca="false">EOMONTH(B47,0)-EOMONTH(B47,-1)</f>
        <v>31</v>
      </c>
      <c r="D47" s="66" t="n">
        <f aca="false">WORKDAY(EOMONTH(B47,0)+24,1,'Financing Assumptions'!E65:E71)</f>
        <v>37889</v>
      </c>
      <c r="E47" s="156" t="str">
        <f aca="false">TEXT(D47,"DDD")</f>
        <v>Thu</v>
      </c>
      <c r="F47" s="41" t="n">
        <f aca="false">D47-$D$14</f>
        <v>1001</v>
      </c>
      <c r="H47" s="0" t="n">
        <f aca="false">(1+Curves!U33/12)^(-12*F47/360)</f>
        <v>0.854365774105387</v>
      </c>
      <c r="I47" s="152" t="n">
        <f aca="false">$F$4*H47*C47</f>
        <v>0</v>
      </c>
      <c r="J47" s="59" t="n">
        <f aca="false">I47*(Curves!B33+Curves!F33+Curves!G33)</f>
        <v>0</v>
      </c>
      <c r="K47" s="68" t="n">
        <v>0</v>
      </c>
      <c r="L47" s="59" t="n">
        <f aca="false">K47*I47-J47</f>
        <v>0</v>
      </c>
      <c r="N47" s="74" t="n">
        <f aca="false">(1+Curves!V33/12)^(-12*F47/360)</f>
        <v>0.833932803837631</v>
      </c>
      <c r="O47" s="59" t="n">
        <f aca="false">$F$4*N47*C47</f>
        <v>0</v>
      </c>
      <c r="P47" s="59" t="n">
        <f aca="false">O47*K47</f>
        <v>0</v>
      </c>
      <c r="Q47" s="59" t="n">
        <f aca="false">P47+Q46</f>
        <v>0</v>
      </c>
      <c r="S47" s="59" t="n">
        <f aca="false">O47</f>
        <v>0</v>
      </c>
      <c r="T47" s="59" t="n">
        <f aca="false">S47*(Curves!B33+Curves!F33+Curves!G33)</f>
        <v>0</v>
      </c>
      <c r="U47" s="0" t="n">
        <v>0</v>
      </c>
      <c r="V47" s="59" t="n">
        <f aca="false">(O47/N47)/C47</f>
        <v>0</v>
      </c>
      <c r="W47" s="59" t="n">
        <v>0</v>
      </c>
      <c r="Y47" s="59" t="n">
        <v>0</v>
      </c>
      <c r="Z47" s="68" t="n">
        <v>0</v>
      </c>
    </row>
    <row r="48" customFormat="false" ht="12.75" hidden="false" customHeight="false" outlineLevel="0" collapsed="false">
      <c r="B48" s="155" t="n">
        <v>37865</v>
      </c>
      <c r="C48" s="0" t="n">
        <f aca="false">EOMONTH(B48,0)-EOMONTH(B48,-1)</f>
        <v>30</v>
      </c>
      <c r="D48" s="66" t="n">
        <f aca="false">WORKDAY(EOMONTH(B48,0)+24,1,'Financing Assumptions'!E66:E72)</f>
        <v>37921</v>
      </c>
      <c r="E48" s="156" t="str">
        <f aca="false">TEXT(D48,"DDD")</f>
        <v>Mon</v>
      </c>
      <c r="F48" s="41" t="n">
        <f aca="false">D48-$D$14</f>
        <v>1033</v>
      </c>
      <c r="H48" s="0" t="n">
        <f aca="false">(1+Curves!U34/12)^(-12*F48/360)</f>
        <v>0.850044114204394</v>
      </c>
      <c r="I48" s="152" t="n">
        <f aca="false">$F$4*H48*C48</f>
        <v>0</v>
      </c>
      <c r="J48" s="59" t="n">
        <f aca="false">I48*(Curves!B34+Curves!F34+Curves!G34)</f>
        <v>0</v>
      </c>
      <c r="K48" s="68" t="n">
        <v>0</v>
      </c>
      <c r="L48" s="59" t="n">
        <f aca="false">K48*I48-J48</f>
        <v>0</v>
      </c>
      <c r="N48" s="74" t="n">
        <f aca="false">(1+Curves!V34/12)^(-12*F48/360)</f>
        <v>0.829072709098974</v>
      </c>
      <c r="O48" s="59" t="n">
        <f aca="false">$F$4*N48*C48</f>
        <v>0</v>
      </c>
      <c r="P48" s="59" t="n">
        <f aca="false">O48*K48</f>
        <v>0</v>
      </c>
      <c r="Q48" s="59" t="n">
        <f aca="false">P48+Q47</f>
        <v>0</v>
      </c>
      <c r="S48" s="59" t="n">
        <f aca="false">O48</f>
        <v>0</v>
      </c>
      <c r="T48" s="59" t="n">
        <f aca="false">S48*(Curves!B34+Curves!F34+Curves!G34)</f>
        <v>0</v>
      </c>
      <c r="U48" s="0" t="n">
        <v>0</v>
      </c>
      <c r="V48" s="59" t="n">
        <f aca="false">(O48/N48)/C48</f>
        <v>0</v>
      </c>
      <c r="W48" s="59" t="n">
        <v>0</v>
      </c>
      <c r="Y48" s="59" t="n">
        <v>0</v>
      </c>
      <c r="Z48" s="68" t="n">
        <v>0</v>
      </c>
    </row>
    <row r="49" customFormat="false" ht="12.75" hidden="false" customHeight="false" outlineLevel="0" collapsed="false">
      <c r="B49" s="155" t="n">
        <v>37895</v>
      </c>
      <c r="C49" s="0" t="n">
        <f aca="false">EOMONTH(B49,0)-EOMONTH(B49,-1)</f>
        <v>31</v>
      </c>
      <c r="D49" s="66" t="n">
        <f aca="false">WORKDAY(EOMONTH(B49,0)+24,1,'Financing Assumptions'!E67:E73)</f>
        <v>37950</v>
      </c>
      <c r="E49" s="156" t="str">
        <f aca="false">TEXT(D49,"DDD")</f>
        <v>Tue</v>
      </c>
      <c r="F49" s="41" t="n">
        <f aca="false">D49-$D$14</f>
        <v>1062</v>
      </c>
      <c r="H49" s="0" t="n">
        <f aca="false">(1+Curves!U35/12)^(-12*F49/360)</f>
        <v>0.846136980844054</v>
      </c>
      <c r="I49" s="152" t="n">
        <f aca="false">$F$4*H49*C49</f>
        <v>0</v>
      </c>
      <c r="J49" s="59" t="n">
        <f aca="false">I49*(Curves!B35+Curves!F35+Curves!G35)</f>
        <v>0</v>
      </c>
      <c r="K49" s="68" t="n">
        <v>0</v>
      </c>
      <c r="L49" s="59" t="n">
        <f aca="false">K49*I49-J49</f>
        <v>0</v>
      </c>
      <c r="N49" s="74" t="n">
        <f aca="false">(1+Curves!V35/12)^(-12*F49/360)</f>
        <v>0.824683451909835</v>
      </c>
      <c r="O49" s="59" t="n">
        <f aca="false">$F$4*N49*C49</f>
        <v>0</v>
      </c>
      <c r="P49" s="59" t="n">
        <f aca="false">O49*K49</f>
        <v>0</v>
      </c>
      <c r="Q49" s="59" t="n">
        <f aca="false">P49+Q48</f>
        <v>0</v>
      </c>
      <c r="S49" s="59" t="n">
        <f aca="false">O49</f>
        <v>0</v>
      </c>
      <c r="T49" s="59" t="n">
        <f aca="false">S49*(Curves!B35+Curves!F35+Curves!G35)</f>
        <v>0</v>
      </c>
      <c r="U49" s="0" t="n">
        <v>0</v>
      </c>
      <c r="V49" s="59" t="n">
        <f aca="false">(O49/N49)/C49</f>
        <v>0</v>
      </c>
      <c r="W49" s="59" t="n">
        <v>0</v>
      </c>
      <c r="Y49" s="59" t="n">
        <v>0</v>
      </c>
      <c r="Z49" s="68" t="n">
        <v>0</v>
      </c>
    </row>
    <row r="50" customFormat="false" ht="12.75" hidden="false" customHeight="false" outlineLevel="0" collapsed="false">
      <c r="B50" s="155" t="n">
        <v>37926</v>
      </c>
      <c r="C50" s="0" t="n">
        <f aca="false">EOMONTH(B50,0)-EOMONTH(B50,-1)</f>
        <v>30</v>
      </c>
      <c r="D50" s="66" t="n">
        <f aca="false">WORKDAY(EOMONTH(B50,0)+24,1,'Financing Assumptions'!E68:E74)</f>
        <v>37980</v>
      </c>
      <c r="E50" s="156" t="str">
        <f aca="false">TEXT(D50,"DDD")</f>
        <v>Thu</v>
      </c>
      <c r="F50" s="41" t="n">
        <f aca="false">D50-$D$14</f>
        <v>1092</v>
      </c>
      <c r="H50" s="0" t="n">
        <f aca="false">(1+Curves!U36/12)^(-12*F50/360)</f>
        <v>0.842104630740119</v>
      </c>
      <c r="I50" s="152" t="n">
        <f aca="false">$F$4*H50*C50</f>
        <v>0</v>
      </c>
      <c r="J50" s="59" t="n">
        <f aca="false">I50*(Curves!B36+Curves!F36+Curves!G36)</f>
        <v>0</v>
      </c>
      <c r="K50" s="68" t="n">
        <v>0</v>
      </c>
      <c r="L50" s="59" t="n">
        <f aca="false">K50*I50-J50</f>
        <v>0</v>
      </c>
      <c r="N50" s="74" t="n">
        <f aca="false">(1+Curves!V36/12)^(-12*F50/360)</f>
        <v>0.820158158727249</v>
      </c>
      <c r="O50" s="59" t="n">
        <f aca="false">$F$4*N50*C50</f>
        <v>0</v>
      </c>
      <c r="P50" s="59" t="n">
        <f aca="false">O50*K50</f>
        <v>0</v>
      </c>
      <c r="Q50" s="59" t="n">
        <f aca="false">P50+Q49</f>
        <v>0</v>
      </c>
      <c r="S50" s="59" t="n">
        <f aca="false">O50</f>
        <v>0</v>
      </c>
      <c r="T50" s="59" t="n">
        <f aca="false">S50*(Curves!B36+Curves!F36+Curves!G36)</f>
        <v>0</v>
      </c>
      <c r="U50" s="0" t="n">
        <v>0</v>
      </c>
      <c r="V50" s="59" t="n">
        <f aca="false">(O50/N50)/C50</f>
        <v>0</v>
      </c>
      <c r="W50" s="59" t="n">
        <v>0</v>
      </c>
      <c r="Y50" s="59" t="n">
        <v>0</v>
      </c>
      <c r="Z50" s="68" t="n">
        <v>0</v>
      </c>
    </row>
    <row r="51" customFormat="false" ht="12.75" hidden="false" customHeight="false" outlineLevel="0" collapsed="false">
      <c r="B51" s="155" t="n">
        <v>37956</v>
      </c>
      <c r="C51" s="0" t="n">
        <f aca="false">EOMONTH(B51,0)-EOMONTH(B51,-1)</f>
        <v>31</v>
      </c>
      <c r="D51" s="66" t="n">
        <f aca="false">WORKDAY(EOMONTH(B51,0)+24,1,'Financing Assumptions'!E69:E75)</f>
        <v>38012</v>
      </c>
      <c r="E51" s="156" t="str">
        <f aca="false">TEXT(D51,"DDD")</f>
        <v>Mon</v>
      </c>
      <c r="F51" s="41" t="n">
        <f aca="false">D51-$D$14</f>
        <v>1124</v>
      </c>
      <c r="H51" s="0" t="n">
        <f aca="false">(1+Curves!U37/12)^(-12*F51/360)</f>
        <v>0.837826620299008</v>
      </c>
      <c r="I51" s="152" t="n">
        <f aca="false">$F$4*H51*C51</f>
        <v>0</v>
      </c>
      <c r="J51" s="59" t="n">
        <f aca="false">I51*(Curves!B37+Curves!F37+Curves!G37)</f>
        <v>0</v>
      </c>
      <c r="K51" s="68" t="n">
        <v>0</v>
      </c>
      <c r="L51" s="59" t="n">
        <f aca="false">K51*I51-J51</f>
        <v>0</v>
      </c>
      <c r="N51" s="74" t="n">
        <f aca="false">(1+Curves!V37/12)^(-12*F51/360)</f>
        <v>0.815360475736595</v>
      </c>
      <c r="O51" s="59" t="n">
        <f aca="false">$F$4*N51*C51</f>
        <v>0</v>
      </c>
      <c r="P51" s="59" t="n">
        <f aca="false">O51*K51</f>
        <v>0</v>
      </c>
      <c r="Q51" s="59" t="n">
        <f aca="false">P51+Q50</f>
        <v>0</v>
      </c>
      <c r="S51" s="59" t="n">
        <f aca="false">O51</f>
        <v>0</v>
      </c>
      <c r="T51" s="59" t="n">
        <f aca="false">S51*(Curves!B37+Curves!F37+Curves!G37)</f>
        <v>0</v>
      </c>
      <c r="U51" s="0" t="n">
        <v>0</v>
      </c>
      <c r="V51" s="59" t="n">
        <f aca="false">(O51/N51)/C51</f>
        <v>0</v>
      </c>
      <c r="W51" s="59" t="n">
        <v>0</v>
      </c>
      <c r="Y51" s="59" t="n">
        <v>0</v>
      </c>
      <c r="Z51" s="68" t="n">
        <v>0</v>
      </c>
    </row>
    <row r="52" customFormat="false" ht="12.75" hidden="false" customHeight="false" outlineLevel="0" collapsed="false">
      <c r="B52" s="155" t="n">
        <v>37987</v>
      </c>
      <c r="C52" s="0" t="n">
        <f aca="false">EOMONTH(B52,0)-EOMONTH(B52,-1)</f>
        <v>31</v>
      </c>
      <c r="D52" s="66" t="n">
        <f aca="false">WORKDAY(EOMONTH(B52,0)+24,1,'Financing Assumptions'!E70:E76)</f>
        <v>38042</v>
      </c>
      <c r="E52" s="156" t="str">
        <f aca="false">TEXT(D52,"DDD")</f>
        <v>Wed</v>
      </c>
      <c r="F52" s="41" t="n">
        <f aca="false">D52-$D$14</f>
        <v>1154</v>
      </c>
      <c r="H52" s="0" t="n">
        <f aca="false">(1+Curves!U38/12)^(-12*F52/360)</f>
        <v>0.833803608275523</v>
      </c>
      <c r="I52" s="152" t="n">
        <f aca="false">$F$4*H52*C52</f>
        <v>0</v>
      </c>
      <c r="J52" s="59" t="n">
        <f aca="false">I52*(Curves!B38+Curves!F38+Curves!G38)</f>
        <v>0</v>
      </c>
      <c r="K52" s="68" t="n">
        <v>0</v>
      </c>
      <c r="L52" s="59" t="n">
        <f aca="false">K52*I52-J52</f>
        <v>0</v>
      </c>
      <c r="N52" s="74" t="n">
        <f aca="false">(1+Curves!V38/12)^(-12*F52/360)</f>
        <v>0.810856929110818</v>
      </c>
      <c r="O52" s="59" t="n">
        <f aca="false">$F$4*N52*C52</f>
        <v>0</v>
      </c>
      <c r="P52" s="59" t="n">
        <f aca="false">O52*K52</f>
        <v>0</v>
      </c>
      <c r="Q52" s="59" t="n">
        <f aca="false">P52+Q51</f>
        <v>0</v>
      </c>
      <c r="S52" s="59" t="n">
        <f aca="false">O52</f>
        <v>0</v>
      </c>
      <c r="T52" s="59" t="n">
        <f aca="false">S52*(Curves!B38+Curves!F38+Curves!G38)</f>
        <v>0</v>
      </c>
      <c r="U52" s="0" t="n">
        <v>0</v>
      </c>
      <c r="V52" s="59" t="n">
        <f aca="false">(O52/N52)/C52</f>
        <v>0</v>
      </c>
      <c r="W52" s="59" t="n">
        <v>0</v>
      </c>
      <c r="Y52" s="59" t="n">
        <v>0</v>
      </c>
      <c r="Z52" s="68" t="n">
        <v>0</v>
      </c>
    </row>
    <row r="53" customFormat="false" ht="12.75" hidden="false" customHeight="false" outlineLevel="0" collapsed="false">
      <c r="B53" s="155" t="n">
        <v>38018</v>
      </c>
      <c r="C53" s="0" t="n">
        <f aca="false">EOMONTH(B53,0)-EOMONTH(B53,-1)</f>
        <v>29</v>
      </c>
      <c r="D53" s="66" t="n">
        <f aca="false">WORKDAY(EOMONTH(B53,0)+24,1,'Financing Assumptions'!E71:E77)</f>
        <v>38071</v>
      </c>
      <c r="E53" s="156" t="str">
        <f aca="false">TEXT(D53,"DDD")</f>
        <v>Thu</v>
      </c>
      <c r="F53" s="41" t="n">
        <f aca="false">D53-$D$14</f>
        <v>1183</v>
      </c>
      <c r="H53" s="0" t="n">
        <f aca="false">(1+Curves!U39/12)^(-12*F53/360)</f>
        <v>0.829899608462734</v>
      </c>
      <c r="I53" s="152" t="n">
        <f aca="false">$F$4*H53*C53</f>
        <v>0</v>
      </c>
      <c r="J53" s="59" t="n">
        <f aca="false">I53*(Curves!B39+Curves!F39+Curves!G39)</f>
        <v>0</v>
      </c>
      <c r="K53" s="68" t="n">
        <v>0</v>
      </c>
      <c r="L53" s="59" t="n">
        <f aca="false">K53*I53-J53</f>
        <v>0</v>
      </c>
      <c r="N53" s="74" t="n">
        <f aca="false">(1+Curves!V39/12)^(-12*F53/360)</f>
        <v>0.806494662593674</v>
      </c>
      <c r="O53" s="59" t="n">
        <f aca="false">$F$4*N53*C53</f>
        <v>0</v>
      </c>
      <c r="P53" s="59" t="n">
        <f aca="false">O53*K53</f>
        <v>0</v>
      </c>
      <c r="Q53" s="59" t="n">
        <f aca="false">P53+Q52</f>
        <v>0</v>
      </c>
      <c r="S53" s="59" t="n">
        <f aca="false">O53</f>
        <v>0</v>
      </c>
      <c r="T53" s="59" t="n">
        <f aca="false">S53*(Curves!B39+Curves!F39+Curves!G39)</f>
        <v>0</v>
      </c>
      <c r="U53" s="0" t="n">
        <v>0</v>
      </c>
      <c r="V53" s="59" t="n">
        <f aca="false">(O53/N53)/C53</f>
        <v>0</v>
      </c>
      <c r="W53" s="59" t="n">
        <v>0</v>
      </c>
      <c r="Y53" s="59" t="n">
        <v>0</v>
      </c>
      <c r="Z53" s="68" t="n">
        <v>0</v>
      </c>
    </row>
    <row r="54" customFormat="false" ht="12.75" hidden="false" customHeight="false" outlineLevel="0" collapsed="false">
      <c r="B54" s="155" t="n">
        <v>38047</v>
      </c>
      <c r="C54" s="0" t="n">
        <f aca="false">EOMONTH(B54,0)-EOMONTH(B54,-1)</f>
        <v>31</v>
      </c>
      <c r="D54" s="66" t="n">
        <f aca="false">WORKDAY(EOMONTH(B54,0)+24,1,'Financing Assumptions'!E72:E78)</f>
        <v>38103</v>
      </c>
      <c r="E54" s="156" t="str">
        <f aca="false">TEXT(D54,"DDD")</f>
        <v>Mon</v>
      </c>
      <c r="F54" s="41" t="n">
        <f aca="false">D54-$D$14</f>
        <v>1215</v>
      </c>
      <c r="H54" s="0" t="n">
        <f aca="false">(1+Curves!U40/12)^(-12*F54/360)</f>
        <v>0.825624946254818</v>
      </c>
      <c r="I54" s="152" t="n">
        <f aca="false">$F$4*H54*C54</f>
        <v>0</v>
      </c>
      <c r="J54" s="59" t="n">
        <f aca="false">I54*(Curves!B40+Curves!F40+Curves!G40)</f>
        <v>0</v>
      </c>
      <c r="K54" s="68" t="n">
        <v>0</v>
      </c>
      <c r="L54" s="59" t="n">
        <f aca="false">K54*I54-J54</f>
        <v>0</v>
      </c>
      <c r="N54" s="74" t="n">
        <f aca="false">(1+Curves!V40/12)^(-12*F54/360)</f>
        <v>0.801719991606022</v>
      </c>
      <c r="O54" s="59" t="n">
        <f aca="false">$F$4*N54*C54</f>
        <v>0</v>
      </c>
      <c r="P54" s="59" t="n">
        <f aca="false">O54*K54</f>
        <v>0</v>
      </c>
      <c r="Q54" s="59" t="n">
        <f aca="false">P54+Q53</f>
        <v>0</v>
      </c>
      <c r="S54" s="59" t="n">
        <f aca="false">O54</f>
        <v>0</v>
      </c>
      <c r="T54" s="59" t="n">
        <f aca="false">S54*(Curves!B40+Curves!F40+Curves!G40)</f>
        <v>0</v>
      </c>
      <c r="U54" s="0" t="n">
        <v>0</v>
      </c>
      <c r="V54" s="59" t="n">
        <f aca="false">(O54/N54)/C54</f>
        <v>0</v>
      </c>
      <c r="W54" s="59" t="n">
        <v>0</v>
      </c>
      <c r="Y54" s="59" t="n">
        <v>0</v>
      </c>
      <c r="Z54" s="68" t="n">
        <v>0</v>
      </c>
    </row>
    <row r="55" customFormat="false" ht="12.75" hidden="false" customHeight="false" outlineLevel="0" collapsed="false">
      <c r="B55" s="155" t="n">
        <v>38078</v>
      </c>
      <c r="C55" s="0" t="n">
        <f aca="false">EOMONTH(B55,0)-EOMONTH(B55,-1)</f>
        <v>30</v>
      </c>
      <c r="D55" s="66" t="n">
        <f aca="false">WORKDAY(EOMONTH(B55,0)+24,1,'Financing Assumptions'!E73:E79)</f>
        <v>38132</v>
      </c>
      <c r="E55" s="156" t="str">
        <f aca="false">TEXT(D55,"DDD")</f>
        <v>Tue</v>
      </c>
      <c r="F55" s="41" t="n">
        <f aca="false">D55-$D$14</f>
        <v>1244</v>
      </c>
      <c r="H55" s="0" t="n">
        <f aca="false">(1+Curves!U41/12)^(-12*F55/360)</f>
        <v>0.821771580772632</v>
      </c>
      <c r="I55" s="152" t="n">
        <f aca="false">$F$4*H55*C55</f>
        <v>0</v>
      </c>
      <c r="J55" s="59" t="n">
        <f aca="false">I55*(Curves!B41+Curves!F41+Curves!G41)</f>
        <v>0</v>
      </c>
      <c r="K55" s="68" t="n">
        <v>0</v>
      </c>
      <c r="L55" s="59" t="n">
        <f aca="false">K55*I55-J55</f>
        <v>0</v>
      </c>
      <c r="N55" s="74" t="n">
        <f aca="false">(1+Curves!V41/12)^(-12*F55/360)</f>
        <v>0.797418846350071</v>
      </c>
      <c r="O55" s="59" t="n">
        <f aca="false">$F$4*N55*C55</f>
        <v>0</v>
      </c>
      <c r="P55" s="59" t="n">
        <f aca="false">O55*K55</f>
        <v>0</v>
      </c>
      <c r="Q55" s="59" t="n">
        <f aca="false">P55+Q54</f>
        <v>0</v>
      </c>
      <c r="S55" s="59" t="n">
        <f aca="false">O55</f>
        <v>0</v>
      </c>
      <c r="T55" s="59" t="n">
        <f aca="false">S55*(Curves!B41+Curves!F41+Curves!G41)</f>
        <v>0</v>
      </c>
      <c r="U55" s="0" t="n">
        <v>0</v>
      </c>
      <c r="V55" s="59" t="n">
        <f aca="false">(O55/N55)/C55</f>
        <v>0</v>
      </c>
      <c r="W55" s="59" t="n">
        <v>0</v>
      </c>
      <c r="Y55" s="59" t="n">
        <v>0</v>
      </c>
      <c r="Z55" s="68" t="n">
        <v>0</v>
      </c>
    </row>
    <row r="56" customFormat="false" ht="12.75" hidden="false" customHeight="false" outlineLevel="0" collapsed="false">
      <c r="B56" s="155" t="n">
        <v>38108</v>
      </c>
      <c r="C56" s="0" t="n">
        <f aca="false">EOMONTH(B56,0)-EOMONTH(B56,-1)</f>
        <v>31</v>
      </c>
      <c r="D56" s="66" t="n">
        <f aca="false">WORKDAY(EOMONTH(B56,0)+24,1,'Financing Assumptions'!E74:E80)</f>
        <v>38163</v>
      </c>
      <c r="E56" s="156" t="str">
        <f aca="false">TEXT(D56,"DDD")</f>
        <v>Fri</v>
      </c>
      <c r="F56" s="41" t="n">
        <f aca="false">D56-$D$14</f>
        <v>1275</v>
      </c>
      <c r="H56" s="0" t="n">
        <f aca="false">(1+Curves!U42/12)^(-12*F56/360)</f>
        <v>0.817700561304303</v>
      </c>
      <c r="I56" s="152" t="n">
        <f aca="false">$F$4*H56*C56</f>
        <v>0</v>
      </c>
      <c r="J56" s="59" t="n">
        <f aca="false">I56*(Curves!B42+Curves!F42+Curves!G42)</f>
        <v>0</v>
      </c>
      <c r="K56" s="68" t="n">
        <v>0</v>
      </c>
      <c r="L56" s="59" t="n">
        <f aca="false">K56*I56-J56</f>
        <v>0</v>
      </c>
      <c r="N56" s="74" t="n">
        <f aca="false">(1+Curves!V42/12)^(-12*F56/360)</f>
        <v>0.792873917868023</v>
      </c>
      <c r="O56" s="59" t="n">
        <f aca="false">$F$4*N56*C56</f>
        <v>0</v>
      </c>
      <c r="P56" s="59" t="n">
        <f aca="false">O56*K56</f>
        <v>0</v>
      </c>
      <c r="Q56" s="59" t="n">
        <f aca="false">P56+Q55</f>
        <v>0</v>
      </c>
      <c r="S56" s="59" t="n">
        <f aca="false">O56</f>
        <v>0</v>
      </c>
      <c r="T56" s="59" t="n">
        <f aca="false">S56*(Curves!B42+Curves!F42+Curves!G42)</f>
        <v>0</v>
      </c>
      <c r="U56" s="0" t="n">
        <v>0</v>
      </c>
      <c r="V56" s="59" t="n">
        <f aca="false">(O56/N56)/C56</f>
        <v>0</v>
      </c>
      <c r="W56" s="59" t="n">
        <v>0</v>
      </c>
      <c r="Y56" s="59" t="n">
        <v>0</v>
      </c>
      <c r="Z56" s="68" t="n">
        <v>0</v>
      </c>
    </row>
    <row r="57" customFormat="false" ht="12.75" hidden="false" customHeight="false" outlineLevel="0" collapsed="false">
      <c r="B57" s="155" t="n">
        <v>38139</v>
      </c>
      <c r="C57" s="0" t="n">
        <f aca="false">EOMONTH(B57,0)-EOMONTH(B57,-1)</f>
        <v>30</v>
      </c>
      <c r="D57" s="66" t="n">
        <f aca="false">WORKDAY(EOMONTH(B57,0)+24,1,'Financing Assumptions'!E75:E81)</f>
        <v>38194</v>
      </c>
      <c r="E57" s="156" t="str">
        <f aca="false">TEXT(D57,"DDD")</f>
        <v>Mon</v>
      </c>
      <c r="F57" s="41" t="n">
        <f aca="false">D57-$D$14</f>
        <v>1306</v>
      </c>
      <c r="H57" s="0" t="n">
        <f aca="false">(1+Curves!U43/12)^(-12*F57/360)</f>
        <v>0.813644677677439</v>
      </c>
      <c r="I57" s="152" t="n">
        <f aca="false">$F$4*H57*C57</f>
        <v>0</v>
      </c>
      <c r="J57" s="59" t="n">
        <f aca="false">I57*(Curves!B43+Curves!F43+Curves!G43)</f>
        <v>0</v>
      </c>
      <c r="K57" s="68" t="n">
        <v>0</v>
      </c>
      <c r="L57" s="59" t="n">
        <f aca="false">K57*I57-J57</f>
        <v>0</v>
      </c>
      <c r="N57" s="74" t="n">
        <f aca="false">(1+Curves!V43/12)^(-12*F57/360)</f>
        <v>0.788350021591299</v>
      </c>
      <c r="O57" s="59" t="n">
        <f aca="false">$F$4*N57*C57</f>
        <v>0</v>
      </c>
      <c r="P57" s="59" t="n">
        <f aca="false">O57*K57</f>
        <v>0</v>
      </c>
      <c r="Q57" s="59" t="n">
        <f aca="false">P57+Q56</f>
        <v>0</v>
      </c>
      <c r="S57" s="59" t="n">
        <f aca="false">O57</f>
        <v>0</v>
      </c>
      <c r="T57" s="59" t="n">
        <f aca="false">S57*(Curves!B43+Curves!F43+Curves!G43)</f>
        <v>0</v>
      </c>
      <c r="U57" s="0" t="n">
        <v>0</v>
      </c>
      <c r="V57" s="59" t="n">
        <f aca="false">(O57/N57)/C57</f>
        <v>0</v>
      </c>
      <c r="W57" s="59" t="n">
        <v>0</v>
      </c>
      <c r="Y57" s="59" t="n">
        <v>0</v>
      </c>
      <c r="Z57" s="68" t="n">
        <v>0</v>
      </c>
    </row>
    <row r="58" customFormat="false" ht="12.75" hidden="false" customHeight="false" outlineLevel="0" collapsed="false">
      <c r="B58" s="155" t="n">
        <v>38169</v>
      </c>
      <c r="C58" s="0" t="n">
        <f aca="false">EOMONTH(B58,0)-EOMONTH(B58,-1)</f>
        <v>31</v>
      </c>
      <c r="D58" s="66" t="n">
        <f aca="false">WORKDAY(EOMONTH(B58,0)+24,1,'Financing Assumptions'!E76:E82)</f>
        <v>38224</v>
      </c>
      <c r="E58" s="156" t="str">
        <f aca="false">TEXT(D58,"DDD")</f>
        <v>Wed</v>
      </c>
      <c r="F58" s="41" t="n">
        <f aca="false">D58-$D$14</f>
        <v>1336</v>
      </c>
      <c r="H58" s="0" t="n">
        <f aca="false">(1+Curves!U44/12)^(-12*F58/360)</f>
        <v>0.809730802538379</v>
      </c>
      <c r="I58" s="152" t="n">
        <f aca="false">$F$4*H58*C58</f>
        <v>0</v>
      </c>
      <c r="J58" s="59" t="n">
        <f aca="false">I58*(Curves!B44+Curves!F44+Curves!G44)</f>
        <v>0</v>
      </c>
      <c r="K58" s="68" t="n">
        <v>0</v>
      </c>
      <c r="L58" s="59" t="n">
        <f aca="false">K58*I58-J58</f>
        <v>0</v>
      </c>
      <c r="N58" s="74" t="n">
        <f aca="false">(1+Curves!V44/12)^(-12*F58/360)</f>
        <v>0.783988912610207</v>
      </c>
      <c r="O58" s="59" t="n">
        <f aca="false">$F$4*N58*C58</f>
        <v>0</v>
      </c>
      <c r="P58" s="59" t="n">
        <f aca="false">O58*K58</f>
        <v>0</v>
      </c>
      <c r="Q58" s="59" t="n">
        <f aca="false">P58+Q57</f>
        <v>0</v>
      </c>
      <c r="S58" s="59" t="n">
        <f aca="false">O58</f>
        <v>0</v>
      </c>
      <c r="T58" s="59" t="n">
        <f aca="false">S58*(Curves!B44+Curves!F44+Curves!G44)</f>
        <v>0</v>
      </c>
      <c r="U58" s="0" t="n">
        <v>0</v>
      </c>
      <c r="V58" s="59" t="n">
        <f aca="false">(O58/N58)/C58</f>
        <v>0</v>
      </c>
      <c r="W58" s="59" t="n">
        <v>0</v>
      </c>
      <c r="Y58" s="59" t="n">
        <v>0</v>
      </c>
      <c r="Z58" s="68" t="n">
        <v>0</v>
      </c>
    </row>
    <row r="59" customFormat="false" ht="12.75" hidden="false" customHeight="false" outlineLevel="0" collapsed="false">
      <c r="B59" s="155" t="n">
        <v>38200</v>
      </c>
      <c r="C59" s="0" t="n">
        <f aca="false">EOMONTH(B59,0)-EOMONTH(B59,-1)</f>
        <v>31</v>
      </c>
      <c r="D59" s="66" t="n">
        <f aca="false">WORKDAY(EOMONTH(B59,0)+24,1,'Financing Assumptions'!E77:E83)</f>
        <v>38257</v>
      </c>
      <c r="E59" s="156" t="str">
        <f aca="false">TEXT(D59,"DDD")</f>
        <v>Mon</v>
      </c>
      <c r="F59" s="41" t="n">
        <f aca="false">D59-$D$14</f>
        <v>1369</v>
      </c>
      <c r="H59" s="0" t="n">
        <f aca="false">(1+Curves!U45/12)^(-12*F59/360)</f>
        <v>0.805442702899947</v>
      </c>
      <c r="I59" s="152" t="n">
        <f aca="false">$F$4*H59*C59</f>
        <v>0</v>
      </c>
      <c r="J59" s="59" t="n">
        <f aca="false">I59*(Curves!B45+Curves!F45+Curves!G45)</f>
        <v>0</v>
      </c>
      <c r="K59" s="68" t="n">
        <v>0</v>
      </c>
      <c r="L59" s="59" t="n">
        <f aca="false">K59*I59-J59</f>
        <v>0</v>
      </c>
      <c r="N59" s="74" t="n">
        <f aca="false">(1+Curves!V45/12)^(-12*F59/360)</f>
        <v>0.779215126164012</v>
      </c>
      <c r="O59" s="59" t="n">
        <f aca="false">$F$4*N59*C59</f>
        <v>0</v>
      </c>
      <c r="P59" s="59" t="n">
        <f aca="false">O59*K59</f>
        <v>0</v>
      </c>
      <c r="Q59" s="59" t="n">
        <f aca="false">P59+Q58</f>
        <v>0</v>
      </c>
      <c r="S59" s="59" t="n">
        <f aca="false">O59</f>
        <v>0</v>
      </c>
      <c r="T59" s="59" t="n">
        <f aca="false">S59*(Curves!B45+Curves!F45+Curves!G45)</f>
        <v>0</v>
      </c>
      <c r="U59" s="0" t="n">
        <v>0</v>
      </c>
      <c r="V59" s="59" t="n">
        <f aca="false">(O59/N59)/C59</f>
        <v>0</v>
      </c>
      <c r="W59" s="59" t="n">
        <v>0</v>
      </c>
      <c r="Y59" s="59" t="n">
        <v>0</v>
      </c>
      <c r="Z59" s="68" t="n">
        <v>0</v>
      </c>
    </row>
    <row r="60" customFormat="false" ht="12.75" hidden="false" customHeight="false" outlineLevel="0" collapsed="false">
      <c r="B60" s="155" t="n">
        <v>38231</v>
      </c>
      <c r="C60" s="0" t="n">
        <f aca="false">EOMONTH(B60,0)-EOMONTH(B60,-1)</f>
        <v>30</v>
      </c>
      <c r="D60" s="66" t="n">
        <f aca="false">WORKDAY(EOMONTH(B60,0)+24,1,'Financing Assumptions'!E78:E84)</f>
        <v>38285</v>
      </c>
      <c r="E60" s="156" t="str">
        <f aca="false">TEXT(D60,"DDD")</f>
        <v>Mon</v>
      </c>
      <c r="F60" s="41" t="n">
        <f aca="false">D60-$D$14</f>
        <v>1397</v>
      </c>
      <c r="H60" s="0" t="n">
        <f aca="false">(1+Curves!U46/12)^(-12*F60/360)</f>
        <v>0.801807219706937</v>
      </c>
      <c r="I60" s="152" t="n">
        <f aca="false">$F$4*H60*C60</f>
        <v>0</v>
      </c>
      <c r="J60" s="59" t="n">
        <f aca="false">I60*(Curves!B46+Curves!F46+Curves!G46)</f>
        <v>0</v>
      </c>
      <c r="K60" s="68" t="n">
        <v>0</v>
      </c>
      <c r="L60" s="59" t="n">
        <f aca="false">K60*I60-J60</f>
        <v>0</v>
      </c>
      <c r="N60" s="74" t="n">
        <f aca="false">(1+Curves!V46/12)^(-12*F60/360)</f>
        <v>0.775173040183522</v>
      </c>
      <c r="O60" s="59" t="n">
        <f aca="false">$F$4*N60*C60</f>
        <v>0</v>
      </c>
      <c r="P60" s="59" t="n">
        <f aca="false">O60*K60</f>
        <v>0</v>
      </c>
      <c r="Q60" s="59" t="n">
        <f aca="false">P60+Q59</f>
        <v>0</v>
      </c>
      <c r="S60" s="59" t="n">
        <f aca="false">O60</f>
        <v>0</v>
      </c>
      <c r="T60" s="59" t="n">
        <f aca="false">S60*(Curves!B46+Curves!F46+Curves!G46)</f>
        <v>0</v>
      </c>
      <c r="U60" s="0" t="n">
        <v>0</v>
      </c>
      <c r="V60" s="59" t="n">
        <f aca="false">(O60/N60)/C60</f>
        <v>0</v>
      </c>
      <c r="W60" s="59" t="n">
        <v>0</v>
      </c>
      <c r="Y60" s="59" t="n">
        <v>0</v>
      </c>
      <c r="Z60" s="68" t="n">
        <v>0</v>
      </c>
    </row>
    <row r="61" customFormat="false" ht="12.75" hidden="false" customHeight="false" outlineLevel="0" collapsed="false">
      <c r="B61" s="155" t="n">
        <v>38261</v>
      </c>
      <c r="C61" s="0" t="n">
        <f aca="false">EOMONTH(B61,0)-EOMONTH(B61,-1)</f>
        <v>31</v>
      </c>
      <c r="D61" s="66" t="n">
        <f aca="false">WORKDAY(EOMONTH(B61,0)+24,1,'Financing Assumptions'!E79:E85)</f>
        <v>38316</v>
      </c>
      <c r="E61" s="156" t="str">
        <f aca="false">TEXT(D61,"DDD")</f>
        <v>Thu</v>
      </c>
      <c r="F61" s="41" t="n">
        <f aca="false">D61-$D$14</f>
        <v>1428</v>
      </c>
      <c r="H61" s="0" t="n">
        <f aca="false">(1+Curves!U47/12)^(-12*F61/360)</f>
        <v>0.797805407784611</v>
      </c>
      <c r="I61" s="152" t="n">
        <f aca="false">$F$4*H61*C61</f>
        <v>0</v>
      </c>
      <c r="J61" s="59" t="n">
        <f aca="false">I61*(Curves!B47+Curves!F47+Curves!G47)</f>
        <v>0</v>
      </c>
      <c r="K61" s="68" t="n">
        <v>0</v>
      </c>
      <c r="L61" s="59" t="n">
        <f aca="false">K61*I61-J61</f>
        <v>0</v>
      </c>
      <c r="N61" s="74" t="n">
        <f aca="false">(1+Curves!V47/12)^(-12*F61/360)</f>
        <v>0.770726236495442</v>
      </c>
      <c r="O61" s="59" t="n">
        <f aca="false">$F$4*N61*C61</f>
        <v>0</v>
      </c>
      <c r="P61" s="59" t="n">
        <f aca="false">O61*K61</f>
        <v>0</v>
      </c>
      <c r="Q61" s="59" t="n">
        <f aca="false">P61+Q60</f>
        <v>0</v>
      </c>
      <c r="S61" s="59" t="n">
        <f aca="false">O61</f>
        <v>0</v>
      </c>
      <c r="T61" s="59" t="n">
        <f aca="false">S61*(Curves!B47+Curves!F47+Curves!G47)</f>
        <v>0</v>
      </c>
      <c r="U61" s="0" t="n">
        <v>0</v>
      </c>
      <c r="V61" s="59" t="n">
        <f aca="false">(O61/N61)/C61</f>
        <v>0</v>
      </c>
      <c r="W61" s="59" t="n">
        <v>0</v>
      </c>
      <c r="Y61" s="59" t="n">
        <v>0</v>
      </c>
      <c r="Z61" s="68" t="n">
        <v>0</v>
      </c>
    </row>
    <row r="62" customFormat="false" ht="12.75" hidden="false" customHeight="false" outlineLevel="0" collapsed="false">
      <c r="B62" s="155" t="n">
        <v>38292</v>
      </c>
      <c r="C62" s="0" t="n">
        <f aca="false">EOMONTH(B62,0)-EOMONTH(B62,-1)</f>
        <v>30</v>
      </c>
      <c r="D62" s="66" t="n">
        <f aca="false">WORKDAY(EOMONTH(B62,0)+24,1,'Financing Assumptions'!E80:E86)</f>
        <v>38348</v>
      </c>
      <c r="E62" s="156" t="str">
        <f aca="false">TEXT(D62,"DDD")</f>
        <v>Mon</v>
      </c>
      <c r="F62" s="41" t="n">
        <f aca="false">D62-$D$14</f>
        <v>1460</v>
      </c>
      <c r="H62" s="0" t="n">
        <f aca="false">(1+Curves!U48/12)^(-12*F62/360)</f>
        <v>0.793688272938632</v>
      </c>
      <c r="I62" s="152" t="n">
        <f aca="false">$F$4*H62*C62</f>
        <v>0</v>
      </c>
      <c r="J62" s="59" t="n">
        <f aca="false">I62*(Curves!B48+Curves!F48+Curves!G48)</f>
        <v>0</v>
      </c>
      <c r="K62" s="68" t="n">
        <v>0</v>
      </c>
      <c r="L62" s="59" t="n">
        <f aca="false">K62*I62-J62</f>
        <v>0</v>
      </c>
      <c r="N62" s="74" t="n">
        <f aca="false">(1+Curves!V48/12)^(-12*F62/360)</f>
        <v>0.76615581589385</v>
      </c>
      <c r="O62" s="59" t="n">
        <f aca="false">$F$4*N62*C62</f>
        <v>0</v>
      </c>
      <c r="P62" s="59" t="n">
        <f aca="false">O62*K62</f>
        <v>0</v>
      </c>
      <c r="Q62" s="59" t="n">
        <f aca="false">P62+Q61</f>
        <v>0</v>
      </c>
      <c r="S62" s="59" t="n">
        <f aca="false">O62</f>
        <v>0</v>
      </c>
      <c r="T62" s="59" t="n">
        <f aca="false">S62*(Curves!B48+Curves!F48+Curves!G48)</f>
        <v>0</v>
      </c>
      <c r="U62" s="0" t="n">
        <v>0</v>
      </c>
      <c r="V62" s="59" t="n">
        <f aca="false">(O62/N62)/C62</f>
        <v>0</v>
      </c>
      <c r="W62" s="59" t="n">
        <v>0</v>
      </c>
      <c r="Y62" s="59" t="n">
        <v>0</v>
      </c>
      <c r="Z62" s="68" t="n">
        <v>0</v>
      </c>
    </row>
    <row r="63" customFormat="false" ht="12.75" hidden="false" customHeight="false" outlineLevel="0" collapsed="false">
      <c r="B63" s="155" t="n">
        <v>38322</v>
      </c>
      <c r="C63" s="0" t="n">
        <f aca="false">EOMONTH(B63,0)-EOMONTH(B63,-1)</f>
        <v>31</v>
      </c>
      <c r="D63" s="66" t="n">
        <f aca="false">WORKDAY(EOMONTH(B63,0)+24,1,'Financing Assumptions'!E81:E87)</f>
        <v>38377</v>
      </c>
      <c r="E63" s="156" t="str">
        <f aca="false">TEXT(D63,"DDD")</f>
        <v>Tue</v>
      </c>
      <c r="F63" s="41" t="n">
        <f aca="false">D63-$D$14</f>
        <v>1489</v>
      </c>
      <c r="H63" s="0" t="n">
        <f aca="false">(1+Curves!U49/12)^(-12*F63/360)</f>
        <v>0.789966580131595</v>
      </c>
      <c r="I63" s="152" t="n">
        <f aca="false">$F$4*H63*C63</f>
        <v>0</v>
      </c>
      <c r="J63" s="59" t="n">
        <f aca="false">I63*(Curves!B49+Curves!F49+Curves!G49)</f>
        <v>0</v>
      </c>
      <c r="K63" s="68" t="n">
        <v>0</v>
      </c>
      <c r="L63" s="59" t="n">
        <f aca="false">K63*I63-J63</f>
        <v>0</v>
      </c>
      <c r="N63" s="74" t="n">
        <f aca="false">(1+Curves!V49/12)^(-12*F63/360)</f>
        <v>0.762028713183236</v>
      </c>
      <c r="O63" s="59" t="n">
        <f aca="false">$F$4*N63*C63</f>
        <v>0</v>
      </c>
      <c r="P63" s="59" t="n">
        <f aca="false">O63*K63</f>
        <v>0</v>
      </c>
      <c r="Q63" s="59" t="n">
        <f aca="false">P63+Q62</f>
        <v>0</v>
      </c>
      <c r="S63" s="59" t="n">
        <f aca="false">O63</f>
        <v>0</v>
      </c>
      <c r="T63" s="59" t="n">
        <f aca="false">S63*(Curves!B49+Curves!F49+Curves!G49)</f>
        <v>0</v>
      </c>
      <c r="U63" s="0" t="n">
        <v>0</v>
      </c>
      <c r="V63" s="59" t="n">
        <f aca="false">(O63/N63)/C63</f>
        <v>0</v>
      </c>
      <c r="W63" s="59" t="n">
        <v>0</v>
      </c>
      <c r="Y63" s="59" t="n">
        <v>0</v>
      </c>
      <c r="Z63" s="68" t="n">
        <v>0</v>
      </c>
    </row>
    <row r="64" customFormat="false" ht="12.75" hidden="false" customHeight="false" outlineLevel="0" collapsed="false">
      <c r="B64" s="155" t="n">
        <v>38353</v>
      </c>
      <c r="C64" s="0" t="n">
        <f aca="false">EOMONTH(B64,0)-EOMONTH(B64,-1)</f>
        <v>31</v>
      </c>
      <c r="D64" s="66" t="n">
        <f aca="false">WORKDAY(EOMONTH(B64,0)+24,1,'Financing Assumptions'!E82:E88)</f>
        <v>38408</v>
      </c>
      <c r="E64" s="156" t="str">
        <f aca="false">TEXT(D64,"DDD")</f>
        <v>Fri</v>
      </c>
      <c r="F64" s="41" t="n">
        <f aca="false">D64-$D$14</f>
        <v>1520</v>
      </c>
      <c r="H64" s="0" t="n">
        <f aca="false">(1+Curves!U50/12)^(-12*F64/360)</f>
        <v>0.785980988372765</v>
      </c>
      <c r="I64" s="152" t="n">
        <f aca="false">$F$4*H64*C64</f>
        <v>0</v>
      </c>
      <c r="J64" s="59" t="n">
        <f aca="false">I64*(Curves!B50+Curves!F50+Curves!G50)</f>
        <v>0</v>
      </c>
      <c r="K64" s="68" t="n">
        <v>0</v>
      </c>
      <c r="L64" s="59" t="n">
        <f aca="false">K64*I64-J64</f>
        <v>0</v>
      </c>
      <c r="N64" s="74" t="n">
        <f aca="false">(1+Curves!V50/12)^(-12*F64/360)</f>
        <v>0.757616013294662</v>
      </c>
      <c r="O64" s="59" t="n">
        <f aca="false">$F$4*N64*C64</f>
        <v>0</v>
      </c>
      <c r="P64" s="59" t="n">
        <f aca="false">O64*K64</f>
        <v>0</v>
      </c>
      <c r="Q64" s="59" t="n">
        <f aca="false">P64+Q63</f>
        <v>0</v>
      </c>
      <c r="S64" s="59" t="n">
        <f aca="false">O64</f>
        <v>0</v>
      </c>
      <c r="T64" s="59" t="n">
        <f aca="false">S64*(Curves!B50+Curves!F50+Curves!G50)</f>
        <v>0</v>
      </c>
      <c r="U64" s="0" t="n">
        <v>0</v>
      </c>
      <c r="V64" s="59" t="n">
        <f aca="false">(O64/N64)/C64</f>
        <v>0</v>
      </c>
      <c r="W64" s="59" t="n">
        <v>0</v>
      </c>
      <c r="Y64" s="59" t="n">
        <v>0</v>
      </c>
      <c r="Z64" s="68" t="n">
        <v>0</v>
      </c>
    </row>
    <row r="65" customFormat="false" ht="12.75" hidden="false" customHeight="false" outlineLevel="0" collapsed="false">
      <c r="B65" s="155" t="n">
        <v>38384</v>
      </c>
      <c r="C65" s="0" t="n">
        <f aca="false">EOMONTH(B65,0)-EOMONTH(B65,-1)</f>
        <v>28</v>
      </c>
      <c r="D65" s="66" t="n">
        <f aca="false">WORKDAY(EOMONTH(B65,0)+24,1,'Financing Assumptions'!E83:E89)</f>
        <v>38436</v>
      </c>
      <c r="E65" s="156" t="str">
        <f aca="false">TEXT(D65,"DDD")</f>
        <v>Fri</v>
      </c>
      <c r="F65" s="41" t="n">
        <f aca="false">D65-$D$14</f>
        <v>1548</v>
      </c>
      <c r="H65" s="0" t="n">
        <f aca="false">(1+Curves!U51/12)^(-12*F65/360)</f>
        <v>0.782361091207357</v>
      </c>
      <c r="I65" s="152" t="n">
        <f aca="false">$F$4*H65*C65</f>
        <v>0</v>
      </c>
      <c r="J65" s="59" t="n">
        <f aca="false">I65*(Curves!B51+Curves!F51+Curves!G51)</f>
        <v>0</v>
      </c>
      <c r="K65" s="68" t="n">
        <v>0</v>
      </c>
      <c r="L65" s="59" t="n">
        <f aca="false">K65*I65-J65</f>
        <v>0</v>
      </c>
      <c r="N65" s="74" t="n">
        <f aca="false">(1+Curves!V51/12)^(-12*F65/360)</f>
        <v>0.753616418162224</v>
      </c>
      <c r="O65" s="59" t="n">
        <f aca="false">$F$4*N65*C65</f>
        <v>0</v>
      </c>
      <c r="P65" s="59" t="n">
        <f aca="false">O65*K65</f>
        <v>0</v>
      </c>
      <c r="Q65" s="59" t="n">
        <f aca="false">P65+Q64</f>
        <v>0</v>
      </c>
      <c r="S65" s="59" t="n">
        <f aca="false">O65</f>
        <v>0</v>
      </c>
      <c r="T65" s="59" t="n">
        <f aca="false">S65*(Curves!B51+Curves!F51+Curves!G51)</f>
        <v>0</v>
      </c>
      <c r="U65" s="0" t="n">
        <v>0</v>
      </c>
      <c r="V65" s="59" t="n">
        <f aca="false">(O65/N65)/C65</f>
        <v>0</v>
      </c>
      <c r="W65" s="59" t="n">
        <v>0</v>
      </c>
      <c r="Y65" s="59" t="n">
        <v>0</v>
      </c>
      <c r="Z65" s="68" t="n">
        <v>0</v>
      </c>
    </row>
    <row r="66" customFormat="false" ht="12.75" hidden="false" customHeight="false" outlineLevel="0" collapsed="false">
      <c r="B66" s="155" t="n">
        <v>38412</v>
      </c>
      <c r="C66" s="0" t="n">
        <f aca="false">EOMONTH(B66,0)-EOMONTH(B66,-1)</f>
        <v>31</v>
      </c>
      <c r="D66" s="66" t="n">
        <f aca="false">WORKDAY(EOMONTH(B66,0)+24,1,'Financing Assumptions'!E84:E90)</f>
        <v>38467</v>
      </c>
      <c r="E66" s="156" t="str">
        <f aca="false">TEXT(D66,"DDD")</f>
        <v>Mon</v>
      </c>
      <c r="F66" s="41" t="n">
        <f aca="false">D66-$D$14</f>
        <v>1579</v>
      </c>
      <c r="H66" s="0" t="n">
        <f aca="false">(1+Curves!U52/12)^(-12*F66/360)</f>
        <v>0.778396025979389</v>
      </c>
      <c r="I66" s="152" t="n">
        <f aca="false">$F$4*H66*C66</f>
        <v>0</v>
      </c>
      <c r="J66" s="59" t="n">
        <f aca="false">I66*(Curves!B52+Curves!F52+Curves!G52)</f>
        <v>0</v>
      </c>
      <c r="K66" s="68" t="n">
        <v>0</v>
      </c>
      <c r="L66" s="59" t="n">
        <f aca="false">K66*I66-J66</f>
        <v>0</v>
      </c>
      <c r="N66" s="74" t="n">
        <f aca="false">(1+Curves!V52/12)^(-12*F66/360)</f>
        <v>0.74923526737089</v>
      </c>
      <c r="O66" s="59" t="n">
        <f aca="false">$F$4*N66*C66</f>
        <v>0</v>
      </c>
      <c r="P66" s="59" t="n">
        <f aca="false">O66*K66</f>
        <v>0</v>
      </c>
      <c r="Q66" s="59" t="n">
        <f aca="false">P66+Q65</f>
        <v>0</v>
      </c>
      <c r="S66" s="59" t="n">
        <f aca="false">O66</f>
        <v>0</v>
      </c>
      <c r="T66" s="59" t="n">
        <f aca="false">S66*(Curves!B52+Curves!F52+Curves!G52)</f>
        <v>0</v>
      </c>
      <c r="U66" s="0" t="n">
        <v>0</v>
      </c>
      <c r="V66" s="59" t="n">
        <f aca="false">(O66/N66)/C66</f>
        <v>0</v>
      </c>
      <c r="W66" s="59" t="n">
        <v>0</v>
      </c>
      <c r="Y66" s="59" t="n">
        <v>0</v>
      </c>
      <c r="Z66" s="68" t="n">
        <v>0</v>
      </c>
    </row>
    <row r="67" customFormat="false" ht="12.75" hidden="false" customHeight="false" outlineLevel="0" collapsed="false">
      <c r="B67" s="155" t="n">
        <v>38443</v>
      </c>
      <c r="C67" s="0" t="n">
        <f aca="false">EOMONTH(B67,0)-EOMONTH(B67,-1)</f>
        <v>30</v>
      </c>
      <c r="D67" s="66" t="n">
        <f aca="false">WORKDAY(EOMONTH(B67,0)+24,1,'Financing Assumptions'!E85:E91)</f>
        <v>38497</v>
      </c>
      <c r="E67" s="156" t="str">
        <f aca="false">TEXT(D67,"DDD")</f>
        <v>Wed</v>
      </c>
      <c r="F67" s="41" t="n">
        <f aca="false">D67-$D$14</f>
        <v>1609</v>
      </c>
      <c r="H67" s="0" t="n">
        <f aca="false">(1+Curves!U53/12)^(-12*F67/360)</f>
        <v>0.774595728192005</v>
      </c>
      <c r="I67" s="152" t="n">
        <f aca="false">$F$4*H67*C67</f>
        <v>0</v>
      </c>
      <c r="J67" s="59" t="n">
        <f aca="false">I67*(Curves!B53+Curves!F53+Curves!G53)</f>
        <v>0</v>
      </c>
      <c r="K67" s="68" t="n">
        <v>0</v>
      </c>
      <c r="L67" s="59" t="n">
        <f aca="false">K67*I67-J67</f>
        <v>0</v>
      </c>
      <c r="N67" s="74" t="n">
        <f aca="false">(1+Curves!V53/12)^(-12*F67/360)</f>
        <v>0.745036735060537</v>
      </c>
      <c r="O67" s="59" t="n">
        <f aca="false">$F$4*N67*C67</f>
        <v>0</v>
      </c>
      <c r="P67" s="59" t="n">
        <f aca="false">O67*K67</f>
        <v>0</v>
      </c>
      <c r="Q67" s="59" t="n">
        <f aca="false">P67+Q66</f>
        <v>0</v>
      </c>
      <c r="S67" s="59" t="n">
        <f aca="false">O67</f>
        <v>0</v>
      </c>
      <c r="T67" s="59" t="n">
        <f aca="false">S67*(Curves!B53+Curves!F53+Curves!G53)</f>
        <v>0</v>
      </c>
      <c r="U67" s="0" t="n">
        <v>0</v>
      </c>
      <c r="V67" s="59" t="n">
        <f aca="false">(O67/N67)/C67</f>
        <v>0</v>
      </c>
      <c r="W67" s="59" t="n">
        <v>0</v>
      </c>
      <c r="Y67" s="59" t="n">
        <v>0</v>
      </c>
      <c r="Z67" s="68" t="n">
        <v>0</v>
      </c>
    </row>
    <row r="68" customFormat="false" ht="12.75" hidden="false" customHeight="false" outlineLevel="0" collapsed="false">
      <c r="B68" s="155" t="n">
        <v>38473</v>
      </c>
      <c r="C68" s="0" t="n">
        <f aca="false">EOMONTH(B68,0)-EOMONTH(B68,-1)</f>
        <v>31</v>
      </c>
      <c r="D68" s="66" t="n">
        <f aca="false">WORKDAY(EOMONTH(B68,0)+24,1,'Financing Assumptions'!E86:E92)</f>
        <v>38530</v>
      </c>
      <c r="E68" s="156" t="str">
        <f aca="false">TEXT(D68,"DDD")</f>
        <v>Mon</v>
      </c>
      <c r="F68" s="41" t="n">
        <f aca="false">D68-$D$14</f>
        <v>1642</v>
      </c>
      <c r="H68" s="0" t="n">
        <f aca="false">(1+Curves!U54/12)^(-12*F68/360)</f>
        <v>0.770479334013903</v>
      </c>
      <c r="I68" s="152" t="n">
        <f aca="false">$F$4*H68*C68</f>
        <v>0</v>
      </c>
      <c r="J68" s="59" t="n">
        <f aca="false">I68*(Curves!B54+Curves!F54+Curves!G54)</f>
        <v>0</v>
      </c>
      <c r="K68" s="68" t="n">
        <v>0</v>
      </c>
      <c r="L68" s="59" t="n">
        <f aca="false">K68*I68-J68</f>
        <v>0</v>
      </c>
      <c r="N68" s="74" t="n">
        <f aca="false">(1+Curves!V54/12)^(-12*F68/360)</f>
        <v>0.740486341584416</v>
      </c>
      <c r="O68" s="59" t="n">
        <f aca="false">$F$4*N68*C68</f>
        <v>0</v>
      </c>
      <c r="P68" s="59" t="n">
        <f aca="false">O68*K68</f>
        <v>0</v>
      </c>
      <c r="Q68" s="59" t="n">
        <f aca="false">P68+Q67</f>
        <v>0</v>
      </c>
      <c r="S68" s="59" t="n">
        <f aca="false">O68</f>
        <v>0</v>
      </c>
      <c r="T68" s="59" t="n">
        <f aca="false">S68*(Curves!B54+Curves!F54+Curves!G54)</f>
        <v>0</v>
      </c>
      <c r="U68" s="0" t="n">
        <v>0</v>
      </c>
      <c r="V68" s="59" t="n">
        <f aca="false">(O68/N68)/C68</f>
        <v>0</v>
      </c>
      <c r="W68" s="59" t="n">
        <v>0</v>
      </c>
      <c r="Y68" s="59" t="n">
        <v>0</v>
      </c>
      <c r="Z68" s="68" t="n">
        <v>0</v>
      </c>
    </row>
    <row r="69" customFormat="false" ht="12.75" hidden="false" customHeight="false" outlineLevel="0" collapsed="false">
      <c r="B69" s="155" t="n">
        <v>38504</v>
      </c>
      <c r="C69" s="0" t="n">
        <f aca="false">EOMONTH(B69,0)-EOMONTH(B69,-1)</f>
        <v>30</v>
      </c>
      <c r="D69" s="66" t="n">
        <f aca="false">WORKDAY(EOMONTH(B69,0)+24,1,'Financing Assumptions'!E87:E93)</f>
        <v>38558</v>
      </c>
      <c r="E69" s="156" t="str">
        <f aca="false">TEXT(D69,"DDD")</f>
        <v>Mon</v>
      </c>
      <c r="F69" s="41" t="n">
        <f aca="false">D69-$D$14</f>
        <v>1670</v>
      </c>
      <c r="H69" s="0" t="n">
        <f aca="false">(1+Curves!U55/12)^(-12*F69/360)</f>
        <v>0.766988647532492</v>
      </c>
      <c r="I69" s="152" t="n">
        <f aca="false">$F$4*H69*C69</f>
        <v>0</v>
      </c>
      <c r="J69" s="59" t="n">
        <f aca="false">I69*(Curves!B55+Curves!F55+Curves!G55)</f>
        <v>0</v>
      </c>
      <c r="K69" s="68" t="n">
        <v>0</v>
      </c>
      <c r="L69" s="59" t="n">
        <f aca="false">K69*I69-J69</f>
        <v>0</v>
      </c>
      <c r="N69" s="74" t="n">
        <f aca="false">(1+Curves!V55/12)^(-12*F69/360)</f>
        <v>0.736632665215931</v>
      </c>
      <c r="O69" s="59" t="n">
        <f aca="false">$F$4*N69*C69</f>
        <v>0</v>
      </c>
      <c r="P69" s="59" t="n">
        <f aca="false">O69*K69</f>
        <v>0</v>
      </c>
      <c r="Q69" s="59" t="n">
        <f aca="false">P69+Q68</f>
        <v>0</v>
      </c>
      <c r="S69" s="59" t="n">
        <f aca="false">O69</f>
        <v>0</v>
      </c>
      <c r="T69" s="59" t="n">
        <f aca="false">S69*(Curves!B55+Curves!F55+Curves!G55)</f>
        <v>0</v>
      </c>
      <c r="U69" s="0" t="n">
        <v>0</v>
      </c>
      <c r="V69" s="59" t="n">
        <f aca="false">(O69/N69)/C69</f>
        <v>0</v>
      </c>
      <c r="W69" s="59" t="n">
        <v>0</v>
      </c>
      <c r="Y69" s="59" t="n">
        <v>0</v>
      </c>
      <c r="Z69" s="68" t="n">
        <v>0</v>
      </c>
    </row>
    <row r="70" customFormat="false" ht="12.75" hidden="false" customHeight="false" outlineLevel="0" collapsed="false">
      <c r="B70" s="155" t="n">
        <v>38534</v>
      </c>
      <c r="C70" s="0" t="n">
        <f aca="false">EOMONTH(B70,0)-EOMONTH(B70,-1)</f>
        <v>31</v>
      </c>
      <c r="D70" s="66" t="n">
        <f aca="false">WORKDAY(EOMONTH(B70,0)+24,1,'Financing Assumptions'!E88:E94)</f>
        <v>38589</v>
      </c>
      <c r="E70" s="156" t="str">
        <f aca="false">TEXT(D70,"DDD")</f>
        <v>Thu</v>
      </c>
      <c r="F70" s="41" t="n">
        <f aca="false">D70-$D$14</f>
        <v>1701</v>
      </c>
      <c r="H70" s="0" t="n">
        <f aca="false">(1+Curves!U56/12)^(-12*F70/360)</f>
        <v>0.763149827073883</v>
      </c>
      <c r="I70" s="152" t="n">
        <f aca="false">$F$4*H70*C70</f>
        <v>0</v>
      </c>
      <c r="J70" s="59" t="n">
        <f aca="false">I70*(Curves!B56+Curves!F56+Curves!G56)</f>
        <v>0</v>
      </c>
      <c r="K70" s="68" t="n">
        <v>0</v>
      </c>
      <c r="L70" s="59" t="n">
        <f aca="false">K70*I70-J70</f>
        <v>0</v>
      </c>
      <c r="N70" s="74" t="n">
        <f aca="false">(1+Curves!V56/12)^(-12*F70/360)</f>
        <v>0.732396604099147</v>
      </c>
      <c r="O70" s="59" t="n">
        <f aca="false">$F$4*N70*C70</f>
        <v>0</v>
      </c>
      <c r="P70" s="59" t="n">
        <f aca="false">O70*K70</f>
        <v>0</v>
      </c>
      <c r="Q70" s="59" t="n">
        <f aca="false">P70+Q69</f>
        <v>0</v>
      </c>
      <c r="S70" s="59" t="n">
        <f aca="false">O70</f>
        <v>0</v>
      </c>
      <c r="T70" s="59" t="n">
        <f aca="false">S70*(Curves!B56+Curves!F56+Curves!G56)</f>
        <v>0</v>
      </c>
      <c r="U70" s="0" t="n">
        <v>0</v>
      </c>
      <c r="V70" s="59" t="n">
        <f aca="false">(O70/N70)/C70</f>
        <v>0</v>
      </c>
      <c r="W70" s="59" t="n">
        <v>0</v>
      </c>
      <c r="Y70" s="59" t="n">
        <v>0</v>
      </c>
      <c r="Z70" s="68" t="n">
        <v>0</v>
      </c>
    </row>
    <row r="71" customFormat="false" ht="12.75" hidden="false" customHeight="false" outlineLevel="0" collapsed="false">
      <c r="B71" s="155" t="n">
        <v>38565</v>
      </c>
      <c r="C71" s="0" t="n">
        <f aca="false">EOMONTH(B71,0)-EOMONTH(B71,-1)</f>
        <v>31</v>
      </c>
      <c r="D71" s="66" t="n">
        <f aca="false">WORKDAY(EOMONTH(B71,0)+24,1,'Financing Assumptions'!E89:E95)</f>
        <v>38621</v>
      </c>
      <c r="E71" s="156" t="str">
        <f aca="false">TEXT(D71,"DDD")</f>
        <v>Mon</v>
      </c>
      <c r="F71" s="41" t="n">
        <f aca="false">D71-$D$14</f>
        <v>1733</v>
      </c>
      <c r="H71" s="0" t="n">
        <f aca="false">(1+Curves!U57/12)^(-12*F71/360)</f>
        <v>0.759204543783095</v>
      </c>
      <c r="I71" s="152" t="n">
        <f aca="false">$F$4*H71*C71</f>
        <v>0</v>
      </c>
      <c r="J71" s="59" t="n">
        <f aca="false">I71*(Curves!B57+Curves!F57+Curves!G57)</f>
        <v>0</v>
      </c>
      <c r="K71" s="68" t="n">
        <v>0</v>
      </c>
      <c r="L71" s="59" t="n">
        <f aca="false">K71*I71-J71</f>
        <v>0</v>
      </c>
      <c r="N71" s="74" t="n">
        <f aca="false">(1+Curves!V57/12)^(-12*F71/360)</f>
        <v>0.728046779516424</v>
      </c>
      <c r="O71" s="59" t="n">
        <f aca="false">$F$4*N71*C71</f>
        <v>0</v>
      </c>
      <c r="P71" s="59" t="n">
        <f aca="false">O71*K71</f>
        <v>0</v>
      </c>
      <c r="Q71" s="59" t="n">
        <f aca="false">P71+Q70</f>
        <v>0</v>
      </c>
      <c r="S71" s="59" t="n">
        <f aca="false">O71</f>
        <v>0</v>
      </c>
      <c r="T71" s="59" t="n">
        <f aca="false">S71*(Curves!B57+Curves!F57+Curves!G57)</f>
        <v>0</v>
      </c>
      <c r="U71" s="0" t="n">
        <v>0</v>
      </c>
      <c r="V71" s="59" t="n">
        <f aca="false">(O71/N71)/C71</f>
        <v>0</v>
      </c>
      <c r="W71" s="59" t="n">
        <v>0</v>
      </c>
      <c r="Y71" s="59" t="n">
        <v>0</v>
      </c>
      <c r="Z71" s="68" t="n">
        <v>0</v>
      </c>
    </row>
    <row r="72" customFormat="false" ht="12.75" hidden="false" customHeight="false" outlineLevel="0" collapsed="false">
      <c r="B72" s="155" t="n">
        <v>38596</v>
      </c>
      <c r="C72" s="0" t="n">
        <f aca="false">EOMONTH(B72,0)-EOMONTH(B72,-1)</f>
        <v>30</v>
      </c>
      <c r="D72" s="66" t="n">
        <f aca="false">WORKDAY(EOMONTH(B72,0)+24,1,'Financing Assumptions'!E90:E96)</f>
        <v>38650</v>
      </c>
      <c r="E72" s="156" t="str">
        <f aca="false">TEXT(D72,"DDD")</f>
        <v>Tue</v>
      </c>
      <c r="F72" s="41" t="n">
        <f aca="false">D72-$D$14</f>
        <v>1762</v>
      </c>
      <c r="H72" s="0" t="n">
        <f aca="false">(1+Curves!U58/12)^(-12*F72/360)</f>
        <v>0.75563731957216</v>
      </c>
      <c r="I72" s="152" t="n">
        <f aca="false">$F$4*H72*C72</f>
        <v>0</v>
      </c>
      <c r="J72" s="59" t="n">
        <f aca="false">I72*(Curves!B58+Curves!F58+Curves!G58)</f>
        <v>0</v>
      </c>
      <c r="K72" s="68" t="n">
        <v>0</v>
      </c>
      <c r="L72" s="59" t="n">
        <f aca="false">K72*I72-J72</f>
        <v>0</v>
      </c>
      <c r="N72" s="74" t="n">
        <f aca="false">(1+Curves!V58/12)^(-12*F72/360)</f>
        <v>0.724118038422028</v>
      </c>
      <c r="O72" s="59" t="n">
        <f aca="false">$F$4*N72*C72</f>
        <v>0</v>
      </c>
      <c r="P72" s="59" t="n">
        <f aca="false">O72*K72</f>
        <v>0</v>
      </c>
      <c r="Q72" s="59" t="n">
        <f aca="false">P72+Q71</f>
        <v>0</v>
      </c>
      <c r="S72" s="59" t="n">
        <f aca="false">O72</f>
        <v>0</v>
      </c>
      <c r="T72" s="59" t="n">
        <f aca="false">S72*(Curves!B58+Curves!F58+Curves!G58)</f>
        <v>0</v>
      </c>
      <c r="U72" s="0" t="n">
        <v>0</v>
      </c>
      <c r="V72" s="59" t="n">
        <f aca="false">(O72/N72)/C72</f>
        <v>0</v>
      </c>
      <c r="W72" s="59" t="n">
        <v>0</v>
      </c>
      <c r="Y72" s="59" t="n">
        <v>0</v>
      </c>
      <c r="Z72" s="68" t="n">
        <v>0</v>
      </c>
    </row>
    <row r="73" customFormat="false" ht="12.75" hidden="false" customHeight="false" outlineLevel="0" collapsed="false">
      <c r="B73" s="155" t="n">
        <v>38626</v>
      </c>
      <c r="C73" s="0" t="n">
        <f aca="false">EOMONTH(B73,0)-EOMONTH(B73,-1)</f>
        <v>31</v>
      </c>
      <c r="D73" s="66" t="n">
        <f aca="false">WORKDAY(EOMONTH(B73,0)+24,1,'Financing Assumptions'!E91:E97)</f>
        <v>38681</v>
      </c>
      <c r="E73" s="156" t="str">
        <f aca="false">TEXT(D73,"DDD")</f>
        <v>Fri</v>
      </c>
      <c r="F73" s="41" t="n">
        <f aca="false">D73-$D$14</f>
        <v>1793</v>
      </c>
      <c r="H73" s="0" t="n">
        <f aca="false">(1+Curves!U59/12)^(-12*F73/360)</f>
        <v>0.751847609090296</v>
      </c>
      <c r="I73" s="152" t="n">
        <f aca="false">$F$4*H73*C73</f>
        <v>0</v>
      </c>
      <c r="J73" s="59" t="n">
        <f aca="false">I73*(Curves!B59+Curves!F59+Curves!G59)</f>
        <v>0</v>
      </c>
      <c r="K73" s="68" t="n">
        <v>0</v>
      </c>
      <c r="L73" s="59" t="n">
        <f aca="false">K73*I73-J73</f>
        <v>0</v>
      </c>
      <c r="N73" s="74" t="n">
        <f aca="false">(1+Curves!V59/12)^(-12*F73/360)</f>
        <v>0.719946571788794</v>
      </c>
      <c r="O73" s="59" t="n">
        <f aca="false">$F$4*N73*C73</f>
        <v>0</v>
      </c>
      <c r="P73" s="59" t="n">
        <f aca="false">O73*K73</f>
        <v>0</v>
      </c>
      <c r="Q73" s="59" t="n">
        <f aca="false">P73+Q72</f>
        <v>0</v>
      </c>
      <c r="S73" s="59" t="n">
        <f aca="false">O73</f>
        <v>0</v>
      </c>
      <c r="T73" s="59" t="n">
        <f aca="false">S73*(Curves!B59+Curves!F59+Curves!G59)</f>
        <v>0</v>
      </c>
      <c r="U73" s="0" t="n">
        <v>0</v>
      </c>
      <c r="V73" s="59" t="n">
        <f aca="false">(O73/N73)/C73</f>
        <v>0</v>
      </c>
      <c r="W73" s="59" t="n">
        <v>0</v>
      </c>
      <c r="Y73" s="59" t="n">
        <v>0</v>
      </c>
      <c r="Z73" s="68" t="n">
        <v>0</v>
      </c>
    </row>
    <row r="74" customFormat="false" ht="12.75" hidden="false" customHeight="false" outlineLevel="0" collapsed="false">
      <c r="B74" s="155" t="n">
        <v>38657</v>
      </c>
      <c r="C74" s="0" t="n">
        <f aca="false">EOMONTH(B74,0)-EOMONTH(B74,-1)</f>
        <v>30</v>
      </c>
      <c r="D74" s="66" t="n">
        <f aca="false">WORKDAY(EOMONTH(B74,0)+24,1,'Financing Assumptions'!E92:E98)</f>
        <v>38712</v>
      </c>
      <c r="E74" s="156" t="str">
        <f aca="false">TEXT(D74,"DDD")</f>
        <v>Mon</v>
      </c>
      <c r="F74" s="41" t="n">
        <f aca="false">D74-$D$14</f>
        <v>1824</v>
      </c>
      <c r="H74" s="0" t="n">
        <f aca="false">(1+Curves!U60/12)^(-12*F74/360)</f>
        <v>0.748071872465204</v>
      </c>
      <c r="I74" s="152" t="n">
        <f aca="false">$F$4*H74*C74</f>
        <v>0</v>
      </c>
      <c r="J74" s="59" t="n">
        <f aca="false">I74*(Curves!B60+Curves!F60+Curves!G60)</f>
        <v>0</v>
      </c>
      <c r="K74" s="68" t="n">
        <v>0</v>
      </c>
      <c r="L74" s="59" t="n">
        <f aca="false">K74*I74-J74</f>
        <v>0</v>
      </c>
      <c r="N74" s="74" t="n">
        <f aca="false">(1+Curves!V60/12)^(-12*F74/360)</f>
        <v>0.715794324094208</v>
      </c>
      <c r="O74" s="59" t="n">
        <f aca="false">$F$4*N74*C74</f>
        <v>0</v>
      </c>
      <c r="P74" s="59" t="n">
        <f aca="false">O74*K74</f>
        <v>0</v>
      </c>
      <c r="Q74" s="59" t="n">
        <f aca="false">P74+Q73</f>
        <v>0</v>
      </c>
      <c r="S74" s="59" t="n">
        <f aca="false">O74</f>
        <v>0</v>
      </c>
      <c r="T74" s="59" t="n">
        <f aca="false">S74*(Curves!B60+Curves!F60+Curves!G60)</f>
        <v>0</v>
      </c>
      <c r="U74" s="0" t="n">
        <v>0</v>
      </c>
      <c r="V74" s="59" t="n">
        <f aca="false">(O74/N74)/C74</f>
        <v>0</v>
      </c>
      <c r="W74" s="59" t="n">
        <v>0</v>
      </c>
      <c r="Y74" s="59" t="n">
        <v>0</v>
      </c>
      <c r="Z74" s="68" t="n">
        <v>0</v>
      </c>
    </row>
  </sheetData>
  <mergeCells count="2">
    <mergeCell ref="H9:L9"/>
    <mergeCell ref="N9:Q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Michael Garberding</cp:lastModifiedBy>
  <cp:lastPrinted>2000-12-22T17:46:25Z</cp:lastPrinted>
  <cp:revision>0</cp:revision>
  <dc:subject/>
  <dc:title/>
</cp:coreProperties>
</file>