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ap" sheetId="1" state="visible" r:id="rId3"/>
    <sheet name="Causey_FundsFlow" sheetId="2" state="visible" r:id="rId4"/>
    <sheet name="Causey_Working Cap" sheetId="3" state="visible" r:id="rId5"/>
    <sheet name="Causey_CFFO" sheetId="4" state="visible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3" name="_xlnm.Print_Area" vbProcedure="false">Causey_CFFO!$B$5:$L$47</definedName>
    <definedName function="false" hidden="false" localSheetId="1" name="_xlnm.Print_Area" vbProcedure="false">Causey_FundsFlow!$B$5:$L$33</definedName>
    <definedName function="false" hidden="false" localSheetId="2" name="_xlnm.Print_Area" vbProcedure="false">'Causey_Working Cap'!$B$5:$L$32</definedName>
    <definedName function="false" hidden="false" localSheetId="0" name="_xlnm.Print_Area" vbProcedure="false">Recap!$A$1:$O$41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<sst xmlns="http://schemas.openxmlformats.org/spreadsheetml/2006/main" count="145" uniqueCount="79">
  <si>
    <t xml:space="preserve">Enron Corp</t>
  </si>
  <si>
    <t xml:space="preserve">2001 Cash Flow Estimate</t>
  </si>
  <si>
    <t xml:space="preserve">June YTD</t>
  </si>
  <si>
    <t xml:space="preserve">3rd Quarter</t>
  </si>
  <si>
    <t xml:space="preserve">4th Quarter</t>
  </si>
  <si>
    <t xml:space="preserve">Full Year</t>
  </si>
  <si>
    <t xml:space="preserve">Needed to</t>
  </si>
  <si>
    <t xml:space="preserve">Actuals</t>
  </si>
  <si>
    <t xml:space="preserve">Target</t>
  </si>
  <si>
    <t xml:space="preserve">Estimate</t>
  </si>
  <si>
    <t xml:space="preserve">Meet Targets</t>
  </si>
  <si>
    <t xml:space="preserve">Funds Flow from Operations</t>
  </si>
  <si>
    <t xml:space="preserve">Changes in Working Capital</t>
  </si>
  <si>
    <t xml:space="preserve">Cash Flow from Operations</t>
  </si>
  <si>
    <t xml:space="preserve">Proceeds from Sale of Assets</t>
  </si>
  <si>
    <t xml:space="preserve">Capital Exp &amp; Equity Investments</t>
  </si>
  <si>
    <t xml:space="preserve">Cash Flow</t>
  </si>
  <si>
    <t xml:space="preserve">Cash Flow from Financing</t>
  </si>
  <si>
    <t xml:space="preserve">Increase/(Dec) in Debt</t>
  </si>
  <si>
    <t xml:space="preserve">Dividends Paid</t>
  </si>
  <si>
    <t xml:space="preserve">Other Financing</t>
  </si>
  <si>
    <t xml:space="preserve">Increase/(Decrease) in Cash Balances</t>
  </si>
  <si>
    <t xml:space="preserve">Balance Sheet Debt</t>
  </si>
  <si>
    <t xml:space="preserve">Opening Balance</t>
  </si>
  <si>
    <t xml:space="preserve">Increase from Cash Flow</t>
  </si>
  <si>
    <t xml:space="preserve">Other Changes</t>
  </si>
  <si>
    <t xml:space="preserve">Ending Balance</t>
  </si>
  <si>
    <t xml:space="preserve">Includes investing activities related to Sithe of ($955) mm, Merlin ($71) mm</t>
  </si>
  <si>
    <t xml:space="preserve">2001 Third Quarter</t>
  </si>
  <si>
    <t xml:space="preserve">3rd Quarter 2001</t>
  </si>
  <si>
    <t xml:space="preserve">Current  </t>
  </si>
  <si>
    <t xml:space="preserve">Identified </t>
  </si>
  <si>
    <t xml:space="preserve">Sept YTD</t>
  </si>
  <si>
    <t xml:space="preserve">View *</t>
  </si>
  <si>
    <t xml:space="preserve">Transactions</t>
  </si>
  <si>
    <t xml:space="preserve">Target **</t>
  </si>
  <si>
    <t xml:space="preserve">Transportation &amp; Distribution</t>
  </si>
  <si>
    <t xml:space="preserve">Enron Transportation Services</t>
  </si>
  <si>
    <t xml:space="preserve">Portland General Group</t>
  </si>
  <si>
    <t xml:space="preserve">Wholesale</t>
  </si>
  <si>
    <t xml:space="preserve">***</t>
  </si>
  <si>
    <t xml:space="preserve">Enron Global Assets &amp; Services</t>
  </si>
  <si>
    <t xml:space="preserve">Enron Energy Services</t>
  </si>
  <si>
    <t xml:space="preserve">Enron Renewable Energy</t>
  </si>
  <si>
    <t xml:space="preserve">Corporate &amp; Other</t>
  </si>
  <si>
    <t xml:space="preserve">Total</t>
  </si>
  <si>
    <t xml:space="preserve">Wholesale includes - Americas, Europe, EGM, EIM, ENW, EBS, EIP, EGEP and EE&amp;CC</t>
  </si>
  <si>
    <t xml:space="preserve">Corp and Other includes - Corp, Azurix and Clean Fuels</t>
  </si>
  <si>
    <t xml:space="preserve">* Based on view of funds flow without any prepays, overviews or any other major transaction</t>
  </si>
  <si>
    <t xml:space="preserve">** Based on full year target of $3,000</t>
  </si>
  <si>
    <t xml:space="preserve">*** Needed Prepays for 3rd quarter based on $3,000 full year target</t>
  </si>
  <si>
    <t xml:space="preserve">Corp &amp; Other</t>
  </si>
  <si>
    <t xml:space="preserve">ECM Other</t>
  </si>
  <si>
    <t xml:space="preserve">Azurix</t>
  </si>
  <si>
    <t xml:space="preserve">Clean Fuels</t>
  </si>
  <si>
    <t xml:space="preserve">Finance</t>
  </si>
  <si>
    <t xml:space="preserve">Overview</t>
  </si>
  <si>
    <t xml:space="preserve">IVEST</t>
  </si>
  <si>
    <t xml:space="preserve">Eliminations</t>
  </si>
  <si>
    <t xml:space="preserve">**</t>
  </si>
  <si>
    <t xml:space="preserve">* Based on view of funds flow without any major transaction</t>
  </si>
  <si>
    <t xml:space="preserve">** Planed A/R sale $500 more to be executed in Q4</t>
  </si>
  <si>
    <t xml:space="preserve">Cash Flow From Operating Activities</t>
  </si>
  <si>
    <t xml:space="preserve">Enron North America</t>
  </si>
  <si>
    <t xml:space="preserve">Enron Europe</t>
  </si>
  <si>
    <t xml:space="preserve">CATS &amp; Margaux</t>
  </si>
  <si>
    <t xml:space="preserve">Middle East</t>
  </si>
  <si>
    <t xml:space="preserve">Enron Global Markets</t>
  </si>
  <si>
    <t xml:space="preserve">Enron Broadband</t>
  </si>
  <si>
    <t xml:space="preserve">Global Explor &amp; Prod</t>
  </si>
  <si>
    <t xml:space="preserve">EEOS</t>
  </si>
  <si>
    <t xml:space="preserve">Enron Net Works</t>
  </si>
  <si>
    <t xml:space="preserve">Enron Global Finance</t>
  </si>
  <si>
    <t xml:space="preserve">Enron Industrial Markets</t>
  </si>
  <si>
    <t xml:space="preserve">Enron Investment Partners</t>
  </si>
  <si>
    <t xml:space="preserve">Wholesale - Other</t>
  </si>
  <si>
    <t xml:space="preserve">Wholesale - EES</t>
  </si>
  <si>
    <t xml:space="preserve">Wholesale - Elims</t>
  </si>
  <si>
    <t xml:space="preserve">EI Headquarters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</si>
</sst>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_);_(* \(#,##0.0\);_(* \-?_);_(@_)"/>
    <numFmt numFmtId="166" formatCode="[$-409]h:mm\ AM/PM"/>
    <numFmt numFmtId="167" formatCode="mm/dd/yy"/>
    <numFmt numFmtId="168" formatCode="_(* #,##0_);_(* \(#,##0\);_(* \-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 val="true"/>
      <sz val="12"/>
      <color rgb="FF0000FF"/>
      <name val="Arial"/>
      <family val="2"/>
    </font>
    <font>
      <b val="true"/>
      <sz val="11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ocuments%20and%20Settings/sschwar/Local%20Settings/Temporary%20Internet%20Files/OLK18/FullYear_Es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orporate/GPGFin/Cfp/CURREST/2001CE/June_Cash/FullYear_Es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orporate/GPGFin/Cfp/CURREST/2001CE/June_Cash/Investing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Documents%20and%20Settings/sschwar/Local%20Settings/Temporary%20Internet%20Files/OLK18/BU-CashFlow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Documents%20and%20Settings/sschwar/Local%20Settings/Temporary%20Internet%20Files/OLK18/Cause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Spain"/>
      <sheetName val="Summary"/>
      <sheetName val="BS_Sum"/>
      <sheetName val="Ratios"/>
      <sheetName val="Deals"/>
      <sheetName val="NewDeals"/>
      <sheetName val="Ratios_B"/>
      <sheetName val="BalanceSheet"/>
    </sheetNames>
    <sheetDataSet>
      <sheetData sheetId="0"/>
      <sheetData sheetId="1">
        <row r="27">
          <cell r="I27">
            <v>1804409</v>
          </cell>
        </row>
        <row r="27">
          <cell r="AB27">
            <v>3000000</v>
          </cell>
        </row>
        <row r="40">
          <cell r="I40">
            <v>-3142310</v>
          </cell>
        </row>
        <row r="40">
          <cell r="AB40">
            <v>-1995312.57950458</v>
          </cell>
        </row>
        <row r="45">
          <cell r="I45">
            <v>1423171</v>
          </cell>
        </row>
        <row r="45">
          <cell r="M45">
            <v>5000</v>
          </cell>
        </row>
        <row r="45">
          <cell r="AB45">
            <v>1462971</v>
          </cell>
        </row>
        <row r="46">
          <cell r="I46">
            <v>-1199686</v>
          </cell>
        </row>
        <row r="46">
          <cell r="M46">
            <v>-426189.588890557</v>
          </cell>
        </row>
        <row r="46">
          <cell r="AB46">
            <v>-1909319.93073235</v>
          </cell>
        </row>
        <row r="47">
          <cell r="I47">
            <v>0</v>
          </cell>
        </row>
        <row r="47">
          <cell r="M47">
            <v>0</v>
          </cell>
        </row>
        <row r="47">
          <cell r="AB47">
            <v>0</v>
          </cell>
        </row>
        <row r="48">
          <cell r="I48">
            <v>-1087533</v>
          </cell>
        </row>
        <row r="48">
          <cell r="M48">
            <v>-115200</v>
          </cell>
        </row>
        <row r="48">
          <cell r="AB48">
            <v>-1255133</v>
          </cell>
        </row>
        <row r="49">
          <cell r="I49">
            <v>-33765</v>
          </cell>
        </row>
        <row r="49">
          <cell r="M49">
            <v>0</v>
          </cell>
        </row>
        <row r="49">
          <cell r="AB49">
            <v>-33765</v>
          </cell>
        </row>
        <row r="50">
          <cell r="I50">
            <v>-262394</v>
          </cell>
        </row>
        <row r="50">
          <cell r="M50">
            <v>-26578.9437667696</v>
          </cell>
        </row>
        <row r="50">
          <cell r="AB50">
            <v>-262292.354321831</v>
          </cell>
        </row>
        <row r="55">
          <cell r="I55">
            <v>2251234</v>
          </cell>
        </row>
        <row r="55">
          <cell r="AB55">
            <v>1030240.36455876</v>
          </cell>
        </row>
        <row r="56">
          <cell r="I56">
            <v>-24254.0000000003</v>
          </cell>
        </row>
        <row r="56">
          <cell r="M56">
            <v>1499.99999999994</v>
          </cell>
        </row>
        <row r="56">
          <cell r="AB56">
            <v>-22754.0000000004</v>
          </cell>
        </row>
        <row r="57">
          <cell r="I57">
            <v>0</v>
          </cell>
        </row>
        <row r="57">
          <cell r="M57">
            <v>0</v>
          </cell>
        </row>
        <row r="57">
          <cell r="AB57">
            <v>0</v>
          </cell>
        </row>
        <row r="58">
          <cell r="I58">
            <v>-36000</v>
          </cell>
        </row>
        <row r="58">
          <cell r="M58">
            <v>-18481.25</v>
          </cell>
        </row>
        <row r="58">
          <cell r="AB58">
            <v>-72862.5</v>
          </cell>
        </row>
        <row r="59">
          <cell r="I59">
            <v>-220390</v>
          </cell>
        </row>
        <row r="59">
          <cell r="M59">
            <v>-128500</v>
          </cell>
        </row>
        <row r="59">
          <cell r="AB59">
            <v>-471390</v>
          </cell>
        </row>
        <row r="60">
          <cell r="I60">
            <v>0</v>
          </cell>
        </row>
        <row r="60">
          <cell r="M60">
            <v>1600</v>
          </cell>
        </row>
        <row r="60">
          <cell r="AB60">
            <v>2100</v>
          </cell>
        </row>
      </sheetData>
      <sheetData sheetId="2">
        <row r="16">
          <cell r="C16">
            <v>-10229456.788</v>
          </cell>
        </row>
        <row r="16">
          <cell r="G16">
            <v>-12812121.031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BS_Sum"/>
      <sheetName val="Deals"/>
      <sheetName val="Proforma"/>
      <sheetName val="Ratios"/>
      <sheetName val="2ndQuarter"/>
      <sheetName val="3rdQuarter"/>
      <sheetName val="4thQuarter"/>
      <sheetName val="BalanceSheet"/>
    </sheetNames>
    <sheetDataSet>
      <sheetData sheetId="0">
        <row r="27">
          <cell r="Q27">
            <v>-70224.662782233</v>
          </cell>
        </row>
        <row r="40">
          <cell r="Q40">
            <v>-2722068.12663223</v>
          </cell>
        </row>
        <row r="45">
          <cell r="Q45">
            <v>1872382</v>
          </cell>
        </row>
        <row r="55">
          <cell r="Q55">
            <v>4348420.06554931</v>
          </cell>
        </row>
        <row r="56">
          <cell r="Q56">
            <v>0</v>
          </cell>
        </row>
        <row r="57">
          <cell r="Q57">
            <v>0</v>
          </cell>
        </row>
        <row r="58">
          <cell r="Q58">
            <v>-43862.5</v>
          </cell>
        </row>
        <row r="59">
          <cell r="Q59">
            <v>-526846</v>
          </cell>
        </row>
        <row r="60">
          <cell r="Q60">
            <v>-53701.7049664752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Y_Sum"/>
      <sheetName val="CapEx"/>
      <sheetName val="Equity"/>
      <sheetName val="SubStock"/>
      <sheetName val="CashPaid"/>
      <sheetName val="OtherInvesting"/>
      <sheetName val="Investing"/>
      <sheetName val="CapEx_detail"/>
      <sheetName val="EquityInvesting_detail"/>
      <sheetName val="SubStock_detail"/>
      <sheetName val="CashPaid_detail"/>
      <sheetName val="Investing_detail"/>
    </sheetNames>
    <sheetDataSet>
      <sheetData sheetId="0">
        <row r="42">
          <cell r="D42">
            <v>-926.896029335187</v>
          </cell>
        </row>
        <row r="42">
          <cell r="F42">
            <v>-768.78</v>
          </cell>
        </row>
        <row r="42">
          <cell r="H42">
            <v>0</v>
          </cell>
        </row>
        <row r="42">
          <cell r="J42">
            <v>101.239</v>
          </cell>
        </row>
        <row r="42">
          <cell r="L42">
            <v>-1266.405705779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une"/>
      <sheetName val="May"/>
      <sheetName val="April"/>
      <sheetName val="MarchR"/>
      <sheetName val="March"/>
      <sheetName val="March_Sum"/>
      <sheetName val="APRIL_SQ"/>
      <sheetName val="Sheet3"/>
    </sheetNames>
    <sheetDataSet>
      <sheetData sheetId="0">
        <row r="29">
          <cell r="B29">
            <v>1808265</v>
          </cell>
        </row>
        <row r="29">
          <cell r="D29">
            <v>162661</v>
          </cell>
        </row>
        <row r="29">
          <cell r="F29">
            <v>113813</v>
          </cell>
        </row>
        <row r="29">
          <cell r="T29">
            <v>33907</v>
          </cell>
        </row>
        <row r="29">
          <cell r="AN29">
            <v>49160</v>
          </cell>
        </row>
        <row r="29">
          <cell r="AP29">
            <v>7084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undsFlow"/>
      <sheetName val="WorkingCapital"/>
      <sheetName val="Investing"/>
      <sheetName val="Recap"/>
      <sheetName val="Causey_FundsFlow"/>
      <sheetName val="Causey_Working Cap"/>
      <sheetName val="Causey_CFFO"/>
    </sheetNames>
    <sheetDataSet>
      <sheetData sheetId="0">
        <row r="13">
          <cell r="L13">
            <v>60.8</v>
          </cell>
        </row>
        <row r="14">
          <cell r="L14">
            <v>29.0489100894791</v>
          </cell>
        </row>
        <row r="34">
          <cell r="D34">
            <v>852.57</v>
          </cell>
        </row>
        <row r="34">
          <cell r="L34">
            <v>-93.4421519164266</v>
          </cell>
        </row>
        <row r="36">
          <cell r="L36">
            <v>-80.2</v>
          </cell>
        </row>
        <row r="37">
          <cell r="L37">
            <v>3.77200000000004</v>
          </cell>
        </row>
        <row r="38">
          <cell r="L38">
            <v>12.5</v>
          </cell>
        </row>
        <row r="40">
          <cell r="L40">
            <v>-353.740171882581</v>
          </cell>
        </row>
      </sheetData>
      <sheetData sheetId="1">
        <row r="13">
          <cell r="D13">
            <v>-38.801</v>
          </cell>
        </row>
        <row r="13">
          <cell r="L13">
            <v>75.8</v>
          </cell>
        </row>
        <row r="14">
          <cell r="D14">
            <v>-240.572</v>
          </cell>
        </row>
        <row r="14">
          <cell r="L14">
            <v>7.35184778227431</v>
          </cell>
        </row>
        <row r="15">
          <cell r="D15">
            <v>-279.373</v>
          </cell>
        </row>
        <row r="15">
          <cell r="L15">
            <v>83.1518477822743</v>
          </cell>
        </row>
        <row r="34">
          <cell r="D34">
            <v>-2230.39</v>
          </cell>
        </row>
        <row r="34">
          <cell r="L34">
            <v>-248.54316828992</v>
          </cell>
        </row>
        <row r="36">
          <cell r="D36">
            <v>-76.668</v>
          </cell>
        </row>
        <row r="36">
          <cell r="L36">
            <v>-112.1</v>
          </cell>
        </row>
        <row r="37">
          <cell r="D37">
            <v>-156.131</v>
          </cell>
        </row>
        <row r="37">
          <cell r="L37">
            <v>-2</v>
          </cell>
        </row>
        <row r="38">
          <cell r="D38">
            <v>-118.02</v>
          </cell>
        </row>
        <row r="38">
          <cell r="L38">
            <v>71.7</v>
          </cell>
        </row>
        <row r="40">
          <cell r="D40">
            <v>-281.728</v>
          </cell>
        </row>
        <row r="40">
          <cell r="L40">
            <v>250.410954465397</v>
          </cell>
        </row>
        <row r="42">
          <cell r="D42">
            <v>-3142.31</v>
          </cell>
        </row>
        <row r="42">
          <cell r="L42">
            <v>42.6196339577506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28.28"/>
    <col collapsed="false" customWidth="true" hidden="false" outlineLevel="0" max="3" min="3" style="1" width="3.42"/>
    <col collapsed="false" customWidth="true" hidden="false" outlineLevel="0" max="4" min="4" style="1" width="12.7"/>
    <col collapsed="false" customWidth="true" hidden="false" outlineLevel="0" max="5" min="5" style="1" width="5.71"/>
    <col collapsed="false" customWidth="true" hidden="false" outlineLevel="0" max="6" min="6" style="1" width="12.7"/>
    <col collapsed="false" customWidth="true" hidden="false" outlineLevel="0" max="7" min="7" style="1" width="5.71"/>
    <col collapsed="false" customWidth="true" hidden="false" outlineLevel="0" max="8" min="8" style="1" width="12.7"/>
    <col collapsed="false" customWidth="true" hidden="false" outlineLevel="0" max="9" min="9" style="1" width="5.71"/>
    <col collapsed="false" customWidth="true" hidden="true" outlineLevel="0" max="10" min="10" style="0" width="12.7"/>
    <col collapsed="false" customWidth="true" hidden="true" outlineLevel="0" max="11" min="11" style="1" width="3.99"/>
    <col collapsed="false" customWidth="true" hidden="true" outlineLevel="0" max="12" min="12" style="1" width="12.7"/>
    <col collapsed="false" customWidth="true" hidden="true" outlineLevel="0" max="13" min="13" style="1" width="3.28"/>
    <col collapsed="false" customWidth="true" hidden="false" outlineLevel="0" max="14" min="14" style="1" width="12.7"/>
    <col collapsed="false" customWidth="true" hidden="false" outlineLevel="0" max="15" min="15" style="1" width="3.7"/>
    <col collapsed="false" customWidth="false" hidden="false" outlineLevel="0" max="257" min="16" style="1" width="9.14"/>
  </cols>
  <sheetData>
    <row r="1" customFormat="false" ht="12.75" hidden="false" customHeight="false" outlineLevel="0" collapsed="false">
      <c r="A1" s="2"/>
      <c r="K1" s="3"/>
    </row>
    <row r="2" customFormat="false" ht="12.75" hidden="false" customHeight="false" outlineLevel="0" collapsed="false">
      <c r="K2" s="4"/>
    </row>
    <row r="3" customFormat="false" ht="12.75" hidden="false" customHeight="false" outlineLevel="0" collapsed="false">
      <c r="K3" s="4"/>
    </row>
    <row r="5" customFormat="false" ht="15.75" hidden="false" customHeight="false" outlineLevel="0" collapsed="false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5" hidden="false" customHeight="false" outlineLevel="0" collapsed="false">
      <c r="A7" s="7"/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5" hidden="false" customHeight="false" outlineLevel="0" collapsed="false">
      <c r="A8" s="7"/>
      <c r="B8" s="8"/>
      <c r="C8" s="8"/>
      <c r="D8" s="8"/>
      <c r="E8" s="8"/>
      <c r="G8" s="8"/>
      <c r="I8" s="8"/>
      <c r="K8" s="8"/>
    </row>
    <row r="9" customFormat="false" ht="11.25" hidden="false" customHeight="false" outlineLevel="0" collapsed="false">
      <c r="A9" s="8"/>
      <c r="B9" s="8"/>
      <c r="C9" s="8"/>
      <c r="D9" s="9" t="s">
        <v>2</v>
      </c>
      <c r="F9" s="9" t="s">
        <v>3</v>
      </c>
      <c r="H9" s="9" t="s">
        <v>4</v>
      </c>
      <c r="J9" s="9" t="s">
        <v>5</v>
      </c>
      <c r="K9" s="9"/>
      <c r="L9" s="10" t="s">
        <v>6</v>
      </c>
    </row>
    <row r="10" customFormat="false" ht="11.25" hidden="false" customHeight="false" outlineLevel="0" collapsed="false">
      <c r="A10" s="11"/>
      <c r="B10" s="11"/>
      <c r="C10" s="11"/>
      <c r="D10" s="12" t="s">
        <v>7</v>
      </c>
      <c r="E10" s="11"/>
      <c r="F10" s="12" t="s">
        <v>8</v>
      </c>
      <c r="G10" s="11"/>
      <c r="H10" s="12" t="s">
        <v>8</v>
      </c>
      <c r="I10" s="11"/>
      <c r="J10" s="12" t="s">
        <v>9</v>
      </c>
      <c r="K10" s="9"/>
      <c r="L10" s="13" t="s">
        <v>10</v>
      </c>
      <c r="M10" s="11"/>
      <c r="N10" s="12" t="s">
        <v>5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5" hidden="false" customHeight="true" outlineLevel="0" collapsed="false">
      <c r="B11" s="14"/>
      <c r="J11" s="1"/>
      <c r="K11" s="15"/>
    </row>
    <row r="12" customFormat="false" ht="15" hidden="false" customHeight="true" outlineLevel="0" collapsed="false">
      <c r="B12" s="16" t="s">
        <v>11</v>
      </c>
      <c r="D12" s="1" t="n">
        <f aca="false">+[1]Summary!$I$27/1000</f>
        <v>1804.409</v>
      </c>
      <c r="F12" s="1" t="n">
        <f aca="false">+Causey_FundsFlow!J26</f>
        <v>378.738586290472</v>
      </c>
      <c r="H12" s="1" t="n">
        <f aca="false">N12-D12-F12</f>
        <v>816.852413709529</v>
      </c>
      <c r="J12" s="1" t="n">
        <f aca="false">+[2]Summary!$Q$27/1000</f>
        <v>-70.224662782233</v>
      </c>
      <c r="K12" s="15"/>
      <c r="L12" s="1" t="n">
        <f aca="false">+N12-J12</f>
        <v>3070.22466278223</v>
      </c>
      <c r="N12" s="1" t="n">
        <f aca="false">+[1]Summary!$AB$27/1000</f>
        <v>3000</v>
      </c>
    </row>
    <row r="13" customFormat="false" ht="3.95" hidden="false" customHeight="true" outlineLevel="0" collapsed="false">
      <c r="B13" s="14"/>
      <c r="J13" s="1"/>
      <c r="K13" s="15"/>
    </row>
    <row r="14" customFormat="false" ht="15" hidden="false" customHeight="true" outlineLevel="0" collapsed="false">
      <c r="B14" s="16" t="s">
        <v>12</v>
      </c>
      <c r="D14" s="1" t="n">
        <f aca="false">+[1]Summary!$I$40/1000</f>
        <v>-3142.31</v>
      </c>
      <c r="F14" s="1" t="n">
        <f aca="false">+'Causey_Working Cap'!J26</f>
        <v>542.619633957751</v>
      </c>
      <c r="H14" s="1" t="n">
        <f aca="false">N14-D14-F14</f>
        <v>604.377786537672</v>
      </c>
      <c r="J14" s="1" t="n">
        <f aca="false">+[2]Summary!$Q$40/1000</f>
        <v>-2722.06812663223</v>
      </c>
      <c r="K14" s="15"/>
      <c r="L14" s="1" t="n">
        <f aca="false">+N14-J14</f>
        <v>726.755547127651</v>
      </c>
      <c r="N14" s="1" t="n">
        <f aca="false">+[1]Summary!$AB$40/1000</f>
        <v>-1995.31257950458</v>
      </c>
    </row>
    <row r="15" customFormat="false" ht="3.95" hidden="false" customHeight="true" outlineLevel="0" collapsed="false">
      <c r="B15" s="14"/>
      <c r="J15" s="1"/>
      <c r="K15" s="15"/>
    </row>
    <row r="16" customFormat="false" ht="15" hidden="false" customHeight="true" outlineLevel="0" collapsed="false">
      <c r="A16" s="16"/>
      <c r="B16" s="17" t="s">
        <v>13</v>
      </c>
      <c r="C16" s="16"/>
      <c r="D16" s="18" t="n">
        <f aca="false">SUM(D12:D15)</f>
        <v>-1337.901</v>
      </c>
      <c r="E16" s="16"/>
      <c r="F16" s="18" t="n">
        <f aca="false">SUM(F12:F15)</f>
        <v>921.358220248222</v>
      </c>
      <c r="G16" s="16"/>
      <c r="H16" s="18" t="n">
        <f aca="false">SUM(H12:H15)</f>
        <v>1421.2302002472</v>
      </c>
      <c r="I16" s="16"/>
      <c r="J16" s="18" t="n">
        <f aca="false">SUM(J12:J15)</f>
        <v>-2792.29278941446</v>
      </c>
      <c r="K16" s="19"/>
      <c r="L16" s="18" t="n">
        <f aca="false">SUM(L12:L15)</f>
        <v>3796.98020990988</v>
      </c>
      <c r="M16" s="16"/>
      <c r="N16" s="18" t="n">
        <f aca="false">SUM(N12:N15)</f>
        <v>1004.68742049542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</row>
    <row r="17" customFormat="false" ht="15" hidden="false" customHeight="true" outlineLevel="0" collapsed="false">
      <c r="B17" s="20"/>
      <c r="K17" s="15"/>
    </row>
    <row r="18" customFormat="false" ht="15" hidden="false" customHeight="true" outlineLevel="0" collapsed="false">
      <c r="B18" s="16" t="s">
        <v>14</v>
      </c>
      <c r="D18" s="1" t="n">
        <f aca="false">+[1]Summary!$I$45/1000</f>
        <v>1423.171</v>
      </c>
      <c r="F18" s="1" t="n">
        <f aca="false">+[1]Summary!$M$45/1000</f>
        <v>5</v>
      </c>
      <c r="H18" s="1" t="n">
        <f aca="false">N18-D18-F18</f>
        <v>34.8</v>
      </c>
      <c r="J18" s="1" t="n">
        <f aca="false">+[2]Summary!$Q$45/1000</f>
        <v>1872.382</v>
      </c>
      <c r="K18" s="15"/>
      <c r="L18" s="1" t="n">
        <v>0</v>
      </c>
      <c r="N18" s="1" t="n">
        <f aca="false">+[1]Summary!$AB$45/1000</f>
        <v>1462.971</v>
      </c>
    </row>
    <row r="19" customFormat="false" ht="15" hidden="false" customHeight="true" outlineLevel="0" collapsed="false">
      <c r="B19" s="16" t="s">
        <v>15</v>
      </c>
      <c r="D19" s="1" t="n">
        <f aca="false">SUM([1]Summary!$I$46:$I$50)/1000</f>
        <v>-2583.378</v>
      </c>
      <c r="F19" s="1" t="n">
        <f aca="false">SUM([1]Summary!$M$46:$M$50)/1000</f>
        <v>-567.968532657327</v>
      </c>
      <c r="H19" s="1" t="n">
        <f aca="false">N19-D19-F19</f>
        <v>-309.163752396853</v>
      </c>
      <c r="J19" s="1" t="n">
        <f aca="false">SUM([3]FY_Sum!$D$42:$L$42)</f>
        <v>-2860.84273511419</v>
      </c>
      <c r="K19" s="15"/>
      <c r="L19" s="1" t="n">
        <v>0</v>
      </c>
      <c r="N19" s="1" t="n">
        <f aca="false">SUM([1]Summary!$AB$46:$AB$50)/1000</f>
        <v>-3460.51028505418</v>
      </c>
    </row>
    <row r="20" customFormat="false" ht="15" hidden="false" customHeight="true" outlineLevel="0" collapsed="false">
      <c r="B20" s="14"/>
      <c r="D20" s="18" t="n">
        <f aca="false">SUM(D18:D19)</f>
        <v>-1160.207</v>
      </c>
      <c r="E20" s="16"/>
      <c r="F20" s="18" t="n">
        <f aca="false">SUM(F18:F19)</f>
        <v>-562.968532657327</v>
      </c>
      <c r="G20" s="16"/>
      <c r="H20" s="18" t="n">
        <f aca="false">SUM(H18:H19)</f>
        <v>-274.363752396853</v>
      </c>
      <c r="I20" s="16"/>
      <c r="J20" s="18" t="n">
        <f aca="false">+J19+J18</f>
        <v>-988.460735114189</v>
      </c>
      <c r="K20" s="15"/>
      <c r="L20" s="18" t="n">
        <f aca="false">+L19+L18</f>
        <v>0</v>
      </c>
      <c r="N20" s="18" t="n">
        <f aca="false">+N19+N18</f>
        <v>-1997.53928505418</v>
      </c>
    </row>
    <row r="21" customFormat="false" ht="5.1" hidden="false" customHeight="true" outlineLevel="0" collapsed="false">
      <c r="B21" s="14"/>
      <c r="J21" s="1"/>
      <c r="K21" s="15"/>
    </row>
    <row r="22" customFormat="false" ht="15" hidden="false" customHeight="true" outlineLevel="0" collapsed="false">
      <c r="A22" s="16"/>
      <c r="B22" s="17" t="s">
        <v>16</v>
      </c>
      <c r="C22" s="16"/>
      <c r="D22" s="16" t="n">
        <f aca="false">+D20+D16</f>
        <v>-2498.108</v>
      </c>
      <c r="E22" s="16"/>
      <c r="F22" s="16" t="n">
        <f aca="false">+F20+F16</f>
        <v>358.389687590895</v>
      </c>
      <c r="G22" s="16"/>
      <c r="H22" s="16" t="n">
        <f aca="false">+H20+H16</f>
        <v>1146.86644785035</v>
      </c>
      <c r="I22" s="16"/>
      <c r="J22" s="16" t="n">
        <f aca="false">+J20+J16</f>
        <v>-3780.75352452865</v>
      </c>
      <c r="K22" s="19"/>
      <c r="L22" s="16" t="n">
        <f aca="false">+L20+L16</f>
        <v>3796.98020990988</v>
      </c>
      <c r="M22" s="16"/>
      <c r="N22" s="16" t="n">
        <f aca="false">+N20+N16</f>
        <v>-992.851864558759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15" hidden="false" customHeight="true" outlineLevel="0" collapsed="false">
      <c r="B23" s="14"/>
      <c r="J23" s="1"/>
      <c r="K23" s="15"/>
    </row>
    <row r="24" customFormat="false" ht="15" hidden="false" customHeight="true" outlineLevel="0" collapsed="false">
      <c r="B24" s="16" t="s">
        <v>17</v>
      </c>
      <c r="J24" s="1"/>
      <c r="K24" s="15"/>
    </row>
    <row r="25" customFormat="false" ht="15" hidden="false" customHeight="true" outlineLevel="0" collapsed="false">
      <c r="B25" s="14" t="s">
        <v>18</v>
      </c>
      <c r="D25" s="1" t="n">
        <f aca="false">+[1]Summary!$I$55/1000</f>
        <v>2251.234</v>
      </c>
      <c r="F25" s="1" t="n">
        <f aca="false">-F22-SUM(F26:F27)</f>
        <v>-214.508437590895</v>
      </c>
      <c r="H25" s="1" t="n">
        <f aca="false">N25-D25-F25</f>
        <v>-1006.48519785035</v>
      </c>
      <c r="J25" s="1" t="n">
        <f aca="false">+[2]Summary!$Q$55/1000</f>
        <v>4348.42006554931</v>
      </c>
      <c r="K25" s="15"/>
      <c r="L25" s="1" t="n">
        <f aca="false">-L22</f>
        <v>-3796.98020990988</v>
      </c>
      <c r="N25" s="1" t="n">
        <f aca="false">+[1]Summary!$AB$55/1000</f>
        <v>1030.24036455876</v>
      </c>
    </row>
    <row r="26" customFormat="false" ht="15" hidden="false" customHeight="true" outlineLevel="0" collapsed="false">
      <c r="B26" s="14" t="s">
        <v>19</v>
      </c>
      <c r="D26" s="1" t="n">
        <f aca="false">SUM([1]Summary!$I$58:$I$59)/1000</f>
        <v>-256.39</v>
      </c>
      <c r="F26" s="1" t="n">
        <f aca="false">SUM([1]Summary!$M$57:$M$59)/1000</f>
        <v>-146.98125</v>
      </c>
      <c r="H26" s="1" t="n">
        <f aca="false">N26-D26-F26</f>
        <v>-140.88125</v>
      </c>
      <c r="J26" s="1" t="n">
        <f aca="false">SUM([2]Summary!$Q$57:$Q$59)/1000</f>
        <v>-570.7085</v>
      </c>
      <c r="K26" s="15"/>
      <c r="L26" s="1" t="n">
        <v>0</v>
      </c>
      <c r="N26" s="1" t="n">
        <f aca="false">SUM([1]Summary!$AB$58:$AB$59)/1000</f>
        <v>-544.2525</v>
      </c>
    </row>
    <row r="27" customFormat="false" ht="15" hidden="false" customHeight="true" outlineLevel="0" collapsed="false">
      <c r="B27" s="14" t="s">
        <v>20</v>
      </c>
      <c r="D27" s="1" t="n">
        <f aca="false">SUM([1]Summary!$I$56:$I$57,[1]Summary!$I$60)/1000</f>
        <v>-24.2540000000003</v>
      </c>
      <c r="F27" s="1" t="n">
        <f aca="false">([1]Summary!$M$56+[1]Summary!$M$60)/1000</f>
        <v>3.09999999999994</v>
      </c>
      <c r="H27" s="1" t="n">
        <f aca="false">N27-D27-F27</f>
        <v>0.499999999999942</v>
      </c>
      <c r="J27" s="1" t="n">
        <f aca="false">SUM([2]Summary!$Q$56,[2]Summary!$Q$60)/1000</f>
        <v>-53.7017049664752</v>
      </c>
      <c r="K27" s="15"/>
      <c r="L27" s="1" t="n">
        <v>0</v>
      </c>
      <c r="N27" s="1" t="n">
        <f aca="false">SUM([1]Summary!$AB$56:$AB$57,[1]Summary!$AB$60)/1000</f>
        <v>-20.6540000000004</v>
      </c>
    </row>
    <row r="28" customFormat="false" ht="15" hidden="false" customHeight="true" outlineLevel="0" collapsed="false">
      <c r="B28" s="14"/>
      <c r="D28" s="18" t="n">
        <f aca="false">SUM(D25:D27)</f>
        <v>1970.59</v>
      </c>
      <c r="E28" s="16"/>
      <c r="F28" s="18" t="n">
        <f aca="false">SUM(F25:F27)</f>
        <v>-358.389687590895</v>
      </c>
      <c r="G28" s="16"/>
      <c r="H28" s="18" t="n">
        <f aca="false">SUM(H25:H27)</f>
        <v>-1146.86644785035</v>
      </c>
      <c r="I28" s="16"/>
      <c r="J28" s="18" t="n">
        <f aca="false">SUM(J25:J27)</f>
        <v>3724.00986058283</v>
      </c>
      <c r="K28" s="15"/>
      <c r="L28" s="18" t="n">
        <f aca="false">SUM(L25:L27)</f>
        <v>-3796.98020990988</v>
      </c>
      <c r="N28" s="18" t="n">
        <f aca="false">SUM(N25:N27)</f>
        <v>465.333864558758</v>
      </c>
    </row>
    <row r="29" customFormat="false" ht="5.1" hidden="false" customHeight="true" outlineLevel="0" collapsed="false">
      <c r="B29" s="14"/>
      <c r="J29" s="1"/>
      <c r="K29" s="15"/>
    </row>
    <row r="30" customFormat="false" ht="15" hidden="false" customHeight="true" outlineLevel="0" collapsed="false">
      <c r="B30" s="16" t="s">
        <v>21</v>
      </c>
      <c r="D30" s="21" t="n">
        <f aca="false">+D28+D22</f>
        <v>-527.518000000002</v>
      </c>
      <c r="F30" s="21" t="n">
        <f aca="false">ROUND(+F28+F22,1)</f>
        <v>0</v>
      </c>
      <c r="H30" s="21" t="n">
        <f aca="false">ROUND(+H28+H22,1)</f>
        <v>0</v>
      </c>
      <c r="J30" s="21" t="n">
        <f aca="false">+J28+J22</f>
        <v>-56.7436639458197</v>
      </c>
      <c r="K30" s="15"/>
      <c r="L30" s="21" t="n">
        <f aca="false">ROUND(+L28+L22,1)</f>
        <v>0</v>
      </c>
      <c r="N30" s="21" t="n">
        <f aca="false">+N28+N22</f>
        <v>-527.518000000001</v>
      </c>
    </row>
    <row r="31" customFormat="false" ht="15" hidden="false" customHeight="true" outlineLevel="0" collapsed="false">
      <c r="B31" s="14"/>
      <c r="J31" s="1"/>
      <c r="K31" s="15"/>
    </row>
    <row r="32" customFormat="false" ht="5.25" hidden="false" customHeight="true" outlineLevel="0" collapsed="false">
      <c r="B32" s="14"/>
      <c r="J32" s="1"/>
      <c r="K32" s="15"/>
    </row>
    <row r="33" customFormat="false" ht="15" hidden="false" customHeight="true" outlineLevel="0" collapsed="false">
      <c r="B33" s="16" t="s">
        <v>22</v>
      </c>
      <c r="J33" s="1"/>
      <c r="K33" s="15"/>
    </row>
    <row r="34" customFormat="false" ht="15" hidden="false" customHeight="true" outlineLevel="0" collapsed="false">
      <c r="B34" s="14" t="s">
        <v>23</v>
      </c>
      <c r="D34" s="16" t="n">
        <f aca="false">-[1]BS_Sum!$C$16/1000</f>
        <v>10229.456788</v>
      </c>
      <c r="F34" s="1" t="n">
        <f aca="false">+D37</f>
        <v>12812.121031</v>
      </c>
      <c r="H34" s="1" t="n">
        <f aca="false">+F37</f>
        <v>12597.6125934091</v>
      </c>
      <c r="J34" s="1" t="n">
        <f aca="false">+D34</f>
        <v>10229.456788</v>
      </c>
      <c r="K34" s="15"/>
      <c r="N34" s="1" t="n">
        <f aca="false">+J34</f>
        <v>10229.456788</v>
      </c>
    </row>
    <row r="35" customFormat="false" ht="15" hidden="false" customHeight="true" outlineLevel="0" collapsed="false">
      <c r="B35" s="14" t="s">
        <v>24</v>
      </c>
      <c r="D35" s="1" t="n">
        <f aca="false">+D25</f>
        <v>2251.234</v>
      </c>
      <c r="F35" s="1" t="n">
        <f aca="false">+F25</f>
        <v>-214.508437590895</v>
      </c>
      <c r="H35" s="1" t="n">
        <f aca="false">+H25</f>
        <v>-1006.48519785035</v>
      </c>
      <c r="J35" s="1" t="n">
        <f aca="false">SUM(D35:I35)</f>
        <v>1030.24036455876</v>
      </c>
      <c r="K35" s="15"/>
      <c r="L35" s="1" t="n">
        <f aca="false">+L25</f>
        <v>-3796.98020990988</v>
      </c>
      <c r="N35" s="1" t="n">
        <f aca="false">+N25</f>
        <v>1030.24036455876</v>
      </c>
    </row>
    <row r="36" customFormat="false" ht="15" hidden="false" customHeight="true" outlineLevel="0" collapsed="false">
      <c r="B36" s="14" t="s">
        <v>25</v>
      </c>
      <c r="D36" s="1" t="n">
        <f aca="false">+D37-SUM(D34:D35)</f>
        <v>331.430242999997</v>
      </c>
      <c r="F36" s="1" t="n">
        <v>0</v>
      </c>
      <c r="H36" s="1" t="n">
        <v>0</v>
      </c>
      <c r="J36" s="1" t="n">
        <f aca="false">SUM(D36:I36)</f>
        <v>331.430242999997</v>
      </c>
      <c r="K36" s="15"/>
      <c r="L36" s="1" t="n">
        <v>0</v>
      </c>
      <c r="N36" s="1" t="n">
        <f aca="false">SUM(J36:M36)</f>
        <v>331.430242999997</v>
      </c>
    </row>
    <row r="37" customFormat="false" ht="15" hidden="false" customHeight="true" outlineLevel="0" collapsed="false">
      <c r="B37" s="22" t="s">
        <v>26</v>
      </c>
      <c r="D37" s="18" t="n">
        <f aca="false">-[1]BS_Sum!$G$16/1000</f>
        <v>12812.121031</v>
      </c>
      <c r="E37" s="16"/>
      <c r="F37" s="18" t="n">
        <f aca="false">SUM(F34:F36)</f>
        <v>12597.6125934091</v>
      </c>
      <c r="G37" s="16"/>
      <c r="H37" s="18" t="n">
        <f aca="false">SUM(H34:H36)</f>
        <v>11591.1273955588</v>
      </c>
      <c r="I37" s="16"/>
      <c r="J37" s="18" t="n">
        <f aca="false">SUM(J34:J36)</f>
        <v>11591.1273955588</v>
      </c>
      <c r="K37" s="15"/>
      <c r="L37" s="18" t="n">
        <f aca="false">SUM(L34:L36)</f>
        <v>-3796.98020990988</v>
      </c>
      <c r="N37" s="18" t="n">
        <f aca="false">SUM(N34:N36)</f>
        <v>11591.1273955588</v>
      </c>
    </row>
    <row r="38" customFormat="false" ht="15" hidden="false" customHeight="true" outlineLevel="0" collapsed="false">
      <c r="B38" s="14"/>
      <c r="J38" s="1"/>
      <c r="K38" s="15"/>
    </row>
    <row r="39" customFormat="false" ht="15" hidden="false" customHeight="true" outlineLevel="0" collapsed="false">
      <c r="B39" s="14"/>
      <c r="C39" s="16"/>
      <c r="D39" s="23"/>
      <c r="J39" s="1"/>
      <c r="K39" s="15"/>
    </row>
    <row r="40" customFormat="false" ht="15" hidden="false" customHeight="true" outlineLevel="0" collapsed="false">
      <c r="B40" s="14"/>
      <c r="J40" s="1"/>
      <c r="K40" s="15"/>
    </row>
    <row r="42" customFormat="false" ht="12.75" hidden="false" customHeight="false" outlineLevel="0" collapsed="false">
      <c r="B42" s="1" t="s">
        <v>27</v>
      </c>
    </row>
  </sheetData>
  <mergeCells count="2">
    <mergeCell ref="A5:O5"/>
    <mergeCell ref="A6:O6"/>
  </mergeCells>
  <printOptions headings="false" gridLines="false" gridLinesSet="true" horizontalCentered="true" verticalCentered="false"/>
  <pageMargins left="0.5" right="0.5" top="0.3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2" topLeftCell="C17" activePane="bottomRight" state="frozen"/>
      <selection pane="topLeft" activeCell="A1" activeCellId="0" sqref="A1"/>
      <selection pane="topRight" activeCell="C1" activeCellId="0" sqref="C1"/>
      <selection pane="bottomLeft" activeCell="A17" activeCellId="0" sqref="A17"/>
      <selection pane="bottomRight" activeCell="D37" activeCellId="0" sqref="D3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22.42"/>
    <col collapsed="false" customWidth="true" hidden="false" outlineLevel="0" max="3" min="3" style="1" width="3.42"/>
    <col collapsed="false" customWidth="true" hidden="false" outlineLevel="0" max="4" min="4" style="1" width="12.7"/>
    <col collapsed="false" customWidth="true" hidden="false" outlineLevel="0" max="5" min="5" style="1" width="3.42"/>
    <col collapsed="false" customWidth="true" hidden="false" outlineLevel="0" max="6" min="6" style="1" width="12.42"/>
    <col collapsed="false" customWidth="true" hidden="false" outlineLevel="0" max="7" min="7" style="1" width="3.42"/>
    <col collapsed="false" customWidth="true" hidden="false" outlineLevel="0" max="8" min="8" style="1" width="12.14"/>
    <col collapsed="false" customWidth="true" hidden="false" outlineLevel="0" max="9" min="9" style="1" width="2.99"/>
    <col collapsed="false" customWidth="true" hidden="false" outlineLevel="0" max="10" min="10" style="1" width="12.28"/>
    <col collapsed="false" customWidth="true" hidden="false" outlineLevel="0" max="11" min="11" style="1" width="4.56"/>
    <col collapsed="false" customWidth="true" hidden="false" outlineLevel="0" max="12" min="12" style="1" width="9.85"/>
    <col collapsed="false" customWidth="true" hidden="false" outlineLevel="0" max="13" min="13" style="1" width="5.41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A1" s="2"/>
    </row>
    <row r="5" customFormat="false" ht="15.75" hidden="false" customHeight="false" outlineLevel="0" collapsed="false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customFormat="false" ht="15" hidden="false" customHeight="false" outlineLevel="0" collapsed="false">
      <c r="A6" s="26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5"/>
    </row>
    <row r="7" customFormat="false" ht="15" hidden="false" customHeight="false" outlineLevel="0" collapsed="false">
      <c r="A7" s="26" t="s">
        <v>28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5"/>
    </row>
    <row r="8" customFormat="false" ht="15" hidden="false" customHeight="false" outlineLevel="0" collapsed="false">
      <c r="A8" s="27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customFormat="false" ht="13.5" hidden="false" customHeight="true" outlineLevel="0" collapsed="false">
      <c r="A9" s="28"/>
      <c r="B9" s="29"/>
      <c r="C9" s="29"/>
      <c r="D9" s="29"/>
      <c r="E9" s="29"/>
      <c r="F9" s="30"/>
      <c r="G9" s="30"/>
      <c r="H9" s="31" t="s">
        <v>29</v>
      </c>
      <c r="I9" s="30"/>
      <c r="J9" s="30"/>
      <c r="K9" s="29"/>
      <c r="L9" s="29"/>
      <c r="M9" s="29"/>
    </row>
    <row r="10" customFormat="false" ht="13.5" hidden="false" customHeight="true" outlineLevel="0" collapsed="false">
      <c r="A10" s="8"/>
      <c r="B10" s="8"/>
      <c r="C10" s="8"/>
      <c r="D10" s="9" t="s">
        <v>2</v>
      </c>
      <c r="F10" s="10" t="s">
        <v>30</v>
      </c>
      <c r="G10" s="32"/>
      <c r="H10" s="10" t="s">
        <v>31</v>
      </c>
      <c r="I10" s="32"/>
      <c r="J10" s="32"/>
      <c r="K10" s="32"/>
      <c r="L10" s="33" t="s">
        <v>32</v>
      </c>
      <c r="M10" s="34"/>
    </row>
    <row r="11" customFormat="false" ht="11.25" hidden="false" customHeight="false" outlineLevel="0" collapsed="false">
      <c r="A11" s="11"/>
      <c r="B11" s="11"/>
      <c r="C11" s="11"/>
      <c r="D11" s="12" t="s">
        <v>7</v>
      </c>
      <c r="E11" s="11"/>
      <c r="F11" s="13" t="s">
        <v>33</v>
      </c>
      <c r="G11" s="35"/>
      <c r="H11" s="36" t="s">
        <v>34</v>
      </c>
      <c r="I11" s="35"/>
      <c r="J11" s="36" t="s">
        <v>35</v>
      </c>
      <c r="K11" s="35"/>
      <c r="L11" s="36" t="s">
        <v>9</v>
      </c>
      <c r="M11" s="3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5.1" hidden="false" customHeight="true" outlineLevel="0" collapsed="false"/>
    <row r="13" customFormat="false" ht="15" hidden="false" customHeight="true" outlineLevel="0" collapsed="false">
      <c r="B13" s="16" t="s">
        <v>36</v>
      </c>
    </row>
    <row r="14" customFormat="false" ht="18" hidden="false" customHeight="true" outlineLevel="0" collapsed="false">
      <c r="B14" s="14" t="s">
        <v>37</v>
      </c>
      <c r="D14" s="1" t="n">
        <f aca="false">+[4]June!$D$29/1000</f>
        <v>162.661</v>
      </c>
      <c r="F14" s="1" t="n">
        <f aca="false">+[5]FundsFlow!L13</f>
        <v>60.8</v>
      </c>
      <c r="H14" s="1" t="n">
        <v>0</v>
      </c>
      <c r="J14" s="1" t="n">
        <f aca="false">F14+H14</f>
        <v>60.8</v>
      </c>
      <c r="L14" s="1" t="n">
        <f aca="false">J14+D14</f>
        <v>223.461</v>
      </c>
    </row>
    <row r="15" customFormat="false" ht="18" hidden="false" customHeight="true" outlineLevel="0" collapsed="false">
      <c r="B15" s="14" t="s">
        <v>38</v>
      </c>
      <c r="D15" s="1" t="n">
        <f aca="false">+[4]June!$F$29/1000</f>
        <v>113.813</v>
      </c>
      <c r="F15" s="1" t="n">
        <f aca="false">+[5]FundsFlow!L14</f>
        <v>29.0489100894791</v>
      </c>
      <c r="H15" s="37" t="n">
        <v>0</v>
      </c>
      <c r="J15" s="37" t="n">
        <f aca="false">F15+H15</f>
        <v>29.0489100894791</v>
      </c>
      <c r="L15" s="37" t="n">
        <f aca="false">J15+D15</f>
        <v>142.861910089479</v>
      </c>
    </row>
    <row r="16" customFormat="false" ht="15" hidden="false" customHeight="true" outlineLevel="0" collapsed="false">
      <c r="B16" s="14"/>
      <c r="D16" s="18" t="n">
        <f aca="false">SUM(D14:D15)</f>
        <v>276.474</v>
      </c>
      <c r="F16" s="18" t="n">
        <f aca="false">SUM(F14:F15)</f>
        <v>89.8489100894791</v>
      </c>
      <c r="H16" s="1" t="n">
        <f aca="false">SUM(H14:H15)</f>
        <v>0</v>
      </c>
      <c r="J16" s="16" t="n">
        <f aca="false">SUM(J14:J15)</f>
        <v>89.8489100894791</v>
      </c>
      <c r="L16" s="16" t="n">
        <f aca="false">J16+D16</f>
        <v>366.322910089479</v>
      </c>
    </row>
    <row r="17" customFormat="false" ht="11.25" hidden="false" customHeight="false" outlineLevel="0" collapsed="false">
      <c r="B17" s="14"/>
      <c r="D17" s="38"/>
      <c r="J17" s="16"/>
      <c r="L17" s="16"/>
    </row>
    <row r="18" customFormat="false" ht="15" hidden="false" customHeight="true" outlineLevel="0" collapsed="false">
      <c r="B18" s="16" t="s">
        <v>39</v>
      </c>
      <c r="D18" s="39" t="n">
        <f aca="false">+[5]FundsFlow!D34</f>
        <v>852.57</v>
      </c>
      <c r="F18" s="39" t="n">
        <f aca="false">+[5]FundsFlow!L34</f>
        <v>-93.4421519164266</v>
      </c>
      <c r="H18" s="16" t="n">
        <v>800</v>
      </c>
      <c r="I18" s="40" t="s">
        <v>40</v>
      </c>
      <c r="J18" s="16" t="n">
        <f aca="false">F18+H18</f>
        <v>706.557848083573</v>
      </c>
      <c r="L18" s="16" t="n">
        <f aca="false">J18+D18</f>
        <v>1559.12784808357</v>
      </c>
    </row>
    <row r="19" customFormat="false" ht="11.25" hidden="false" customHeight="false" outlineLevel="0" collapsed="false">
      <c r="B19" s="14"/>
    </row>
    <row r="20" customFormat="false" ht="18" hidden="false" customHeight="true" outlineLevel="0" collapsed="false">
      <c r="B20" s="41" t="s">
        <v>41</v>
      </c>
      <c r="D20" s="1" t="n">
        <f aca="false">+[4]June!$T$29/1000</f>
        <v>33.907</v>
      </c>
      <c r="F20" s="1" t="n">
        <f aca="false">+[5]FundsFlow!L36</f>
        <v>-80.2</v>
      </c>
      <c r="H20" s="1" t="n">
        <v>0</v>
      </c>
      <c r="J20" s="16" t="n">
        <f aca="false">F20+H20</f>
        <v>-80.2</v>
      </c>
      <c r="L20" s="16" t="n">
        <f aca="false">J20+D20</f>
        <v>-46.293</v>
      </c>
    </row>
    <row r="21" customFormat="false" ht="18" hidden="false" customHeight="true" outlineLevel="0" collapsed="false">
      <c r="B21" s="41" t="s">
        <v>42</v>
      </c>
      <c r="D21" s="1" t="n">
        <f aca="false">+[4]June!$AN$29/1000</f>
        <v>49.16</v>
      </c>
      <c r="F21" s="1" t="n">
        <f aca="false">+[5]FundsFlow!L37</f>
        <v>3.77200000000004</v>
      </c>
      <c r="H21" s="1" t="n">
        <v>0</v>
      </c>
      <c r="J21" s="16" t="n">
        <f aca="false">F21+H21</f>
        <v>3.77200000000004</v>
      </c>
      <c r="L21" s="16" t="n">
        <f aca="false">J21+D21</f>
        <v>52.932</v>
      </c>
    </row>
    <row r="22" customFormat="false" ht="18" hidden="false" customHeight="true" outlineLevel="0" collapsed="false">
      <c r="B22" s="41" t="s">
        <v>43</v>
      </c>
      <c r="D22" s="1" t="n">
        <f aca="false">+[4]June!$AP$29/1000</f>
        <v>7.084</v>
      </c>
      <c r="F22" s="1" t="n">
        <f aca="false">+[5]FundsFlow!L38</f>
        <v>12.5</v>
      </c>
      <c r="H22" s="1" t="n">
        <v>0</v>
      </c>
      <c r="J22" s="16" t="n">
        <f aca="false">F22+H22</f>
        <v>12.5</v>
      </c>
      <c r="L22" s="16" t="n">
        <f aca="false">J22+D22</f>
        <v>19.584</v>
      </c>
    </row>
    <row r="23" customFormat="false" ht="11.25" hidden="false" customHeight="false" outlineLevel="0" collapsed="false">
      <c r="B23" s="14"/>
    </row>
    <row r="24" customFormat="false" ht="18" hidden="false" customHeight="true" outlineLevel="0" collapsed="false">
      <c r="B24" s="1" t="s">
        <v>44</v>
      </c>
      <c r="D24" s="1" t="n">
        <f aca="false">+D26-D16-D18-SUM(D20:D22)</f>
        <v>589.07</v>
      </c>
      <c r="F24" s="1" t="n">
        <f aca="false">+[5]FundsFlow!L40</f>
        <v>-353.740171882581</v>
      </c>
      <c r="H24" s="1" t="n">
        <v>0</v>
      </c>
      <c r="J24" s="1" t="n">
        <f aca="false">F24+H24</f>
        <v>-353.740171882581</v>
      </c>
      <c r="L24" s="1" t="n">
        <f aca="false">J24+D24</f>
        <v>235.329828117419</v>
      </c>
    </row>
    <row r="25" customFormat="false" ht="11.25" hidden="false" customHeight="false" outlineLevel="0" collapsed="false">
      <c r="B25" s="14"/>
    </row>
    <row r="26" customFormat="false" ht="11.25" hidden="false" customHeight="false" outlineLevel="0" collapsed="false">
      <c r="B26" s="16" t="s">
        <v>45</v>
      </c>
      <c r="C26" s="16"/>
      <c r="D26" s="21" t="n">
        <f aca="false">+[4]June!$B$29/1000</f>
        <v>1808.265</v>
      </c>
      <c r="E26" s="16"/>
      <c r="F26" s="21" t="n">
        <f aca="false">+F16+F18+SUM(F20:F24)</f>
        <v>-421.261413709528</v>
      </c>
      <c r="G26" s="16"/>
      <c r="H26" s="21" t="n">
        <f aca="false">H16+H18+H20+H21+H22+H24</f>
        <v>800</v>
      </c>
      <c r="I26" s="16"/>
      <c r="J26" s="21" t="n">
        <f aca="false">+J16+J18+SUM(J20:J24)</f>
        <v>378.738586290472</v>
      </c>
      <c r="K26" s="16"/>
      <c r="L26" s="21" t="n">
        <f aca="false">J26+D26</f>
        <v>2187.00358629047</v>
      </c>
      <c r="M26" s="16"/>
    </row>
    <row r="27" customFormat="false" ht="18.75" hidden="false" customHeight="true" outlineLevel="0" collapsed="false">
      <c r="B27" s="14"/>
    </row>
    <row r="28" customFormat="false" ht="12.75" hidden="false" customHeight="true" outlineLevel="0" collapsed="false">
      <c r="B28" s="14" t="s">
        <v>46</v>
      </c>
    </row>
    <row r="29" customFormat="false" ht="12" hidden="false" customHeight="true" outlineLevel="0" collapsed="false">
      <c r="B29" s="14" t="s">
        <v>47</v>
      </c>
    </row>
    <row r="30" customFormat="false" ht="7.5" hidden="false" customHeight="true" outlineLevel="0" collapsed="false">
      <c r="B30" s="14"/>
    </row>
    <row r="31" customFormat="false" ht="11.25" hidden="false" customHeight="false" outlineLevel="0" collapsed="false">
      <c r="B31" s="1" t="s">
        <v>48</v>
      </c>
    </row>
    <row r="32" customFormat="false" ht="11.25" hidden="false" customHeight="false" outlineLevel="0" collapsed="false">
      <c r="B32" s="1" t="s">
        <v>49</v>
      </c>
    </row>
    <row r="33" customFormat="false" ht="11.25" hidden="false" customHeight="false" outlineLevel="0" collapsed="false">
      <c r="B33" s="1" t="s">
        <v>50</v>
      </c>
    </row>
    <row r="35" customFormat="false" ht="11.25" hidden="false" customHeight="false" outlineLevel="0" collapsed="false">
      <c r="B35" s="14"/>
      <c r="D35" s="1" t="n">
        <f aca="false">+D16+D18+SUM(D20:D24)</f>
        <v>1808.265</v>
      </c>
    </row>
    <row r="36" customFormat="false" ht="11.25" hidden="false" customHeight="false" outlineLevel="0" collapsed="false">
      <c r="B36" s="14"/>
    </row>
    <row r="37" customFormat="false" ht="15" hidden="false" customHeight="true" outlineLevel="0" collapsed="false">
      <c r="B37" s="16" t="s">
        <v>44</v>
      </c>
    </row>
    <row r="38" customFormat="false" ht="15" hidden="false" customHeight="true" outlineLevel="0" collapsed="false">
      <c r="B38" s="14" t="s">
        <v>51</v>
      </c>
    </row>
    <row r="39" customFormat="false" ht="15" hidden="false" customHeight="true" outlineLevel="0" collapsed="false">
      <c r="B39" s="14" t="s">
        <v>52</v>
      </c>
    </row>
    <row r="40" customFormat="false" ht="15" hidden="false" customHeight="true" outlineLevel="0" collapsed="false">
      <c r="B40" s="14" t="s">
        <v>53</v>
      </c>
    </row>
    <row r="41" customFormat="false" ht="15" hidden="false" customHeight="true" outlineLevel="0" collapsed="false">
      <c r="B41" s="14" t="s">
        <v>54</v>
      </c>
    </row>
    <row r="42" customFormat="false" ht="15" hidden="false" customHeight="true" outlineLevel="0" collapsed="false">
      <c r="B42" s="14" t="s">
        <v>55</v>
      </c>
    </row>
    <row r="43" customFormat="false" ht="15" hidden="false" customHeight="true" outlineLevel="0" collapsed="false">
      <c r="B43" s="14" t="s">
        <v>56</v>
      </c>
    </row>
    <row r="44" customFormat="false" ht="15" hidden="false" customHeight="true" outlineLevel="0" collapsed="false">
      <c r="B44" s="14" t="s">
        <v>57</v>
      </c>
    </row>
    <row r="45" customFormat="false" ht="15" hidden="false" customHeight="true" outlineLevel="0" collapsed="false">
      <c r="B45" s="14" t="s">
        <v>58</v>
      </c>
    </row>
    <row r="46" customFormat="false" ht="15" hidden="false" customHeight="true" outlineLevel="0" collapsed="false">
      <c r="B46" s="14"/>
      <c r="D46" s="18"/>
    </row>
    <row r="47" customFormat="false" ht="11.25" hidden="false" customHeight="false" outlineLevel="0" collapsed="false">
      <c r="B47" s="14"/>
    </row>
    <row r="48" customFormat="false" ht="15" hidden="false" customHeight="true" outlineLevel="0" collapsed="false">
      <c r="A48" s="16"/>
      <c r="B48" s="16" t="s">
        <v>45</v>
      </c>
      <c r="C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</sheetData>
  <mergeCells count="3">
    <mergeCell ref="A5:L5"/>
    <mergeCell ref="A6:L6"/>
    <mergeCell ref="A7:L7"/>
  </mergeCells>
  <printOptions headings="false" gridLines="false" gridLinesSet="true" horizontalCentered="true" verticalCentered="false"/>
  <pageMargins left="0.5" right="0.920138888888889" top="0.59027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2" topLeftCell="C17" activePane="bottomRight" state="frozen"/>
      <selection pane="topLeft" activeCell="A1" activeCellId="0" sqref="A1"/>
      <selection pane="topRight" activeCell="C1" activeCellId="0" sqref="C1"/>
      <selection pane="bottomLeft" activeCell="A17" activeCellId="0" sqref="A17"/>
      <selection pane="bottomRight" activeCell="D37" activeCellId="0" sqref="D3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22.42"/>
    <col collapsed="false" customWidth="true" hidden="false" outlineLevel="0" max="3" min="3" style="1" width="3.42"/>
    <col collapsed="false" customWidth="true" hidden="false" outlineLevel="0" max="4" min="4" style="1" width="12.7"/>
    <col collapsed="false" customWidth="true" hidden="false" outlineLevel="0" max="5" min="5" style="1" width="3.42"/>
    <col collapsed="false" customWidth="true" hidden="false" outlineLevel="0" max="6" min="6" style="1" width="12.42"/>
    <col collapsed="false" customWidth="true" hidden="false" outlineLevel="0" max="7" min="7" style="1" width="3.42"/>
    <col collapsed="false" customWidth="true" hidden="false" outlineLevel="0" max="8" min="8" style="1" width="12.14"/>
    <col collapsed="false" customWidth="true" hidden="false" outlineLevel="0" max="9" min="9" style="1" width="3.42"/>
    <col collapsed="false" customWidth="true" hidden="false" outlineLevel="0" max="10" min="10" style="1" width="12.28"/>
    <col collapsed="false" customWidth="true" hidden="false" outlineLevel="0" max="11" min="11" style="1" width="4.56"/>
    <col collapsed="false" customWidth="true" hidden="false" outlineLevel="0" max="12" min="12" style="1" width="9.85"/>
    <col collapsed="false" customWidth="true" hidden="false" outlineLevel="0" max="13" min="13" style="1" width="5.41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A1" s="2"/>
    </row>
    <row r="5" customFormat="false" ht="15.75" hidden="false" customHeight="false" outlineLevel="0" collapsed="false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customFormat="false" ht="15" hidden="false" customHeight="false" outlineLevel="0" collapsed="false">
      <c r="A6" s="26" t="s">
        <v>12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5"/>
    </row>
    <row r="7" customFormat="false" ht="15" hidden="false" customHeight="false" outlineLevel="0" collapsed="false">
      <c r="A7" s="26" t="s">
        <v>28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5"/>
    </row>
    <row r="8" customFormat="false" ht="15" hidden="false" customHeight="false" outlineLevel="0" collapsed="false">
      <c r="A8" s="27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customFormat="false" ht="13.5" hidden="false" customHeight="true" outlineLevel="0" collapsed="false">
      <c r="A9" s="28"/>
      <c r="B9" s="29"/>
      <c r="C9" s="29"/>
      <c r="D9" s="29"/>
      <c r="E9" s="29"/>
      <c r="F9" s="30"/>
      <c r="G9" s="30"/>
      <c r="H9" s="31" t="s">
        <v>29</v>
      </c>
      <c r="I9" s="30"/>
      <c r="J9" s="30"/>
      <c r="K9" s="29"/>
      <c r="L9" s="29"/>
      <c r="M9" s="29"/>
    </row>
    <row r="10" customFormat="false" ht="13.5" hidden="false" customHeight="true" outlineLevel="0" collapsed="false">
      <c r="A10" s="8"/>
      <c r="B10" s="8"/>
      <c r="C10" s="8"/>
      <c r="D10" s="9" t="s">
        <v>2</v>
      </c>
      <c r="F10" s="10" t="s">
        <v>30</v>
      </c>
      <c r="G10" s="32"/>
      <c r="H10" s="10" t="s">
        <v>31</v>
      </c>
      <c r="I10" s="32"/>
      <c r="J10" s="32"/>
      <c r="K10" s="32"/>
      <c r="L10" s="33" t="s">
        <v>32</v>
      </c>
      <c r="M10" s="34"/>
    </row>
    <row r="11" customFormat="false" ht="11.25" hidden="false" customHeight="false" outlineLevel="0" collapsed="false">
      <c r="A11" s="11"/>
      <c r="B11" s="11"/>
      <c r="C11" s="11"/>
      <c r="D11" s="12" t="s">
        <v>7</v>
      </c>
      <c r="E11" s="11"/>
      <c r="F11" s="13" t="s">
        <v>33</v>
      </c>
      <c r="G11" s="35"/>
      <c r="H11" s="36" t="s">
        <v>34</v>
      </c>
      <c r="I11" s="35"/>
      <c r="J11" s="36" t="s">
        <v>45</v>
      </c>
      <c r="K11" s="35"/>
      <c r="L11" s="36" t="s">
        <v>9</v>
      </c>
      <c r="M11" s="3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5.1" hidden="false" customHeight="true" outlineLevel="0" collapsed="false"/>
    <row r="13" customFormat="false" ht="15" hidden="false" customHeight="true" outlineLevel="0" collapsed="false">
      <c r="B13" s="16" t="s">
        <v>36</v>
      </c>
    </row>
    <row r="14" customFormat="false" ht="18" hidden="false" customHeight="true" outlineLevel="0" collapsed="false">
      <c r="B14" s="14" t="s">
        <v>37</v>
      </c>
      <c r="D14" s="1" t="n">
        <f aca="false">[5]WorkingCapital!D13</f>
        <v>-38.801</v>
      </c>
      <c r="F14" s="1" t="n">
        <f aca="false">[5]WorkingCapital!L13</f>
        <v>75.8</v>
      </c>
      <c r="H14" s="1" t="n">
        <v>0</v>
      </c>
      <c r="J14" s="1" t="n">
        <f aca="false">F14+H14</f>
        <v>75.8</v>
      </c>
      <c r="L14" s="1" t="n">
        <f aca="false">J14+D14</f>
        <v>36.999</v>
      </c>
    </row>
    <row r="15" customFormat="false" ht="18" hidden="false" customHeight="true" outlineLevel="0" collapsed="false">
      <c r="B15" s="14" t="s">
        <v>38</v>
      </c>
      <c r="D15" s="1" t="n">
        <f aca="false">[5]WorkingCapital!D14</f>
        <v>-240.572</v>
      </c>
      <c r="F15" s="1" t="n">
        <f aca="false">[5]WorkingCapital!L14</f>
        <v>7.35184778227431</v>
      </c>
      <c r="H15" s="37" t="n">
        <v>0</v>
      </c>
      <c r="J15" s="37" t="n">
        <f aca="false">F15+H15</f>
        <v>7.35184778227431</v>
      </c>
      <c r="L15" s="37" t="n">
        <f aca="false">J15+D15</f>
        <v>-233.220152217726</v>
      </c>
    </row>
    <row r="16" customFormat="false" ht="15" hidden="false" customHeight="true" outlineLevel="0" collapsed="false">
      <c r="B16" s="14"/>
      <c r="D16" s="18" t="n">
        <f aca="false">[5]WorkingCapital!D15</f>
        <v>-279.373</v>
      </c>
      <c r="F16" s="18" t="n">
        <f aca="false">[5]WorkingCapital!L15</f>
        <v>83.1518477822743</v>
      </c>
      <c r="H16" s="1" t="n">
        <f aca="false">SUM(H14:H15)</f>
        <v>0</v>
      </c>
      <c r="J16" s="16" t="n">
        <f aca="false">SUM(J14:J15)</f>
        <v>83.1518477822743</v>
      </c>
      <c r="L16" s="16" t="n">
        <f aca="false">J16+D16</f>
        <v>-196.221152217726</v>
      </c>
    </row>
    <row r="17" customFormat="false" ht="11.25" hidden="false" customHeight="false" outlineLevel="0" collapsed="false">
      <c r="B17" s="14"/>
      <c r="J17" s="16"/>
      <c r="L17" s="16"/>
    </row>
    <row r="18" customFormat="false" ht="15" hidden="false" customHeight="true" outlineLevel="0" collapsed="false">
      <c r="B18" s="16" t="s">
        <v>39</v>
      </c>
      <c r="D18" s="39" t="n">
        <f aca="false">[5]WorkingCapital!D34</f>
        <v>-2230.39</v>
      </c>
      <c r="F18" s="39" t="n">
        <f aca="false">[5]WorkingCapital!L34</f>
        <v>-248.54316828992</v>
      </c>
      <c r="H18" s="16" t="n">
        <v>500</v>
      </c>
      <c r="I18" s="42" t="s">
        <v>59</v>
      </c>
      <c r="J18" s="16" t="n">
        <f aca="false">F18+H18</f>
        <v>251.45683171008</v>
      </c>
      <c r="L18" s="16" t="n">
        <f aca="false">J18+D18</f>
        <v>-1978.93316828992</v>
      </c>
    </row>
    <row r="19" customFormat="false" ht="11.25" hidden="false" customHeight="false" outlineLevel="0" collapsed="false">
      <c r="B19" s="14"/>
    </row>
    <row r="20" customFormat="false" ht="18" hidden="false" customHeight="true" outlineLevel="0" collapsed="false">
      <c r="B20" s="41" t="s">
        <v>41</v>
      </c>
      <c r="D20" s="1" t="n">
        <f aca="false">[5]WorkingCapital!D36</f>
        <v>-76.668</v>
      </c>
      <c r="F20" s="1" t="n">
        <f aca="false">[5]WorkingCapital!L36</f>
        <v>-112.1</v>
      </c>
      <c r="H20" s="1" t="n">
        <v>0</v>
      </c>
      <c r="J20" s="16" t="n">
        <f aca="false">F20+H20</f>
        <v>-112.1</v>
      </c>
      <c r="L20" s="16" t="n">
        <f aca="false">J20+D20</f>
        <v>-188.768</v>
      </c>
    </row>
    <row r="21" customFormat="false" ht="18" hidden="false" customHeight="true" outlineLevel="0" collapsed="false">
      <c r="B21" s="41" t="s">
        <v>42</v>
      </c>
      <c r="D21" s="1" t="n">
        <f aca="false">[5]WorkingCapital!D37</f>
        <v>-156.131</v>
      </c>
      <c r="F21" s="1" t="n">
        <f aca="false">[5]WorkingCapital!L37</f>
        <v>-2</v>
      </c>
      <c r="H21" s="1" t="n">
        <v>0</v>
      </c>
      <c r="J21" s="16" t="n">
        <f aca="false">F21+H21</f>
        <v>-2</v>
      </c>
      <c r="L21" s="16" t="n">
        <f aca="false">J21+D21</f>
        <v>-158.131</v>
      </c>
    </row>
    <row r="22" customFormat="false" ht="18" hidden="false" customHeight="true" outlineLevel="0" collapsed="false">
      <c r="B22" s="41" t="s">
        <v>43</v>
      </c>
      <c r="D22" s="1" t="n">
        <f aca="false">[5]WorkingCapital!D38</f>
        <v>-118.02</v>
      </c>
      <c r="F22" s="1" t="n">
        <f aca="false">[5]WorkingCapital!L38</f>
        <v>71.7</v>
      </c>
      <c r="H22" s="1" t="n">
        <v>0</v>
      </c>
      <c r="J22" s="16" t="n">
        <f aca="false">F22+H22</f>
        <v>71.7</v>
      </c>
      <c r="L22" s="16" t="n">
        <f aca="false">J22+D22</f>
        <v>-46.32</v>
      </c>
    </row>
    <row r="23" customFormat="false" ht="11.25" hidden="false" customHeight="false" outlineLevel="0" collapsed="false">
      <c r="B23" s="14"/>
    </row>
    <row r="24" customFormat="false" ht="18" hidden="false" customHeight="true" outlineLevel="0" collapsed="false">
      <c r="B24" s="1" t="s">
        <v>44</v>
      </c>
      <c r="D24" s="1" t="n">
        <f aca="false">[5]WorkingCapital!D40</f>
        <v>-281.728</v>
      </c>
      <c r="F24" s="1" t="n">
        <f aca="false">[5]WorkingCapital!L40</f>
        <v>250.410954465397</v>
      </c>
      <c r="H24" s="1" t="n">
        <v>0</v>
      </c>
      <c r="J24" s="1" t="n">
        <f aca="false">F24+H24</f>
        <v>250.410954465397</v>
      </c>
      <c r="L24" s="1" t="n">
        <f aca="false">J24+D24</f>
        <v>-31.317045534603</v>
      </c>
    </row>
    <row r="25" customFormat="false" ht="11.25" hidden="false" customHeight="false" outlineLevel="0" collapsed="false">
      <c r="B25" s="14"/>
    </row>
    <row r="26" customFormat="false" ht="11.25" hidden="false" customHeight="false" outlineLevel="0" collapsed="false">
      <c r="B26" s="16" t="s">
        <v>45</v>
      </c>
      <c r="C26" s="16"/>
      <c r="D26" s="21" t="n">
        <f aca="false">[5]WorkingCapital!D42</f>
        <v>-3142.31</v>
      </c>
      <c r="E26" s="16"/>
      <c r="F26" s="21" t="n">
        <f aca="false">[5]WorkingCapital!L42</f>
        <v>42.6196339577506</v>
      </c>
      <c r="G26" s="16"/>
      <c r="H26" s="21" t="n">
        <f aca="false">H16+H18+H20+H21+H22+H24</f>
        <v>500</v>
      </c>
      <c r="I26" s="16"/>
      <c r="J26" s="21" t="n">
        <f aca="false">J16+J18+J20+J21+J22+J24</f>
        <v>542.619633957751</v>
      </c>
      <c r="K26" s="16"/>
      <c r="L26" s="21" t="n">
        <f aca="false">J26+D26</f>
        <v>-2599.69036604225</v>
      </c>
      <c r="M26" s="16"/>
    </row>
    <row r="27" customFormat="false" ht="20.25" hidden="false" customHeight="true" outlineLevel="0" collapsed="false">
      <c r="B27" s="14"/>
    </row>
    <row r="28" customFormat="false" ht="11.25" hidden="false" customHeight="false" outlineLevel="0" collapsed="false">
      <c r="B28" s="14" t="s">
        <v>46</v>
      </c>
    </row>
    <row r="29" customFormat="false" ht="11.25" hidden="false" customHeight="false" outlineLevel="0" collapsed="false">
      <c r="B29" s="14" t="s">
        <v>47</v>
      </c>
    </row>
    <row r="30" customFormat="false" ht="8.25" hidden="false" customHeight="true" outlineLevel="0" collapsed="false">
      <c r="B30" s="14"/>
    </row>
    <row r="31" customFormat="false" ht="11.25" hidden="false" customHeight="false" outlineLevel="0" collapsed="false">
      <c r="B31" s="1" t="s">
        <v>60</v>
      </c>
    </row>
    <row r="32" customFormat="false" ht="11.25" hidden="false" customHeight="false" outlineLevel="0" collapsed="false">
      <c r="B32" s="1" t="s">
        <v>61</v>
      </c>
    </row>
    <row r="35" customFormat="false" ht="11.25" hidden="false" customHeight="false" outlineLevel="0" collapsed="false">
      <c r="B35" s="14"/>
      <c r="D35" s="1" t="n">
        <f aca="false">+D16+D18+SUM(D20:D24)</f>
        <v>-3142.31</v>
      </c>
    </row>
    <row r="36" customFormat="false" ht="11.25" hidden="false" customHeight="false" outlineLevel="0" collapsed="false">
      <c r="B36" s="14"/>
    </row>
  </sheetData>
  <mergeCells count="3">
    <mergeCell ref="A5:L5"/>
    <mergeCell ref="A6:L6"/>
    <mergeCell ref="A7:L7"/>
  </mergeCells>
  <printOptions headings="false" gridLines="false" gridLinesSet="true" horizontalCentered="true" verticalCentered="false"/>
  <pageMargins left="0.5" right="0.920138888888889" top="0.59027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2" topLeftCell="C36" activePane="bottomRight" state="frozen"/>
      <selection pane="topLeft" activeCell="A1" activeCellId="0" sqref="A1"/>
      <selection pane="topRight" activeCell="C1" activeCellId="0" sqref="C1"/>
      <selection pane="bottomLeft" activeCell="A36" activeCellId="0" sqref="A36"/>
      <selection pane="bottomRight" activeCell="D37" activeCellId="0" sqref="D3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22.42"/>
    <col collapsed="false" customWidth="true" hidden="false" outlineLevel="0" max="3" min="3" style="1" width="3.42"/>
    <col collapsed="false" customWidth="true" hidden="false" outlineLevel="0" max="4" min="4" style="1" width="12.7"/>
    <col collapsed="false" customWidth="true" hidden="false" outlineLevel="0" max="5" min="5" style="1" width="3.42"/>
    <col collapsed="false" customWidth="true" hidden="false" outlineLevel="0" max="6" min="6" style="1" width="12.42"/>
    <col collapsed="false" customWidth="true" hidden="false" outlineLevel="0" max="7" min="7" style="1" width="3.42"/>
    <col collapsed="false" customWidth="true" hidden="false" outlineLevel="0" max="8" min="8" style="1" width="12.14"/>
    <col collapsed="false" customWidth="true" hidden="false" outlineLevel="0" max="9" min="9" style="1" width="3.42"/>
    <col collapsed="false" customWidth="true" hidden="false" outlineLevel="0" max="10" min="10" style="1" width="12.28"/>
    <col collapsed="false" customWidth="true" hidden="false" outlineLevel="0" max="11" min="11" style="1" width="4.56"/>
    <col collapsed="false" customWidth="true" hidden="false" outlineLevel="0" max="12" min="12" style="1" width="9.85"/>
    <col collapsed="false" customWidth="true" hidden="false" outlineLevel="0" max="13" min="13" style="1" width="5.41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A1" s="2"/>
    </row>
    <row r="5" customFormat="false" ht="15.75" hidden="false" customHeight="false" outlineLevel="0" collapsed="false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customFormat="false" ht="15" hidden="false" customHeight="false" outlineLevel="0" collapsed="false">
      <c r="A6" s="26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5"/>
    </row>
    <row r="7" customFormat="false" ht="15" hidden="false" customHeight="false" outlineLevel="0" collapsed="false">
      <c r="A7" s="26" t="s">
        <v>28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5"/>
    </row>
    <row r="8" customFormat="false" ht="15" hidden="false" customHeight="false" outlineLevel="0" collapsed="false">
      <c r="A8" s="27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customFormat="false" ht="13.5" hidden="false" customHeight="true" outlineLevel="0" collapsed="false">
      <c r="A9" s="28"/>
      <c r="B9" s="29"/>
      <c r="C9" s="29"/>
      <c r="D9" s="29"/>
      <c r="E9" s="29"/>
      <c r="F9" s="30"/>
      <c r="G9" s="30"/>
      <c r="H9" s="31" t="s">
        <v>29</v>
      </c>
      <c r="I9" s="30"/>
      <c r="J9" s="30"/>
      <c r="K9" s="29"/>
      <c r="L9" s="29"/>
      <c r="M9" s="29"/>
    </row>
    <row r="10" customFormat="false" ht="13.5" hidden="false" customHeight="true" outlineLevel="0" collapsed="false">
      <c r="A10" s="8"/>
      <c r="B10" s="8"/>
      <c r="C10" s="8"/>
      <c r="D10" s="9" t="s">
        <v>2</v>
      </c>
      <c r="F10" s="10" t="s">
        <v>30</v>
      </c>
      <c r="G10" s="32"/>
      <c r="H10" s="10" t="s">
        <v>31</v>
      </c>
      <c r="I10" s="32"/>
      <c r="J10" s="32"/>
      <c r="K10" s="32"/>
      <c r="L10" s="33" t="s">
        <v>32</v>
      </c>
      <c r="M10" s="34"/>
    </row>
    <row r="11" customFormat="false" ht="11.25" hidden="false" customHeight="false" outlineLevel="0" collapsed="false">
      <c r="A11" s="11"/>
      <c r="B11" s="11"/>
      <c r="C11" s="11"/>
      <c r="D11" s="12" t="s">
        <v>7</v>
      </c>
      <c r="E11" s="11"/>
      <c r="F11" s="13" t="s">
        <v>33</v>
      </c>
      <c r="G11" s="35"/>
      <c r="H11" s="36" t="s">
        <v>34</v>
      </c>
      <c r="I11" s="35"/>
      <c r="J11" s="36" t="s">
        <v>45</v>
      </c>
      <c r="K11" s="35"/>
      <c r="L11" s="36" t="s">
        <v>9</v>
      </c>
      <c r="M11" s="3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5.1" hidden="false" customHeight="true" outlineLevel="0" collapsed="false"/>
    <row r="13" customFormat="false" ht="15" hidden="false" customHeight="true" outlineLevel="0" collapsed="false">
      <c r="B13" s="16" t="s">
        <v>36</v>
      </c>
    </row>
    <row r="14" customFormat="false" ht="18" hidden="false" customHeight="true" outlineLevel="0" collapsed="false">
      <c r="B14" s="14" t="s">
        <v>37</v>
      </c>
      <c r="D14" s="1" t="n">
        <f aca="false">Causey_FundsFlow!D14+'Causey_Working Cap'!D14</f>
        <v>123.86</v>
      </c>
      <c r="F14" s="1" t="n">
        <f aca="false">Causey_FundsFlow!F14+'Causey_Working Cap'!F14</f>
        <v>136.6</v>
      </c>
      <c r="H14" s="1" t="n">
        <f aca="false">Causey_FundsFlow!H14+'Causey_Working Cap'!H14</f>
        <v>0</v>
      </c>
      <c r="J14" s="1" t="n">
        <f aca="false">Causey_FundsFlow!J14+'Causey_Working Cap'!J14</f>
        <v>136.6</v>
      </c>
      <c r="L14" s="1" t="n">
        <f aca="false">J14+D14</f>
        <v>260.46</v>
      </c>
    </row>
    <row r="15" customFormat="false" ht="18" hidden="false" customHeight="true" outlineLevel="0" collapsed="false">
      <c r="B15" s="14" t="s">
        <v>38</v>
      </c>
      <c r="D15" s="1" t="n">
        <f aca="false">Causey_FundsFlow!D15+'Causey_Working Cap'!D15</f>
        <v>-126.759</v>
      </c>
      <c r="F15" s="1" t="n">
        <f aca="false">Causey_FundsFlow!F15+'Causey_Working Cap'!F15</f>
        <v>36.4007578717534</v>
      </c>
      <c r="H15" s="37" t="n">
        <f aca="false">Causey_FundsFlow!H15+'Causey_Working Cap'!H15</f>
        <v>0</v>
      </c>
      <c r="J15" s="37" t="n">
        <f aca="false">Causey_FundsFlow!J15+'Causey_Working Cap'!J15</f>
        <v>36.4007578717534</v>
      </c>
      <c r="L15" s="37" t="n">
        <f aca="false">J15+D15</f>
        <v>-90.3582421282466</v>
      </c>
    </row>
    <row r="16" customFormat="false" ht="15" hidden="false" customHeight="true" outlineLevel="0" collapsed="false">
      <c r="B16" s="14"/>
      <c r="D16" s="18" t="n">
        <f aca="false">Causey_FundsFlow!D16+'Causey_Working Cap'!D16</f>
        <v>-2.899</v>
      </c>
      <c r="F16" s="18" t="n">
        <f aca="false">Causey_FundsFlow!F16+'Causey_Working Cap'!F16</f>
        <v>173.000757871753</v>
      </c>
      <c r="H16" s="1" t="n">
        <f aca="false">Causey_FundsFlow!H16+'Causey_Working Cap'!H16</f>
        <v>0</v>
      </c>
      <c r="J16" s="16" t="n">
        <f aca="false">Causey_FundsFlow!J16+'Causey_Working Cap'!J16</f>
        <v>173.000757871753</v>
      </c>
      <c r="L16" s="16" t="n">
        <f aca="false">J16+D16</f>
        <v>170.101757871753</v>
      </c>
    </row>
    <row r="17" customFormat="false" ht="11.25" hidden="false" customHeight="false" outlineLevel="0" collapsed="false">
      <c r="B17" s="14"/>
      <c r="J17" s="16"/>
      <c r="L17" s="16"/>
    </row>
    <row r="18" customFormat="false" ht="15" hidden="true" customHeight="true" outlineLevel="0" collapsed="false">
      <c r="B18" s="16" t="s">
        <v>39</v>
      </c>
      <c r="D18" s="16" t="e">
        <f aca="false">#REF!+#REF!</f>
        <v>#REF!</v>
      </c>
      <c r="F18" s="16" t="e">
        <f aca="false">#REF!+#REF!</f>
        <v>#REF!</v>
      </c>
      <c r="H18" s="16" t="e">
        <f aca="false">#REF!+#REF!</f>
        <v>#REF!</v>
      </c>
      <c r="J18" s="16" t="e">
        <f aca="false">#REF!+#REF!</f>
        <v>#REF!</v>
      </c>
      <c r="L18" s="16" t="e">
        <f aca="false">J18+D18</f>
        <v>#REF!</v>
      </c>
    </row>
    <row r="19" customFormat="false" ht="18" hidden="true" customHeight="true" outlineLevel="0" collapsed="false">
      <c r="B19" s="14" t="s">
        <v>63</v>
      </c>
      <c r="D19" s="1" t="e">
        <f aca="false">#REF!+#REF!</f>
        <v>#REF!</v>
      </c>
      <c r="F19" s="1" t="e">
        <f aca="false">#REF!+#REF!</f>
        <v>#REF!</v>
      </c>
      <c r="H19" s="1" t="e">
        <f aca="false">#REF!+#REF!</f>
        <v>#REF!</v>
      </c>
      <c r="J19" s="16" t="e">
        <f aca="false">#REF!+#REF!</f>
        <v>#REF!</v>
      </c>
      <c r="L19" s="16" t="e">
        <f aca="false">J19+D19</f>
        <v>#REF!</v>
      </c>
    </row>
    <row r="20" customFormat="false" ht="18" hidden="true" customHeight="true" outlineLevel="0" collapsed="false">
      <c r="B20" s="14" t="s">
        <v>64</v>
      </c>
      <c r="D20" s="1" t="e">
        <f aca="false">#REF!+#REF!</f>
        <v>#REF!</v>
      </c>
      <c r="F20" s="1" t="e">
        <f aca="false">#REF!+#REF!</f>
        <v>#REF!</v>
      </c>
      <c r="H20" s="1" t="e">
        <f aca="false">#REF!+#REF!</f>
        <v>#REF!</v>
      </c>
      <c r="J20" s="16" t="e">
        <f aca="false">#REF!+#REF!</f>
        <v>#REF!</v>
      </c>
      <c r="L20" s="16" t="e">
        <f aca="false">J20+D20</f>
        <v>#REF!</v>
      </c>
    </row>
    <row r="21" customFormat="false" ht="18" hidden="true" customHeight="true" outlineLevel="0" collapsed="false">
      <c r="B21" s="14" t="s">
        <v>65</v>
      </c>
      <c r="D21" s="1" t="e">
        <f aca="false">#REF!+#REF!</f>
        <v>#REF!</v>
      </c>
      <c r="F21" s="1" t="e">
        <f aca="false">#REF!+#REF!</f>
        <v>#REF!</v>
      </c>
      <c r="H21" s="1" t="e">
        <f aca="false">#REF!+#REF!</f>
        <v>#REF!</v>
      </c>
      <c r="J21" s="16" t="e">
        <f aca="false">#REF!+#REF!</f>
        <v>#REF!</v>
      </c>
      <c r="L21" s="16" t="e">
        <f aca="false">J21+D21</f>
        <v>#REF!</v>
      </c>
    </row>
    <row r="22" customFormat="false" ht="18" hidden="true" customHeight="true" outlineLevel="0" collapsed="false">
      <c r="B22" s="14" t="s">
        <v>66</v>
      </c>
      <c r="D22" s="1" t="e">
        <f aca="false">#REF!+#REF!</f>
        <v>#REF!</v>
      </c>
      <c r="F22" s="1" t="e">
        <f aca="false">#REF!+#REF!</f>
        <v>#REF!</v>
      </c>
      <c r="H22" s="1" t="e">
        <f aca="false">#REF!+#REF!</f>
        <v>#REF!</v>
      </c>
      <c r="J22" s="16" t="e">
        <f aca="false">#REF!+#REF!</f>
        <v>#REF!</v>
      </c>
      <c r="L22" s="16" t="e">
        <f aca="false">J22+D22</f>
        <v>#REF!</v>
      </c>
    </row>
    <row r="23" customFormat="false" ht="18" hidden="true" customHeight="true" outlineLevel="0" collapsed="false">
      <c r="B23" s="14" t="s">
        <v>67</v>
      </c>
      <c r="D23" s="1" t="e">
        <f aca="false">#REF!+#REF!</f>
        <v>#REF!</v>
      </c>
      <c r="F23" s="1" t="e">
        <f aca="false">#REF!+#REF!</f>
        <v>#REF!</v>
      </c>
      <c r="H23" s="1" t="e">
        <f aca="false">#REF!+#REF!</f>
        <v>#REF!</v>
      </c>
      <c r="J23" s="16" t="e">
        <f aca="false">#REF!+#REF!</f>
        <v>#REF!</v>
      </c>
      <c r="L23" s="16" t="e">
        <f aca="false">J23+D23</f>
        <v>#REF!</v>
      </c>
    </row>
    <row r="24" customFormat="false" ht="18" hidden="true" customHeight="true" outlineLevel="0" collapsed="false">
      <c r="B24" s="14" t="s">
        <v>68</v>
      </c>
      <c r="D24" s="1" t="e">
        <f aca="false">#REF!+#REF!</f>
        <v>#REF!</v>
      </c>
      <c r="F24" s="1" t="e">
        <f aca="false">#REF!+#REF!</f>
        <v>#REF!</v>
      </c>
      <c r="H24" s="1" t="e">
        <f aca="false">#REF!+#REF!</f>
        <v>#REF!</v>
      </c>
      <c r="J24" s="16" t="e">
        <f aca="false">#REF!+#REF!</f>
        <v>#REF!</v>
      </c>
      <c r="L24" s="16" t="e">
        <f aca="false">J24+D24</f>
        <v>#REF!</v>
      </c>
    </row>
    <row r="25" customFormat="false" ht="18" hidden="true" customHeight="true" outlineLevel="0" collapsed="false">
      <c r="B25" s="14" t="s">
        <v>69</v>
      </c>
      <c r="D25" s="1" t="e">
        <f aca="false">#REF!+#REF!</f>
        <v>#REF!</v>
      </c>
      <c r="F25" s="1" t="e">
        <f aca="false">#REF!+#REF!</f>
        <v>#REF!</v>
      </c>
      <c r="H25" s="1" t="e">
        <f aca="false">#REF!+#REF!</f>
        <v>#REF!</v>
      </c>
      <c r="J25" s="16" t="e">
        <f aca="false">#REF!+#REF!</f>
        <v>#REF!</v>
      </c>
      <c r="L25" s="16" t="e">
        <f aca="false">J25+D25</f>
        <v>#REF!</v>
      </c>
    </row>
    <row r="26" customFormat="false" ht="18" hidden="true" customHeight="true" outlineLevel="0" collapsed="false">
      <c r="B26" s="14" t="s">
        <v>70</v>
      </c>
      <c r="D26" s="1" t="e">
        <f aca="false">#REF!+#REF!</f>
        <v>#REF!</v>
      </c>
      <c r="F26" s="1" t="e">
        <f aca="false">#REF!+#REF!</f>
        <v>#REF!</v>
      </c>
      <c r="H26" s="1" t="e">
        <f aca="false">#REF!+#REF!</f>
        <v>#REF!</v>
      </c>
      <c r="J26" s="16" t="e">
        <f aca="false">#REF!+#REF!</f>
        <v>#REF!</v>
      </c>
      <c r="L26" s="16" t="e">
        <f aca="false">J26+D26</f>
        <v>#REF!</v>
      </c>
    </row>
    <row r="27" customFormat="false" ht="18" hidden="true" customHeight="true" outlineLevel="0" collapsed="false">
      <c r="B27" s="14" t="s">
        <v>71</v>
      </c>
      <c r="D27" s="1" t="e">
        <f aca="false">#REF!+#REF!</f>
        <v>#REF!</v>
      </c>
      <c r="F27" s="1" t="e">
        <f aca="false">#REF!+#REF!</f>
        <v>#REF!</v>
      </c>
      <c r="H27" s="1" t="e">
        <f aca="false">#REF!+#REF!</f>
        <v>#REF!</v>
      </c>
      <c r="J27" s="16" t="e">
        <f aca="false">#REF!+#REF!</f>
        <v>#REF!</v>
      </c>
      <c r="L27" s="16" t="e">
        <f aca="false">J27+D27</f>
        <v>#REF!</v>
      </c>
    </row>
    <row r="28" customFormat="false" ht="18" hidden="true" customHeight="true" outlineLevel="0" collapsed="false">
      <c r="B28" s="14" t="s">
        <v>72</v>
      </c>
      <c r="D28" s="1" t="e">
        <f aca="false">#REF!+#REF!</f>
        <v>#REF!</v>
      </c>
      <c r="F28" s="1" t="e">
        <f aca="false">#REF!+#REF!</f>
        <v>#REF!</v>
      </c>
      <c r="H28" s="1" t="e">
        <f aca="false">#REF!+#REF!</f>
        <v>#REF!</v>
      </c>
      <c r="J28" s="16" t="e">
        <f aca="false">#REF!+#REF!</f>
        <v>#REF!</v>
      </c>
      <c r="L28" s="16" t="e">
        <f aca="false">J28+D28</f>
        <v>#REF!</v>
      </c>
    </row>
    <row r="29" customFormat="false" ht="18" hidden="true" customHeight="true" outlineLevel="0" collapsed="false">
      <c r="B29" s="14" t="s">
        <v>73</v>
      </c>
      <c r="D29" s="1" t="e">
        <f aca="false">#REF!+#REF!</f>
        <v>#REF!</v>
      </c>
      <c r="F29" s="1" t="e">
        <f aca="false">#REF!+#REF!</f>
        <v>#REF!</v>
      </c>
      <c r="H29" s="1" t="e">
        <f aca="false">#REF!+#REF!</f>
        <v>#REF!</v>
      </c>
      <c r="J29" s="16" t="e">
        <f aca="false">#REF!+#REF!</f>
        <v>#REF!</v>
      </c>
      <c r="L29" s="16" t="e">
        <f aca="false">J29+D29</f>
        <v>#REF!</v>
      </c>
    </row>
    <row r="30" customFormat="false" ht="18" hidden="true" customHeight="true" outlineLevel="0" collapsed="false">
      <c r="B30" s="14" t="s">
        <v>74</v>
      </c>
      <c r="D30" s="1" t="e">
        <f aca="false">#REF!+#REF!</f>
        <v>#REF!</v>
      </c>
      <c r="F30" s="1" t="e">
        <f aca="false">#REF!+#REF!</f>
        <v>#REF!</v>
      </c>
      <c r="H30" s="1" t="e">
        <f aca="false">#REF!+#REF!</f>
        <v>#REF!</v>
      </c>
      <c r="J30" s="16" t="e">
        <f aca="false">#REF!+#REF!</f>
        <v>#REF!</v>
      </c>
      <c r="L30" s="16" t="e">
        <f aca="false">J30+D30</f>
        <v>#REF!</v>
      </c>
    </row>
    <row r="31" customFormat="false" ht="18" hidden="true" customHeight="true" outlineLevel="0" collapsed="false">
      <c r="B31" s="14" t="s">
        <v>75</v>
      </c>
      <c r="D31" s="1" t="e">
        <f aca="false">#REF!+#REF!</f>
        <v>#REF!</v>
      </c>
      <c r="F31" s="1" t="e">
        <f aca="false">#REF!+#REF!</f>
        <v>#REF!</v>
      </c>
      <c r="H31" s="1" t="e">
        <f aca="false">#REF!+#REF!</f>
        <v>#REF!</v>
      </c>
      <c r="J31" s="16" t="e">
        <f aca="false">#REF!+#REF!</f>
        <v>#REF!</v>
      </c>
      <c r="L31" s="16" t="e">
        <f aca="false">J31+D31</f>
        <v>#REF!</v>
      </c>
    </row>
    <row r="32" customFormat="false" ht="18" hidden="true" customHeight="true" outlineLevel="0" collapsed="false">
      <c r="B32" s="14" t="s">
        <v>76</v>
      </c>
      <c r="D32" s="1" t="e">
        <f aca="false">#REF!+#REF!</f>
        <v>#REF!</v>
      </c>
      <c r="F32" s="1" t="e">
        <f aca="false">#REF!+#REF!</f>
        <v>#REF!</v>
      </c>
      <c r="H32" s="1" t="e">
        <f aca="false">#REF!+#REF!</f>
        <v>#REF!</v>
      </c>
      <c r="J32" s="16" t="e">
        <f aca="false">#REF!+#REF!</f>
        <v>#REF!</v>
      </c>
      <c r="L32" s="16" t="e">
        <f aca="false">J32+D32</f>
        <v>#REF!</v>
      </c>
    </row>
    <row r="33" customFormat="false" ht="18" hidden="true" customHeight="true" outlineLevel="0" collapsed="false">
      <c r="B33" s="14" t="s">
        <v>77</v>
      </c>
      <c r="D33" s="1" t="e">
        <f aca="false">#REF!+#REF!</f>
        <v>#REF!</v>
      </c>
      <c r="F33" s="1" t="e">
        <f aca="false">#REF!+#REF!</f>
        <v>#REF!</v>
      </c>
      <c r="H33" s="1" t="e">
        <f aca="false">#REF!+#REF!</f>
        <v>#REF!</v>
      </c>
      <c r="J33" s="16" t="e">
        <f aca="false">#REF!+#REF!</f>
        <v>#REF!</v>
      </c>
      <c r="L33" s="16" t="e">
        <f aca="false">J33+D33</f>
        <v>#REF!</v>
      </c>
    </row>
    <row r="34" customFormat="false" ht="18" hidden="true" customHeight="true" outlineLevel="0" collapsed="false">
      <c r="B34" s="14" t="s">
        <v>78</v>
      </c>
      <c r="D34" s="1" t="e">
        <f aca="false">#REF!+#REF!</f>
        <v>#REF!</v>
      </c>
      <c r="F34" s="1" t="e">
        <f aca="false">#REF!+#REF!</f>
        <v>#REF!</v>
      </c>
      <c r="H34" s="1" t="e">
        <f aca="false">#REF!+#REF!</f>
        <v>#REF!</v>
      </c>
      <c r="J34" s="16" t="e">
        <f aca="false">#REF!+#REF!</f>
        <v>#REF!</v>
      </c>
      <c r="L34" s="16" t="e">
        <f aca="false">J34+D34</f>
        <v>#REF!</v>
      </c>
    </row>
    <row r="35" customFormat="false" ht="15" hidden="false" customHeight="true" outlineLevel="0" collapsed="false">
      <c r="B35" s="16" t="str">
        <f aca="false">B18</f>
        <v>Wholesale</v>
      </c>
      <c r="D35" s="39" t="n">
        <f aca="false">Causey_FundsFlow!D18+'Causey_Working Cap'!D18</f>
        <v>-1377.82</v>
      </c>
      <c r="F35" s="39" t="n">
        <f aca="false">Causey_FundsFlow!F18+'Causey_Working Cap'!F18</f>
        <v>-341.985320206347</v>
      </c>
      <c r="H35" s="16" t="n">
        <f aca="false">Causey_FundsFlow!H18+'Causey_Working Cap'!H18</f>
        <v>1300</v>
      </c>
      <c r="J35" s="16" t="n">
        <f aca="false">Causey_FundsFlow!J18+'Causey_Working Cap'!J18</f>
        <v>958.014679793653</v>
      </c>
      <c r="L35" s="16" t="n">
        <f aca="false">J35+D35</f>
        <v>-419.805320206347</v>
      </c>
    </row>
    <row r="36" customFormat="false" ht="11.25" hidden="false" customHeight="false" outlineLevel="0" collapsed="false">
      <c r="B36" s="14"/>
    </row>
    <row r="37" customFormat="false" ht="18" hidden="false" customHeight="true" outlineLevel="0" collapsed="false">
      <c r="B37" s="41" t="s">
        <v>41</v>
      </c>
      <c r="D37" s="1" t="n">
        <f aca="false">Causey_FundsFlow!D20+'Causey_Working Cap'!D20</f>
        <v>-42.761</v>
      </c>
      <c r="F37" s="1" t="n">
        <f aca="false">Causey_FundsFlow!F20+'Causey_Working Cap'!F20</f>
        <v>-192.3</v>
      </c>
      <c r="H37" s="1" t="n">
        <f aca="false">Causey_FundsFlow!H20+'Causey_Working Cap'!H20</f>
        <v>0</v>
      </c>
      <c r="J37" s="16" t="n">
        <f aca="false">Causey_FundsFlow!J20+'Causey_Working Cap'!J20</f>
        <v>-192.3</v>
      </c>
      <c r="L37" s="16" t="n">
        <f aca="false">J37+D37</f>
        <v>-235.061</v>
      </c>
    </row>
    <row r="38" customFormat="false" ht="18" hidden="false" customHeight="true" outlineLevel="0" collapsed="false">
      <c r="B38" s="41" t="s">
        <v>42</v>
      </c>
      <c r="D38" s="1" t="n">
        <f aca="false">Causey_FundsFlow!D21+'Causey_Working Cap'!D21</f>
        <v>-106.971</v>
      </c>
      <c r="F38" s="1" t="n">
        <f aca="false">Causey_FundsFlow!F21+'Causey_Working Cap'!F21</f>
        <v>1.77200000000004</v>
      </c>
      <c r="H38" s="1" t="n">
        <f aca="false">Causey_FundsFlow!H21+'Causey_Working Cap'!H21</f>
        <v>0</v>
      </c>
      <c r="J38" s="16" t="n">
        <f aca="false">Causey_FundsFlow!J21+'Causey_Working Cap'!J21</f>
        <v>1.77200000000004</v>
      </c>
      <c r="L38" s="16" t="n">
        <f aca="false">J38+D38</f>
        <v>-105.199</v>
      </c>
    </row>
    <row r="39" customFormat="false" ht="18" hidden="false" customHeight="true" outlineLevel="0" collapsed="false">
      <c r="B39" s="41" t="s">
        <v>43</v>
      </c>
      <c r="D39" s="1" t="n">
        <f aca="false">Causey_FundsFlow!D22+'Causey_Working Cap'!D22</f>
        <v>-110.936</v>
      </c>
      <c r="F39" s="1" t="n">
        <f aca="false">Causey_FundsFlow!F22+'Causey_Working Cap'!F22</f>
        <v>84.2</v>
      </c>
      <c r="H39" s="1" t="n">
        <f aca="false">Causey_FundsFlow!H22+'Causey_Working Cap'!H22</f>
        <v>0</v>
      </c>
      <c r="J39" s="16" t="n">
        <f aca="false">Causey_FundsFlow!J22+'Causey_Working Cap'!J22</f>
        <v>84.2</v>
      </c>
      <c r="L39" s="16" t="n">
        <f aca="false">J39+D39</f>
        <v>-26.736</v>
      </c>
    </row>
    <row r="40" customFormat="false" ht="11.25" hidden="false" customHeight="false" outlineLevel="0" collapsed="false">
      <c r="B40" s="14"/>
    </row>
    <row r="41" customFormat="false" ht="18" hidden="false" customHeight="true" outlineLevel="0" collapsed="false">
      <c r="B41" s="1" t="s">
        <v>44</v>
      </c>
      <c r="D41" s="1" t="n">
        <f aca="false">Causey_FundsFlow!D24+'Causey_Working Cap'!D24</f>
        <v>307.342000000001</v>
      </c>
      <c r="F41" s="1" t="n">
        <f aca="false">Causey_FundsFlow!F24+'Causey_Working Cap'!F24</f>
        <v>-103.329217417184</v>
      </c>
      <c r="H41" s="1" t="n">
        <f aca="false">Causey_FundsFlow!H24+'Causey_Working Cap'!H24</f>
        <v>0</v>
      </c>
      <c r="J41" s="1" t="n">
        <f aca="false">Causey_FundsFlow!J24+'Causey_Working Cap'!J24</f>
        <v>-103.329217417184</v>
      </c>
      <c r="L41" s="1" t="n">
        <f aca="false">J41+D41</f>
        <v>204.012782582816</v>
      </c>
    </row>
    <row r="42" customFormat="false" ht="11.25" hidden="false" customHeight="false" outlineLevel="0" collapsed="false">
      <c r="B42" s="14"/>
    </row>
    <row r="43" customFormat="false" ht="11.25" hidden="false" customHeight="false" outlineLevel="0" collapsed="false">
      <c r="B43" s="16" t="s">
        <v>45</v>
      </c>
      <c r="C43" s="16"/>
      <c r="D43" s="21" t="n">
        <f aca="false">Causey_FundsFlow!D26+'Causey_Working Cap'!D26</f>
        <v>-1334.045</v>
      </c>
      <c r="E43" s="16"/>
      <c r="F43" s="21" t="n">
        <f aca="false">Causey_FundsFlow!F26+'Causey_Working Cap'!F26</f>
        <v>-378.641779751778</v>
      </c>
      <c r="G43" s="16"/>
      <c r="H43" s="21" t="n">
        <f aca="false">Causey_FundsFlow!H26+'Causey_Working Cap'!H26</f>
        <v>1300</v>
      </c>
      <c r="I43" s="16"/>
      <c r="J43" s="21" t="n">
        <f aca="false">Causey_FundsFlow!J26+'Causey_Working Cap'!J26</f>
        <v>921.358220248222</v>
      </c>
      <c r="K43" s="16"/>
      <c r="L43" s="21" t="n">
        <f aca="false">J43+D43</f>
        <v>-412.686779751778</v>
      </c>
      <c r="M43" s="16"/>
    </row>
    <row r="44" customFormat="false" ht="21" hidden="false" customHeight="true" outlineLevel="0" collapsed="false">
      <c r="B44" s="14"/>
    </row>
    <row r="45" customFormat="false" ht="11.25" hidden="false" customHeight="false" outlineLevel="0" collapsed="false">
      <c r="B45" s="14" t="s">
        <v>46</v>
      </c>
    </row>
    <row r="46" customFormat="false" ht="11.25" hidden="false" customHeight="false" outlineLevel="0" collapsed="false">
      <c r="B46" s="14" t="s">
        <v>47</v>
      </c>
    </row>
    <row r="49" customFormat="false" ht="11.25" hidden="false" customHeight="false" outlineLevel="0" collapsed="false">
      <c r="B49" s="14"/>
      <c r="D49" s="1" t="n">
        <f aca="false">+D16+D35+SUM(D37:D41)</f>
        <v>-1334.045</v>
      </c>
    </row>
    <row r="50" customFormat="false" ht="11.25" hidden="false" customHeight="false" outlineLevel="0" collapsed="false">
      <c r="B50" s="14"/>
    </row>
    <row r="51" customFormat="false" ht="15" hidden="false" customHeight="true" outlineLevel="0" collapsed="false">
      <c r="B51" s="16" t="s">
        <v>44</v>
      </c>
    </row>
    <row r="52" customFormat="false" ht="15" hidden="false" customHeight="true" outlineLevel="0" collapsed="false">
      <c r="B52" s="14" t="s">
        <v>51</v>
      </c>
    </row>
    <row r="53" customFormat="false" ht="15" hidden="false" customHeight="true" outlineLevel="0" collapsed="false">
      <c r="B53" s="14" t="s">
        <v>52</v>
      </c>
    </row>
    <row r="54" customFormat="false" ht="15" hidden="false" customHeight="true" outlineLevel="0" collapsed="false">
      <c r="B54" s="14" t="s">
        <v>53</v>
      </c>
    </row>
    <row r="55" customFormat="false" ht="15" hidden="false" customHeight="true" outlineLevel="0" collapsed="false">
      <c r="B55" s="14" t="s">
        <v>54</v>
      </c>
    </row>
    <row r="56" customFormat="false" ht="15" hidden="false" customHeight="true" outlineLevel="0" collapsed="false">
      <c r="B56" s="14" t="s">
        <v>55</v>
      </c>
    </row>
    <row r="57" customFormat="false" ht="15" hidden="false" customHeight="true" outlineLevel="0" collapsed="false">
      <c r="B57" s="14" t="s">
        <v>56</v>
      </c>
    </row>
    <row r="58" customFormat="false" ht="15" hidden="false" customHeight="true" outlineLevel="0" collapsed="false">
      <c r="B58" s="14" t="s">
        <v>57</v>
      </c>
    </row>
    <row r="59" customFormat="false" ht="15" hidden="false" customHeight="true" outlineLevel="0" collapsed="false">
      <c r="B59" s="14" t="s">
        <v>58</v>
      </c>
    </row>
    <row r="60" customFormat="false" ht="15" hidden="false" customHeight="true" outlineLevel="0" collapsed="false">
      <c r="B60" s="14"/>
      <c r="D60" s="18"/>
    </row>
    <row r="61" customFormat="false" ht="11.25" hidden="false" customHeight="false" outlineLevel="0" collapsed="false">
      <c r="B61" s="14"/>
    </row>
    <row r="62" customFormat="false" ht="15" hidden="false" customHeight="true" outlineLevel="0" collapsed="false">
      <c r="A62" s="16"/>
      <c r="B62" s="16" t="s">
        <v>45</v>
      </c>
      <c r="C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</row>
  </sheetData>
  <mergeCells count="3">
    <mergeCell ref="A5:L5"/>
    <mergeCell ref="A6:L6"/>
    <mergeCell ref="A7:L7"/>
  </mergeCells>
  <printOptions headings="false" gridLines="false" gridLinesSet="true" horizontalCentered="true" verticalCentered="false"/>
  <pageMargins left="0.5" right="0.920138888888889" top="0.59027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2001-08-23T19:34:02Z</dcterms:created>
  <dc:creator>gadams</dc:creator>
  <dc:description/>
  <dc:language>en-US</dc:language>
  <cp:lastModifiedBy>sschwar</cp:lastModifiedBy>
  <dcterms:modified xsi:type="dcterms:W3CDTF">2001-08-23T19:52:57Z</dcterms:modified>
  <cp:revision>0</cp:revision>
  <dc:subject/>
  <dc:title/>
</cp:coreProperties>
</file>