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phtha Prices" sheetId="1" state="visible" r:id="rId3"/>
    <sheet name="Crude Prices" sheetId="2" state="visible" r:id="rId4"/>
    <sheet name="Price-Differentials" sheetId="3" state="visible" r:id="rId5"/>
    <sheet name="CaptivePower" sheetId="4" state="visible" r:id="rId6"/>
    <sheet name="Final Comparision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<sst xmlns="http://schemas.openxmlformats.org/spreadsheetml/2006/main" count="225" uniqueCount="122">
  <si>
    <t xml:space="preserve">Naphtha Prices</t>
  </si>
  <si>
    <t xml:space="preserve">Nap.price($/Mmbtu)</t>
  </si>
  <si>
    <t xml:space="preserve">Nap.price ($/MT)</t>
  </si>
  <si>
    <t xml:space="preserve">Crude Price ($/Bbl)</t>
  </si>
  <si>
    <t xml:space="preserve">En.Charge - cents/kWh</t>
  </si>
  <si>
    <t xml:space="preserve">En. Charge - Rs/kWh</t>
  </si>
  <si>
    <t xml:space="preserve">Units - kWh</t>
  </si>
  <si>
    <t xml:space="preserve">F/xRate</t>
  </si>
  <si>
    <t xml:space="preserve">Minimum</t>
  </si>
  <si>
    <t xml:space="preserve">Maximum</t>
  </si>
  <si>
    <t xml:space="preserve">Average - Simple</t>
  </si>
  <si>
    <t xml:space="preserve">Average - Weighted</t>
  </si>
  <si>
    <t xml:space="preserve">Equation - 1990 to date</t>
  </si>
  <si>
    <t xml:space="preserve">Y = 0.98497594X + 0.312869509</t>
  </si>
  <si>
    <t xml:space="preserve">Y = Prompt Brent Crude Price - $/Bbl</t>
  </si>
  <si>
    <t xml:space="preserve">X = FOB AG Naphtha - $/Bbl</t>
  </si>
  <si>
    <t xml:space="preserve">Gas Price ($/MMBtu)</t>
  </si>
  <si>
    <t xml:space="preserve">En Ch (cents / kWh)</t>
  </si>
  <si>
    <t xml:space="preserve">En. Ch. (Rs/kWh)</t>
  </si>
  <si>
    <t xml:space="preserve">No. 2 Diesel (Small Diesels)</t>
  </si>
  <si>
    <t xml:space="preserve">Btu/kg (LHV)</t>
  </si>
  <si>
    <t xml:space="preserve">Btu/kg (HHV)</t>
  </si>
  <si>
    <t xml:space="preserve">Price in May ('00)</t>
  </si>
  <si>
    <t xml:space="preserve">Rs./Kilo Litre</t>
  </si>
  <si>
    <t xml:space="preserve">With Transport Cost (1%)</t>
  </si>
  <si>
    <t xml:space="preserve">Specific Grav. Diesel</t>
  </si>
  <si>
    <t xml:space="preserve">Price </t>
  </si>
  <si>
    <t xml:space="preserve">Rs./ton</t>
  </si>
  <si>
    <t xml:space="preserve">Price Rs./MMBtu</t>
  </si>
  <si>
    <t xml:space="preserve">Rs./MMBtu</t>
  </si>
  <si>
    <t xml:space="preserve">Price ($/MMBtu) - HHV</t>
  </si>
  <si>
    <t xml:space="preserve">$/MMBtu</t>
  </si>
  <si>
    <t xml:space="preserve">Price ($/MMBtu) - LHV</t>
  </si>
  <si>
    <t xml:space="preserve">Furnace Oil (Larger Diesels)</t>
  </si>
  <si>
    <t xml:space="preserve">Naphtha at Dabhol</t>
  </si>
  <si>
    <t xml:space="preserve">Price in June Bill ('00) - May Deliveries</t>
  </si>
  <si>
    <t xml:space="preserve">LNG at Dabhol</t>
  </si>
  <si>
    <t xml:space="preserve">Maharashtra State</t>
  </si>
  <si>
    <t xml:space="preserve">Capacity (MW)</t>
  </si>
  <si>
    <t xml:space="preserve">Diesel Generation</t>
  </si>
  <si>
    <t xml:space="preserve">Gas/Naphtha Generation</t>
  </si>
  <si>
    <t xml:space="preserve">Total</t>
  </si>
  <si>
    <t xml:space="preserve">Assumed PLF of Diesel Units:</t>
  </si>
  <si>
    <t xml:space="preserve">Company</t>
  </si>
  <si>
    <t xml:space="preserve">Location</t>
  </si>
  <si>
    <t xml:space="preserve">Fuel</t>
  </si>
  <si>
    <t xml:space="preserve">Heat Rate (Btu/kWh)</t>
  </si>
  <si>
    <t xml:space="preserve">HR (KCal/kWh, HHV)</t>
  </si>
  <si>
    <t xml:space="preserve">Cost in Cents/kWh</t>
  </si>
  <si>
    <t xml:space="preserve">Dabhol Cost (Cents/kWh) - Naphtha</t>
  </si>
  <si>
    <t xml:space="preserve">Dabhol Cost (Cents/kWh) - LNG</t>
  </si>
  <si>
    <t xml:space="preserve">Compare against Naphtha</t>
  </si>
  <si>
    <t xml:space="preserve">Compare against LNG</t>
  </si>
  <si>
    <t xml:space="preserve">Standard Alkali</t>
  </si>
  <si>
    <t xml:space="preserve">Thane</t>
  </si>
  <si>
    <t xml:space="preserve">Diesel</t>
  </si>
  <si>
    <t xml:space="preserve">Chemplast</t>
  </si>
  <si>
    <t xml:space="preserve">NA</t>
  </si>
  <si>
    <t xml:space="preserve">National Rayon</t>
  </si>
  <si>
    <t xml:space="preserve">Kalyan</t>
  </si>
  <si>
    <t xml:space="preserve">TELCO</t>
  </si>
  <si>
    <t xml:space="preserve">Hanil Era Textile Ltd.</t>
  </si>
  <si>
    <t xml:space="preserve">Raigad</t>
  </si>
  <si>
    <t xml:space="preserve">Sunflag Iron &amp; Steel</t>
  </si>
  <si>
    <t xml:space="preserve">Bhandara</t>
  </si>
  <si>
    <t xml:space="preserve">Woolworth India</t>
  </si>
  <si>
    <t xml:space="preserve">Nagpur</t>
  </si>
  <si>
    <t xml:space="preserve">L&amp;T</t>
  </si>
  <si>
    <t xml:space="preserve">Indo Count Ind.</t>
  </si>
  <si>
    <t xml:space="preserve">Kolhapur</t>
  </si>
  <si>
    <t xml:space="preserve">Usha Ispat Ltd</t>
  </si>
  <si>
    <t xml:space="preserve">Sindhudurg</t>
  </si>
  <si>
    <t xml:space="preserve">NRC Ltd.</t>
  </si>
  <si>
    <t xml:space="preserve">Bajaj Auto</t>
  </si>
  <si>
    <t xml:space="preserve">Pudumjee Pulp &amp; Paper Ltd.</t>
  </si>
  <si>
    <t xml:space="preserve">Pune</t>
  </si>
  <si>
    <t xml:space="preserve">Century Enka</t>
  </si>
  <si>
    <t xml:space="preserve">Welspun</t>
  </si>
  <si>
    <t xml:space="preserve">Soma Textile</t>
  </si>
  <si>
    <t xml:space="preserve">Lupin Chemicals</t>
  </si>
  <si>
    <t xml:space="preserve">NA </t>
  </si>
  <si>
    <t xml:space="preserve">Ceat</t>
  </si>
  <si>
    <t xml:space="preserve">Eurotex</t>
  </si>
  <si>
    <t xml:space="preserve">Arvind Cordspin</t>
  </si>
  <si>
    <t xml:space="preserve">Jindal Polyestor Ltd.</t>
  </si>
  <si>
    <t xml:space="preserve">Igatpuri</t>
  </si>
  <si>
    <t xml:space="preserve">Spentex Ind. Ltd.</t>
  </si>
  <si>
    <t xml:space="preserve">Baramati</t>
  </si>
  <si>
    <t xml:space="preserve">Bombay Tyres</t>
  </si>
  <si>
    <t xml:space="preserve">Binani Glass Fibre</t>
  </si>
  <si>
    <t xml:space="preserve">Santogen Export Ltd.</t>
  </si>
  <si>
    <t xml:space="preserve">Amit Spinning Inds.</t>
  </si>
  <si>
    <t xml:space="preserve">Hindustan Spinning Mills</t>
  </si>
  <si>
    <t xml:space="preserve">Karad</t>
  </si>
  <si>
    <t xml:space="preserve">DCL Polyestor</t>
  </si>
  <si>
    <t xml:space="preserve">Nagreeka Export</t>
  </si>
  <si>
    <t xml:space="preserve">Garware Wall Ropes</t>
  </si>
  <si>
    <t xml:space="preserve">Satara</t>
  </si>
  <si>
    <t xml:space="preserve">TOTAL</t>
  </si>
  <si>
    <t xml:space="preserve">IPCL</t>
  </si>
  <si>
    <t xml:space="preserve">Gas/Naphtha</t>
  </si>
  <si>
    <t xml:space="preserve">Reliance Ind. Ltd.</t>
  </si>
  <si>
    <t xml:space="preserve">ONGC IPG/CPU</t>
  </si>
  <si>
    <t xml:space="preserve">Indo Rama Synthetics</t>
  </si>
  <si>
    <t xml:space="preserve">RCF</t>
  </si>
  <si>
    <t xml:space="preserve">Ballarpur Industries</t>
  </si>
  <si>
    <t xml:space="preserve">Ballarpur</t>
  </si>
  <si>
    <t xml:space="preserve">I.G. Petrochemicals Ltd.</t>
  </si>
  <si>
    <t xml:space="preserve">Taloja</t>
  </si>
  <si>
    <t xml:space="preserve">Godrej Soaps</t>
  </si>
  <si>
    <t xml:space="preserve">Mumbai</t>
  </si>
  <si>
    <t xml:space="preserve">Savings in Maharashtra Fuel Cost if Captive Units were to be Supplied by Dabhol</t>
  </si>
  <si>
    <t xml:space="preserve">$/Hr.</t>
  </si>
  <si>
    <t xml:space="preserve">With Naphtha Fired Dabhol</t>
  </si>
  <si>
    <t xml:space="preserve">With LNG Fired Dabhol</t>
  </si>
  <si>
    <t xml:space="preserve">If we assume 5000 operating hours/yr. (57% PLF)</t>
  </si>
  <si>
    <t xml:space="preserve">Savings per Year with Naphtha</t>
  </si>
  <si>
    <t xml:space="preserve">Savings per Year with LNG</t>
  </si>
  <si>
    <t xml:space="preserve">This does not take into account capital costs incurred in equipment installation</t>
  </si>
  <si>
    <t xml:space="preserve">It also does not account for the fact that there are several much smaller units being used by</t>
  </si>
  <si>
    <t xml:space="preserve">hotels, small commercial establishments, and homes.  The typical energy cost for these is</t>
  </si>
  <si>
    <t xml:space="preserve">in the range of 10-12 cents/kWh.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</si>
</sst>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0"/>
    <numFmt numFmtId="169" formatCode="_(* #,##0.0_);_(* \(#,##0.0\);_(* \-??_);_(@_)"/>
    <numFmt numFmtId="170" formatCode="0%"/>
    <numFmt numFmtId="171" formatCode="_(\$* #,##0.00_);_(\$* \(#,##0.00\);_(\$* \-??_);_(@_)"/>
    <numFmt numFmtId="172" formatCode="_(\$* #,##0_);_(\$* \(#,##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18.85"/>
    <col collapsed="false" customWidth="true" hidden="false" outlineLevel="0" max="3" min="3" style="0" width="15.85"/>
    <col collapsed="false" customWidth="true" hidden="false" outlineLevel="0" max="4" min="4" style="0" width="18.28"/>
    <col collapsed="false" customWidth="true" hidden="false" outlineLevel="0" max="5" min="5" style="0" width="21.84"/>
    <col collapsed="false" customWidth="true" hidden="false" outlineLevel="0" max="6" min="6" style="0" width="19.7"/>
    <col collapsed="false" customWidth="true" hidden="false" outlineLevel="0" max="7" min="7" style="0" width="17.56"/>
    <col collapsed="false" customWidth="true" hidden="false" outlineLevel="0" max="8" min="8" style="0" width="7.56"/>
  </cols>
  <sheetData>
    <row r="1" customFormat="false" ht="12.75" hidden="false" customHeight="false" outlineLevel="0" collapsed="false">
      <c r="B1" s="1" t="s">
        <v>0</v>
      </c>
    </row>
    <row r="3" customFormat="false" ht="12.75" hidden="false" customHeight="false" outlineLevel="0" collapsed="false">
      <c r="A3" s="2"/>
      <c r="B3" s="3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6" t="s">
        <v>6</v>
      </c>
      <c r="H3" s="7" t="s">
        <v>7</v>
      </c>
    </row>
    <row r="4" customFormat="false" ht="12.75" hidden="false" customHeight="false" outlineLevel="0" collapsed="false">
      <c r="A4" s="8" t="n">
        <v>36281</v>
      </c>
      <c r="B4" s="9" t="n">
        <v>4.092868</v>
      </c>
      <c r="C4" s="10" t="n">
        <v>177.220526855423</v>
      </c>
      <c r="D4" s="10" t="n">
        <f aca="false">((((C4/1.228)-18.37)/9)*$B$33)+$B$34</f>
        <v>14.0966654898955</v>
      </c>
      <c r="E4" s="10" t="n">
        <f aca="false">F4/H4*100</f>
        <v>3.3480294478196</v>
      </c>
      <c r="F4" s="11" t="n">
        <f aca="false">144.01548669796/100</f>
        <v>1.4401548669796</v>
      </c>
      <c r="G4" s="12" t="n">
        <v>185744334.832</v>
      </c>
      <c r="H4" s="13" t="n">
        <v>43.015</v>
      </c>
    </row>
    <row r="5" customFormat="false" ht="12.75" hidden="false" customHeight="false" outlineLevel="0" collapsed="false">
      <c r="A5" s="8" t="n">
        <v>36312</v>
      </c>
      <c r="B5" s="14" t="n">
        <v>4.339497</v>
      </c>
      <c r="C5" s="13" t="n">
        <v>193.178190438019</v>
      </c>
      <c r="D5" s="13" t="n">
        <f aca="false">((((C5/1.228)-18.37)/9)*$B$33)+$B$34</f>
        <v>15.5188438003797</v>
      </c>
      <c r="E5" s="13" t="n">
        <f aca="false">F5/H5*100</f>
        <v>3.51874085943287</v>
      </c>
      <c r="F5" s="15" t="n">
        <f aca="false">153.194247883509/100</f>
        <v>1.53194247883509</v>
      </c>
      <c r="G5" s="12" t="n">
        <v>226883759.724</v>
      </c>
      <c r="H5" s="13" t="n">
        <v>43.5366666666667</v>
      </c>
    </row>
    <row r="6" customFormat="false" ht="12.75" hidden="false" customHeight="false" outlineLevel="0" collapsed="false">
      <c r="A6" s="8" t="n">
        <v>36342</v>
      </c>
      <c r="B6" s="14" t="n">
        <v>4.517313</v>
      </c>
      <c r="C6" s="13" t="n">
        <v>202.656778205921</v>
      </c>
      <c r="D6" s="13" t="n">
        <f aca="false">((((C6/1.228)-18.37)/9)*$B$33)+$B$34</f>
        <v>16.3635941529459</v>
      </c>
      <c r="E6" s="13" t="n">
        <f aca="false">F6/H6*100</f>
        <v>3.73939516881299</v>
      </c>
      <c r="F6" s="15" t="n">
        <f aca="false">162.190033121982/100</f>
        <v>1.62190033121982</v>
      </c>
      <c r="G6" s="12" t="n">
        <v>298788696.948</v>
      </c>
      <c r="H6" s="13" t="n">
        <v>43.3733333333333</v>
      </c>
    </row>
    <row r="7" customFormat="false" ht="12.75" hidden="false" customHeight="false" outlineLevel="0" collapsed="false">
      <c r="A7" s="8" t="n">
        <v>36373</v>
      </c>
      <c r="B7" s="14" t="n">
        <v>5.373915</v>
      </c>
      <c r="C7" s="13" t="n">
        <v>241.791567852626</v>
      </c>
      <c r="D7" s="13" t="n">
        <f aca="false">((((C7/1.228)-18.37)/9)*$B$33)+$B$34</f>
        <v>19.8513634452881</v>
      </c>
      <c r="E7" s="13" t="n">
        <f aca="false">F7/H7*100</f>
        <v>4.31823689593338</v>
      </c>
      <c r="F7" s="15" t="n">
        <f aca="false">187.814516727129/100</f>
        <v>1.87814516727129</v>
      </c>
      <c r="G7" s="12" t="n">
        <v>327583457.62</v>
      </c>
      <c r="H7" s="13" t="n">
        <v>43.4933333333333</v>
      </c>
    </row>
    <row r="8" customFormat="false" ht="12.75" hidden="false" customHeight="false" outlineLevel="0" collapsed="false">
      <c r="A8" s="8" t="n">
        <v>36404</v>
      </c>
      <c r="B8" s="14" t="n">
        <v>5.928366</v>
      </c>
      <c r="C8" s="13" t="n">
        <v>265.331283861677</v>
      </c>
      <c r="D8" s="13" t="n">
        <f aca="false">((((C8/1.228)-18.37)/9)*$B$33)+$B$34</f>
        <v>21.9492691549648</v>
      </c>
      <c r="E8" s="13" t="n">
        <f aca="false">F8/H8*100</f>
        <v>4.69994824822508</v>
      </c>
      <c r="F8" s="15" t="n">
        <f aca="false">204.949076610935/100</f>
        <v>2.04949076610935</v>
      </c>
      <c r="G8" s="12" t="n">
        <v>332464124.608</v>
      </c>
      <c r="H8" s="13" t="n">
        <v>43.6066666666667</v>
      </c>
    </row>
    <row r="9" customFormat="false" ht="12.75" hidden="false" customHeight="false" outlineLevel="0" collapsed="false">
      <c r="A9" s="8" t="n">
        <v>36434</v>
      </c>
      <c r="B9" s="14" t="n">
        <v>6.139349</v>
      </c>
      <c r="C9" s="13" t="n">
        <v>275.317491077811</v>
      </c>
      <c r="D9" s="13" t="n">
        <f aca="false">((((C9/1.228)-18.37)/9)*$B$33)+$B$34</f>
        <v>22.8392595494406</v>
      </c>
      <c r="E9" s="13" t="n">
        <f aca="false">F9/H9*100</f>
        <v>5.20766227326267</v>
      </c>
      <c r="F9" s="15" t="n">
        <f aca="false">226.203490276286/100</f>
        <v>2.26203490276286</v>
      </c>
      <c r="G9" s="12" t="n">
        <v>249027908.436</v>
      </c>
      <c r="H9" s="13" t="n">
        <v>43.4366666666667</v>
      </c>
    </row>
    <row r="10" customFormat="false" ht="12.75" hidden="false" customHeight="false" outlineLevel="0" collapsed="false">
      <c r="A10" s="8" t="n">
        <v>36465</v>
      </c>
      <c r="B10" s="14" t="n">
        <v>6.317416</v>
      </c>
      <c r="C10" s="13" t="n">
        <v>283.429082785468</v>
      </c>
      <c r="D10" s="13" t="n">
        <f aca="false">((((C10/1.228)-18.37)/9)*$B$33)+$B$34</f>
        <v>23.5621805290955</v>
      </c>
      <c r="E10" s="13" t="n">
        <f aca="false">F10/H10*100</f>
        <v>5.07707465164003</v>
      </c>
      <c r="F10" s="15" t="n">
        <f aca="false">220.429657792038/100</f>
        <v>2.20429657792038</v>
      </c>
      <c r="G10" s="12" t="n">
        <v>408451284.472</v>
      </c>
      <c r="H10" s="13" t="n">
        <v>43.4166666666667</v>
      </c>
    </row>
    <row r="11" customFormat="false" ht="12.75" hidden="false" customHeight="false" outlineLevel="0" collapsed="false">
      <c r="A11" s="8" t="n">
        <v>36495</v>
      </c>
      <c r="B11" s="14" t="n">
        <v>6.591127</v>
      </c>
      <c r="C11" s="13" t="n">
        <v>293.941684798187</v>
      </c>
      <c r="D11" s="13" t="n">
        <f aca="false">((((C11/1.228)-18.37)/9)*$B$33)+$B$34</f>
        <v>24.4990842613904</v>
      </c>
      <c r="E11" s="13" t="n">
        <f aca="false">F11/H11*100</f>
        <v>5.35773904244917</v>
      </c>
      <c r="F11" s="15" t="n">
        <f aca="false">233.133084867105/100</f>
        <v>2.33133084867105</v>
      </c>
      <c r="G11" s="12" t="n">
        <v>429480185.668</v>
      </c>
      <c r="H11" s="13" t="n">
        <v>43.5133333333333</v>
      </c>
    </row>
    <row r="12" customFormat="false" ht="12.75" hidden="false" customHeight="false" outlineLevel="0" collapsed="false">
      <c r="A12" s="8" t="n">
        <v>36526</v>
      </c>
      <c r="B12" s="14" t="n">
        <v>6.436082</v>
      </c>
      <c r="C12" s="13" t="n">
        <v>286.623608997664</v>
      </c>
      <c r="D12" s="13" t="n">
        <f aca="false">((((C12/1.228)-18.37)/9)*$B$33)+$B$34</f>
        <v>23.8468829774046</v>
      </c>
      <c r="E12" s="13" t="n">
        <f aca="false">F12/H12*100</f>
        <v>5.35623222104245</v>
      </c>
      <c r="F12" s="15" t="n">
        <f aca="false">233.531724837451/100</f>
        <v>2.33531724837451</v>
      </c>
      <c r="G12" s="12" t="n">
        <v>333778537.752</v>
      </c>
      <c r="H12" s="13" t="n">
        <v>43.6</v>
      </c>
    </row>
    <row r="13" customFormat="false" ht="12.75" hidden="false" customHeight="false" outlineLevel="0" collapsed="false">
      <c r="A13" s="8" t="n">
        <v>36557</v>
      </c>
      <c r="B13" s="14" t="n">
        <v>6.719905</v>
      </c>
      <c r="C13" s="13" t="n">
        <v>300.500893641076</v>
      </c>
      <c r="D13" s="13" t="n">
        <f aca="false">((((C13/1.228)-18.37)/9)*$B$33)+$B$34</f>
        <v>25.083653832118</v>
      </c>
      <c r="E13" s="13" t="n">
        <f aca="false">F13/H13*100</f>
        <v>5.44515099455676</v>
      </c>
      <c r="F13" s="15" t="n">
        <f aca="false">237.54017451171/100</f>
        <v>2.3754017451171</v>
      </c>
      <c r="G13" s="12" t="n">
        <v>410246756.972</v>
      </c>
      <c r="H13" s="13" t="n">
        <v>43.6241666666667</v>
      </c>
    </row>
    <row r="14" customFormat="false" ht="12.75" hidden="false" customHeight="false" outlineLevel="0" collapsed="false">
      <c r="A14" s="8" t="n">
        <v>36586</v>
      </c>
      <c r="B14" s="14" t="n">
        <v>7.42021</v>
      </c>
      <c r="C14" s="13" t="n">
        <v>330.255893398865</v>
      </c>
      <c r="D14" s="13" t="n">
        <f aca="false">((((C14/1.228)-18.37)/9)*$B$33)+$B$34</f>
        <v>27.7354778328535</v>
      </c>
      <c r="E14" s="13" t="n">
        <f aca="false">F14/H14*100</f>
        <v>6.117110389928</v>
      </c>
      <c r="F14" s="15" t="n">
        <f aca="false">266.869135944592/100</f>
        <v>2.66869135944592</v>
      </c>
      <c r="G14" s="12" t="n">
        <v>357877324.192</v>
      </c>
      <c r="H14" s="13" t="n">
        <v>43.6266666666667</v>
      </c>
    </row>
    <row r="15" customFormat="false" ht="12.75" hidden="false" customHeight="false" outlineLevel="0" collapsed="false">
      <c r="A15" s="8" t="n">
        <v>36617</v>
      </c>
      <c r="B15" s="14" t="n">
        <v>6.902189</v>
      </c>
      <c r="C15" s="13" t="n">
        <v>307.433527350632</v>
      </c>
      <c r="D15" s="13" t="n">
        <f aca="false">((((C15/1.228)-18.37)/9)*$B$33)+$B$34</f>
        <v>25.7015037601623</v>
      </c>
      <c r="E15" s="13" t="n">
        <f aca="false">F15/H15*100</f>
        <v>5.51977338759536</v>
      </c>
      <c r="F15" s="15" t="n">
        <f aca="false">241.043904025133/100</f>
        <v>2.41043904025133</v>
      </c>
      <c r="G15" s="12" t="n">
        <v>447487202.1</v>
      </c>
      <c r="H15" s="13" t="n">
        <v>43.6691666666667</v>
      </c>
    </row>
    <row r="16" customFormat="false" ht="12.75" hidden="false" customHeight="false" outlineLevel="0" collapsed="false">
      <c r="A16" s="8" t="n">
        <v>36647</v>
      </c>
      <c r="B16" s="14" t="n">
        <v>6.7914</v>
      </c>
      <c r="C16" s="13" t="n">
        <v>303.228991009932</v>
      </c>
      <c r="D16" s="13" t="n">
        <f aca="false">((((C16/1.228)-18.37)/9)*$B$33)+$B$34</f>
        <v>25.326787226101</v>
      </c>
      <c r="E16" s="13" t="n">
        <f aca="false">F16/H16*100</f>
        <v>5.55971310209422</v>
      </c>
      <c r="F16" s="15" t="n">
        <f aca="false">248.018801484423/100</f>
        <v>2.48018801484423</v>
      </c>
      <c r="G16" s="12" t="n">
        <v>381389341.128</v>
      </c>
      <c r="H16" s="13" t="n">
        <v>44.61</v>
      </c>
    </row>
    <row r="17" customFormat="false" ht="12.75" hidden="false" customHeight="false" outlineLevel="0" collapsed="false">
      <c r="A17" s="8" t="n">
        <v>36678</v>
      </c>
      <c r="B17" s="14" t="n">
        <v>6.785149</v>
      </c>
      <c r="C17" s="13" t="n">
        <v>303.228991988986</v>
      </c>
      <c r="D17" s="13" t="n">
        <f aca="false">((((C17/1.228)-18.37)/9)*$B$33)+$B$34</f>
        <v>25.3267873133563</v>
      </c>
      <c r="E17" s="13" t="n">
        <f aca="false">F17/H17*100</f>
        <v>6.43706164771031</v>
      </c>
      <c r="F17" s="15" t="n">
        <f aca="false">287.666920818134/100</f>
        <v>2.87666920818134</v>
      </c>
      <c r="G17" s="12" t="n">
        <v>39123882.144</v>
      </c>
      <c r="H17" s="13" t="n">
        <v>44.6891666666667</v>
      </c>
    </row>
    <row r="18" customFormat="false" ht="12.75" hidden="false" customHeight="false" outlineLevel="0" collapsed="false">
      <c r="A18" s="8" t="n">
        <v>36708</v>
      </c>
      <c r="B18" s="14" t="n">
        <v>6.866492</v>
      </c>
      <c r="C18" s="13" t="n">
        <v>306.162189619122</v>
      </c>
      <c r="D18" s="13" t="n">
        <f aca="false">((((C18/1.228)-18.37)/9)*$B$33)+$B$34</f>
        <v>25.5881996453278</v>
      </c>
      <c r="E18" s="13" t="n">
        <f aca="false">F18/H18*100</f>
        <v>5.92176815525974</v>
      </c>
      <c r="F18" s="15" t="n">
        <f aca="false">268.532446613845/100</f>
        <v>2.68532446613845</v>
      </c>
      <c r="G18" s="12" t="n">
        <v>179474667.456</v>
      </c>
      <c r="H18" s="13" t="n">
        <v>45.3466666666667</v>
      </c>
    </row>
    <row r="19" customFormat="false" ht="12.75" hidden="false" customHeight="false" outlineLevel="0" collapsed="false">
      <c r="A19" s="8" t="n">
        <v>36739</v>
      </c>
      <c r="B19" s="14" t="n">
        <v>7.032883</v>
      </c>
      <c r="C19" s="13" t="n">
        <v>313.044663185017</v>
      </c>
      <c r="D19" s="13" t="n">
        <f aca="false">((((C19/1.228)-18.37)/9)*$B$33)+$B$34</f>
        <v>26.2015792028823</v>
      </c>
      <c r="E19" s="13" t="n">
        <f aca="false">F19/H19*100</f>
        <v>6.13884347736557</v>
      </c>
      <c r="F19" s="15" t="n">
        <f aca="false">281.578518900963/100</f>
        <v>2.81578518900963</v>
      </c>
      <c r="G19" s="12" t="n">
        <v>231445114.428</v>
      </c>
      <c r="H19" s="13" t="n">
        <v>45.8683333333333</v>
      </c>
    </row>
    <row r="20" customFormat="false" ht="12.75" hidden="false" customHeight="false" outlineLevel="0" collapsed="false">
      <c r="A20" s="8" t="n">
        <v>36770</v>
      </c>
      <c r="B20" s="14" t="n">
        <v>8.139323</v>
      </c>
      <c r="C20" s="13" t="n">
        <v>362.936189583086</v>
      </c>
      <c r="D20" s="13" t="n">
        <f aca="false">((((C20/1.228)-18.37)/9)*$B$33)+$B$34</f>
        <v>30.6480099947727</v>
      </c>
      <c r="E20" s="13" t="n">
        <f aca="false">F20/H20*100</f>
        <v>6.89438306138196</v>
      </c>
      <c r="F20" s="15" t="n">
        <f aca="false">318.22174083652/100</f>
        <v>3.1822174083652</v>
      </c>
      <c r="G20" s="12" t="n">
        <v>257753632.056</v>
      </c>
      <c r="H20" s="13" t="n">
        <v>46.1566666666667</v>
      </c>
    </row>
    <row r="21" customFormat="false" ht="12.75" hidden="false" customHeight="false" outlineLevel="0" collapsed="false">
      <c r="A21" s="8" t="n">
        <v>36800</v>
      </c>
      <c r="B21" s="14" t="n">
        <v>8.393443</v>
      </c>
      <c r="C21" s="13" t="n">
        <v>374.383562851869</v>
      </c>
      <c r="D21" s="13" t="n">
        <f aca="false">((((C21/1.228)-18.37)/9)*$B$33)+$B$34</f>
        <v>31.6682223767805</v>
      </c>
      <c r="E21" s="13" t="n">
        <f aca="false">F21/H21*100</f>
        <v>7.18745491391476</v>
      </c>
      <c r="F21" s="15" t="n">
        <f aca="false">336.756220899953/100</f>
        <v>3.36756220899953</v>
      </c>
      <c r="G21" s="12" t="n">
        <v>267259145.292</v>
      </c>
      <c r="H21" s="13" t="n">
        <v>46.8533333333333</v>
      </c>
    </row>
    <row r="22" customFormat="false" ht="12.75" hidden="false" customHeight="false" outlineLevel="0" collapsed="false">
      <c r="A22" s="8" t="n">
        <v>36831</v>
      </c>
      <c r="B22" s="14" t="n">
        <v>8.064744</v>
      </c>
      <c r="C22" s="13" t="n">
        <v>359.011038650046</v>
      </c>
      <c r="D22" s="13" t="n">
        <f aca="false">((((C22/1.228)-18.37)/9)*$B$33)+$B$34</f>
        <v>30.2981928368001</v>
      </c>
      <c r="E22" s="13" t="n">
        <f aca="false">F22/H22*100</f>
        <v>6.62309868011642</v>
      </c>
      <c r="F22" s="15" t="n">
        <f aca="false">310.446712132657/100</f>
        <v>3.10446712132657</v>
      </c>
      <c r="G22" s="12" t="n">
        <v>184948831.288</v>
      </c>
      <c r="H22" s="13" t="n">
        <v>46.8733333333333</v>
      </c>
    </row>
    <row r="23" customFormat="false" ht="12.75" hidden="false" customHeight="false" outlineLevel="0" collapsed="false">
      <c r="A23" s="8" t="n">
        <v>36861</v>
      </c>
      <c r="B23" s="16" t="n">
        <v>7.989608</v>
      </c>
      <c r="C23" s="17" t="n">
        <v>355.864954911592</v>
      </c>
      <c r="D23" s="17" t="n">
        <f aca="false">((((C23/1.228)-18.37)/9)*$B$33)+$B$34</f>
        <v>30.0178076768651</v>
      </c>
      <c r="E23" s="17" t="n">
        <f aca="false">F23/H23*100</f>
        <v>7.03351821012839</v>
      </c>
      <c r="F23" s="18" t="n">
        <f aca="false">328.477025287852/100</f>
        <v>3.28477025287852</v>
      </c>
      <c r="G23" s="12" t="n">
        <v>179021281.104</v>
      </c>
      <c r="H23" s="13" t="n">
        <v>46.701667</v>
      </c>
    </row>
    <row r="24" customFormat="false" ht="12.75" hidden="false" customHeight="false" outlineLevel="0" collapsed="false">
      <c r="A24" s="19" t="s">
        <v>8</v>
      </c>
      <c r="B24" s="20" t="n">
        <f aca="false">MIN(B4:B23)</f>
        <v>4.092868</v>
      </c>
      <c r="C24" s="20" t="n">
        <f aca="false">MIN(C4:C23)</f>
        <v>177.220526855423</v>
      </c>
      <c r="D24" s="20" t="n">
        <f aca="false">MIN(D4:D23)</f>
        <v>14.0966654898955</v>
      </c>
      <c r="E24" s="20" t="n">
        <f aca="false">MIN(E4:E23)</f>
        <v>3.3480294478196</v>
      </c>
      <c r="F24" s="21" t="n">
        <f aca="false">MIN(F4:F23)</f>
        <v>1.4401548669796</v>
      </c>
    </row>
    <row r="25" customFormat="false" ht="12.75" hidden="false" customHeight="false" outlineLevel="0" collapsed="false">
      <c r="A25" s="22" t="s">
        <v>9</v>
      </c>
      <c r="B25" s="20" t="n">
        <f aca="false">MAX(B4:B23)</f>
        <v>8.393443</v>
      </c>
      <c r="C25" s="20" t="n">
        <f aca="false">MAX(C4:C23)</f>
        <v>374.383562851869</v>
      </c>
      <c r="D25" s="20" t="n">
        <f aca="false">MAX(D4:D23)</f>
        <v>31.6682223767805</v>
      </c>
      <c r="E25" s="20" t="n">
        <f aca="false">MAX(E4:E23)</f>
        <v>7.18745491391476</v>
      </c>
      <c r="F25" s="21" t="n">
        <f aca="false">MAX(F4:F23)</f>
        <v>3.36756220899953</v>
      </c>
    </row>
    <row r="26" customFormat="false" ht="12.75" hidden="false" customHeight="false" outlineLevel="0" collapsed="false">
      <c r="A26" s="22" t="s">
        <v>10</v>
      </c>
      <c r="B26" s="20" t="n">
        <f aca="false">AVERAGE(B4:B23)</f>
        <v>6.54206395</v>
      </c>
      <c r="C26" s="20" t="n">
        <f aca="false">AVERAGE(C4:C23)</f>
        <v>291.777055553151</v>
      </c>
      <c r="D26" s="20" t="n">
        <f aca="false">AVERAGE(D4:D23)</f>
        <v>24.3061682529412</v>
      </c>
      <c r="E26" s="20" t="n">
        <f aca="false">AVERAGE(E4:E23)</f>
        <v>5.47504674143349</v>
      </c>
      <c r="F26" s="21" t="n">
        <f aca="false">AVERAGE(F4:F23)</f>
        <v>2.44530646013509</v>
      </c>
    </row>
    <row r="27" customFormat="false" ht="12.75" hidden="false" customHeight="false" outlineLevel="0" collapsed="false">
      <c r="A27" s="23" t="s">
        <v>11</v>
      </c>
      <c r="B27" s="24" t="n">
        <f aca="false">SUMPRODUCT(B4:B23,G4:G23)/SUM(G4:G23)</f>
        <v>6.52799214657213</v>
      </c>
      <c r="C27" s="24" t="n">
        <f aca="false">SUMPRODUCT(C4:C23,G4:G23)/SUM(G4:G23)</f>
        <v>291.298662069733</v>
      </c>
      <c r="D27" s="24" t="n">
        <f aca="false">SUMPRODUCT(D4:D23,G4:G23)/SUM(G4:G23)</f>
        <v>24.2635328863995</v>
      </c>
      <c r="E27" s="24" t="n">
        <f aca="false">SUMPRODUCT(E4:E23,G4:G23)/SUM(G4:G23)</f>
        <v>5.39522143689636</v>
      </c>
      <c r="F27" s="25" t="n">
        <f aca="false">SUMPRODUCT(F4:F23,G4:G23)/SUM(G4:G23)</f>
        <v>2.39576212470439</v>
      </c>
    </row>
    <row r="29" customFormat="false" ht="12.75" hidden="false" customHeight="false" outlineLevel="0" collapsed="false">
      <c r="A29" s="26" t="s">
        <v>12</v>
      </c>
    </row>
    <row r="30" customFormat="false" ht="12.75" hidden="false" customHeight="false" outlineLevel="0" collapsed="false">
      <c r="A30" s="27" t="s">
        <v>13</v>
      </c>
    </row>
    <row r="31" customFormat="false" ht="12.75" hidden="false" customHeight="false" outlineLevel="0" collapsed="false">
      <c r="A31" s="28" t="s">
        <v>14</v>
      </c>
    </row>
    <row r="32" customFormat="false" ht="12.75" hidden="false" customHeight="false" outlineLevel="0" collapsed="false">
      <c r="A32" s="28" t="s">
        <v>15</v>
      </c>
    </row>
    <row r="33" customFormat="false" ht="12.75" hidden="false" customHeight="false" outlineLevel="0" collapsed="false">
      <c r="B33" s="29" t="n">
        <v>0.98497594</v>
      </c>
    </row>
    <row r="34" customFormat="false" ht="12.75" hidden="false" customHeight="false" outlineLevel="0" collapsed="false">
      <c r="B34" s="29" t="n">
        <v>0.312869509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true" outlineLevel="0" max="2" min="2" style="0" width="18.85"/>
    <col collapsed="false" customWidth="true" hidden="true" outlineLevel="0" max="3" min="3" style="0" width="15.85"/>
    <col collapsed="false" customWidth="true" hidden="false" outlineLevel="0" max="4" min="4" style="0" width="18.28"/>
    <col collapsed="false" customWidth="true" hidden="true" outlineLevel="0" max="5" min="5" style="0" width="17.56"/>
    <col collapsed="false" customWidth="true" hidden="false" outlineLevel="0" max="6" min="6" style="0" width="18.85"/>
    <col collapsed="false" customWidth="true" hidden="false" outlineLevel="0" max="7" min="7" style="0" width="18.7"/>
    <col collapsed="false" customWidth="true" hidden="false" outlineLevel="0" max="8" min="8" style="0" width="15.99"/>
  </cols>
  <sheetData>
    <row r="1" customFormat="false" ht="12.75" hidden="false" customHeight="false" outlineLevel="0" collapsed="false">
      <c r="B1" s="1" t="s">
        <v>0</v>
      </c>
    </row>
    <row r="3" customFormat="false" ht="12.75" hidden="false" customHeight="false" outlineLevel="0" collapsed="false">
      <c r="A3" s="2"/>
      <c r="B3" s="3" t="s">
        <v>1</v>
      </c>
      <c r="C3" s="4" t="s">
        <v>2</v>
      </c>
      <c r="D3" s="4" t="s">
        <v>3</v>
      </c>
      <c r="E3" s="30" t="s">
        <v>6</v>
      </c>
      <c r="F3" s="3" t="s">
        <v>16</v>
      </c>
      <c r="G3" s="3" t="s">
        <v>17</v>
      </c>
      <c r="H3" s="3" t="s">
        <v>18</v>
      </c>
      <c r="I3" s="5" t="s">
        <v>7</v>
      </c>
    </row>
    <row r="4" customFormat="false" ht="12.75" hidden="false" customHeight="false" outlineLevel="0" collapsed="false">
      <c r="A4" s="8" t="n">
        <v>36281</v>
      </c>
      <c r="B4" s="13" t="n">
        <v>4.092868</v>
      </c>
      <c r="C4" s="13" t="n">
        <v>177.220526855423</v>
      </c>
      <c r="D4" s="9" t="n">
        <f aca="false">((((C4/1.228)-18.37)/9)*$B$33)+$B$34</f>
        <v>14.0966654898955</v>
      </c>
      <c r="E4" s="31" t="n">
        <v>185744334.832</v>
      </c>
      <c r="F4" s="10" t="n">
        <v>3.46144093004929</v>
      </c>
      <c r="G4" s="10" t="n">
        <f aca="false">F4*7450/10^6*100</f>
        <v>2.57877349288672</v>
      </c>
      <c r="H4" s="10" t="n">
        <f aca="false">G4*I4/100</f>
        <v>1.10925941796522</v>
      </c>
      <c r="I4" s="11" t="n">
        <v>43.015</v>
      </c>
    </row>
    <row r="5" customFormat="false" ht="12.75" hidden="false" customHeight="false" outlineLevel="0" collapsed="false">
      <c r="A5" s="8" t="n">
        <v>36312</v>
      </c>
      <c r="B5" s="13" t="n">
        <v>4.339497</v>
      </c>
      <c r="C5" s="13" t="n">
        <v>193.178190438019</v>
      </c>
      <c r="D5" s="14" t="n">
        <f aca="false">((((C5/1.228)-18.37)/9)*$B$33)+$B$34</f>
        <v>15.5188438003797</v>
      </c>
      <c r="E5" s="12" t="n">
        <v>226883759.724</v>
      </c>
      <c r="F5" s="13" t="n">
        <v>3.68721765348113</v>
      </c>
      <c r="G5" s="13" t="n">
        <f aca="false">F5*7450/10^6*100</f>
        <v>2.74697715184344</v>
      </c>
      <c r="H5" s="13" t="n">
        <f aca="false">G5*I5/100</f>
        <v>1.19594228600757</v>
      </c>
      <c r="I5" s="15" t="n">
        <v>43.5366666666667</v>
      </c>
    </row>
    <row r="6" customFormat="false" ht="12.75" hidden="false" customHeight="false" outlineLevel="0" collapsed="false">
      <c r="A6" s="8" t="n">
        <v>36342</v>
      </c>
      <c r="B6" s="13" t="n">
        <v>4.517313</v>
      </c>
      <c r="C6" s="13" t="n">
        <v>202.656778205921</v>
      </c>
      <c r="D6" s="14" t="n">
        <f aca="false">((((C6/1.228)-18.37)/9)*$B$33)+$B$34</f>
        <v>16.3635941529459</v>
      </c>
      <c r="E6" s="12" t="n">
        <v>298788696.948</v>
      </c>
      <c r="F6" s="13" t="n">
        <v>3.82194060069536</v>
      </c>
      <c r="G6" s="13" t="n">
        <f aca="false">F6*7450/10^6*100</f>
        <v>2.84734574751804</v>
      </c>
      <c r="H6" s="13" t="n">
        <f aca="false">G6*I6/100</f>
        <v>1.23498876222349</v>
      </c>
      <c r="I6" s="15" t="n">
        <v>43.3733333333333</v>
      </c>
    </row>
    <row r="7" customFormat="false" ht="12.75" hidden="false" customHeight="false" outlineLevel="0" collapsed="false">
      <c r="A7" s="8" t="n">
        <v>36373</v>
      </c>
      <c r="B7" s="13" t="n">
        <v>5.373915</v>
      </c>
      <c r="C7" s="13" t="n">
        <v>241.791567852626</v>
      </c>
      <c r="D7" s="14" t="n">
        <f aca="false">((((C7/1.228)-18.37)/9)*$B$33)+$B$34</f>
        <v>19.8513634452881</v>
      </c>
      <c r="E7" s="12" t="n">
        <v>327583457.62</v>
      </c>
      <c r="F7" s="13" t="n">
        <v>4.3771514756052</v>
      </c>
      <c r="G7" s="13" t="n">
        <f aca="false">F7*7450/10^6*100</f>
        <v>3.26097784932588</v>
      </c>
      <c r="H7" s="13" t="n">
        <f aca="false">G7*I7/100</f>
        <v>1.41830796593347</v>
      </c>
      <c r="I7" s="15" t="n">
        <v>43.4933333333333</v>
      </c>
    </row>
    <row r="8" customFormat="false" ht="12.75" hidden="false" customHeight="false" outlineLevel="0" collapsed="false">
      <c r="A8" s="8" t="n">
        <v>36404</v>
      </c>
      <c r="B8" s="13" t="n">
        <v>5.928366</v>
      </c>
      <c r="C8" s="13" t="n">
        <v>265.331283861677</v>
      </c>
      <c r="D8" s="14" t="n">
        <f aca="false">((((C8/1.228)-18.37)/9)*$B$33)+$B$34</f>
        <v>21.9492691549648</v>
      </c>
      <c r="E8" s="12" t="n">
        <v>332464124.608</v>
      </c>
      <c r="F8" s="13" t="n">
        <v>4.71106031315493</v>
      </c>
      <c r="G8" s="13" t="n">
        <f aca="false">F8*7450/10^6*100</f>
        <v>3.50973993330042</v>
      </c>
      <c r="H8" s="13" t="n">
        <f aca="false">G8*I8/100</f>
        <v>1.5304805935812</v>
      </c>
      <c r="I8" s="15" t="n">
        <v>43.6066666666667</v>
      </c>
    </row>
    <row r="9" customFormat="false" ht="12.75" hidden="false" customHeight="false" outlineLevel="0" collapsed="false">
      <c r="A9" s="8" t="n">
        <v>36434</v>
      </c>
      <c r="B9" s="13" t="n">
        <v>6.139349</v>
      </c>
      <c r="C9" s="13" t="n">
        <v>275.317491077811</v>
      </c>
      <c r="D9" s="14" t="n">
        <f aca="false">((((C9/1.228)-18.37)/9)*$B$33)+$B$34</f>
        <v>22.8392595494406</v>
      </c>
      <c r="E9" s="12" t="n">
        <v>249027908.436</v>
      </c>
      <c r="F9" s="13" t="n">
        <v>4.8529948942658</v>
      </c>
      <c r="G9" s="13" t="n">
        <f aca="false">F9*7450/10^6*100</f>
        <v>3.61548119622802</v>
      </c>
      <c r="H9" s="13" t="n">
        <f aca="false">G9*I9/100</f>
        <v>1.57044451560158</v>
      </c>
      <c r="I9" s="15" t="n">
        <v>43.4366666666667</v>
      </c>
    </row>
    <row r="10" customFormat="false" ht="12.75" hidden="false" customHeight="false" outlineLevel="0" collapsed="false">
      <c r="A10" s="8" t="n">
        <v>36465</v>
      </c>
      <c r="B10" s="13" t="n">
        <v>6.317416</v>
      </c>
      <c r="C10" s="13" t="n">
        <v>283.429082785468</v>
      </c>
      <c r="D10" s="14" t="n">
        <f aca="false">((((C10/1.228)-18.37)/9)*$B$33)+$B$34</f>
        <v>23.5621805290955</v>
      </c>
      <c r="E10" s="12" t="n">
        <v>408451284.472</v>
      </c>
      <c r="F10" s="13" t="n">
        <v>4.96813330854958</v>
      </c>
      <c r="G10" s="13" t="n">
        <f aca="false">F10*7450/10^6*100</f>
        <v>3.70125931486944</v>
      </c>
      <c r="H10" s="13" t="n">
        <f aca="false">G10*I10/100</f>
        <v>1.60696341920581</v>
      </c>
      <c r="I10" s="15" t="n">
        <v>43.4166666666667</v>
      </c>
    </row>
    <row r="11" customFormat="false" ht="12.75" hidden="false" customHeight="false" outlineLevel="0" collapsed="false">
      <c r="A11" s="8" t="n">
        <v>36495</v>
      </c>
      <c r="B11" s="13" t="n">
        <v>6.591127</v>
      </c>
      <c r="C11" s="13" t="n">
        <v>293.941684798187</v>
      </c>
      <c r="D11" s="14" t="n">
        <f aca="false">((((C11/1.228)-18.37)/9)*$B$33)+$B$34</f>
        <v>24.4990842613904</v>
      </c>
      <c r="E11" s="12" t="n">
        <v>429480185.668</v>
      </c>
      <c r="F11" s="13" t="n">
        <v>5.11719387226978</v>
      </c>
      <c r="G11" s="13" t="n">
        <f aca="false">F11*7450/10^6*100</f>
        <v>3.81230943484099</v>
      </c>
      <c r="H11" s="13" t="n">
        <f aca="false">G11*I11/100</f>
        <v>1.65886291208047</v>
      </c>
      <c r="I11" s="15" t="n">
        <v>43.5133333333333</v>
      </c>
    </row>
    <row r="12" customFormat="false" ht="12.75" hidden="false" customHeight="false" outlineLevel="0" collapsed="false">
      <c r="A12" s="8" t="n">
        <v>36526</v>
      </c>
      <c r="B12" s="13" t="n">
        <v>6.436082</v>
      </c>
      <c r="C12" s="13" t="n">
        <v>286.623608997664</v>
      </c>
      <c r="D12" s="14" t="n">
        <f aca="false">((((C12/1.228)-18.37)/9)*$B$33)+$B$34</f>
        <v>23.8468829774046</v>
      </c>
      <c r="E12" s="12" t="n">
        <v>333778537.752</v>
      </c>
      <c r="F12" s="13" t="n">
        <v>5.01323066945085</v>
      </c>
      <c r="G12" s="13" t="n">
        <f aca="false">F12*7450/10^6*100</f>
        <v>3.73485684874088</v>
      </c>
      <c r="H12" s="13" t="n">
        <f aca="false">G12*I12/100</f>
        <v>1.62839758605103</v>
      </c>
      <c r="I12" s="15" t="n">
        <v>43.6</v>
      </c>
    </row>
    <row r="13" customFormat="false" ht="12.75" hidden="false" customHeight="false" outlineLevel="0" collapsed="false">
      <c r="A13" s="8" t="n">
        <v>36557</v>
      </c>
      <c r="B13" s="13" t="n">
        <v>6.719905</v>
      </c>
      <c r="C13" s="13" t="n">
        <v>300.500893641076</v>
      </c>
      <c r="D13" s="14" t="n">
        <f aca="false">((((C13/1.228)-18.37)/9)*$B$33)+$B$34</f>
        <v>25.083653832118</v>
      </c>
      <c r="E13" s="12" t="n">
        <v>410246756.972</v>
      </c>
      <c r="F13" s="13" t="n">
        <v>5.21013375501234</v>
      </c>
      <c r="G13" s="13" t="n">
        <f aca="false">F13*7450/10^6*100</f>
        <v>3.88154964748419</v>
      </c>
      <c r="H13" s="13" t="n">
        <f aca="false">G13*I13/100</f>
        <v>1.69329368746792</v>
      </c>
      <c r="I13" s="15" t="n">
        <v>43.6241666666667</v>
      </c>
    </row>
    <row r="14" customFormat="false" ht="12.75" hidden="false" customHeight="false" outlineLevel="0" collapsed="false">
      <c r="A14" s="8" t="n">
        <v>36586</v>
      </c>
      <c r="B14" s="13" t="n">
        <v>7.42021</v>
      </c>
      <c r="C14" s="13" t="n">
        <v>330.255893398865</v>
      </c>
      <c r="D14" s="14" t="n">
        <f aca="false">((((C14/1.228)-18.37)/9)*$B$33)+$B$34</f>
        <v>27.7354778328535</v>
      </c>
      <c r="E14" s="12" t="n">
        <v>357877324.192</v>
      </c>
      <c r="F14" s="13" t="n">
        <v>5.63238711221687</v>
      </c>
      <c r="G14" s="13" t="n">
        <f aca="false">F14*7450/10^6*100</f>
        <v>4.19612839860157</v>
      </c>
      <c r="H14" s="13" t="n">
        <f aca="false">G14*I14/100</f>
        <v>1.83063094936325</v>
      </c>
      <c r="I14" s="15" t="n">
        <v>43.6266666666667</v>
      </c>
    </row>
    <row r="15" customFormat="false" ht="12.75" hidden="false" customHeight="false" outlineLevel="0" collapsed="false">
      <c r="A15" s="8" t="n">
        <v>36617</v>
      </c>
      <c r="B15" s="13" t="n">
        <v>6.902189</v>
      </c>
      <c r="C15" s="13" t="n">
        <v>307.433527350632</v>
      </c>
      <c r="D15" s="14" t="n">
        <f aca="false">((((C15/1.228)-18.37)/9)*$B$33)+$B$34</f>
        <v>25.7015037601623</v>
      </c>
      <c r="E15" s="12" t="n">
        <v>447487202.1</v>
      </c>
      <c r="F15" s="13" t="n">
        <v>5.30845785601109</v>
      </c>
      <c r="G15" s="13" t="n">
        <f aca="false">F15*7450/10^6*100</f>
        <v>3.95480110272827</v>
      </c>
      <c r="H15" s="13" t="n">
        <f aca="false">G15*I15/100</f>
        <v>1.72702868488558</v>
      </c>
      <c r="I15" s="15" t="n">
        <v>43.6691666666667</v>
      </c>
    </row>
    <row r="16" customFormat="false" ht="12.75" hidden="false" customHeight="false" outlineLevel="0" collapsed="false">
      <c r="A16" s="8" t="n">
        <v>36647</v>
      </c>
      <c r="B16" s="13" t="n">
        <v>6.7914</v>
      </c>
      <c r="C16" s="13" t="n">
        <v>303.228991009932</v>
      </c>
      <c r="D16" s="14" t="n">
        <f aca="false">((((C16/1.228)-18.37)/9)*$B$33)+$B$34</f>
        <v>25.326787226101</v>
      </c>
      <c r="E16" s="12" t="n">
        <v>381389341.128</v>
      </c>
      <c r="F16" s="13" t="n">
        <v>5.24761135942431</v>
      </c>
      <c r="G16" s="13" t="n">
        <f aca="false">F16*7450/10^6*100</f>
        <v>3.90947046277111</v>
      </c>
      <c r="H16" s="13" t="n">
        <f aca="false">G16*I16/100</f>
        <v>1.74401477344219</v>
      </c>
      <c r="I16" s="15" t="n">
        <v>44.61</v>
      </c>
    </row>
    <row r="17" customFormat="false" ht="12.75" hidden="false" customHeight="false" outlineLevel="0" collapsed="false">
      <c r="A17" s="8" t="n">
        <v>36678</v>
      </c>
      <c r="B17" s="13" t="n">
        <v>6.785149</v>
      </c>
      <c r="C17" s="13" t="n">
        <v>303.228991988986</v>
      </c>
      <c r="D17" s="14" t="n">
        <f aca="false">((((C17/1.228)-18.37)/9)*$B$33)+$B$34</f>
        <v>25.3267873133563</v>
      </c>
      <c r="E17" s="12" t="n">
        <v>39123882.144</v>
      </c>
      <c r="F17" s="13" t="n">
        <v>5.24751439371525</v>
      </c>
      <c r="G17" s="13" t="n">
        <f aca="false">F17*7450/10^6*100</f>
        <v>3.90939822331786</v>
      </c>
      <c r="H17" s="13" t="n">
        <f aca="false">G17*I17/100</f>
        <v>1.74707748768222</v>
      </c>
      <c r="I17" s="15" t="n">
        <v>44.6891666666667</v>
      </c>
    </row>
    <row r="18" customFormat="false" ht="12.75" hidden="false" customHeight="false" outlineLevel="0" collapsed="false">
      <c r="A18" s="8" t="n">
        <v>36708</v>
      </c>
      <c r="B18" s="13" t="n">
        <v>6.866492</v>
      </c>
      <c r="C18" s="13" t="n">
        <v>306.162189619122</v>
      </c>
      <c r="D18" s="14" t="n">
        <f aca="false">((((C18/1.228)-18.37)/9)*$B$33)+$B$34</f>
        <v>25.5881996453278</v>
      </c>
      <c r="E18" s="12" t="n">
        <v>179474667.456</v>
      </c>
      <c r="F18" s="13" t="n">
        <v>5.28834737631247</v>
      </c>
      <c r="G18" s="13" t="n">
        <f aca="false">F18*7450/10^6*100</f>
        <v>3.93981879535279</v>
      </c>
      <c r="H18" s="13" t="n">
        <f aca="false">G18*I18/100</f>
        <v>1.78657649639931</v>
      </c>
      <c r="I18" s="15" t="n">
        <v>45.3466666666667</v>
      </c>
    </row>
    <row r="19" customFormat="false" ht="12.75" hidden="false" customHeight="false" outlineLevel="0" collapsed="false">
      <c r="A19" s="8" t="n">
        <v>36739</v>
      </c>
      <c r="B19" s="13" t="n">
        <v>7.032883</v>
      </c>
      <c r="C19" s="13" t="n">
        <v>313.044663185017</v>
      </c>
      <c r="D19" s="14" t="n">
        <f aca="false">((((C19/1.228)-18.37)/9)*$B$33)+$B$34</f>
        <v>26.2015792028823</v>
      </c>
      <c r="E19" s="12" t="n">
        <v>231445114.428</v>
      </c>
      <c r="F19" s="13" t="n">
        <v>5.38540483503588</v>
      </c>
      <c r="G19" s="13" t="n">
        <f aca="false">F19*7450/10^6*100</f>
        <v>4.01212660210173</v>
      </c>
      <c r="H19" s="13" t="n">
        <f aca="false">G19*I19/100</f>
        <v>1.84029560360736</v>
      </c>
      <c r="I19" s="15" t="n">
        <v>45.8683333333333</v>
      </c>
    </row>
    <row r="20" customFormat="false" ht="12.75" hidden="false" customHeight="false" outlineLevel="0" collapsed="false">
      <c r="A20" s="8" t="n">
        <v>36770</v>
      </c>
      <c r="B20" s="13" t="n">
        <v>8.139323</v>
      </c>
      <c r="C20" s="13" t="n">
        <v>362.936189583086</v>
      </c>
      <c r="D20" s="14" t="n">
        <f aca="false">((((C20/1.228)-18.37)/9)*$B$33)+$B$34</f>
        <v>30.6480099947727</v>
      </c>
      <c r="E20" s="12" t="n">
        <v>257753632.056</v>
      </c>
      <c r="F20" s="13" t="n">
        <v>6.09308852784222</v>
      </c>
      <c r="G20" s="13" t="n">
        <f aca="false">F20*7450/10^6*100</f>
        <v>4.53935095324245</v>
      </c>
      <c r="H20" s="13" t="n">
        <f aca="false">G20*I20/100</f>
        <v>2.09521308831828</v>
      </c>
      <c r="I20" s="15" t="n">
        <v>46.1566666666667</v>
      </c>
    </row>
    <row r="21" customFormat="false" ht="12.75" hidden="false" customHeight="false" outlineLevel="0" collapsed="false">
      <c r="A21" s="8" t="n">
        <v>36800</v>
      </c>
      <c r="B21" s="13" t="n">
        <v>8.393443</v>
      </c>
      <c r="C21" s="13" t="n">
        <v>374.383562851869</v>
      </c>
      <c r="D21" s="14" t="n">
        <f aca="false">((((C21/1.228)-18.37)/9)*$B$33)+$B$34</f>
        <v>31.6682223767805</v>
      </c>
      <c r="E21" s="12" t="n">
        <v>267259145.292</v>
      </c>
      <c r="F21" s="13" t="n">
        <v>6.2547527715563</v>
      </c>
      <c r="G21" s="13" t="n">
        <f aca="false">F21*7450/10^6*100</f>
        <v>4.65979081480945</v>
      </c>
      <c r="H21" s="13" t="n">
        <f aca="false">G21*I21/100</f>
        <v>2.18326732309872</v>
      </c>
      <c r="I21" s="15" t="n">
        <v>46.8533333333333</v>
      </c>
    </row>
    <row r="22" customFormat="false" ht="12.75" hidden="false" customHeight="false" outlineLevel="0" collapsed="false">
      <c r="A22" s="8" t="n">
        <v>36831</v>
      </c>
      <c r="B22" s="13" t="n">
        <v>8.064744</v>
      </c>
      <c r="C22" s="13" t="n">
        <v>359.011038650046</v>
      </c>
      <c r="D22" s="14" t="n">
        <f aca="false">((((C22/1.228)-18.37)/9)*$B$33)+$B$34</f>
        <v>30.2981928368001</v>
      </c>
      <c r="E22" s="12" t="n">
        <v>184948831.288</v>
      </c>
      <c r="F22" s="13" t="n">
        <v>6.03657730275958</v>
      </c>
      <c r="G22" s="13" t="n">
        <f aca="false">F22*7450/10^6*100</f>
        <v>4.49725009055589</v>
      </c>
      <c r="H22" s="13" t="n">
        <f aca="false">G22*I22/100</f>
        <v>2.1080110257799</v>
      </c>
      <c r="I22" s="15" t="n">
        <v>46.8733333333333</v>
      </c>
    </row>
    <row r="23" customFormat="false" ht="12.75" hidden="false" customHeight="false" outlineLevel="0" collapsed="false">
      <c r="A23" s="8" t="n">
        <v>36861</v>
      </c>
      <c r="B23" s="13" t="n">
        <v>7.989608</v>
      </c>
      <c r="C23" s="13" t="n">
        <v>355.864954911592</v>
      </c>
      <c r="D23" s="16" t="n">
        <f aca="false">((((C23/1.228)-18.37)/9)*$B$33)+$B$34</f>
        <v>30.0178076768651</v>
      </c>
      <c r="E23" s="32" t="n">
        <v>179021281.104</v>
      </c>
      <c r="F23" s="17" t="n">
        <v>5.99212238629696</v>
      </c>
      <c r="G23" s="17" t="n">
        <f aca="false">F23*7450/10^6*100</f>
        <v>4.46413117779124</v>
      </c>
      <c r="H23" s="17" t="n">
        <f aca="false">G23*I23/100</f>
        <v>2.08482367709524</v>
      </c>
      <c r="I23" s="18" t="n">
        <v>46.701667</v>
      </c>
    </row>
    <row r="24" customFormat="false" ht="12.75" hidden="false" customHeight="false" outlineLevel="0" collapsed="false">
      <c r="A24" s="33" t="s">
        <v>8</v>
      </c>
      <c r="B24" s="20" t="n">
        <f aca="false">MIN(B4:B23)</f>
        <v>4.092868</v>
      </c>
      <c r="C24" s="20" t="n">
        <f aca="false">MIN(C4:C23)</f>
        <v>177.220526855423</v>
      </c>
      <c r="D24" s="20" t="n">
        <f aca="false">MIN(D4:D23)</f>
        <v>14.0966654898955</v>
      </c>
      <c r="E24" s="34"/>
      <c r="F24" s="20" t="n">
        <f aca="false">MIN(F4:F23)</f>
        <v>3.46144093004929</v>
      </c>
      <c r="G24" s="35" t="n">
        <f aca="false">F24*7450/10^6*100</f>
        <v>2.57877349288672</v>
      </c>
      <c r="H24" s="35" t="n">
        <f aca="false">G24*I24/100</f>
        <v>1.10925941796522</v>
      </c>
      <c r="I24" s="21" t="n">
        <f aca="false">MIN(I4:I23)</f>
        <v>43.015</v>
      </c>
    </row>
    <row r="25" customFormat="false" ht="12.75" hidden="false" customHeight="false" outlineLevel="0" collapsed="false">
      <c r="A25" s="33" t="s">
        <v>9</v>
      </c>
      <c r="B25" s="20" t="n">
        <f aca="false">MAX(B4:B23)</f>
        <v>8.393443</v>
      </c>
      <c r="C25" s="20" t="n">
        <f aca="false">MAX(C4:C23)</f>
        <v>374.383562851869</v>
      </c>
      <c r="D25" s="20" t="n">
        <f aca="false">MAX(D4:D23)</f>
        <v>31.6682223767805</v>
      </c>
      <c r="E25" s="34"/>
      <c r="F25" s="20" t="n">
        <f aca="false">MAX(F4:F23)</f>
        <v>6.2547527715563</v>
      </c>
      <c r="G25" s="35" t="n">
        <f aca="false">F25*7450/10^6*100</f>
        <v>4.65979081480945</v>
      </c>
      <c r="H25" s="35" t="n">
        <f aca="false">G25*I25/100</f>
        <v>2.18419928126168</v>
      </c>
      <c r="I25" s="21" t="n">
        <f aca="false">MAX(I4:I23)</f>
        <v>46.8733333333333</v>
      </c>
    </row>
    <row r="26" customFormat="false" ht="12.75" hidden="false" customHeight="false" outlineLevel="0" collapsed="false">
      <c r="A26" s="33" t="s">
        <v>10</v>
      </c>
      <c r="B26" s="20" t="n">
        <f aca="false">AVERAGE(B4:B23)</f>
        <v>6.54206395</v>
      </c>
      <c r="C26" s="20" t="n">
        <f aca="false">AVERAGE(C4:C23)</f>
        <v>291.777055553151</v>
      </c>
      <c r="D26" s="20" t="n">
        <f aca="false">AVERAGE(D4:D23)</f>
        <v>24.3061682529412</v>
      </c>
      <c r="E26" s="34"/>
      <c r="F26" s="20" t="n">
        <f aca="false">AVERAGE(F4:F23)</f>
        <v>5.08533806968526</v>
      </c>
      <c r="G26" s="35" t="n">
        <f aca="false">F26*7450/10^6*100</f>
        <v>3.78857686191552</v>
      </c>
      <c r="H26" s="35" t="n">
        <f aca="false">G26*I26/100</f>
        <v>1.68404293721088</v>
      </c>
      <c r="I26" s="21" t="n">
        <f aca="false">AVERAGE(I4:I23)</f>
        <v>44.4505416833333</v>
      </c>
    </row>
    <row r="27" customFormat="false" ht="12.75" hidden="false" customHeight="false" outlineLevel="0" collapsed="false">
      <c r="A27" s="36" t="s">
        <v>11</v>
      </c>
      <c r="B27" s="24" t="n">
        <f aca="false">SUMPRODUCT(B4:B23,E4:E23)/SUM(E4:E23)</f>
        <v>6.52799214657213</v>
      </c>
      <c r="C27" s="24" t="n">
        <f aca="false">SUMPRODUCT(C4:C23,E4:E23)/SUM(E4:E23)</f>
        <v>291.298662069733</v>
      </c>
      <c r="D27" s="24" t="n">
        <f aca="false">SUMPRODUCT(D4:D23,E4:E23)/SUM(E4:E23)</f>
        <v>24.2635328863995</v>
      </c>
      <c r="E27" s="37"/>
      <c r="F27" s="37"/>
      <c r="G27" s="37"/>
      <c r="H27" s="37"/>
      <c r="I27" s="38"/>
    </row>
    <row r="29" customFormat="false" ht="12.75" hidden="false" customHeight="false" outlineLevel="0" collapsed="false">
      <c r="A29" s="26" t="s">
        <v>12</v>
      </c>
    </row>
    <row r="30" customFormat="false" ht="12.75" hidden="false" customHeight="false" outlineLevel="0" collapsed="false">
      <c r="A30" s="27" t="s">
        <v>13</v>
      </c>
    </row>
    <row r="31" customFormat="false" ht="12.75" hidden="false" customHeight="false" outlineLevel="0" collapsed="false">
      <c r="A31" s="28" t="s">
        <v>14</v>
      </c>
    </row>
    <row r="32" customFormat="false" ht="12.75" hidden="false" customHeight="false" outlineLevel="0" collapsed="false">
      <c r="A32" s="28" t="s">
        <v>15</v>
      </c>
    </row>
    <row r="33" customFormat="false" ht="12.75" hidden="false" customHeight="false" outlineLevel="0" collapsed="false">
      <c r="B33" s="29" t="n">
        <v>0.98497594</v>
      </c>
    </row>
    <row r="34" customFormat="false" ht="12.75" hidden="false" customHeight="false" outlineLevel="0" collapsed="false">
      <c r="B34" s="29" t="n">
        <v>0.312869509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37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F38" activeCellId="0" sqref="F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28"/>
    <col collapsed="false" customWidth="true" hidden="false" outlineLevel="0" max="6" min="6" style="0" width="10.28"/>
  </cols>
  <sheetData>
    <row r="3" customFormat="false" ht="12.75" hidden="false" customHeight="false" outlineLevel="0" collapsed="false">
      <c r="B3" s="1" t="s">
        <v>19</v>
      </c>
      <c r="C3" s="0" t="n">
        <v>40700</v>
      </c>
      <c r="D3" s="0" t="s">
        <v>20</v>
      </c>
    </row>
    <row r="4" customFormat="false" ht="12.75" hidden="false" customHeight="false" outlineLevel="0" collapsed="false">
      <c r="C4" s="0" t="n">
        <v>1.06</v>
      </c>
    </row>
    <row r="5" customFormat="false" ht="12.75" hidden="false" customHeight="false" outlineLevel="0" collapsed="false">
      <c r="C5" s="0" t="n">
        <f aca="false">C4*C3</f>
        <v>43142</v>
      </c>
      <c r="D5" s="0" t="s">
        <v>21</v>
      </c>
    </row>
    <row r="7" customFormat="false" ht="12.75" hidden="false" customHeight="false" outlineLevel="0" collapsed="false">
      <c r="B7" s="0" t="s">
        <v>22</v>
      </c>
      <c r="C7" s="0" t="n">
        <v>16912</v>
      </c>
      <c r="D7" s="0" t="s">
        <v>23</v>
      </c>
    </row>
    <row r="8" customFormat="false" ht="12.75" hidden="false" customHeight="false" outlineLevel="0" collapsed="false">
      <c r="B8" s="0" t="s">
        <v>24</v>
      </c>
      <c r="C8" s="39" t="n">
        <f aca="false">C7*1.01</f>
        <v>17081.12</v>
      </c>
      <c r="D8" s="0" t="s">
        <v>23</v>
      </c>
    </row>
    <row r="9" customFormat="false" ht="12.75" hidden="false" customHeight="false" outlineLevel="0" collapsed="false">
      <c r="B9" s="0" t="s">
        <v>25</v>
      </c>
      <c r="C9" s="0" t="n">
        <v>0.82</v>
      </c>
    </row>
    <row r="10" customFormat="false" ht="12.75" hidden="false" customHeight="false" outlineLevel="0" collapsed="false">
      <c r="B10" s="0" t="s">
        <v>26</v>
      </c>
      <c r="C10" s="0" t="n">
        <f aca="false">C8/C9</f>
        <v>20830.6341463415</v>
      </c>
      <c r="D10" s="0" t="s">
        <v>27</v>
      </c>
    </row>
    <row r="11" customFormat="false" ht="12.75" hidden="false" customHeight="false" outlineLevel="0" collapsed="false">
      <c r="B11" s="0" t="s">
        <v>28</v>
      </c>
      <c r="C11" s="12" t="n">
        <f aca="false">C10/43.45</f>
        <v>479.416205899688</v>
      </c>
      <c r="D11" s="0" t="s">
        <v>29</v>
      </c>
    </row>
    <row r="12" customFormat="false" ht="12.75" hidden="false" customHeight="false" outlineLevel="0" collapsed="false">
      <c r="B12" s="0" t="s">
        <v>30</v>
      </c>
      <c r="C12" s="40" t="n">
        <f aca="false">C11/47</f>
        <v>10.2003448063764</v>
      </c>
      <c r="D12" s="0" t="s">
        <v>31</v>
      </c>
    </row>
    <row r="13" customFormat="false" ht="12.75" hidden="false" customHeight="false" outlineLevel="0" collapsed="false">
      <c r="B13" s="0" t="s">
        <v>32</v>
      </c>
      <c r="C13" s="12" t="n">
        <f aca="false">C12*1.06</f>
        <v>10.8123654947589</v>
      </c>
      <c r="D13" s="0" t="s">
        <v>31</v>
      </c>
    </row>
    <row r="15" customFormat="false" ht="12.75" hidden="false" customHeight="false" outlineLevel="0" collapsed="false">
      <c r="B15" s="1" t="s">
        <v>33</v>
      </c>
    </row>
    <row r="16" customFormat="false" ht="12.75" hidden="false" customHeight="false" outlineLevel="0" collapsed="false">
      <c r="B16" s="1"/>
    </row>
    <row r="17" customFormat="false" ht="12.75" hidden="false" customHeight="false" outlineLevel="0" collapsed="false">
      <c r="B17" s="0" t="s">
        <v>22</v>
      </c>
      <c r="C17" s="0" t="n">
        <v>12708</v>
      </c>
      <c r="D17" s="0" t="s">
        <v>23</v>
      </c>
    </row>
    <row r="18" customFormat="false" ht="12.75" hidden="false" customHeight="false" outlineLevel="0" collapsed="false">
      <c r="B18" s="0" t="s">
        <v>24</v>
      </c>
      <c r="C18" s="39" t="n">
        <f aca="false">C17*1.01</f>
        <v>12835.08</v>
      </c>
      <c r="D18" s="0" t="s">
        <v>23</v>
      </c>
    </row>
    <row r="19" customFormat="false" ht="12.75" hidden="false" customHeight="false" outlineLevel="0" collapsed="false">
      <c r="B19" s="0" t="s">
        <v>25</v>
      </c>
      <c r="C19" s="0" t="n">
        <v>0.92</v>
      </c>
    </row>
    <row r="20" customFormat="false" ht="12.75" hidden="false" customHeight="false" outlineLevel="0" collapsed="false">
      <c r="B20" s="0" t="s">
        <v>26</v>
      </c>
      <c r="C20" s="39" t="n">
        <f aca="false">C18/C19</f>
        <v>13951.1739130435</v>
      </c>
      <c r="D20" s="0" t="s">
        <v>27</v>
      </c>
    </row>
    <row r="21" customFormat="false" ht="12.75" hidden="false" customHeight="false" outlineLevel="0" collapsed="false">
      <c r="B21" s="0" t="s">
        <v>28</v>
      </c>
      <c r="C21" s="12" t="n">
        <f aca="false">C20/39.69</f>
        <v>351.503499950705</v>
      </c>
      <c r="D21" s="0" t="s">
        <v>29</v>
      </c>
    </row>
    <row r="22" customFormat="false" ht="12.75" hidden="false" customHeight="false" outlineLevel="0" collapsed="false">
      <c r="B22" s="0" t="s">
        <v>30</v>
      </c>
      <c r="C22" s="40" t="n">
        <f aca="false">C21/47</f>
        <v>7.47879787129159</v>
      </c>
      <c r="D22" s="0" t="s">
        <v>31</v>
      </c>
    </row>
    <row r="23" customFormat="false" ht="12.75" hidden="false" customHeight="false" outlineLevel="0" collapsed="false">
      <c r="B23" s="0" t="s">
        <v>32</v>
      </c>
      <c r="C23" s="41" t="n">
        <f aca="false">C22*1.055</f>
        <v>7.89013175421263</v>
      </c>
      <c r="D23" s="0" t="s">
        <v>31</v>
      </c>
    </row>
    <row r="25" customFormat="false" ht="12.75" hidden="false" customHeight="false" outlineLevel="0" collapsed="false">
      <c r="B25" s="1" t="s">
        <v>34</v>
      </c>
    </row>
    <row r="27" customFormat="false" ht="12.75" hidden="false" customHeight="false" outlineLevel="0" collapsed="false">
      <c r="B27" s="0" t="s">
        <v>35</v>
      </c>
    </row>
    <row r="28" customFormat="false" ht="12.75" hidden="false" customHeight="false" outlineLevel="0" collapsed="false">
      <c r="B28" s="0" t="s">
        <v>30</v>
      </c>
      <c r="C28" s="40" t="n">
        <v>6.79</v>
      </c>
      <c r="D28" s="0" t="s">
        <v>31</v>
      </c>
    </row>
    <row r="29" customFormat="false" ht="12.75" hidden="false" customHeight="false" outlineLevel="0" collapsed="false">
      <c r="B29" s="0" t="s">
        <v>32</v>
      </c>
      <c r="C29" s="40" t="n">
        <f aca="false">C28*1.08</f>
        <v>7.3332</v>
      </c>
      <c r="D29" s="0" t="s">
        <v>31</v>
      </c>
      <c r="F29" s="41" t="n">
        <f aca="false">(C29*7605/1.08)/10000</f>
        <v>5.163795</v>
      </c>
    </row>
    <row r="30" customFormat="false" ht="12.75" hidden="false" customHeight="false" outlineLevel="0" collapsed="false">
      <c r="C30" s="40"/>
    </row>
    <row r="31" customFormat="false" ht="12.75" hidden="false" customHeight="false" outlineLevel="0" collapsed="false">
      <c r="B31" s="1" t="s">
        <v>36</v>
      </c>
    </row>
    <row r="33" customFormat="false" ht="12.75" hidden="false" customHeight="false" outlineLevel="0" collapsed="false">
      <c r="B33" s="0" t="s">
        <v>35</v>
      </c>
    </row>
    <row r="34" customFormat="false" ht="12.75" hidden="false" customHeight="false" outlineLevel="0" collapsed="false">
      <c r="B34" s="0" t="s">
        <v>30</v>
      </c>
      <c r="C34" s="40" t="n">
        <v>5.25</v>
      </c>
      <c r="D34" s="0" t="s">
        <v>31</v>
      </c>
    </row>
    <row r="35" customFormat="false" ht="12.75" hidden="false" customHeight="false" outlineLevel="0" collapsed="false">
      <c r="B35" s="0" t="s">
        <v>32</v>
      </c>
      <c r="C35" s="40" t="n">
        <f aca="false">C34*1.105</f>
        <v>5.80125</v>
      </c>
      <c r="D35" s="0" t="s">
        <v>31</v>
      </c>
      <c r="F35" s="13" t="n">
        <f aca="false">(C35*7450/1.105)/10000</f>
        <v>3.91125</v>
      </c>
    </row>
    <row r="37" customFormat="false" ht="12.75" hidden="false" customHeight="false" outlineLevel="0" collapsed="false">
      <c r="F37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1"/>
  <sheetViews>
    <sheetView showFormulas="false" showGridLines="fals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41"/>
    <col collapsed="false" customWidth="true" hidden="false" outlineLevel="0" max="2" min="2" style="0" width="10.56"/>
    <col collapsed="false" customWidth="true" hidden="false" outlineLevel="0" max="3" min="3" style="0" width="11.85"/>
    <col collapsed="false" customWidth="true" hidden="false" outlineLevel="0" max="4" min="4" style="0" width="14.28"/>
    <col collapsed="false" customWidth="true" hidden="false" outlineLevel="0" max="6" min="5" style="0" width="19.14"/>
    <col collapsed="false" customWidth="true" hidden="false" outlineLevel="0" max="7" min="7" style="0" width="27.99"/>
    <col collapsed="false" customWidth="true" hidden="false" outlineLevel="0" max="9" min="8" style="0" width="32.41"/>
    <col collapsed="false" customWidth="true" hidden="false" outlineLevel="0" max="10" min="10" style="0" width="24.56"/>
    <col collapsed="false" customWidth="true" hidden="false" outlineLevel="0" max="11" min="11" style="0" width="23.56"/>
    <col collapsed="false" customWidth="true" hidden="false" outlineLevel="0" max="12" min="12" style="0" width="19.85"/>
    <col collapsed="false" customWidth="true" hidden="false" outlineLevel="0" max="13" min="13" style="0" width="9.28"/>
  </cols>
  <sheetData>
    <row r="1" customFormat="false" ht="12.75" hidden="false" customHeight="false" outlineLevel="0" collapsed="false">
      <c r="A1" s="1" t="s">
        <v>37</v>
      </c>
    </row>
    <row r="2" customFormat="false" ht="12.75" hidden="false" customHeight="false" outlineLevel="0" collapsed="false">
      <c r="A2" s="1"/>
      <c r="D2" s="19" t="s">
        <v>38</v>
      </c>
    </row>
    <row r="3" customFormat="false" ht="12.75" hidden="false" customHeight="false" outlineLevel="0" collapsed="false">
      <c r="A3" s="42" t="s">
        <v>39</v>
      </c>
      <c r="B3" s="43"/>
      <c r="C3" s="43"/>
      <c r="D3" s="44" t="n">
        <f aca="false">SUM(D9:D40)</f>
        <v>267.05</v>
      </c>
    </row>
    <row r="4" customFormat="false" ht="12.75" hidden="false" customHeight="false" outlineLevel="0" collapsed="false">
      <c r="A4" s="33" t="s">
        <v>40</v>
      </c>
      <c r="B4" s="34"/>
      <c r="C4" s="34"/>
      <c r="D4" s="45" t="n">
        <f aca="false">SUM(D43:D50)</f>
        <v>330.3</v>
      </c>
    </row>
    <row r="5" customFormat="false" ht="13.5" hidden="false" customHeight="false" outlineLevel="0" collapsed="false">
      <c r="A5" s="36" t="s">
        <v>41</v>
      </c>
      <c r="B5" s="37"/>
      <c r="C5" s="37"/>
      <c r="D5" s="46" t="n">
        <f aca="false">SUM(D3:D4)</f>
        <v>597.35</v>
      </c>
    </row>
    <row r="6" customFormat="false" ht="13.5" hidden="false" customHeight="false" outlineLevel="0" collapsed="false">
      <c r="A6" s="1"/>
      <c r="D6" s="47"/>
      <c r="H6" s="48" t="s">
        <v>42</v>
      </c>
      <c r="I6" s="49" t="n">
        <v>0.5</v>
      </c>
    </row>
    <row r="7" customFormat="false" ht="13.5" hidden="false" customHeight="false" outlineLevel="0" collapsed="false">
      <c r="A7" s="1"/>
    </row>
    <row r="8" customFormat="false" ht="13.5" hidden="false" customHeight="false" outlineLevel="0" collapsed="false">
      <c r="A8" s="50" t="s">
        <v>43</v>
      </c>
      <c r="B8" s="51" t="s">
        <v>44</v>
      </c>
      <c r="C8" s="51" t="s">
        <v>45</v>
      </c>
      <c r="D8" s="52" t="s">
        <v>38</v>
      </c>
      <c r="E8" s="52" t="s">
        <v>46</v>
      </c>
      <c r="F8" s="52" t="s">
        <v>47</v>
      </c>
      <c r="G8" s="52" t="s">
        <v>48</v>
      </c>
      <c r="H8" s="53" t="s">
        <v>49</v>
      </c>
      <c r="I8" s="53" t="s">
        <v>50</v>
      </c>
      <c r="J8" s="53" t="s">
        <v>51</v>
      </c>
      <c r="K8" s="53" t="s">
        <v>52</v>
      </c>
    </row>
    <row r="9" customFormat="false" ht="12.75" hidden="false" customHeight="false" outlineLevel="0" collapsed="false">
      <c r="A9" s="54" t="s">
        <v>53</v>
      </c>
      <c r="B9" s="55" t="s">
        <v>54</v>
      </c>
      <c r="C9" s="55" t="s">
        <v>55</v>
      </c>
      <c r="D9" s="56" t="n">
        <v>34.5</v>
      </c>
      <c r="E9" s="0" t="n">
        <f aca="false">F9*3.969</f>
        <v>8731.8</v>
      </c>
      <c r="F9" s="0" t="n">
        <v>2200</v>
      </c>
      <c r="G9" s="13" t="n">
        <f aca="false">(E9*'Price-Differentials'!$C$23)/10000</f>
        <v>6.88950524514338</v>
      </c>
      <c r="H9" s="0" t="n">
        <v>5.16</v>
      </c>
      <c r="I9" s="0" t="n">
        <v>3.91</v>
      </c>
      <c r="J9" s="41" t="n">
        <f aca="false">(G9-H9)*D9</f>
        <v>59.6679309574468</v>
      </c>
      <c r="K9" s="41" t="n">
        <f aca="false">(G9-I9)*D9</f>
        <v>102.792930957447</v>
      </c>
    </row>
    <row r="10" customFormat="false" ht="12.75" hidden="false" customHeight="false" outlineLevel="0" collapsed="false">
      <c r="A10" s="57" t="s">
        <v>56</v>
      </c>
      <c r="B10" s="58" t="s">
        <v>57</v>
      </c>
      <c r="C10" s="58" t="s">
        <v>55</v>
      </c>
      <c r="D10" s="59" t="n">
        <v>30</v>
      </c>
      <c r="E10" s="0" t="n">
        <f aca="false">F10*3.969</f>
        <v>8731.8</v>
      </c>
      <c r="F10" s="0" t="n">
        <v>2200</v>
      </c>
      <c r="G10" s="13" t="n">
        <f aca="false">(E10*'Price-Differentials'!$C$23)/10000</f>
        <v>6.88950524514338</v>
      </c>
      <c r="H10" s="0" t="n">
        <v>5.16</v>
      </c>
      <c r="I10" s="0" t="n">
        <v>3.91</v>
      </c>
      <c r="J10" s="41" t="n">
        <f aca="false">(G10-H10)*D10</f>
        <v>51.8851573543015</v>
      </c>
      <c r="K10" s="41" t="n">
        <f aca="false">(G10-I10)*D10</f>
        <v>89.3851573543015</v>
      </c>
      <c r="L10" s="12"/>
    </row>
    <row r="11" customFormat="false" ht="12.75" hidden="false" customHeight="false" outlineLevel="0" collapsed="false">
      <c r="A11" s="57" t="s">
        <v>58</v>
      </c>
      <c r="B11" s="58" t="s">
        <v>59</v>
      </c>
      <c r="C11" s="58" t="s">
        <v>55</v>
      </c>
      <c r="D11" s="59" t="n">
        <v>24</v>
      </c>
      <c r="E11" s="0" t="n">
        <f aca="false">F11*3.969</f>
        <v>8731.8</v>
      </c>
      <c r="F11" s="0" t="n">
        <v>2200</v>
      </c>
      <c r="G11" s="13" t="n">
        <f aca="false">(E11*'Price-Differentials'!$C$23)/10000</f>
        <v>6.88950524514338</v>
      </c>
      <c r="H11" s="0" t="n">
        <v>5.16</v>
      </c>
      <c r="I11" s="0" t="n">
        <v>3.91</v>
      </c>
      <c r="J11" s="41" t="n">
        <f aca="false">(G11-H11)*D11</f>
        <v>41.5081258834412</v>
      </c>
      <c r="K11" s="41" t="n">
        <f aca="false">(G11-I11)*D11</f>
        <v>71.5081258834412</v>
      </c>
      <c r="L11" s="12"/>
    </row>
    <row r="12" customFormat="false" ht="12.75" hidden="false" customHeight="false" outlineLevel="0" collapsed="false">
      <c r="A12" s="57" t="s">
        <v>60</v>
      </c>
      <c r="B12" s="58" t="s">
        <v>57</v>
      </c>
      <c r="C12" s="58" t="s">
        <v>55</v>
      </c>
      <c r="D12" s="59" t="n">
        <v>19.2</v>
      </c>
      <c r="E12" s="0" t="n">
        <f aca="false">F12*3.969</f>
        <v>8731.8</v>
      </c>
      <c r="F12" s="0" t="n">
        <v>2200</v>
      </c>
      <c r="G12" s="13" t="n">
        <f aca="false">(E12*'Price-Differentials'!$C$23)/10000</f>
        <v>6.88950524514338</v>
      </c>
      <c r="H12" s="0" t="n">
        <v>5.16</v>
      </c>
      <c r="I12" s="0" t="n">
        <v>3.91</v>
      </c>
      <c r="J12" s="41" t="n">
        <f aca="false">(G12-H12)*D12</f>
        <v>33.206500706753</v>
      </c>
      <c r="K12" s="41" t="n">
        <f aca="false">(G12-I12)*D12</f>
        <v>57.206500706753</v>
      </c>
      <c r="L12" s="12"/>
    </row>
    <row r="13" customFormat="false" ht="12.75" hidden="false" customHeight="false" outlineLevel="0" collapsed="false">
      <c r="A13" s="57" t="s">
        <v>61</v>
      </c>
      <c r="B13" s="58" t="s">
        <v>62</v>
      </c>
      <c r="C13" s="58" t="s">
        <v>55</v>
      </c>
      <c r="D13" s="59" t="n">
        <v>17.9</v>
      </c>
      <c r="E13" s="0" t="n">
        <f aca="false">F13*3.969</f>
        <v>8731.8</v>
      </c>
      <c r="F13" s="0" t="n">
        <v>2200</v>
      </c>
      <c r="G13" s="13" t="n">
        <f aca="false">(E13*'Price-Differentials'!$C$23)/10000</f>
        <v>6.88950524514338</v>
      </c>
      <c r="H13" s="0" t="n">
        <v>5.16</v>
      </c>
      <c r="I13" s="0" t="n">
        <v>3.91</v>
      </c>
      <c r="J13" s="41" t="n">
        <f aca="false">(G13-H13)*D13</f>
        <v>30.9581438880666</v>
      </c>
      <c r="K13" s="41" t="n">
        <f aca="false">(G13-I13)*D13</f>
        <v>53.3331438880666</v>
      </c>
      <c r="L13" s="12"/>
    </row>
    <row r="14" customFormat="false" ht="12.75" hidden="false" customHeight="false" outlineLevel="0" collapsed="false">
      <c r="A14" s="57" t="s">
        <v>63</v>
      </c>
      <c r="B14" s="58" t="s">
        <v>64</v>
      </c>
      <c r="C14" s="58" t="s">
        <v>55</v>
      </c>
      <c r="D14" s="59" t="n">
        <v>15</v>
      </c>
      <c r="E14" s="0" t="n">
        <f aca="false">F14*3.969</f>
        <v>8731.8</v>
      </c>
      <c r="F14" s="0" t="n">
        <v>2200</v>
      </c>
      <c r="G14" s="13" t="n">
        <f aca="false">(E14*'Price-Differentials'!$C$23)/10000</f>
        <v>6.88950524514338</v>
      </c>
      <c r="H14" s="0" t="n">
        <v>5.16</v>
      </c>
      <c r="I14" s="0" t="n">
        <v>3.91</v>
      </c>
      <c r="J14" s="41" t="n">
        <f aca="false">(G14-H14)*D14</f>
        <v>25.9425786771508</v>
      </c>
      <c r="K14" s="41" t="n">
        <f aca="false">(G14-I14)*D14</f>
        <v>44.6925786771508</v>
      </c>
      <c r="L14" s="12"/>
    </row>
    <row r="15" customFormat="false" ht="12.75" hidden="false" customHeight="false" outlineLevel="0" collapsed="false">
      <c r="A15" s="57" t="s">
        <v>65</v>
      </c>
      <c r="B15" s="58" t="s">
        <v>66</v>
      </c>
      <c r="C15" s="58" t="s">
        <v>55</v>
      </c>
      <c r="D15" s="59" t="n">
        <v>12</v>
      </c>
      <c r="E15" s="0" t="n">
        <f aca="false">F15*3.969</f>
        <v>8731.8</v>
      </c>
      <c r="F15" s="0" t="n">
        <v>2200</v>
      </c>
      <c r="G15" s="13" t="n">
        <f aca="false">(E15*'Price-Differentials'!$C$23)/10000</f>
        <v>6.88950524514338</v>
      </c>
      <c r="H15" s="0" t="n">
        <v>5.16</v>
      </c>
      <c r="I15" s="0" t="n">
        <v>3.91</v>
      </c>
      <c r="J15" s="41" t="n">
        <f aca="false">(G15-H15)*D15</f>
        <v>20.7540629417206</v>
      </c>
      <c r="K15" s="41" t="n">
        <f aca="false">(G15-I15)*D15</f>
        <v>35.7540629417206</v>
      </c>
      <c r="L15" s="12"/>
    </row>
    <row r="16" customFormat="false" ht="12.75" hidden="false" customHeight="false" outlineLevel="0" collapsed="false">
      <c r="A16" s="57" t="s">
        <v>67</v>
      </c>
      <c r="B16" s="58" t="s">
        <v>57</v>
      </c>
      <c r="C16" s="58" t="s">
        <v>55</v>
      </c>
      <c r="D16" s="59" t="n">
        <v>11.2</v>
      </c>
      <c r="E16" s="0" t="n">
        <f aca="false">F16*3.969</f>
        <v>8731.8</v>
      </c>
      <c r="F16" s="0" t="n">
        <v>2200</v>
      </c>
      <c r="G16" s="13" t="n">
        <f aca="false">(E16*'Price-Differentials'!$C$23)/10000</f>
        <v>6.88950524514338</v>
      </c>
      <c r="H16" s="0" t="n">
        <v>5.16</v>
      </c>
      <c r="I16" s="0" t="n">
        <v>3.91</v>
      </c>
      <c r="J16" s="41" t="n">
        <f aca="false">(G16-H16)*D16</f>
        <v>19.3704587456059</v>
      </c>
      <c r="K16" s="41" t="n">
        <f aca="false">(G16-I16)*D16</f>
        <v>33.3704587456059</v>
      </c>
      <c r="L16" s="12"/>
    </row>
    <row r="17" customFormat="false" ht="12.75" hidden="false" customHeight="false" outlineLevel="0" collapsed="false">
      <c r="A17" s="57" t="s">
        <v>68</v>
      </c>
      <c r="B17" s="58" t="s">
        <v>69</v>
      </c>
      <c r="C17" s="58" t="s">
        <v>55</v>
      </c>
      <c r="D17" s="59" t="n">
        <v>8.5</v>
      </c>
      <c r="E17" s="0" t="n">
        <f aca="false">F17*3.969</f>
        <v>9128.7</v>
      </c>
      <c r="F17" s="0" t="n">
        <v>2300</v>
      </c>
      <c r="G17" s="13" t="n">
        <f aca="false">(E17*'Price-Differentials'!$C$23)/10000</f>
        <v>7.20266457446808</v>
      </c>
      <c r="H17" s="0" t="n">
        <v>5.16</v>
      </c>
      <c r="I17" s="0" t="n">
        <v>3.91</v>
      </c>
      <c r="J17" s="41" t="n">
        <f aca="false">(G17-H17)*D17</f>
        <v>17.3626488829787</v>
      </c>
      <c r="K17" s="41" t="n">
        <f aca="false">(G17-I17)*D17</f>
        <v>27.9876488829787</v>
      </c>
      <c r="L17" s="12"/>
    </row>
    <row r="18" customFormat="false" ht="12.75" hidden="false" customHeight="false" outlineLevel="0" collapsed="false">
      <c r="A18" s="57" t="s">
        <v>70</v>
      </c>
      <c r="B18" s="58" t="s">
        <v>71</v>
      </c>
      <c r="C18" s="58" t="s">
        <v>55</v>
      </c>
      <c r="D18" s="59" t="n">
        <v>7</v>
      </c>
      <c r="E18" s="0" t="n">
        <f aca="false">F18*3.969</f>
        <v>9128.7</v>
      </c>
      <c r="F18" s="0" t="n">
        <v>2300</v>
      </c>
      <c r="G18" s="13" t="n">
        <f aca="false">(E18*'Price-Differentials'!$C$23)/10000</f>
        <v>7.20266457446808</v>
      </c>
      <c r="H18" s="0" t="n">
        <v>5.16</v>
      </c>
      <c r="I18" s="0" t="n">
        <v>3.91</v>
      </c>
      <c r="J18" s="41" t="n">
        <f aca="false">(G18-H18)*D18</f>
        <v>14.2986520212766</v>
      </c>
      <c r="K18" s="41" t="n">
        <f aca="false">(G18-I18)*D18</f>
        <v>23.0486520212766</v>
      </c>
      <c r="L18" s="12"/>
    </row>
    <row r="19" customFormat="false" ht="12.75" hidden="false" customHeight="false" outlineLevel="0" collapsed="false">
      <c r="A19" s="57" t="s">
        <v>72</v>
      </c>
      <c r="B19" s="58" t="s">
        <v>54</v>
      </c>
      <c r="C19" s="58" t="s">
        <v>55</v>
      </c>
      <c r="D19" s="59" t="n">
        <v>7</v>
      </c>
      <c r="E19" s="0" t="n">
        <f aca="false">F19*3.969</f>
        <v>9128.7</v>
      </c>
      <c r="F19" s="0" t="n">
        <v>2300</v>
      </c>
      <c r="G19" s="13" t="n">
        <f aca="false">(E19*'Price-Differentials'!$C$23)/10000</f>
        <v>7.20266457446808</v>
      </c>
      <c r="H19" s="0" t="n">
        <v>5.16</v>
      </c>
      <c r="I19" s="0" t="n">
        <v>3.91</v>
      </c>
      <c r="J19" s="41" t="n">
        <f aca="false">(G19-H19)*D19</f>
        <v>14.2986520212766</v>
      </c>
      <c r="K19" s="41" t="n">
        <f aca="false">(G19-I19)*D19</f>
        <v>23.0486520212766</v>
      </c>
      <c r="L19" s="12"/>
    </row>
    <row r="20" customFormat="false" ht="12.75" hidden="false" customHeight="false" outlineLevel="0" collapsed="false">
      <c r="A20" s="57" t="s">
        <v>73</v>
      </c>
      <c r="B20" s="58" t="s">
        <v>57</v>
      </c>
      <c r="C20" s="58" t="s">
        <v>55</v>
      </c>
      <c r="D20" s="59" t="n">
        <v>6.4</v>
      </c>
      <c r="E20" s="0" t="n">
        <f aca="false">F20*3.969</f>
        <v>9128.7</v>
      </c>
      <c r="F20" s="0" t="n">
        <v>2300</v>
      </c>
      <c r="G20" s="13" t="n">
        <f aca="false">(E20*'Price-Differentials'!$C$23)/10000</f>
        <v>7.20266457446808</v>
      </c>
      <c r="H20" s="0" t="n">
        <v>5.16</v>
      </c>
      <c r="I20" s="0" t="n">
        <v>3.91</v>
      </c>
      <c r="J20" s="41" t="n">
        <f aca="false">(G20-H20)*D20</f>
        <v>13.0730532765957</v>
      </c>
      <c r="K20" s="41" t="n">
        <f aca="false">(G20-I20)*D20</f>
        <v>21.0730532765957</v>
      </c>
      <c r="L20" s="12"/>
    </row>
    <row r="21" customFormat="false" ht="12.75" hidden="false" customHeight="false" outlineLevel="0" collapsed="false">
      <c r="A21" s="57" t="s">
        <v>74</v>
      </c>
      <c r="B21" s="58" t="s">
        <v>75</v>
      </c>
      <c r="C21" s="58" t="s">
        <v>55</v>
      </c>
      <c r="D21" s="59" t="n">
        <v>6.4</v>
      </c>
      <c r="E21" s="0" t="n">
        <f aca="false">F21*3.969</f>
        <v>9128.7</v>
      </c>
      <c r="F21" s="0" t="n">
        <v>2300</v>
      </c>
      <c r="G21" s="13" t="n">
        <f aca="false">(E21*'Price-Differentials'!$C$23)/10000</f>
        <v>7.20266457446808</v>
      </c>
      <c r="H21" s="0" t="n">
        <v>5.16</v>
      </c>
      <c r="I21" s="0" t="n">
        <v>3.91</v>
      </c>
      <c r="J21" s="41" t="n">
        <f aca="false">(G21-H21)*D21</f>
        <v>13.0730532765957</v>
      </c>
      <c r="K21" s="41" t="n">
        <f aca="false">(G21-I21)*D21</f>
        <v>21.0730532765957</v>
      </c>
      <c r="L21" s="12"/>
    </row>
    <row r="22" customFormat="false" ht="12.75" hidden="false" customHeight="false" outlineLevel="0" collapsed="false">
      <c r="A22" s="57" t="s">
        <v>76</v>
      </c>
      <c r="B22" s="58" t="s">
        <v>57</v>
      </c>
      <c r="C22" s="58" t="s">
        <v>55</v>
      </c>
      <c r="D22" s="59" t="n">
        <v>6.2</v>
      </c>
      <c r="E22" s="0" t="n">
        <f aca="false">F22*3.969</f>
        <v>9128.7</v>
      </c>
      <c r="F22" s="0" t="n">
        <v>2300</v>
      </c>
      <c r="G22" s="13" t="n">
        <f aca="false">(E22*'Price-Differentials'!$C$23)/10000</f>
        <v>7.20266457446808</v>
      </c>
      <c r="H22" s="0" t="n">
        <v>5.16</v>
      </c>
      <c r="I22" s="0" t="n">
        <v>3.91</v>
      </c>
      <c r="J22" s="41" t="n">
        <f aca="false">(G22-H22)*D22</f>
        <v>12.6645203617021</v>
      </c>
      <c r="K22" s="41" t="n">
        <f aca="false">(G22-I22)*D22</f>
        <v>20.4145203617021</v>
      </c>
      <c r="L22" s="12"/>
    </row>
    <row r="23" customFormat="false" ht="12.75" hidden="false" customHeight="false" outlineLevel="0" collapsed="false">
      <c r="A23" s="57" t="s">
        <v>77</v>
      </c>
      <c r="B23" s="58" t="s">
        <v>57</v>
      </c>
      <c r="C23" s="58" t="s">
        <v>55</v>
      </c>
      <c r="D23" s="59" t="n">
        <v>6</v>
      </c>
      <c r="E23" s="0" t="n">
        <f aca="false">F23*3.969</f>
        <v>9128.7</v>
      </c>
      <c r="F23" s="0" t="n">
        <v>2300</v>
      </c>
      <c r="G23" s="13" t="n">
        <f aca="false">(E23*'Price-Differentials'!$C$23)/10000</f>
        <v>7.20266457446808</v>
      </c>
      <c r="H23" s="0" t="n">
        <v>5.16</v>
      </c>
      <c r="I23" s="0" t="n">
        <v>3.91</v>
      </c>
      <c r="J23" s="41" t="n">
        <f aca="false">(G23-H23)*D23</f>
        <v>12.2559874468085</v>
      </c>
      <c r="K23" s="41" t="n">
        <f aca="false">(G23-I23)*D23</f>
        <v>19.7559874468085</v>
      </c>
      <c r="L23" s="12"/>
    </row>
    <row r="24" customFormat="false" ht="12.75" hidden="false" customHeight="false" outlineLevel="0" collapsed="false">
      <c r="A24" s="57" t="s">
        <v>78</v>
      </c>
      <c r="B24" s="58" t="s">
        <v>75</v>
      </c>
      <c r="C24" s="58" t="s">
        <v>55</v>
      </c>
      <c r="D24" s="59" t="n">
        <v>5.4</v>
      </c>
      <c r="E24" s="0" t="n">
        <f aca="false">F24*3.969</f>
        <v>9128.7</v>
      </c>
      <c r="F24" s="0" t="n">
        <v>2300</v>
      </c>
      <c r="G24" s="13" t="n">
        <f aca="false">(E24*'Price-Differentials'!$C$23)/10000</f>
        <v>7.20266457446808</v>
      </c>
      <c r="H24" s="0" t="n">
        <v>5.16</v>
      </c>
      <c r="I24" s="0" t="n">
        <v>3.91</v>
      </c>
      <c r="J24" s="41" t="n">
        <f aca="false">(G24-H24)*D24</f>
        <v>11.0303887021277</v>
      </c>
      <c r="K24" s="41" t="n">
        <f aca="false">(G24-I24)*D24</f>
        <v>17.7803887021277</v>
      </c>
      <c r="L24" s="12"/>
    </row>
    <row r="25" customFormat="false" ht="12.75" hidden="false" customHeight="false" outlineLevel="0" collapsed="false">
      <c r="A25" s="57" t="s">
        <v>79</v>
      </c>
      <c r="B25" s="58" t="s">
        <v>80</v>
      </c>
      <c r="C25" s="58" t="s">
        <v>55</v>
      </c>
      <c r="D25" s="59" t="n">
        <v>5</v>
      </c>
      <c r="E25" s="0" t="n">
        <f aca="false">F25*3.969</f>
        <v>9128.7</v>
      </c>
      <c r="F25" s="0" t="n">
        <v>2300</v>
      </c>
      <c r="G25" s="13" t="n">
        <f aca="false">(E25*'Price-Differentials'!$C$23)/10000</f>
        <v>7.20266457446808</v>
      </c>
      <c r="H25" s="0" t="n">
        <v>5.16</v>
      </c>
      <c r="I25" s="0" t="n">
        <v>3.91</v>
      </c>
      <c r="J25" s="41" t="n">
        <f aca="false">(G25-H25)*D25</f>
        <v>10.2133228723404</v>
      </c>
      <c r="K25" s="41" t="n">
        <f aca="false">(G25-I25)*D25</f>
        <v>16.4633228723404</v>
      </c>
      <c r="L25" s="12"/>
    </row>
    <row r="26" customFormat="false" ht="12.75" hidden="false" customHeight="false" outlineLevel="0" collapsed="false">
      <c r="A26" s="57" t="s">
        <v>81</v>
      </c>
      <c r="B26" s="58" t="s">
        <v>57</v>
      </c>
      <c r="C26" s="58" t="s">
        <v>55</v>
      </c>
      <c r="D26" s="59" t="n">
        <v>4.3</v>
      </c>
      <c r="E26" s="0" t="n">
        <f aca="false">F26*3.969</f>
        <v>9128.7</v>
      </c>
      <c r="F26" s="0" t="n">
        <v>2300</v>
      </c>
      <c r="G26" s="13" t="n">
        <f aca="false">(E26*'Price-Differentials'!$C$23)/10000</f>
        <v>7.20266457446808</v>
      </c>
      <c r="H26" s="0" t="n">
        <v>5.16</v>
      </c>
      <c r="I26" s="0" t="n">
        <v>3.91</v>
      </c>
      <c r="J26" s="41" t="n">
        <f aca="false">(G26-H26)*D26</f>
        <v>8.78345767021276</v>
      </c>
      <c r="K26" s="41" t="n">
        <f aca="false">(G26-I26)*D26</f>
        <v>14.1584576702128</v>
      </c>
      <c r="L26" s="12"/>
    </row>
    <row r="27" customFormat="false" ht="12.75" hidden="false" customHeight="false" outlineLevel="0" collapsed="false">
      <c r="A27" s="57" t="s">
        <v>82</v>
      </c>
      <c r="B27" s="58" t="s">
        <v>69</v>
      </c>
      <c r="C27" s="58" t="s">
        <v>55</v>
      </c>
      <c r="D27" s="59" t="n">
        <v>4.25</v>
      </c>
      <c r="E27" s="0" t="n">
        <f aca="false">F27*3.969</f>
        <v>9128.7</v>
      </c>
      <c r="F27" s="0" t="n">
        <v>2300</v>
      </c>
      <c r="G27" s="13" t="n">
        <f aca="false">(E27*'Price-Differentials'!$C$23)/10000</f>
        <v>7.20266457446808</v>
      </c>
      <c r="H27" s="0" t="n">
        <v>5.16</v>
      </c>
      <c r="I27" s="0" t="n">
        <v>3.91</v>
      </c>
      <c r="J27" s="41" t="n">
        <f aca="false">(G27-H27)*D27</f>
        <v>8.68132444148935</v>
      </c>
      <c r="K27" s="41" t="n">
        <f aca="false">(G27-I27)*D27</f>
        <v>13.9938244414894</v>
      </c>
      <c r="L27" s="12"/>
    </row>
    <row r="28" customFormat="false" ht="12.75" hidden="false" customHeight="false" outlineLevel="0" collapsed="false">
      <c r="A28" s="57" t="s">
        <v>83</v>
      </c>
      <c r="B28" s="58" t="s">
        <v>69</v>
      </c>
      <c r="C28" s="58" t="s">
        <v>55</v>
      </c>
      <c r="D28" s="59" t="n">
        <v>4.2</v>
      </c>
      <c r="E28" s="0" t="n">
        <f aca="false">F28*3.969</f>
        <v>9128.7</v>
      </c>
      <c r="F28" s="0" t="n">
        <v>2300</v>
      </c>
      <c r="G28" s="13" t="n">
        <f aca="false">(E28*'Price-Differentials'!$C$23)/10000</f>
        <v>7.20266457446808</v>
      </c>
      <c r="H28" s="0" t="n">
        <v>5.16</v>
      </c>
      <c r="I28" s="0" t="n">
        <v>3.91</v>
      </c>
      <c r="J28" s="41" t="n">
        <f aca="false">(G28-H28)*D28</f>
        <v>8.57919121276595</v>
      </c>
      <c r="K28" s="41" t="n">
        <f aca="false">(G28-I28)*D28</f>
        <v>13.829191212766</v>
      </c>
      <c r="L28" s="12"/>
    </row>
    <row r="29" customFormat="false" ht="12.75" hidden="false" customHeight="false" outlineLevel="0" collapsed="false">
      <c r="A29" s="57" t="s">
        <v>84</v>
      </c>
      <c r="B29" s="58" t="s">
        <v>85</v>
      </c>
      <c r="C29" s="58" t="s">
        <v>55</v>
      </c>
      <c r="D29" s="59" t="n">
        <v>3.9</v>
      </c>
      <c r="E29" s="0" t="n">
        <f aca="false">F29*3.969</f>
        <v>9128.7</v>
      </c>
      <c r="F29" s="0" t="n">
        <v>2300</v>
      </c>
      <c r="G29" s="13" t="n">
        <f aca="false">(E29*'Price-Differentials'!$C$23)/10000</f>
        <v>7.20266457446808</v>
      </c>
      <c r="H29" s="0" t="n">
        <v>5.16</v>
      </c>
      <c r="I29" s="0" t="n">
        <v>3.91</v>
      </c>
      <c r="J29" s="41" t="n">
        <f aca="false">(G29-H29)*D29</f>
        <v>7.96639184042552</v>
      </c>
      <c r="K29" s="41" t="n">
        <f aca="false">(G29-I29)*D29</f>
        <v>12.8413918404255</v>
      </c>
      <c r="L29" s="12"/>
    </row>
    <row r="30" customFormat="false" ht="12.75" hidden="false" customHeight="false" outlineLevel="0" collapsed="false">
      <c r="A30" s="57" t="s">
        <v>86</v>
      </c>
      <c r="B30" s="58" t="s">
        <v>87</v>
      </c>
      <c r="C30" s="58" t="s">
        <v>55</v>
      </c>
      <c r="D30" s="59" t="n">
        <v>3.3</v>
      </c>
      <c r="E30" s="0" t="n">
        <f aca="false">F30*3.969</f>
        <v>9128.7</v>
      </c>
      <c r="F30" s="0" t="n">
        <v>2300</v>
      </c>
      <c r="G30" s="13" t="n">
        <f aca="false">(E30*'Price-Differentials'!$C$23)/10000</f>
        <v>7.20266457446808</v>
      </c>
      <c r="H30" s="0" t="n">
        <v>5.16</v>
      </c>
      <c r="I30" s="0" t="n">
        <v>3.91</v>
      </c>
      <c r="J30" s="41" t="n">
        <f aca="false">(G30-H30)*D30</f>
        <v>6.74079309574467</v>
      </c>
      <c r="K30" s="41" t="n">
        <f aca="false">(G30-I30)*D30</f>
        <v>10.8657930957447</v>
      </c>
      <c r="L30" s="12"/>
    </row>
    <row r="31" customFormat="false" ht="12.75" hidden="false" customHeight="false" outlineLevel="0" collapsed="false">
      <c r="A31" s="57" t="s">
        <v>88</v>
      </c>
      <c r="B31" s="58" t="s">
        <v>57</v>
      </c>
      <c r="C31" s="58" t="s">
        <v>55</v>
      </c>
      <c r="D31" s="59" t="n">
        <v>3.2</v>
      </c>
      <c r="E31" s="0" t="n">
        <f aca="false">F31*3.969</f>
        <v>9128.7</v>
      </c>
      <c r="F31" s="0" t="n">
        <v>2300</v>
      </c>
      <c r="G31" s="13" t="n">
        <f aca="false">(E31*'Price-Differentials'!$C$23)/10000</f>
        <v>7.20266457446808</v>
      </c>
      <c r="H31" s="0" t="n">
        <v>5.16</v>
      </c>
      <c r="I31" s="0" t="n">
        <v>3.91</v>
      </c>
      <c r="J31" s="41" t="n">
        <f aca="false">(G31-H31)*D31</f>
        <v>6.53652663829787</v>
      </c>
      <c r="K31" s="41" t="n">
        <f aca="false">(G31-I31)*D31</f>
        <v>10.5365266382979</v>
      </c>
      <c r="L31" s="12"/>
    </row>
    <row r="32" customFormat="false" ht="12.75" hidden="false" customHeight="false" outlineLevel="0" collapsed="false">
      <c r="A32" s="57" t="s">
        <v>82</v>
      </c>
      <c r="B32" s="58" t="s">
        <v>69</v>
      </c>
      <c r="C32" s="58" t="s">
        <v>55</v>
      </c>
      <c r="D32" s="59" t="n">
        <v>3.2</v>
      </c>
      <c r="E32" s="0" t="n">
        <f aca="false">F32*3.969</f>
        <v>9128.7</v>
      </c>
      <c r="F32" s="0" t="n">
        <v>2300</v>
      </c>
      <c r="G32" s="13" t="n">
        <f aca="false">(E32*'Price-Differentials'!$C$23)/10000</f>
        <v>7.20266457446808</v>
      </c>
      <c r="H32" s="0" t="n">
        <v>5.16</v>
      </c>
      <c r="I32" s="0" t="n">
        <v>3.91</v>
      </c>
      <c r="J32" s="41" t="n">
        <f aca="false">(G32-H32)*D32</f>
        <v>6.53652663829787</v>
      </c>
      <c r="K32" s="41" t="n">
        <f aca="false">(G32-I32)*D32</f>
        <v>10.5365266382979</v>
      </c>
      <c r="L32" s="12"/>
    </row>
    <row r="33" customFormat="false" ht="12.75" hidden="false" customHeight="false" outlineLevel="0" collapsed="false">
      <c r="A33" s="57" t="s">
        <v>89</v>
      </c>
      <c r="B33" s="58" t="s">
        <v>57</v>
      </c>
      <c r="C33" s="58" t="s">
        <v>55</v>
      </c>
      <c r="D33" s="59" t="n">
        <v>3</v>
      </c>
      <c r="E33" s="0" t="n">
        <f aca="false">F33*3.969</f>
        <v>9128.7</v>
      </c>
      <c r="F33" s="0" t="n">
        <v>2300</v>
      </c>
      <c r="G33" s="13" t="n">
        <f aca="false">(E33*'Price-Differentials'!$C$23)/10000</f>
        <v>7.20266457446808</v>
      </c>
      <c r="H33" s="0" t="n">
        <v>5.16</v>
      </c>
      <c r="I33" s="0" t="n">
        <v>3.91</v>
      </c>
      <c r="J33" s="41" t="n">
        <f aca="false">(G33-H33)*D33</f>
        <v>6.12799372340425</v>
      </c>
      <c r="K33" s="41" t="n">
        <f aca="false">(G33-I33)*D33</f>
        <v>9.87799372340425</v>
      </c>
      <c r="L33" s="12"/>
    </row>
    <row r="34" customFormat="false" ht="12.75" hidden="false" customHeight="false" outlineLevel="0" collapsed="false">
      <c r="A34" s="57" t="s">
        <v>90</v>
      </c>
      <c r="B34" s="58" t="s">
        <v>62</v>
      </c>
      <c r="C34" s="58" t="s">
        <v>55</v>
      </c>
      <c r="D34" s="59" t="n">
        <v>3</v>
      </c>
      <c r="E34" s="0" t="n">
        <f aca="false">F34*3.969</f>
        <v>9128.7</v>
      </c>
      <c r="F34" s="0" t="n">
        <v>2300</v>
      </c>
      <c r="G34" s="13" t="n">
        <f aca="false">(E34*'Price-Differentials'!$C$23)/10000</f>
        <v>7.20266457446808</v>
      </c>
      <c r="H34" s="0" t="n">
        <v>5.16</v>
      </c>
      <c r="I34" s="0" t="n">
        <v>3.91</v>
      </c>
      <c r="J34" s="41" t="n">
        <f aca="false">(G34-H34)*D34</f>
        <v>6.12799372340425</v>
      </c>
      <c r="K34" s="41" t="n">
        <f aca="false">(G34-I34)*D34</f>
        <v>9.87799372340425</v>
      </c>
      <c r="L34" s="12"/>
    </row>
    <row r="35" customFormat="false" ht="12.75" hidden="false" customHeight="false" outlineLevel="0" collapsed="false">
      <c r="A35" s="57" t="s">
        <v>91</v>
      </c>
      <c r="B35" s="58" t="s">
        <v>69</v>
      </c>
      <c r="C35" s="58" t="s">
        <v>55</v>
      </c>
      <c r="D35" s="59" t="n">
        <v>2.7</v>
      </c>
      <c r="E35" s="0" t="n">
        <f aca="false">F35*3.969</f>
        <v>9128.7</v>
      </c>
      <c r="F35" s="0" t="n">
        <v>2300</v>
      </c>
      <c r="G35" s="13" t="n">
        <f aca="false">(E35*'Price-Differentials'!$C$23)/10000</f>
        <v>7.20266457446808</v>
      </c>
      <c r="H35" s="0" t="n">
        <v>5.16</v>
      </c>
      <c r="I35" s="0" t="n">
        <v>3.91</v>
      </c>
      <c r="J35" s="41" t="n">
        <f aca="false">(G35-H35)*D35</f>
        <v>5.51519435106383</v>
      </c>
      <c r="K35" s="41" t="n">
        <f aca="false">(G35-I35)*D35</f>
        <v>8.89019435106382</v>
      </c>
      <c r="L35" s="12"/>
    </row>
    <row r="36" customFormat="false" ht="12.75" hidden="false" customHeight="false" outlineLevel="0" collapsed="false">
      <c r="A36" s="57" t="s">
        <v>92</v>
      </c>
      <c r="B36" s="58" t="s">
        <v>93</v>
      </c>
      <c r="C36" s="58" t="s">
        <v>55</v>
      </c>
      <c r="D36" s="59" t="n">
        <v>2.6</v>
      </c>
      <c r="E36" s="0" t="n">
        <f aca="false">F36*3.969</f>
        <v>9128.7</v>
      </c>
      <c r="F36" s="0" t="n">
        <v>2300</v>
      </c>
      <c r="G36" s="13" t="n">
        <f aca="false">(E36*'Price-Differentials'!$C$23)/10000</f>
        <v>7.20266457446808</v>
      </c>
      <c r="H36" s="0" t="n">
        <v>5.16</v>
      </c>
      <c r="I36" s="0" t="n">
        <v>3.91</v>
      </c>
      <c r="J36" s="41" t="n">
        <f aca="false">(G36-H36)*D36</f>
        <v>5.31092789361702</v>
      </c>
      <c r="K36" s="41" t="n">
        <f aca="false">(G36-I36)*D36</f>
        <v>8.56092789361702</v>
      </c>
      <c r="L36" s="12"/>
    </row>
    <row r="37" customFormat="false" ht="12.75" hidden="false" customHeight="false" outlineLevel="0" collapsed="false">
      <c r="A37" s="57" t="s">
        <v>94</v>
      </c>
      <c r="B37" s="58" t="s">
        <v>66</v>
      </c>
      <c r="C37" s="58" t="s">
        <v>55</v>
      </c>
      <c r="D37" s="59" t="n">
        <v>2.5</v>
      </c>
      <c r="E37" s="0" t="n">
        <f aca="false">F37*3.969</f>
        <v>9128.7</v>
      </c>
      <c r="F37" s="0" t="n">
        <v>2300</v>
      </c>
      <c r="G37" s="13" t="n">
        <f aca="false">(E37*'Price-Differentials'!$C$23)/10000</f>
        <v>7.20266457446808</v>
      </c>
      <c r="H37" s="0" t="n">
        <v>5.16</v>
      </c>
      <c r="I37" s="0" t="n">
        <v>3.91</v>
      </c>
      <c r="J37" s="41" t="n">
        <f aca="false">(G37-H37)*D37</f>
        <v>5.10666143617021</v>
      </c>
      <c r="K37" s="41" t="n">
        <f aca="false">(G37-I37)*D37</f>
        <v>8.23166143617021</v>
      </c>
      <c r="L37" s="12"/>
    </row>
    <row r="38" customFormat="false" ht="12.75" hidden="false" customHeight="false" outlineLevel="0" collapsed="false">
      <c r="A38" s="57" t="s">
        <v>95</v>
      </c>
      <c r="B38" s="58" t="s">
        <v>57</v>
      </c>
      <c r="C38" s="58" t="s">
        <v>55</v>
      </c>
      <c r="D38" s="59" t="n">
        <v>2.2</v>
      </c>
      <c r="E38" s="0" t="n">
        <f aca="false">F38*3.969</f>
        <v>9128.7</v>
      </c>
      <c r="F38" s="0" t="n">
        <v>2300</v>
      </c>
      <c r="G38" s="13" t="n">
        <f aca="false">(E38*'Price-Differentials'!$C$23)/10000</f>
        <v>7.20266457446808</v>
      </c>
      <c r="H38" s="0" t="n">
        <v>5.16</v>
      </c>
      <c r="I38" s="0" t="n">
        <v>3.91</v>
      </c>
      <c r="J38" s="41" t="n">
        <f aca="false">(G38-H38)*D38</f>
        <v>4.49386206382978</v>
      </c>
      <c r="K38" s="41" t="n">
        <f aca="false">(G38-I38)*D38</f>
        <v>7.24386206382978</v>
      </c>
      <c r="L38" s="12"/>
    </row>
    <row r="39" customFormat="false" ht="12.75" hidden="false" customHeight="false" outlineLevel="0" collapsed="false">
      <c r="A39" s="57" t="s">
        <v>96</v>
      </c>
      <c r="B39" s="58" t="s">
        <v>75</v>
      </c>
      <c r="C39" s="58" t="s">
        <v>55</v>
      </c>
      <c r="D39" s="59" t="n">
        <v>1.8</v>
      </c>
      <c r="E39" s="0" t="n">
        <f aca="false">F39*3.969</f>
        <v>9525.6</v>
      </c>
      <c r="F39" s="0" t="n">
        <v>2400</v>
      </c>
      <c r="G39" s="13" t="n">
        <f aca="false">(E39*'Price-Differentials'!$C$13)/10000</f>
        <v>10.2994268756876</v>
      </c>
      <c r="H39" s="0" t="n">
        <v>5.16</v>
      </c>
      <c r="I39" s="0" t="n">
        <v>3.91</v>
      </c>
      <c r="J39" s="41" t="n">
        <f aca="false">(G39-H39)*D39</f>
        <v>9.25096837623762</v>
      </c>
      <c r="K39" s="41" t="n">
        <f aca="false">(G39-I39)*D39</f>
        <v>11.5009683762376</v>
      </c>
      <c r="L39" s="12"/>
    </row>
    <row r="40" customFormat="false" ht="13.5" hidden="false" customHeight="false" outlineLevel="0" collapsed="false">
      <c r="A40" s="60" t="s">
        <v>96</v>
      </c>
      <c r="B40" s="61" t="s">
        <v>97</v>
      </c>
      <c r="C40" s="61" t="s">
        <v>55</v>
      </c>
      <c r="D40" s="62" t="n">
        <v>1.2</v>
      </c>
      <c r="E40" s="0" t="n">
        <f aca="false">F40*3.969</f>
        <v>9525.6</v>
      </c>
      <c r="F40" s="0" t="n">
        <v>2400</v>
      </c>
      <c r="G40" s="13" t="n">
        <f aca="false">(E40*'Price-Differentials'!$C$13)/10000</f>
        <v>10.2994268756876</v>
      </c>
      <c r="H40" s="0" t="n">
        <v>5.16</v>
      </c>
      <c r="I40" s="0" t="n">
        <v>3.91</v>
      </c>
      <c r="J40" s="41" t="n">
        <f aca="false">(G40-H40)*D40</f>
        <v>6.16731225082508</v>
      </c>
      <c r="K40" s="41" t="n">
        <f aca="false">(G40-I40)*D40</f>
        <v>7.66731225082508</v>
      </c>
      <c r="L40" s="12"/>
    </row>
    <row r="41" customFormat="false" ht="12.75" hidden="false" customHeight="false" outlineLevel="0" collapsed="false">
      <c r="A41" s="63" t="s">
        <v>98</v>
      </c>
      <c r="B41" s="64"/>
      <c r="C41" s="64"/>
      <c r="D41" s="65" t="n">
        <f aca="false">SUM(D9:D40)</f>
        <v>267.05</v>
      </c>
      <c r="J41" s="41"/>
      <c r="K41" s="41"/>
    </row>
    <row r="42" customFormat="false" ht="12.75" hidden="false" customHeight="false" outlineLevel="0" collapsed="false">
      <c r="A42" s="66"/>
      <c r="B42" s="67"/>
      <c r="C42" s="67"/>
      <c r="D42" s="68"/>
      <c r="J42" s="41"/>
      <c r="K42" s="41"/>
    </row>
    <row r="43" customFormat="false" ht="12.75" hidden="false" customHeight="false" outlineLevel="0" collapsed="false">
      <c r="A43" s="57" t="s">
        <v>99</v>
      </c>
      <c r="B43" s="58" t="s">
        <v>62</v>
      </c>
      <c r="C43" s="58" t="s">
        <v>100</v>
      </c>
      <c r="D43" s="59" t="n">
        <v>85</v>
      </c>
      <c r="E43" s="0" t="n">
        <f aca="false">F43*3.969</f>
        <v>7938</v>
      </c>
      <c r="F43" s="0" t="n">
        <v>2000</v>
      </c>
      <c r="G43" s="41" t="n">
        <f aca="false">(E43*1.15*'Price-Differentials'!$C$29)/10000</f>
        <v>6.694258284</v>
      </c>
      <c r="H43" s="0" t="n">
        <v>5.16</v>
      </c>
      <c r="I43" s="0" t="n">
        <v>3.91</v>
      </c>
      <c r="J43" s="41" t="n">
        <f aca="false">(G43-H43)*D43</f>
        <v>130.41195414</v>
      </c>
      <c r="K43" s="41" t="n">
        <f aca="false">(G43-I43)*D43</f>
        <v>236.66195414</v>
      </c>
      <c r="L43" s="12"/>
    </row>
    <row r="44" customFormat="false" ht="12.75" hidden="false" customHeight="false" outlineLevel="0" collapsed="false">
      <c r="A44" s="57" t="s">
        <v>101</v>
      </c>
      <c r="B44" s="58" t="s">
        <v>62</v>
      </c>
      <c r="C44" s="58" t="s">
        <v>100</v>
      </c>
      <c r="D44" s="59" t="n">
        <v>78</v>
      </c>
      <c r="E44" s="0" t="n">
        <f aca="false">F44*3.969</f>
        <v>7938</v>
      </c>
      <c r="F44" s="0" t="n">
        <v>2000</v>
      </c>
      <c r="G44" s="41" t="n">
        <f aca="false">(E44*1.15*'Price-Differentials'!$C$29)/10000</f>
        <v>6.694258284</v>
      </c>
      <c r="H44" s="0" t="n">
        <v>5.16</v>
      </c>
      <c r="I44" s="0" t="n">
        <v>3.91</v>
      </c>
      <c r="J44" s="41" t="n">
        <f aca="false">(G44-H44)*D44</f>
        <v>119.672146152</v>
      </c>
      <c r="K44" s="41" t="n">
        <f aca="false">(G44-I44)*D44</f>
        <v>217.172146152</v>
      </c>
      <c r="L44" s="12"/>
    </row>
    <row r="45" customFormat="false" ht="12.75" hidden="false" customHeight="false" outlineLevel="0" collapsed="false">
      <c r="A45" s="57" t="s">
        <v>102</v>
      </c>
      <c r="B45" s="58" t="s">
        <v>62</v>
      </c>
      <c r="C45" s="58" t="s">
        <v>100</v>
      </c>
      <c r="D45" s="59" t="n">
        <v>59</v>
      </c>
      <c r="E45" s="0" t="n">
        <f aca="false">F45*3.969</f>
        <v>7938</v>
      </c>
      <c r="F45" s="0" t="n">
        <v>2000</v>
      </c>
      <c r="G45" s="41" t="n">
        <f aca="false">(E45*1.15*'Price-Differentials'!$C$29)/10000</f>
        <v>6.694258284</v>
      </c>
      <c r="H45" s="0" t="n">
        <v>5.16</v>
      </c>
      <c r="I45" s="0" t="n">
        <v>3.91</v>
      </c>
      <c r="J45" s="41" t="n">
        <f aca="false">(G45-H45)*D45</f>
        <v>90.521238756</v>
      </c>
      <c r="K45" s="41" t="n">
        <f aca="false">(G45-I45)*D45</f>
        <v>164.271238756</v>
      </c>
      <c r="L45" s="12"/>
    </row>
    <row r="46" customFormat="false" ht="12.75" hidden="false" customHeight="false" outlineLevel="0" collapsed="false">
      <c r="A46" s="57" t="s">
        <v>103</v>
      </c>
      <c r="B46" s="58" t="s">
        <v>66</v>
      </c>
      <c r="C46" s="58" t="s">
        <v>100</v>
      </c>
      <c r="D46" s="59" t="n">
        <v>40</v>
      </c>
      <c r="E46" s="0" t="n">
        <f aca="false">F46*3.969</f>
        <v>7938</v>
      </c>
      <c r="F46" s="0" t="n">
        <v>2000</v>
      </c>
      <c r="G46" s="41" t="n">
        <f aca="false">(E46*1.15*'Price-Differentials'!$C$29)/10000</f>
        <v>6.694258284</v>
      </c>
      <c r="H46" s="0" t="n">
        <v>5.16</v>
      </c>
      <c r="I46" s="0" t="n">
        <v>3.91</v>
      </c>
      <c r="J46" s="41" t="n">
        <f aca="false">(G46-H46)*D46</f>
        <v>61.37033136</v>
      </c>
      <c r="K46" s="41" t="n">
        <f aca="false">(G46-I46)*D46</f>
        <v>111.37033136</v>
      </c>
      <c r="L46" s="12"/>
    </row>
    <row r="47" customFormat="false" ht="12.75" hidden="false" customHeight="false" outlineLevel="0" collapsed="false">
      <c r="A47" s="57" t="s">
        <v>104</v>
      </c>
      <c r="B47" s="58" t="s">
        <v>62</v>
      </c>
      <c r="C47" s="58" t="s">
        <v>100</v>
      </c>
      <c r="D47" s="59" t="n">
        <v>30</v>
      </c>
      <c r="E47" s="0" t="n">
        <f aca="false">F47*3.969</f>
        <v>7938</v>
      </c>
      <c r="F47" s="0" t="n">
        <v>2000</v>
      </c>
      <c r="G47" s="41" t="n">
        <f aca="false">(E47*1.15*'Price-Differentials'!$C$29)/10000</f>
        <v>6.694258284</v>
      </c>
      <c r="H47" s="0" t="n">
        <v>5.16</v>
      </c>
      <c r="I47" s="0" t="n">
        <v>3.91</v>
      </c>
      <c r="J47" s="41" t="n">
        <f aca="false">(G47-H47)*D47</f>
        <v>46.02774852</v>
      </c>
      <c r="K47" s="41" t="n">
        <f aca="false">(G47-I47)*D47</f>
        <v>83.52774852</v>
      </c>
      <c r="L47" s="12"/>
    </row>
    <row r="48" customFormat="false" ht="12.75" hidden="false" customHeight="false" outlineLevel="0" collapsed="false">
      <c r="A48" s="57" t="s">
        <v>105</v>
      </c>
      <c r="B48" s="58" t="s">
        <v>106</v>
      </c>
      <c r="C48" s="58" t="s">
        <v>100</v>
      </c>
      <c r="D48" s="59" t="n">
        <v>27.5</v>
      </c>
      <c r="E48" s="0" t="n">
        <f aca="false">F48*3.969</f>
        <v>7938</v>
      </c>
      <c r="F48" s="0" t="n">
        <v>2000</v>
      </c>
      <c r="G48" s="41" t="n">
        <f aca="false">(E48*1.15*'Price-Differentials'!$C$29)/10000</f>
        <v>6.694258284</v>
      </c>
      <c r="H48" s="0" t="n">
        <v>5.16</v>
      </c>
      <c r="I48" s="0" t="n">
        <v>3.91</v>
      </c>
      <c r="J48" s="41" t="n">
        <f aca="false">(G48-H48)*D48</f>
        <v>42.19210281</v>
      </c>
      <c r="K48" s="41" t="n">
        <f aca="false">(G48-I48)*D48</f>
        <v>76.56710281</v>
      </c>
      <c r="L48" s="12"/>
    </row>
    <row r="49" customFormat="false" ht="12.75" hidden="false" customHeight="false" outlineLevel="0" collapsed="false">
      <c r="A49" s="57" t="s">
        <v>107</v>
      </c>
      <c r="B49" s="58" t="s">
        <v>108</v>
      </c>
      <c r="C49" s="58" t="s">
        <v>100</v>
      </c>
      <c r="D49" s="59" t="n">
        <v>6.8</v>
      </c>
      <c r="E49" s="0" t="n">
        <f aca="false">F49*3.969</f>
        <v>8731.8</v>
      </c>
      <c r="F49" s="0" t="n">
        <v>2200</v>
      </c>
      <c r="G49" s="41" t="n">
        <f aca="false">(E49*1.15*'Price-Differentials'!$C$29)/10000</f>
        <v>7.3636841124</v>
      </c>
      <c r="H49" s="0" t="n">
        <v>5.16</v>
      </c>
      <c r="I49" s="0" t="n">
        <v>3.91</v>
      </c>
      <c r="J49" s="41" t="n">
        <f aca="false">(G49-H49)*D49</f>
        <v>14.98505196432</v>
      </c>
      <c r="K49" s="41" t="n">
        <f aca="false">(G49-I49)*D49</f>
        <v>23.48505196432</v>
      </c>
      <c r="L49" s="12"/>
    </row>
    <row r="50" customFormat="false" ht="13.5" hidden="false" customHeight="false" outlineLevel="0" collapsed="false">
      <c r="A50" s="69" t="s">
        <v>109</v>
      </c>
      <c r="B50" s="70" t="s">
        <v>110</v>
      </c>
      <c r="C50" s="70" t="s">
        <v>100</v>
      </c>
      <c r="D50" s="71" t="n">
        <v>4</v>
      </c>
      <c r="E50" s="0" t="n">
        <f aca="false">F50*3.969</f>
        <v>8731.8</v>
      </c>
      <c r="F50" s="0" t="n">
        <v>2200</v>
      </c>
      <c r="G50" s="41" t="n">
        <f aca="false">(E50*1.15*'Price-Differentials'!$C$29)/10000</f>
        <v>7.3636841124</v>
      </c>
      <c r="H50" s="0" t="n">
        <v>5.16</v>
      </c>
      <c r="I50" s="0" t="n">
        <v>3.91</v>
      </c>
      <c r="J50" s="41" t="n">
        <f aca="false">(G50-H50)*D50</f>
        <v>8.81473644959999</v>
      </c>
      <c r="K50" s="41" t="n">
        <f aca="false">(G50-I50)*D50</f>
        <v>13.8147364496</v>
      </c>
      <c r="L50" s="12"/>
    </row>
    <row r="51" customFormat="false" ht="13.5" hidden="false" customHeight="false" outlineLevel="0" collapsed="false">
      <c r="A51" s="50" t="s">
        <v>98</v>
      </c>
      <c r="B51" s="51"/>
      <c r="C51" s="51"/>
      <c r="D51" s="72" t="n">
        <f aca="false">SUM(D43:D50)</f>
        <v>330.3</v>
      </c>
      <c r="J51" s="73" t="n">
        <f aca="false">SUM(J9:J50)*10</f>
        <v>10174.8367352389</v>
      </c>
      <c r="K51" s="73" t="n">
        <f aca="false">SUM(K9:K50)*10</f>
        <v>17641.7117352389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85"/>
  </cols>
  <sheetData>
    <row r="4" customFormat="false" ht="12.75" hidden="false" customHeight="false" outlineLevel="0" collapsed="false">
      <c r="B4" s="1" t="s">
        <v>111</v>
      </c>
    </row>
    <row r="6" customFormat="false" ht="12.75" hidden="false" customHeight="false" outlineLevel="0" collapsed="false">
      <c r="E6" s="0" t="s">
        <v>112</v>
      </c>
    </row>
    <row r="7" customFormat="false" ht="12.75" hidden="false" customHeight="false" outlineLevel="0" collapsed="false">
      <c r="B7" s="0" t="s">
        <v>113</v>
      </c>
      <c r="E7" s="74" t="n">
        <f aca="false">CaptivePower!J51</f>
        <v>10174.8367352389</v>
      </c>
    </row>
    <row r="8" customFormat="false" ht="12.75" hidden="false" customHeight="false" outlineLevel="0" collapsed="false">
      <c r="B8" s="0" t="s">
        <v>114</v>
      </c>
      <c r="E8" s="74" t="n">
        <f aca="false">CaptivePower!K51</f>
        <v>17641.7117352389</v>
      </c>
    </row>
    <row r="11" customFormat="false" ht="12.75" hidden="false" customHeight="false" outlineLevel="0" collapsed="false">
      <c r="B11" s="1" t="s">
        <v>115</v>
      </c>
    </row>
    <row r="13" customFormat="false" ht="12.75" hidden="false" customHeight="false" outlineLevel="0" collapsed="false">
      <c r="B13" s="0" t="s">
        <v>116</v>
      </c>
      <c r="E13" s="75" t="n">
        <f aca="false">E7*5000</f>
        <v>50874183.6761947</v>
      </c>
    </row>
    <row r="14" customFormat="false" ht="12.75" hidden="false" customHeight="false" outlineLevel="0" collapsed="false">
      <c r="B14" s="0" t="s">
        <v>117</v>
      </c>
      <c r="E14" s="75" t="n">
        <f aca="false">E8*5000</f>
        <v>88208558.6761947</v>
      </c>
    </row>
    <row r="16" customFormat="false" ht="12.75" hidden="false" customHeight="false" outlineLevel="0" collapsed="false">
      <c r="B16" s="0" t="s">
        <v>118</v>
      </c>
    </row>
    <row r="17" customFormat="false" ht="12.75" hidden="false" customHeight="false" outlineLevel="0" collapsed="false">
      <c r="B17" s="0" t="s">
        <v>119</v>
      </c>
    </row>
    <row r="18" customFormat="false" ht="12.75" hidden="false" customHeight="false" outlineLevel="0" collapsed="false">
      <c r="B18" s="0" t="s">
        <v>120</v>
      </c>
    </row>
    <row r="19" customFormat="false" ht="12.75" hidden="false" customHeight="false" outlineLevel="0" collapsed="false">
      <c r="B19" s="0" t="s">
        <v>121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2001-01-05T07:13:54Z</dcterms:created>
  <dc:creator>Anshuman Srivastav</dc:creator>
  <dc:description/>
  <dc:language>en-US</dc:language>
  <cp:lastModifiedBy>EI</cp:lastModifiedBy>
  <dcterms:modified xsi:type="dcterms:W3CDTF">2001-01-05T12:57:11Z</dcterms:modified>
  <cp:revision>0</cp:revision>
  <dc:subject/>
  <dc:title/>
</cp:coreProperties>
</file>