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PR" sheetId="1" state="visible" r:id="rId3"/>
    <sheet name="Income from Dawes" sheetId="2" state="visible" r:id="rId4"/>
    <sheet name="Devries" sheetId="3" state="visible" r:id="rId5"/>
    <sheet name="Milnthorp" sheetId="4" state="visible" r:id="rId6"/>
  </sheets>
  <externalReferences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Derek C. Lynn:
</t>
        </r>
        <r>
          <rPr>
            <sz val="8"/>
            <color rgb="FF000000"/>
            <rFont val="Tahoma"/>
            <family val="0"/>
          </rPr>
          <t xml:space="preserve">1.5031 December average CAD/USD fx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40</xdr:colOff>
                <xdr:row>15</xdr:row>
                <xdr:rowOff>11</xdr:rowOff>
              </xdr:from>
              <xdr:to>
                <xdr:col>3</xdr:col>
                <xdr:colOff>15</xdr:colOff>
                <xdr:row>17</xdr:row>
                <xdr:rowOff>15</xdr:rowOff>
              </xdr:to>
            </anchor>
          </commentPr>
        </mc:Choice>
        <mc:Fallback/>
      </mc:AlternateContent>
    </commen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Derek C. Lynn:
</t>
        </r>
        <r>
          <rPr>
            <sz val="8"/>
            <color rgb="FF000000"/>
            <rFont val="Tahoma"/>
            <family val="0"/>
          </rPr>
          <t xml:space="preserve">1.5508 CAD/USD fx on date of purchase March 12, 2001.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40</xdr:colOff>
                <xdr:row>16</xdr:row>
                <xdr:rowOff>10</xdr:rowOff>
              </xdr:from>
              <xdr:to>
                <xdr:col>2</xdr:col>
                <xdr:colOff>15</xdr:colOff>
                <xdr:row>20</xdr:row>
                <xdr:rowOff>16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Derek C. Lynn:
</t>
        </r>
        <r>
          <rPr>
            <sz val="8"/>
            <color rgb="FF000000"/>
            <rFont val="Tahoma"/>
            <family val="0"/>
          </rPr>
          <t xml:space="preserve">1.5031 December average CAD/USD fx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40</xdr:colOff>
                <xdr:row>21</xdr:row>
                <xdr:rowOff>10</xdr:rowOff>
              </xdr:from>
              <xdr:to>
                <xdr:col>2</xdr:col>
                <xdr:colOff>15</xdr:colOff>
                <xdr:row>25</xdr:row>
                <xdr:rowOff>16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Derek C. Lynn:
</t>
        </r>
        <r>
          <rPr>
            <sz val="8"/>
            <color rgb="FF000000"/>
            <rFont val="Tahoma"/>
            <family val="0"/>
          </rPr>
          <t xml:space="preserve">1.5218 February average CAD/USD fx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40</xdr:colOff>
                <xdr:row>24</xdr:row>
                <xdr:rowOff>10</xdr:rowOff>
              </xdr:from>
              <xdr:to>
                <xdr:col>2</xdr:col>
                <xdr:colOff>15</xdr:colOff>
                <xdr:row>28</xdr:row>
                <xdr:rowOff>16</xdr:rowOff>
              </xdr:to>
            </anchor>
          </commentPr>
        </mc:Choice>
        <mc:Fallback/>
      </mc:AlternateContent>
    </comment>
    <comment ref="D11" authorId="0">
      <text>
        <r>
          <rPr>
            <b val="true"/>
            <sz val="8"/>
            <color rgb="FF000000"/>
            <rFont val="Tahoma"/>
            <family val="0"/>
          </rPr>
          <t xml:space="preserve">Derek C. Lynn:
</t>
        </r>
        <r>
          <rPr>
            <sz val="8"/>
            <color rgb="FF000000"/>
            <rFont val="Tahoma"/>
            <family val="0"/>
          </rPr>
          <t xml:space="preserve">Dividends from Blue Range proceedings.  Income split 50/50 between Rob Milnthorp and Kyle Kitagawa.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36</xdr:colOff>
                <xdr:row>9</xdr:row>
                <xdr:rowOff>7</xdr:rowOff>
              </xdr:from>
              <xdr:to>
                <xdr:col>6</xdr:col>
                <xdr:colOff>19</xdr:colOff>
                <xdr:row>13</xdr:row>
                <xdr:rowOff>12</xdr:rowOff>
              </xdr:to>
            </anchor>
          </commentPr>
        </mc:Choice>
        <mc:Fallback/>
      </mc:AlternateContent>
    </comment>
    <comment ref="D17" authorId="0">
      <text>
        <r>
          <rPr>
            <b val="true"/>
            <sz val="8"/>
            <color rgb="FF000000"/>
            <rFont val="Tahoma"/>
            <family val="0"/>
          </rPr>
          <t xml:space="preserve">Derek C. Lynn:
</t>
        </r>
        <r>
          <rPr>
            <sz val="8"/>
            <color rgb="FF000000"/>
            <rFont val="Tahoma"/>
            <family val="0"/>
          </rPr>
          <t xml:space="preserve">september average FX 1.5677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142</xdr:colOff>
                <xdr:row>15</xdr:row>
                <xdr:rowOff>10</xdr:rowOff>
              </xdr:from>
              <xdr:to>
                <xdr:col>3</xdr:col>
                <xdr:colOff>34</xdr:colOff>
                <xdr:row>20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<sst xmlns="http://schemas.openxmlformats.org/spreadsheetml/2006/main" count="82" uniqueCount="70">
  <si>
    <t xml:space="preserve">MPR CANADIAN INCOME RECONCILIATION</t>
  </si>
  <si>
    <t xml:space="preserve">all figures in USD except share amounts</t>
  </si>
  <si>
    <t xml:space="preserve">Per MPR and Carole Carter</t>
  </si>
  <si>
    <t xml:space="preserve">Per ECC and Derek Lynn</t>
  </si>
  <si>
    <t xml:space="preserve">Difference</t>
  </si>
  <si>
    <t xml:space="preserve">Actual Numbers</t>
  </si>
  <si>
    <t xml:space="preserve">Total</t>
  </si>
  <si>
    <t xml:space="preserve">Invasion</t>
  </si>
  <si>
    <t xml:space="preserve">Papier Masson</t>
  </si>
  <si>
    <t xml:space="preserve">Impact</t>
  </si>
  <si>
    <t xml:space="preserve">Other = Startech and ARC</t>
  </si>
  <si>
    <t xml:space="preserve">Blue Range</t>
  </si>
  <si>
    <t xml:space="preserve">Other misc Income as per Cheryl Dawes</t>
  </si>
  <si>
    <t xml:space="preserve">Details of Impact and "Other" as per ECC</t>
  </si>
  <si>
    <t xml:space="preserve">Impact:</t>
  </si>
  <si>
    <t xml:space="preserve">Shares</t>
  </si>
  <si>
    <t xml:space="preserve">Cost</t>
  </si>
  <si>
    <t xml:space="preserve">P&amp;L</t>
  </si>
  <si>
    <t xml:space="preserve">Other:</t>
  </si>
  <si>
    <t xml:space="preserve">price sold at</t>
  </si>
  <si>
    <t xml:space="preserve">Startech Energy</t>
  </si>
  <si>
    <t xml:space="preserve">ARC Energy Trust</t>
  </si>
  <si>
    <t xml:space="preserve">Dividend per share</t>
  </si>
  <si>
    <t xml:space="preserve">ARC dividend</t>
  </si>
  <si>
    <t xml:space="preserve">Total "other"</t>
  </si>
  <si>
    <t xml:space="preserve">Additional revenue C$</t>
  </si>
  <si>
    <t xml:space="preserve">Additional revenue US$</t>
  </si>
  <si>
    <t xml:space="preserve">FX</t>
  </si>
  <si>
    <t xml:space="preserve">CES Originations Paper Deals</t>
  </si>
  <si>
    <r>
      <rPr>
        <b val="true"/>
        <sz val="12"/>
        <rFont val="Times New Roman"/>
        <family val="1"/>
      </rPr>
      <t xml:space="preserve">2001 Income Summary </t>
    </r>
    <r>
      <rPr>
        <b val="true"/>
        <sz val="12"/>
        <color rgb="FFFF0000"/>
        <rFont val="Times New Roman"/>
        <family val="1"/>
      </rPr>
      <t xml:space="preserve"> USD</t>
    </r>
  </si>
  <si>
    <t xml:space="preserve">Total Q1</t>
  </si>
  <si>
    <t xml:space="preserve">Total  Q2</t>
  </si>
  <si>
    <t xml:space="preserve">Total  Q3</t>
  </si>
  <si>
    <t xml:space="preserve">Total  Q4</t>
  </si>
  <si>
    <t xml:space="preserve">F/X</t>
  </si>
  <si>
    <t xml:space="preserve">Calger RC #236</t>
  </si>
  <si>
    <t xml:space="preserve">Paper Swaps Interco</t>
  </si>
  <si>
    <t xml:space="preserve">Paper Swaps 3rd Party</t>
  </si>
  <si>
    <r>
      <rPr>
        <sz val="10"/>
        <rFont val="Arial"/>
        <family val="0"/>
      </rPr>
      <t xml:space="preserve">Deferred charge amortization </t>
    </r>
    <r>
      <rPr>
        <sz val="8"/>
        <rFont val="Times New Roman"/>
        <family val="1"/>
      </rPr>
      <t xml:space="preserve">(SAP 42000000)</t>
    </r>
  </si>
  <si>
    <t xml:space="preserve">Net Paper Swaps</t>
  </si>
  <si>
    <t xml:space="preserve">Papier Masson MTM Adjustment</t>
  </si>
  <si>
    <t xml:space="preserve">Interest Income (PML)</t>
  </si>
  <si>
    <t xml:space="preserve">Other Income (Papier Masson Amort)</t>
  </si>
  <si>
    <t xml:space="preserve">F/X Liquidations - Interco</t>
  </si>
  <si>
    <t xml:space="preserve">F/X Liquidations - Papier Masson</t>
  </si>
  <si>
    <t xml:space="preserve">Net F/X</t>
  </si>
  <si>
    <t xml:space="preserve">Subtotal</t>
  </si>
  <si>
    <t xml:space="preserve">(Revenue)/Expense from Hedge (28C)</t>
  </si>
  <si>
    <t xml:space="preserve">Total (Revenue)/Expense RC #236</t>
  </si>
  <si>
    <t xml:space="preserve">Total (Revenue)/Expense</t>
  </si>
  <si>
    <t xml:space="preserve">Total for Devries per Canada</t>
  </si>
  <si>
    <t xml:space="preserve">Total for Devries detail - PML Service</t>
  </si>
  <si>
    <t xml:space="preserve"> </t>
  </si>
  <si>
    <t xml:space="preserve">Variance</t>
  </si>
  <si>
    <t xml:space="preserve">Executive Origination- USD</t>
  </si>
  <si>
    <t xml:space="preserve">YTD 09/30/01</t>
  </si>
  <si>
    <t xml:space="preserve">Description</t>
  </si>
  <si>
    <t xml:space="preserve">Orig Cdn$</t>
  </si>
  <si>
    <t xml:space="preserve">Orig US$</t>
  </si>
  <si>
    <t xml:space="preserve">Notes</t>
  </si>
  <si>
    <t xml:space="preserve">CNRL/ Blue Range</t>
  </si>
  <si>
    <t xml:space="preserve">Includes CNRL Warrants, Blue Range Payment and PWC payment</t>
  </si>
  <si>
    <t xml:space="preserve">Interest Short Term Investments-0444</t>
  </si>
  <si>
    <t xml:space="preserve">Interest on overnight investments- cc. 0444</t>
  </si>
  <si>
    <t xml:space="preserve">IMO Director Fees</t>
  </si>
  <si>
    <t xml:space="preserve">Includes IMO fees and CGCC share redemption</t>
  </si>
  <si>
    <t xml:space="preserve">Interest Promissory Note</t>
  </si>
  <si>
    <t xml:space="preserve">Misc Promissory Notes with EES</t>
  </si>
  <si>
    <t xml:space="preserve">Interest Short Term Investments-1048</t>
  </si>
  <si>
    <t xml:space="preserve">Interest on overnight investments- cc. 1048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</si>
</sst>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\$#,##0.00_);&quot;($&quot;#,##0.00\)"/>
    <numFmt numFmtId="167" formatCode="[$-409]m/d/yyyy"/>
    <numFmt numFmtId="168" formatCode="[$-409]#,##0_);\(#,##0\)"/>
    <numFmt numFmtId="169" formatCode="[$-409]mmm\-yy"/>
    <numFmt numFmtId="170" formatCode="\$#,##0_);&quot;($&quot;#,##0\)"/>
    <numFmt numFmtId="171" formatCode="0.0000"/>
    <numFmt numFmtId="172" formatCode="_(* #,##0.00_);_(* \(#,##0.00\);_(* \-??_);_(@_)"/>
    <numFmt numFmtId="173" formatCode="_(* #,##0.0000_);_(* \(#,##0.0000\);_(* \-??_);_(@_)"/>
    <numFmt numFmtId="174" formatCode="_(* #,##0_);_(* \(#,##0\);_(* \-??_);_(@_)"/>
    <numFmt numFmtId="175" formatCode="_(\$* #,##0.00_);_(\$* \(#,##0.00\);_(\$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Times New Roman"/>
      <family val="1"/>
    </font>
    <font>
      <b val="true"/>
      <sz val="12"/>
      <color rgb="FFFF0000"/>
      <name val="Times New Roman"/>
      <family val="1"/>
    </font>
    <font>
      <sz val="8"/>
      <name val="Times New Roman"/>
      <family val="1"/>
    </font>
    <font>
      <i val="true"/>
      <sz val="12"/>
      <color rgb="FF3366FF"/>
      <name val="Times New Roman"/>
      <family val="1"/>
    </font>
    <font>
      <sz val="12"/>
      <color rgb="FF3366FF"/>
      <name val="Times New Roman"/>
      <family val="1"/>
    </font>
    <font>
      <sz val="12"/>
      <name val="Times New Roman"/>
      <family val="1"/>
    </font>
    <font>
      <sz val="12"/>
      <color rgb="FF0000FF"/>
      <name val="Times New Roman"/>
      <family val="1"/>
    </font>
    <font>
      <sz val="10"/>
      <name val="Times New Roman"/>
      <family val="1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200880</xdr:colOff>
      <xdr:row>14</xdr:row>
      <xdr:rowOff>56880</xdr:rowOff>
    </xdr:from>
    <xdr:to>
      <xdr:col>9</xdr:col>
      <xdr:colOff>624600</xdr:colOff>
      <xdr:row>22</xdr:row>
      <xdr:rowOff>114480</xdr:rowOff>
    </xdr:to>
    <xdr:sp>
      <xdr:nvSpPr>
        <xdr:cNvPr id="0" name="Text 6"/>
        <xdr:cNvSpPr/>
      </xdr:nvSpPr>
      <xdr:spPr>
        <a:xfrm>
          <a:off x="6702120" y="2428560"/>
          <a:ext cx="3556800" cy="1352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Impact shares were acquired as a result of ECC's ownership in Startech Energy.  Startech was acquired by Arc Energy Trust.  For each Startech share Enron owned Enron received 0.96 Arc shares and 1 Impact share.  The price of ARC at the time of the takeover was C$11.50 and the price of Impact was $0.47 for a combined value for Startech of $11.51.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Accounting/FLASH/2001/May01/0501es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ccarter/Local%20Settings/Temporary%20Internet%20Files/OLK6C4/IncomeSummary_Origina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**"/>
      <sheetName val="Pivot"/>
      <sheetName val="Econ"/>
      <sheetName val="TAGGRec"/>
      <sheetName val="Swaps Piv"/>
      <sheetName val="Swaps"/>
      <sheetName val="Refer"/>
      <sheetName val="FX"/>
      <sheetName val="Summ"/>
      <sheetName val="PhysPivot"/>
      <sheetName val="Phys"/>
      <sheetName val="TAGG Piv"/>
      <sheetName val="Fin"/>
      <sheetName val="TAGG-Fin"/>
      <sheetName val="Fin-Acctg"/>
    </sheetNames>
    <definedNames>
      <definedName name="FXLiq" refersTo="[1]FX!$C$5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0">
          <cell r="C50">
            <v>1.5372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$"/>
      <sheetName val="US$"/>
    </sheetNames>
    <sheetDataSet>
      <sheetData sheetId="0">
        <row r="8">
          <cell r="C8">
            <v>-117352.49</v>
          </cell>
          <cell r="D8">
            <v>-701589.47</v>
          </cell>
          <cell r="E8">
            <v>-422263.95</v>
          </cell>
        </row>
        <row r="8">
          <cell r="H8">
            <v>-38423.07</v>
          </cell>
          <cell r="I8">
            <v>135505.79</v>
          </cell>
          <cell r="J8">
            <v>452383.97</v>
          </cell>
        </row>
        <row r="8">
          <cell r="M8">
            <v>789491.93</v>
          </cell>
          <cell r="N8">
            <v>0</v>
          </cell>
          <cell r="O8">
            <v>0</v>
          </cell>
        </row>
        <row r="9">
          <cell r="C9">
            <v>116867.72</v>
          </cell>
          <cell r="D9">
            <v>-46059.42</v>
          </cell>
          <cell r="E9">
            <v>-1152583</v>
          </cell>
        </row>
        <row r="9">
          <cell r="H9">
            <v>-709712.57</v>
          </cell>
          <cell r="I9">
            <v>-344705.41</v>
          </cell>
          <cell r="J9">
            <v>-452832.47</v>
          </cell>
        </row>
        <row r="9">
          <cell r="M9">
            <v>-789491.93</v>
          </cell>
          <cell r="N9">
            <v>0</v>
          </cell>
          <cell r="O9">
            <v>0</v>
          </cell>
        </row>
        <row r="10">
          <cell r="C10">
            <v>0</v>
          </cell>
          <cell r="D10">
            <v>747356.73</v>
          </cell>
          <cell r="E10">
            <v>1576160</v>
          </cell>
        </row>
        <row r="10">
          <cell r="H10">
            <v>748135.63</v>
          </cell>
          <cell r="I10">
            <v>0</v>
          </cell>
          <cell r="J10">
            <v>0</v>
          </cell>
        </row>
        <row r="10">
          <cell r="M10">
            <v>0</v>
          </cell>
          <cell r="N10">
            <v>0</v>
          </cell>
          <cell r="O10">
            <v>0</v>
          </cell>
        </row>
        <row r="12">
          <cell r="D12">
            <v>0</v>
          </cell>
          <cell r="E12">
            <v>-574770</v>
          </cell>
        </row>
        <row r="12">
          <cell r="H12">
            <v>1781628</v>
          </cell>
        </row>
        <row r="13">
          <cell r="C13">
            <v>-263914</v>
          </cell>
          <cell r="D13">
            <v>-263193</v>
          </cell>
          <cell r="E13">
            <v>-238374</v>
          </cell>
        </row>
        <row r="13">
          <cell r="H13">
            <v>-263914</v>
          </cell>
          <cell r="I13">
            <v>-255400.27</v>
          </cell>
          <cell r="J13">
            <v>-263401.57</v>
          </cell>
        </row>
        <row r="13">
          <cell r="M13">
            <v>-250273.97</v>
          </cell>
          <cell r="N13">
            <v>-258616.44</v>
          </cell>
          <cell r="O13">
            <v>-258616.44</v>
          </cell>
        </row>
        <row r="14">
          <cell r="C14">
            <v>-41667</v>
          </cell>
          <cell r="D14">
            <v>0</v>
          </cell>
          <cell r="E14">
            <v>0</v>
          </cell>
        </row>
        <row r="14">
          <cell r="H14">
            <v>0</v>
          </cell>
          <cell r="I14">
            <v>0</v>
          </cell>
          <cell r="J14">
            <v>125000</v>
          </cell>
        </row>
        <row r="14">
          <cell r="M14">
            <v>0</v>
          </cell>
          <cell r="N14">
            <v>0</v>
          </cell>
        </row>
        <row r="15">
          <cell r="C15">
            <v>-176693.42</v>
          </cell>
          <cell r="D15">
            <v>20099.5</v>
          </cell>
          <cell r="E15">
            <v>217947.5</v>
          </cell>
        </row>
        <row r="15">
          <cell r="H15">
            <v>152155.77</v>
          </cell>
          <cell r="I15">
            <v>0</v>
          </cell>
          <cell r="J15">
            <v>-85539.13</v>
          </cell>
        </row>
        <row r="15">
          <cell r="M15">
            <v>72302.04</v>
          </cell>
          <cell r="N15">
            <v>102406.62</v>
          </cell>
          <cell r="O15">
            <v>354299.2</v>
          </cell>
        </row>
        <row r="16">
          <cell r="C16">
            <v>177196.52</v>
          </cell>
          <cell r="D16">
            <v>-19221.76</v>
          </cell>
          <cell r="E16">
            <v>-216207.23</v>
          </cell>
        </row>
        <row r="16">
          <cell r="H16">
            <v>-152441.42</v>
          </cell>
          <cell r="I16">
            <v>0</v>
          </cell>
          <cell r="J16">
            <v>86087.53</v>
          </cell>
        </row>
        <row r="16">
          <cell r="M16">
            <v>-70649.12</v>
          </cell>
          <cell r="N16">
            <v>-100279.38</v>
          </cell>
          <cell r="O16">
            <v>-353304.13</v>
          </cell>
        </row>
      </sheetData>
      <sheetData sheetId="1">
        <row r="5">
          <cell r="C5">
            <v>1.4975</v>
          </cell>
          <cell r="D5">
            <v>1.5352</v>
          </cell>
          <cell r="E5">
            <v>1.5756</v>
          </cell>
        </row>
        <row r="5">
          <cell r="H5">
            <v>1.5368</v>
          </cell>
          <cell r="I5">
            <v>1.5372</v>
          </cell>
          <cell r="J5">
            <v>1.513</v>
          </cell>
        </row>
        <row r="5">
          <cell r="M5">
            <v>1.533</v>
          </cell>
          <cell r="N5">
            <v>1.5505</v>
          </cell>
          <cell r="O5">
            <v>1.578</v>
          </cell>
        </row>
        <row r="5">
          <cell r="R5">
            <v>1.5123</v>
          </cell>
          <cell r="S5">
            <v>1.5422</v>
          </cell>
          <cell r="T5">
            <v>1.52243684210526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56"/>
    <col collapsed="false" customWidth="true" hidden="false" outlineLevel="0" max="2" min="2" style="0" width="21.7"/>
    <col collapsed="false" customWidth="true" hidden="false" outlineLevel="0" max="3" min="3" style="0" width="11.13"/>
    <col collapsed="false" customWidth="true" hidden="false" outlineLevel="0" max="4" min="4" style="0" width="13.7"/>
    <col collapsed="false" customWidth="true" hidden="false" outlineLevel="0" max="5" min="5" style="0" width="11.13"/>
    <col collapsed="false" customWidth="true" hidden="false" outlineLevel="0" max="6" min="6" style="0" width="10.28"/>
    <col collapsed="false" customWidth="true" hidden="false" outlineLevel="0" max="8" min="8" style="0" width="10.71"/>
    <col collapsed="false" customWidth="true" hidden="false" outlineLevel="0" max="9" min="9" style="0" width="14.41"/>
    <col collapsed="false" customWidth="true" hidden="false" outlineLevel="0" max="10" min="10" style="0" width="10.71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</row>
    <row r="4" customFormat="false" ht="12.75" hidden="false" customHeight="false" outlineLevel="0" collapsed="false">
      <c r="A4" s="3"/>
      <c r="B4" s="4" t="s">
        <v>2</v>
      </c>
      <c r="C4" s="5"/>
      <c r="D4" s="4" t="s">
        <v>3</v>
      </c>
      <c r="E4" s="3"/>
      <c r="F4" s="5" t="s">
        <v>4</v>
      </c>
      <c r="H4" s="4" t="s">
        <v>5</v>
      </c>
    </row>
    <row r="5" customFormat="false" ht="12.75" hidden="false" customHeight="false" outlineLevel="0" collapsed="false">
      <c r="A5" s="5" t="s">
        <v>6</v>
      </c>
      <c r="B5" s="6" t="n">
        <f aca="false">SUM(B7:B10)</f>
        <v>6659000</v>
      </c>
      <c r="C5" s="5"/>
      <c r="D5" s="6" t="n">
        <f aca="false">SUM(D7:D12)</f>
        <v>8996575.92281272</v>
      </c>
      <c r="F5" s="7" t="n">
        <f aca="false">D5-B5</f>
        <v>2337575.92281272</v>
      </c>
      <c r="H5" s="6" t="n">
        <f aca="false">SUM(H7:H12)</f>
        <v>8983770.48308674</v>
      </c>
      <c r="I5" s="8"/>
    </row>
    <row r="6" customFormat="false" ht="12.75" hidden="false" customHeight="false" outlineLevel="0" collapsed="false">
      <c r="A6" s="2"/>
      <c r="B6" s="9"/>
      <c r="C6" s="2"/>
      <c r="D6" s="10"/>
      <c r="F6" s="2"/>
      <c r="H6" s="10"/>
      <c r="I6" s="11"/>
      <c r="J6" s="8"/>
    </row>
    <row r="7" customFormat="false" ht="12.75" hidden="false" customHeight="false" outlineLevel="0" collapsed="false">
      <c r="A7" s="2" t="s">
        <v>7</v>
      </c>
      <c r="B7" s="12" t="n">
        <v>4908000</v>
      </c>
      <c r="C7" s="2"/>
      <c r="D7" s="12" t="n">
        <v>4908000</v>
      </c>
      <c r="F7" s="13" t="n">
        <f aca="false">D7-B7</f>
        <v>0</v>
      </c>
      <c r="H7" s="12" t="n">
        <v>4900445.07483714</v>
      </c>
    </row>
    <row r="8" customFormat="false" ht="12.75" hidden="false" customHeight="false" outlineLevel="0" collapsed="false">
      <c r="A8" s="2" t="s">
        <v>8</v>
      </c>
      <c r="B8" s="12" t="n">
        <v>435000</v>
      </c>
      <c r="C8" s="2"/>
      <c r="D8" s="12" t="n">
        <v>435000</v>
      </c>
      <c r="F8" s="13" t="n">
        <f aca="false">D8-B8</f>
        <v>0</v>
      </c>
      <c r="H8" s="12" t="n">
        <f aca="false">D8</f>
        <v>435000</v>
      </c>
    </row>
    <row r="9" customFormat="false" ht="12.75" hidden="false" customHeight="false" outlineLevel="0" collapsed="false">
      <c r="A9" s="2" t="s">
        <v>9</v>
      </c>
      <c r="B9" s="12" t="n">
        <v>389000</v>
      </c>
      <c r="C9" s="2"/>
      <c r="D9" s="14" t="n">
        <f aca="false">E19</f>
        <v>851306.921189788</v>
      </c>
      <c r="F9" s="13" t="n">
        <f aca="false">D9-B9</f>
        <v>462306.921189788</v>
      </c>
      <c r="H9" s="12" t="n">
        <v>840057.964833072</v>
      </c>
    </row>
    <row r="10" customFormat="false" ht="12.75" hidden="false" customHeight="false" outlineLevel="0" collapsed="false">
      <c r="A10" s="2" t="s">
        <v>10</v>
      </c>
      <c r="B10" s="12" t="n">
        <v>927000</v>
      </c>
      <c r="C10" s="2"/>
      <c r="D10" s="14" t="n">
        <f aca="false">E31</f>
        <v>587955.942017753</v>
      </c>
      <c r="F10" s="13" t="n">
        <f aca="false">D10-B10</f>
        <v>-339044.057982247</v>
      </c>
      <c r="H10" s="12" t="n">
        <v>591735.091246498</v>
      </c>
    </row>
    <row r="11" customFormat="false" ht="12.75" hidden="false" customHeight="false" outlineLevel="0" collapsed="false">
      <c r="A11" s="15" t="s">
        <v>11</v>
      </c>
      <c r="B11" s="16"/>
      <c r="C11" s="15"/>
      <c r="D11" s="17" t="n">
        <f aca="false">(2406417.85*0.5+962567.14*0.5)/1.5218+(2964471.38/2)/1.57</f>
        <v>2051007.10028771</v>
      </c>
      <c r="E11" s="18"/>
      <c r="F11" s="19" t="n">
        <f aca="false">D11-B11</f>
        <v>2051007.10028771</v>
      </c>
      <c r="G11" s="18"/>
      <c r="H11" s="20" t="n">
        <v>2053226.39285256</v>
      </c>
      <c r="I11" s="18"/>
      <c r="J11" s="18"/>
    </row>
    <row r="12" customFormat="false" ht="12.75" hidden="false" customHeight="false" outlineLevel="0" collapsed="false">
      <c r="A12" s="15" t="s">
        <v>12</v>
      </c>
      <c r="B12" s="16"/>
      <c r="C12" s="15"/>
      <c r="D12" s="17" t="n">
        <f aca="false">'Income from Dawes'!L3</f>
        <v>163305.959317475</v>
      </c>
      <c r="E12" s="18"/>
      <c r="F12" s="19" t="n">
        <f aca="false">D12-B12</f>
        <v>163305.959317475</v>
      </c>
      <c r="G12" s="18"/>
      <c r="H12" s="17" t="n">
        <f aca="false">D12</f>
        <v>163305.959317475</v>
      </c>
      <c r="I12" s="18"/>
      <c r="J12" s="18"/>
    </row>
    <row r="13" customFormat="false" ht="13.5" hidden="false" customHeight="false" outlineLevel="0" collapsed="false"/>
    <row r="14" customFormat="false" ht="15" hidden="false" customHeight="false" outlineLevel="0" collapsed="false">
      <c r="A14" s="21" t="s">
        <v>13</v>
      </c>
      <c r="B14" s="22"/>
      <c r="C14" s="22"/>
      <c r="D14" s="22"/>
      <c r="E14" s="23"/>
    </row>
    <row r="15" customFormat="false" ht="12.75" hidden="false" customHeight="false" outlineLevel="0" collapsed="false">
      <c r="A15" s="24" t="s">
        <v>14</v>
      </c>
      <c r="B15" s="2"/>
      <c r="C15" s="2"/>
      <c r="D15" s="2"/>
      <c r="E15" s="25"/>
    </row>
    <row r="16" customFormat="false" ht="12.75" hidden="false" customHeight="false" outlineLevel="0" collapsed="false">
      <c r="A16" s="26"/>
      <c r="B16" s="27" t="s">
        <v>15</v>
      </c>
      <c r="C16" s="27" t="s">
        <v>16</v>
      </c>
      <c r="D16" s="28" t="n">
        <v>37164</v>
      </c>
      <c r="E16" s="29" t="s">
        <v>17</v>
      </c>
    </row>
    <row r="17" customFormat="false" ht="12.75" hidden="false" customHeight="false" outlineLevel="0" collapsed="false">
      <c r="A17" s="26"/>
      <c r="B17" s="30" t="n">
        <v>1250000</v>
      </c>
      <c r="C17" s="31" t="n">
        <f aca="false">0.47/1.5187</f>
        <v>0.309475209060381</v>
      </c>
      <c r="D17" s="31" t="n">
        <f aca="false">1.25/1.5677</f>
        <v>0.797346431077375</v>
      </c>
      <c r="E17" s="32" t="n">
        <f aca="false">(D17-C17)*B17</f>
        <v>609839.027521242</v>
      </c>
    </row>
    <row r="18" customFormat="false" ht="12.75" hidden="false" customHeight="false" outlineLevel="0" collapsed="false">
      <c r="A18" s="26"/>
      <c r="B18" s="30" t="n">
        <v>545455</v>
      </c>
      <c r="C18" s="31" t="n">
        <f aca="false">0.55/1.5508</f>
        <v>0.354655661594016</v>
      </c>
      <c r="D18" s="31" t="n">
        <f aca="false">1.25/1.5677</f>
        <v>0.797346431077375</v>
      </c>
      <c r="E18" s="33" t="n">
        <f aca="false">(D18-C18)*B18</f>
        <v>241467.893668545</v>
      </c>
    </row>
    <row r="19" customFormat="false" ht="12.75" hidden="false" customHeight="false" outlineLevel="0" collapsed="false">
      <c r="A19" s="26"/>
      <c r="B19" s="2"/>
      <c r="C19" s="2"/>
      <c r="D19" s="27" t="s">
        <v>6</v>
      </c>
      <c r="E19" s="32" t="n">
        <f aca="false">SUM(E17:E18)</f>
        <v>851306.921189788</v>
      </c>
      <c r="F19" s="11"/>
    </row>
    <row r="20" customFormat="false" ht="12.75" hidden="false" customHeight="false" outlineLevel="0" collapsed="false">
      <c r="A20" s="26"/>
      <c r="B20" s="2"/>
      <c r="C20" s="2"/>
      <c r="D20" s="2"/>
      <c r="E20" s="25"/>
      <c r="F20" s="11"/>
    </row>
    <row r="21" customFormat="false" ht="12.75" hidden="false" customHeight="false" outlineLevel="0" collapsed="false">
      <c r="A21" s="24" t="s">
        <v>18</v>
      </c>
      <c r="B21" s="2"/>
      <c r="C21" s="2"/>
      <c r="D21" s="2"/>
      <c r="E21" s="25"/>
      <c r="F21" s="11"/>
    </row>
    <row r="22" customFormat="false" ht="12.75" hidden="false" customHeight="false" outlineLevel="0" collapsed="false">
      <c r="A22" s="26"/>
      <c r="B22" s="27" t="s">
        <v>15</v>
      </c>
      <c r="C22" s="28" t="n">
        <v>36891</v>
      </c>
      <c r="D22" s="27" t="s">
        <v>19</v>
      </c>
      <c r="E22" s="29" t="s">
        <v>17</v>
      </c>
      <c r="F22" s="11"/>
    </row>
    <row r="23" customFormat="false" ht="12.75" hidden="false" customHeight="false" outlineLevel="0" collapsed="false">
      <c r="A23" s="26" t="s">
        <v>20</v>
      </c>
      <c r="B23" s="30" t="n">
        <v>1250000</v>
      </c>
      <c r="C23" s="31" t="n">
        <f aca="false">10.9/1.5187</f>
        <v>7.17719101863436</v>
      </c>
      <c r="D23" s="31" t="n">
        <f aca="false">11.51/1.5031</f>
        <v>7.65750781717783</v>
      </c>
      <c r="E23" s="32" t="n">
        <f aca="false">(D23-C23)*B23</f>
        <v>600395.998179342</v>
      </c>
      <c r="F23" s="11"/>
      <c r="G23" s="11"/>
    </row>
    <row r="24" customFormat="false" ht="12.75" hidden="false" customHeight="false" outlineLevel="0" collapsed="false">
      <c r="A24" s="26"/>
      <c r="B24" s="34"/>
      <c r="C24" s="34"/>
      <c r="D24" s="2"/>
      <c r="E24" s="25"/>
      <c r="F24" s="11"/>
    </row>
    <row r="25" customFormat="false" ht="12.75" hidden="false" customHeight="false" outlineLevel="0" collapsed="false">
      <c r="A25" s="26"/>
      <c r="B25" s="27" t="s">
        <v>15</v>
      </c>
      <c r="C25" s="28" t="n">
        <v>36891</v>
      </c>
      <c r="D25" s="27" t="s">
        <v>19</v>
      </c>
      <c r="E25" s="29" t="s">
        <v>17</v>
      </c>
      <c r="F25" s="11"/>
    </row>
    <row r="26" customFormat="false" ht="12.75" hidden="false" customHeight="false" outlineLevel="0" collapsed="false">
      <c r="A26" s="26" t="s">
        <v>21</v>
      </c>
      <c r="B26" s="30" t="n">
        <v>1200000</v>
      </c>
      <c r="C26" s="31" t="n">
        <f aca="false">11.5/1.5218</f>
        <v>7.55684058351952</v>
      </c>
      <c r="D26" s="31" t="n">
        <f aca="false">11.1225758333333/1.5</f>
        <v>7.41505055555553</v>
      </c>
      <c r="E26" s="32" t="n">
        <f aca="false">(D26-C26)*B26</f>
        <v>-170148.033556779</v>
      </c>
      <c r="F26" s="11"/>
    </row>
    <row r="27" customFormat="false" ht="12.75" hidden="false" customHeight="false" outlineLevel="0" collapsed="false">
      <c r="A27" s="26"/>
      <c r="B27" s="2"/>
      <c r="C27" s="2"/>
      <c r="D27" s="2"/>
      <c r="E27" s="25"/>
      <c r="F27" s="11"/>
    </row>
    <row r="28" customFormat="false" ht="12.75" hidden="false" customHeight="false" outlineLevel="0" collapsed="false">
      <c r="A28" s="26"/>
      <c r="B28" s="27" t="s">
        <v>15</v>
      </c>
      <c r="C28" s="35" t="s">
        <v>22</v>
      </c>
      <c r="D28" s="27"/>
      <c r="E28" s="29" t="s">
        <v>17</v>
      </c>
      <c r="F28" s="11"/>
      <c r="G28" s="11"/>
    </row>
    <row r="29" customFormat="false" ht="12.75" hidden="false" customHeight="false" outlineLevel="0" collapsed="false">
      <c r="A29" s="26" t="s">
        <v>23</v>
      </c>
      <c r="B29" s="30" t="n">
        <v>1200000</v>
      </c>
      <c r="C29" s="31" t="n">
        <f aca="false">0.2/1.5218</f>
        <v>0.131423314495992</v>
      </c>
      <c r="D29" s="2"/>
      <c r="E29" s="32" t="n">
        <f aca="false">C29*B29</f>
        <v>157707.97739519</v>
      </c>
      <c r="F29" s="11"/>
    </row>
    <row r="30" customFormat="false" ht="12.75" hidden="false" customHeight="false" outlineLevel="0" collapsed="false">
      <c r="A30" s="26"/>
      <c r="B30" s="34"/>
      <c r="C30" s="34"/>
      <c r="D30" s="2"/>
      <c r="E30" s="25"/>
      <c r="F30" s="11"/>
    </row>
    <row r="31" customFormat="false" ht="13.5" hidden="false" customHeight="false" outlineLevel="0" collapsed="false">
      <c r="A31" s="36"/>
      <c r="B31" s="37"/>
      <c r="C31" s="37"/>
      <c r="D31" s="38" t="s">
        <v>24</v>
      </c>
      <c r="E31" s="39" t="n">
        <f aca="false">E29+E26+E23</f>
        <v>587955.942017753</v>
      </c>
      <c r="F31" s="11"/>
      <c r="G31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</cols>
  <sheetData>
    <row r="1" customFormat="false" ht="12.75" hidden="false" customHeight="false" outlineLevel="0" collapsed="false">
      <c r="B1" s="40" t="n">
        <v>36922</v>
      </c>
      <c r="C1" s="40" t="n">
        <v>36950</v>
      </c>
      <c r="D1" s="40" t="n">
        <v>36981</v>
      </c>
      <c r="E1" s="40" t="n">
        <v>37011</v>
      </c>
      <c r="F1" s="40" t="n">
        <v>37042</v>
      </c>
      <c r="G1" s="40" t="n">
        <v>37072</v>
      </c>
      <c r="H1" s="40" t="n">
        <v>37103</v>
      </c>
      <c r="I1" s="40" t="n">
        <v>37134</v>
      </c>
      <c r="J1" s="40" t="n">
        <v>37164</v>
      </c>
      <c r="L1" s="0" t="s">
        <v>6</v>
      </c>
    </row>
    <row r="2" customFormat="false" ht="12.75" hidden="false" customHeight="false" outlineLevel="0" collapsed="false">
      <c r="A2" s="0" t="s">
        <v>25</v>
      </c>
      <c r="B2" s="41" t="n">
        <v>3265</v>
      </c>
      <c r="C2" s="41" t="n">
        <v>110009</v>
      </c>
      <c r="D2" s="41" t="n">
        <v>15648</v>
      </c>
      <c r="E2" s="41" t="n">
        <v>19225</v>
      </c>
      <c r="F2" s="41" t="n">
        <v>27851</v>
      </c>
      <c r="G2" s="41" t="n">
        <v>19084</v>
      </c>
      <c r="H2" s="41" t="n">
        <v>21592</v>
      </c>
      <c r="I2" s="41" t="n">
        <v>18194</v>
      </c>
      <c r="J2" s="41" t="n">
        <v>15604</v>
      </c>
      <c r="L2" s="42" t="n">
        <v>250472</v>
      </c>
    </row>
    <row r="3" customFormat="false" ht="12.75" hidden="false" customHeight="false" outlineLevel="0" collapsed="false">
      <c r="A3" s="18" t="s">
        <v>26</v>
      </c>
      <c r="B3" s="43" t="n">
        <f aca="false">B2/B6</f>
        <v>2172.16436235197</v>
      </c>
      <c r="C3" s="43" t="n">
        <f aca="false">C2/C6</f>
        <v>72288.0244970643</v>
      </c>
      <c r="D3" s="43" t="n">
        <f aca="false">D2/D6</f>
        <v>10040.4234841193</v>
      </c>
      <c r="E3" s="43" t="n">
        <f aca="false">E2/E6</f>
        <v>12343.6180765786</v>
      </c>
      <c r="F3" s="43" t="n">
        <f aca="false">F2/F6</f>
        <v>18067.9995281906</v>
      </c>
      <c r="G3" s="43" t="n">
        <f aca="false">G2/G6</f>
        <v>12517.988483948</v>
      </c>
      <c r="H3" s="43" t="n">
        <f aca="false">H2/H6</f>
        <v>14109.1068941039</v>
      </c>
      <c r="I3" s="43" t="n">
        <f aca="false">I2/I6</f>
        <v>11813.0653562944</v>
      </c>
      <c r="J3" s="43" t="n">
        <f aca="false">J2/J6</f>
        <v>9953.56863482386</v>
      </c>
      <c r="L3" s="44" t="n">
        <v>163305.959317475</v>
      </c>
    </row>
    <row r="6" customFormat="false" ht="12.75" hidden="false" customHeight="false" outlineLevel="0" collapsed="false">
      <c r="A6" s="0" t="s">
        <v>27</v>
      </c>
      <c r="B6" s="45" t="n">
        <v>1.50310909090909</v>
      </c>
      <c r="C6" s="45" t="n">
        <v>1.521815</v>
      </c>
      <c r="D6" s="45" t="n">
        <v>1.5585</v>
      </c>
      <c r="E6" s="45" t="n">
        <v>1.557485</v>
      </c>
      <c r="F6" s="45" t="n">
        <v>1.54145454545455</v>
      </c>
      <c r="G6" s="45" t="n">
        <v>1.52452608695652</v>
      </c>
      <c r="H6" s="45" t="n">
        <v>1.53035909090909</v>
      </c>
      <c r="I6" s="45" t="n">
        <v>1.54015909090909</v>
      </c>
      <c r="J6" s="45" t="n">
        <v>1.56767894736842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1"/>
  <sheetViews>
    <sheetView showFormulas="false" showGridLines="true" showRowColHeaders="true" showZeros="true" rightToLeft="false" tabSelected="false" showOutlineSymbols="true" defaultGridColor="true" view="normal" topLeftCell="K1" colorId="64" zoomScale="75" zoomScaleNormal="75" zoomScalePageLayoutView="100" workbookViewId="0">
      <selection pane="topLeft" activeCell="W32" activeCellId="0" sqref="Q32:W32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46" width="52.7"/>
    <col collapsed="false" customWidth="true" hidden="false" outlineLevel="0" max="2" min="2" style="46" width="2.99"/>
    <col collapsed="false" customWidth="true" hidden="false" outlineLevel="1" max="3" min="3" style="46" width="17.7"/>
    <col collapsed="false" customWidth="true" hidden="false" outlineLevel="1" max="4" min="4" style="46" width="17.28"/>
    <col collapsed="false" customWidth="true" hidden="false" outlineLevel="1" max="5" min="5" style="46" width="19.85"/>
    <col collapsed="false" customWidth="true" hidden="false" outlineLevel="0" max="6" min="6" style="46" width="19.85"/>
    <col collapsed="false" customWidth="true" hidden="false" outlineLevel="0" max="7" min="7" style="46" width="2.7"/>
    <col collapsed="false" customWidth="true" hidden="false" outlineLevel="1" max="9" min="8" style="46" width="19.85"/>
    <col collapsed="false" customWidth="true" hidden="false" outlineLevel="1" max="10" min="10" style="46" width="19.41"/>
    <col collapsed="false" customWidth="true" hidden="false" outlineLevel="0" max="11" min="11" style="46" width="19.85"/>
    <col collapsed="false" customWidth="true" hidden="false" outlineLevel="0" max="12" min="12" style="46" width="2.7"/>
    <col collapsed="false" customWidth="true" hidden="false" outlineLevel="1" max="13" min="13" style="46" width="19.41"/>
    <col collapsed="false" customWidth="true" hidden="false" outlineLevel="1" max="14" min="14" style="46" width="18.41"/>
    <col collapsed="false" customWidth="true" hidden="false" outlineLevel="1" max="15" min="15" style="46" width="19.85"/>
    <col collapsed="false" customWidth="true" hidden="false" outlineLevel="0" max="16" min="16" style="46" width="19.85"/>
    <col collapsed="false" customWidth="true" hidden="false" outlineLevel="0" max="17" min="17" style="46" width="2.7"/>
    <col collapsed="false" customWidth="true" hidden="true" outlineLevel="1" max="18" min="18" style="46" width="18.99"/>
    <col collapsed="false" customWidth="true" hidden="true" outlineLevel="1" max="19" min="19" style="46" width="15.85"/>
    <col collapsed="false" customWidth="true" hidden="true" outlineLevel="1" max="20" min="20" style="46" width="16.99"/>
    <col collapsed="false" customWidth="true" hidden="true" outlineLevel="0" max="21" min="21" style="46" width="19.41"/>
    <col collapsed="false" customWidth="true" hidden="true" outlineLevel="0" max="22" min="22" style="46" width="2.84"/>
    <col collapsed="false" customWidth="true" hidden="false" outlineLevel="0" max="23" min="23" style="46" width="19.85"/>
    <col collapsed="false" customWidth="false" hidden="false" outlineLevel="0" max="257" min="24" style="46" width="9.14"/>
  </cols>
  <sheetData>
    <row r="1" customFormat="false" ht="15.75" hidden="false" customHeight="false" outlineLevel="0" collapsed="false">
      <c r="A1" s="47" t="s">
        <v>28</v>
      </c>
      <c r="B1" s="47"/>
      <c r="C1" s="47"/>
      <c r="D1" s="47"/>
      <c r="E1" s="47"/>
      <c r="F1" s="47"/>
      <c r="I1" s="48"/>
    </row>
    <row r="2" customFormat="false" ht="15.75" hidden="false" customHeight="false" outlineLevel="0" collapsed="false">
      <c r="A2" s="47" t="s">
        <v>29</v>
      </c>
      <c r="B2" s="47"/>
      <c r="C2" s="47"/>
      <c r="D2" s="47"/>
      <c r="E2" s="47"/>
      <c r="F2" s="47"/>
    </row>
    <row r="3" customFormat="false" ht="15.75" hidden="false" customHeight="false" outlineLevel="0" collapsed="false">
      <c r="A3" s="47"/>
      <c r="B3" s="47"/>
      <c r="C3" s="47"/>
      <c r="D3" s="47"/>
      <c r="E3" s="47"/>
      <c r="F3" s="47"/>
    </row>
    <row r="4" customFormat="false" ht="12.75" hidden="false" customHeight="false" outlineLevel="0" collapsed="false">
      <c r="C4" s="49" t="n">
        <v>36892</v>
      </c>
      <c r="D4" s="49" t="n">
        <v>36923</v>
      </c>
      <c r="E4" s="49" t="n">
        <v>36951</v>
      </c>
      <c r="F4" s="50" t="s">
        <v>30</v>
      </c>
      <c r="H4" s="49" t="n">
        <v>36982</v>
      </c>
      <c r="I4" s="49" t="n">
        <v>37012</v>
      </c>
      <c r="J4" s="49" t="n">
        <v>37043</v>
      </c>
      <c r="K4" s="50" t="s">
        <v>31</v>
      </c>
      <c r="M4" s="49" t="n">
        <v>37073</v>
      </c>
      <c r="N4" s="49" t="n">
        <v>37104</v>
      </c>
      <c r="O4" s="49" t="n">
        <v>37135</v>
      </c>
      <c r="P4" s="50" t="s">
        <v>32</v>
      </c>
      <c r="R4" s="49" t="n">
        <v>37165</v>
      </c>
      <c r="S4" s="49" t="n">
        <v>37196</v>
      </c>
      <c r="T4" s="49" t="n">
        <v>37226</v>
      </c>
      <c r="U4" s="50" t="s">
        <v>33</v>
      </c>
      <c r="W4" s="46" t="s">
        <v>6</v>
      </c>
    </row>
    <row r="5" customFormat="false" ht="12.75" hidden="false" customHeight="false" outlineLevel="0" collapsed="false">
      <c r="A5" s="51" t="s">
        <v>34</v>
      </c>
      <c r="C5" s="46" t="n">
        <v>1.4975</v>
      </c>
      <c r="D5" s="46" t="n">
        <v>1.5352</v>
      </c>
      <c r="E5" s="46" t="n">
        <v>1.5756</v>
      </c>
      <c r="H5" s="52" t="n">
        <v>1.5368</v>
      </c>
      <c r="I5" s="52" t="n">
        <f aca="false">[1]!FXLiq</f>
        <v>1.5372</v>
      </c>
      <c r="J5" s="52" t="n">
        <v>1.513</v>
      </c>
      <c r="M5" s="52" t="n">
        <v>1.533</v>
      </c>
      <c r="N5" s="52" t="n">
        <v>1.5505</v>
      </c>
      <c r="O5" s="52" t="n">
        <v>1.578</v>
      </c>
      <c r="R5" s="52" t="n">
        <v>1.5123</v>
      </c>
      <c r="S5" s="52" t="n">
        <v>1.5422</v>
      </c>
      <c r="T5" s="52" t="n">
        <v>1.52243684210526</v>
      </c>
    </row>
    <row r="6" customFormat="false" ht="15.75" hidden="false" customHeight="false" outlineLevel="0" collapsed="false">
      <c r="A6" s="53" t="s">
        <v>35</v>
      </c>
      <c r="B6" s="54"/>
      <c r="C6" s="54"/>
      <c r="D6" s="54"/>
      <c r="E6" s="54"/>
      <c r="F6" s="55"/>
      <c r="H6" s="56"/>
      <c r="I6" s="54"/>
      <c r="J6" s="54"/>
      <c r="K6" s="55"/>
      <c r="M6" s="56"/>
      <c r="N6" s="54"/>
      <c r="O6" s="54"/>
      <c r="P6" s="55"/>
      <c r="R6" s="56"/>
      <c r="S6" s="54"/>
      <c r="T6" s="54"/>
      <c r="U6" s="57"/>
      <c r="W6" s="55"/>
    </row>
    <row r="7" customFormat="false" ht="12.75" hidden="false" customHeight="false" outlineLevel="0" collapsed="false">
      <c r="A7" s="58"/>
      <c r="B7" s="59"/>
      <c r="C7" s="59"/>
      <c r="D7" s="59"/>
      <c r="E7" s="59"/>
      <c r="F7" s="60"/>
      <c r="H7" s="58"/>
      <c r="I7" s="59"/>
      <c r="J7" s="59"/>
      <c r="K7" s="60"/>
      <c r="M7" s="58"/>
      <c r="N7" s="59"/>
      <c r="O7" s="59"/>
      <c r="P7" s="60"/>
      <c r="R7" s="58"/>
      <c r="S7" s="59"/>
      <c r="T7" s="59"/>
      <c r="U7" s="61"/>
      <c r="W7" s="60"/>
    </row>
    <row r="8" customFormat="false" ht="12.75" hidden="false" customHeight="false" outlineLevel="0" collapsed="false">
      <c r="A8" s="58" t="s">
        <v>36</v>
      </c>
      <c r="B8" s="59"/>
      <c r="C8" s="62" t="n">
        <f aca="false">'[2]CA$'!C8/'[2]US$'!C$5</f>
        <v>-78365.6026711185</v>
      </c>
      <c r="D8" s="62" t="n">
        <f aca="false">'[2]CA$'!D8/'[2]US$'!D$5</f>
        <v>-457001.999739448</v>
      </c>
      <c r="E8" s="62" t="n">
        <f aca="false">'[2]CA$'!E8/'[2]US$'!E$5</f>
        <v>-268001.999238385</v>
      </c>
      <c r="F8" s="63" t="n">
        <f aca="false">SUM(C8:E8)</f>
        <v>-803369.601648952</v>
      </c>
      <c r="H8" s="64" t="n">
        <f aca="false">'[2]CA$'!H8/'[2]US$'!H$5</f>
        <v>-25001.9976574701</v>
      </c>
      <c r="I8" s="62" t="n">
        <f aca="false">'[2]CA$'!I8/'[2]US$'!I$5</f>
        <v>88151.0473588343</v>
      </c>
      <c r="J8" s="62" t="n">
        <f aca="false">'[2]CA$'!J8/'[2]US$'!J$5</f>
        <v>298997.997356246</v>
      </c>
      <c r="K8" s="63" t="n">
        <f aca="false">SUM(H8:J8)</f>
        <v>362147.04705761</v>
      </c>
      <c r="M8" s="64" t="n">
        <f aca="false">'[2]CA$'!M8/'[2]US$'!M$5</f>
        <v>514997.997390737</v>
      </c>
      <c r="N8" s="62" t="n">
        <f aca="false">'[2]CA$'!N8/'[2]US$'!N$5</f>
        <v>0</v>
      </c>
      <c r="O8" s="62" t="n">
        <f aca="false">'[2]CA$'!O8/'[2]US$'!O$5</f>
        <v>0</v>
      </c>
      <c r="P8" s="63" t="n">
        <f aca="false">SUM(M8:O8)</f>
        <v>514997.997390737</v>
      </c>
      <c r="R8" s="64" t="n">
        <f aca="false">'[2]CA$'!R8/'[2]US$'!R$5</f>
        <v>0</v>
      </c>
      <c r="S8" s="62" t="n">
        <f aca="false">'[2]CA$'!S8/'[2]US$'!S$5</f>
        <v>0</v>
      </c>
      <c r="T8" s="62" t="n">
        <f aca="false">'[2]CA$'!T8/'[2]US$'!T$5</f>
        <v>0</v>
      </c>
      <c r="U8" s="65" t="n">
        <f aca="false">SUM(R8:T8)</f>
        <v>0</v>
      </c>
      <c r="W8" s="66" t="n">
        <f aca="false">F8+K8+P8+U8</f>
        <v>73775.4427993956</v>
      </c>
    </row>
    <row r="9" customFormat="false" ht="12.75" hidden="false" customHeight="false" outlineLevel="0" collapsed="false">
      <c r="A9" s="58" t="s">
        <v>37</v>
      </c>
      <c r="B9" s="59"/>
      <c r="C9" s="62" t="n">
        <f aca="false">'[2]CA$'!C9/'[2]US$'!C$5</f>
        <v>78041.8831385643</v>
      </c>
      <c r="D9" s="62" t="n">
        <f aca="false">'[2]CA$'!D9/'[2]US$'!D$5</f>
        <v>-30002.2277227723</v>
      </c>
      <c r="E9" s="62" t="n">
        <f aca="false">'[2]CA$'!E9/'[2]US$'!E$5</f>
        <v>-731520.055851739</v>
      </c>
      <c r="F9" s="63" t="n">
        <f aca="false">SUM(C9:E9)</f>
        <v>-683480.400435947</v>
      </c>
      <c r="H9" s="64" t="n">
        <f aca="false">'[2]CA$'!H9/'[2]US$'!H$5</f>
        <v>-461811.927381572</v>
      </c>
      <c r="I9" s="62" t="n">
        <f aca="false">'[2]CA$'!I9/'[2]US$'!I$5</f>
        <v>-224242.395264117</v>
      </c>
      <c r="J9" s="62" t="n">
        <f aca="false">'[2]CA$'!J9/'[2]US$'!J$5</f>
        <v>-299294.428288169</v>
      </c>
      <c r="K9" s="63" t="n">
        <f aca="false">SUM(H9:J9)</f>
        <v>-985348.750933858</v>
      </c>
      <c r="M9" s="64" t="n">
        <f aca="false">'[2]CA$'!M9/'[2]US$'!M$5</f>
        <v>-514997.997390737</v>
      </c>
      <c r="N9" s="62" t="n">
        <f aca="false">'[2]CA$'!N9/'[2]US$'!N$5</f>
        <v>0</v>
      </c>
      <c r="O9" s="62" t="n">
        <f aca="false">'[2]CA$'!O9/'[2]US$'!O$5</f>
        <v>0</v>
      </c>
      <c r="P9" s="63" t="n">
        <f aca="false">SUM(M9:O9)</f>
        <v>-514997.997390737</v>
      </c>
      <c r="R9" s="64" t="n">
        <f aca="false">'[2]CA$'!R9/'[2]US$'!R$5</f>
        <v>0</v>
      </c>
      <c r="S9" s="62" t="n">
        <f aca="false">'[2]CA$'!S9/'[2]US$'!S$5</f>
        <v>0</v>
      </c>
      <c r="T9" s="62" t="n">
        <f aca="false">'[2]CA$'!T9/'[2]US$'!T$5</f>
        <v>0</v>
      </c>
      <c r="U9" s="65" t="n">
        <f aca="false">SUM(R9:T9)</f>
        <v>0</v>
      </c>
      <c r="W9" s="66" t="n">
        <f aca="false">F9+K9+P9+U9</f>
        <v>-2183827.14876054</v>
      </c>
    </row>
    <row r="10" customFormat="false" ht="12.75" hidden="false" customHeight="false" outlineLevel="0" collapsed="false">
      <c r="A10" s="58" t="s">
        <v>38</v>
      </c>
      <c r="B10" s="59"/>
      <c r="C10" s="67" t="n">
        <f aca="false">'[2]CA$'!C10/'[2]US$'!$C$5</f>
        <v>0</v>
      </c>
      <c r="D10" s="67" t="n">
        <f aca="false">'[2]CA$'!D10/'[2]US$'!$D$5</f>
        <v>486813.920010422</v>
      </c>
      <c r="E10" s="67" t="n">
        <f aca="false">'[2]CA$'!E10/'[2]US$'!$E$5</f>
        <v>1000355.4201574</v>
      </c>
      <c r="F10" s="68" t="n">
        <f aca="false">SUM(C10:E10)</f>
        <v>1487169.34016782</v>
      </c>
      <c r="H10" s="69" t="n">
        <f aca="false">'[2]CA$'!H10/'[2]US$'!$H$5</f>
        <v>486813.918532015</v>
      </c>
      <c r="I10" s="67" t="n">
        <f aca="false">'[2]CA$'!I10/'[2]US$'!$I$5</f>
        <v>0</v>
      </c>
      <c r="J10" s="67" t="n">
        <f aca="false">'[2]CA$'!J10/'[2]US$'!$J$5</f>
        <v>0</v>
      </c>
      <c r="K10" s="68" t="n">
        <f aca="false">SUM(H10:J10)</f>
        <v>486813.918532015</v>
      </c>
      <c r="M10" s="69" t="n">
        <v>0</v>
      </c>
      <c r="N10" s="67" t="n">
        <v>0</v>
      </c>
      <c r="O10" s="70" t="n">
        <v>0</v>
      </c>
      <c r="P10" s="68" t="n">
        <f aca="false">SUM(M10:O10)</f>
        <v>0</v>
      </c>
      <c r="R10" s="64"/>
      <c r="S10" s="62"/>
      <c r="T10" s="62"/>
      <c r="U10" s="65"/>
      <c r="W10" s="71" t="n">
        <f aca="false">F10+K10+P10+U10</f>
        <v>1973983.25869984</v>
      </c>
    </row>
    <row r="11" customFormat="false" ht="12.75" hidden="false" customHeight="false" outlineLevel="0" collapsed="false">
      <c r="A11" s="58" t="s">
        <v>39</v>
      </c>
      <c r="B11" s="59"/>
      <c r="C11" s="62" t="n">
        <f aca="false">SUM(C8:C10)</f>
        <v>-323.719532554256</v>
      </c>
      <c r="D11" s="62" t="n">
        <f aca="false">SUM(D8:D10)</f>
        <v>-190.307451797824</v>
      </c>
      <c r="E11" s="62" t="n">
        <f aca="false">SUM(E8:E10)</f>
        <v>833.36506727594</v>
      </c>
      <c r="F11" s="63" t="n">
        <f aca="false">SUM(C11:E11)</f>
        <v>319.33808292386</v>
      </c>
      <c r="H11" s="64" t="n">
        <f aca="false">SUM(H8:H10)</f>
        <v>-0.00650702754501253</v>
      </c>
      <c r="I11" s="62" t="n">
        <f aca="false">SUM(I8:I10)</f>
        <v>-136091.347905282</v>
      </c>
      <c r="J11" s="62" t="n">
        <f aca="false">SUM(J8:J10)</f>
        <v>-296.430931923329</v>
      </c>
      <c r="K11" s="63" t="n">
        <f aca="false">SUM(H11:J11)</f>
        <v>-136387.785344233</v>
      </c>
      <c r="M11" s="72" t="n">
        <f aca="false">SUM(M8:M10)</f>
        <v>0</v>
      </c>
      <c r="N11" s="73" t="n">
        <f aca="false">SUM(N8:N10)</f>
        <v>0</v>
      </c>
      <c r="O11" s="62" t="n">
        <v>0</v>
      </c>
      <c r="P11" s="63" t="n">
        <f aca="false">SUM(M11:O11)</f>
        <v>0</v>
      </c>
      <c r="R11" s="64"/>
      <c r="S11" s="62"/>
      <c r="T11" s="62"/>
      <c r="U11" s="65"/>
      <c r="W11" s="74" t="n">
        <f aca="false">F11+K11+P11+U11</f>
        <v>-136068.447261309</v>
      </c>
    </row>
    <row r="12" customFormat="false" ht="12.75" hidden="false" customHeight="false" outlineLevel="0" collapsed="false">
      <c r="A12" s="58" t="s">
        <v>40</v>
      </c>
      <c r="B12" s="59"/>
      <c r="C12" s="62" t="n">
        <f aca="false">'[2]CA$'!C10/'[2]US$'!C$5</f>
        <v>0</v>
      </c>
      <c r="D12" s="62" t="n">
        <f aca="false">'[2]CA$'!D12/'[2]US$'!$D$5</f>
        <v>0</v>
      </c>
      <c r="E12" s="62" t="n">
        <f aca="false">'[2]CA$'!E12/'[2]US$'!$E$5</f>
        <v>-364794.36405179</v>
      </c>
      <c r="F12" s="63" t="n">
        <f aca="false">SUM(C12:E12)</f>
        <v>-364794.36405179</v>
      </c>
      <c r="H12" s="64" t="n">
        <f aca="false">'[2]CA$'!H12/'[2]US$'!H$5</f>
        <v>1159310.25507548</v>
      </c>
      <c r="I12" s="62" t="n">
        <f aca="false">'[2]CA$'!I12/'[2]US$'!I$5</f>
        <v>0</v>
      </c>
      <c r="J12" s="62" t="n">
        <f aca="false">'[2]CA$'!J12/'[2]US$'!J$5</f>
        <v>0</v>
      </c>
      <c r="K12" s="63" t="n">
        <f aca="false">SUM(H12:J12)</f>
        <v>1159310.25507548</v>
      </c>
      <c r="M12" s="64" t="n">
        <f aca="false">'[2]CA$'!M10/'[2]US$'!M$5</f>
        <v>0</v>
      </c>
      <c r="N12" s="62" t="n">
        <f aca="false">'[2]CA$'!N10/'[2]US$'!N$5</f>
        <v>0</v>
      </c>
      <c r="O12" s="62" t="n">
        <f aca="false">'[2]CA$'!O10/'[2]US$'!O$5</f>
        <v>0</v>
      </c>
      <c r="P12" s="63" t="n">
        <f aca="false">SUM(M12:O12)</f>
        <v>0</v>
      </c>
      <c r="R12" s="64" t="n">
        <f aca="false">'[2]CA$'!R10/'[2]US$'!R$5</f>
        <v>0</v>
      </c>
      <c r="S12" s="62" t="n">
        <f aca="false">'[2]CA$'!S10/'[2]US$'!S$5</f>
        <v>0</v>
      </c>
      <c r="T12" s="62" t="n">
        <f aca="false">'[2]CA$'!T10/'[2]US$'!T$5</f>
        <v>0</v>
      </c>
      <c r="U12" s="65" t="n">
        <f aca="false">SUM(R12:T12)</f>
        <v>0</v>
      </c>
      <c r="W12" s="66" t="n">
        <f aca="false">F12+K12+P12+U12</f>
        <v>794515.891023692</v>
      </c>
    </row>
    <row r="13" customFormat="false" ht="12.75" hidden="false" customHeight="false" outlineLevel="0" collapsed="false">
      <c r="A13" s="58" t="s">
        <v>41</v>
      </c>
      <c r="B13" s="59"/>
      <c r="C13" s="62" t="n">
        <f aca="false">'[2]CA$'!C13/'[2]US$'!C$5</f>
        <v>-176236.393989983</v>
      </c>
      <c r="D13" s="62" t="n">
        <f aca="false">'[2]CA$'!D13/'[2]US$'!D$5</f>
        <v>-171438.900468994</v>
      </c>
      <c r="E13" s="62" t="n">
        <f aca="false">'[2]CA$'!E13/'[2]US$'!E$5</f>
        <v>-151290.936785986</v>
      </c>
      <c r="F13" s="63" t="n">
        <f aca="false">SUM(C13:E13)</f>
        <v>-498966.231244964</v>
      </c>
      <c r="H13" s="64" t="n">
        <f aca="false">'[2]CA$'!H13/'[2]US$'!H$5</f>
        <v>-171729.567933368</v>
      </c>
      <c r="I13" s="62" t="n">
        <f aca="false">'[2]CA$'!I13/'[2]US$'!I$5</f>
        <v>-166146.41556076</v>
      </c>
      <c r="J13" s="62" t="n">
        <f aca="false">'[2]CA$'!J13/'[2]US$'!J$5</f>
        <v>-174092.247191011</v>
      </c>
      <c r="K13" s="63" t="n">
        <f aca="false">SUM(H13:J13)</f>
        <v>-511968.230685139</v>
      </c>
      <c r="M13" s="64" t="n">
        <f aca="false">'[2]CA$'!M13/'[2]US$'!M$5</f>
        <v>-163257.645140248</v>
      </c>
      <c r="N13" s="62" t="n">
        <f aca="false">'[2]CA$'!N13/'[2]US$'!N$5</f>
        <v>-166795.511125443</v>
      </c>
      <c r="O13" s="62" t="n">
        <f aca="false">'[2]CA$'!O13/'[2]US$'!O$5</f>
        <v>-163888.745247148</v>
      </c>
      <c r="P13" s="63" t="n">
        <f aca="false">SUM(M13:O13)</f>
        <v>-493941.90151284</v>
      </c>
      <c r="R13" s="64" t="n">
        <f aca="false">'[2]CA$'!R13/'[2]US$'!R$5</f>
        <v>0</v>
      </c>
      <c r="S13" s="62" t="n">
        <f aca="false">'[2]CA$'!S13/'[2]US$'!S$5</f>
        <v>0</v>
      </c>
      <c r="T13" s="62" t="n">
        <f aca="false">'[2]CA$'!T13/'[2]US$'!T$5</f>
        <v>0</v>
      </c>
      <c r="U13" s="65" t="n">
        <f aca="false">SUM(R13:T13)</f>
        <v>0</v>
      </c>
      <c r="W13" s="74" t="n">
        <f aca="false">F13+K13+P13+U13</f>
        <v>-1504876.36344294</v>
      </c>
    </row>
    <row r="14" customFormat="false" ht="12.75" hidden="false" customHeight="false" outlineLevel="0" collapsed="false">
      <c r="A14" s="58" t="s">
        <v>42</v>
      </c>
      <c r="B14" s="59"/>
      <c r="C14" s="62" t="n">
        <f aca="false">'[2]CA$'!C14/'[2]US$'!C$5</f>
        <v>-27824.3739565943</v>
      </c>
      <c r="D14" s="62" t="n">
        <f aca="false">'[2]CA$'!D14/'[2]US$'!D$5</f>
        <v>0</v>
      </c>
      <c r="E14" s="62" t="n">
        <f aca="false">'[2]CA$'!E14/'[2]US$'!E$5</f>
        <v>0</v>
      </c>
      <c r="F14" s="63" t="n">
        <f aca="false">SUM(C14:E14)</f>
        <v>-27824.3739565943</v>
      </c>
      <c r="H14" s="64" t="n">
        <f aca="false">'[2]CA$'!H14/'[2]US$'!H$5</f>
        <v>0</v>
      </c>
      <c r="I14" s="62" t="n">
        <f aca="false">'[2]CA$'!I14/'[2]US$'!I$5</f>
        <v>0</v>
      </c>
      <c r="J14" s="62" t="n">
        <f aca="false">'[2]CA$'!J14/'[2]US$'!J$5</f>
        <v>82617.3165895572</v>
      </c>
      <c r="K14" s="63" t="n">
        <f aca="false">SUM(H14:J14)</f>
        <v>82617.3165895572</v>
      </c>
      <c r="M14" s="64" t="n">
        <f aca="false">'[2]CA$'!M14/'[2]US$'!M$5</f>
        <v>0</v>
      </c>
      <c r="N14" s="62" t="n">
        <f aca="false">'[2]CA$'!N14/'[2]US$'!N$5</f>
        <v>0</v>
      </c>
      <c r="O14" s="62" t="n">
        <f aca="false">'[2]CA$'!O14/'[2]US$'!O$5</f>
        <v>0</v>
      </c>
      <c r="P14" s="63" t="n">
        <f aca="false">SUM(M14:O14)</f>
        <v>0</v>
      </c>
      <c r="R14" s="64" t="n">
        <f aca="false">'[2]CA$'!R14/'[2]US$'!R$5</f>
        <v>0</v>
      </c>
      <c r="S14" s="62" t="n">
        <f aca="false">'[2]CA$'!S14/'[2]US$'!S$5</f>
        <v>0</v>
      </c>
      <c r="T14" s="62" t="n">
        <f aca="false">'[2]CA$'!T14/'[2]US$'!T$5</f>
        <v>0</v>
      </c>
      <c r="U14" s="65" t="n">
        <f aca="false">SUM(R14:T14)</f>
        <v>0</v>
      </c>
      <c r="W14" s="74" t="n">
        <f aca="false">F14+K14+P14+U14</f>
        <v>54792.9426329629</v>
      </c>
    </row>
    <row r="15" customFormat="false" ht="12.75" hidden="false" customHeight="false" outlineLevel="0" collapsed="false">
      <c r="A15" s="58" t="s">
        <v>43</v>
      </c>
      <c r="B15" s="59"/>
      <c r="C15" s="62" t="n">
        <f aca="false">'[2]CA$'!C15/'[2]US$'!C$5</f>
        <v>-117992.267111853</v>
      </c>
      <c r="D15" s="62" t="n">
        <f aca="false">'[2]CA$'!D15/'[2]US$'!D$5</f>
        <v>13092.4309536217</v>
      </c>
      <c r="E15" s="62" t="n">
        <f aca="false">'[2]CA$'!E15/'[2]US$'!E$5</f>
        <v>138326.669205382</v>
      </c>
      <c r="F15" s="63" t="n">
        <f aca="false">SUM(C15:E15)</f>
        <v>33426.8330471507</v>
      </c>
      <c r="H15" s="64" t="n">
        <f aca="false">'[2]CA$'!H15/'[2]US$'!H$5</f>
        <v>99008.1793336804</v>
      </c>
      <c r="I15" s="62" t="n">
        <f aca="false">'[2]CA$'!I15/'[2]US$'!I$5</f>
        <v>0</v>
      </c>
      <c r="J15" s="62" t="n">
        <f aca="false">'[2]CA$'!J15/'[2]US$'!J$5</f>
        <v>-56536.1070720423</v>
      </c>
      <c r="K15" s="63" t="n">
        <f aca="false">SUM(H15:J15)</f>
        <v>42472.0722616381</v>
      </c>
      <c r="M15" s="64" t="n">
        <f aca="false">'[2]CA$'!M15/'[2]US$'!M$5</f>
        <v>47163.7573385519</v>
      </c>
      <c r="N15" s="62" t="n">
        <f aca="false">'[2]CA$'!N15/'[2]US$'!N$5</f>
        <v>66047.4814575943</v>
      </c>
      <c r="O15" s="62" t="n">
        <f aca="false">'[2]CA$'!O15/'[2]US$'!O$5</f>
        <v>224524.207858048</v>
      </c>
      <c r="P15" s="63" t="n">
        <f aca="false">SUM(M15:O15)</f>
        <v>337735.446654194</v>
      </c>
      <c r="R15" s="64" t="n">
        <f aca="false">'[2]CA$'!R15/'[2]US$'!R$5</f>
        <v>0</v>
      </c>
      <c r="S15" s="62" t="n">
        <f aca="false">'[2]CA$'!S15/'[2]US$'!S$5</f>
        <v>0</v>
      </c>
      <c r="T15" s="62" t="n">
        <f aca="false">'[2]CA$'!T15/'[2]US$'!T$5</f>
        <v>0</v>
      </c>
      <c r="U15" s="65" t="n">
        <f aca="false">SUM(R15:T15)</f>
        <v>0</v>
      </c>
      <c r="W15" s="74" t="n">
        <f aca="false">F15+K15+P15+U15</f>
        <v>413634.351962983</v>
      </c>
    </row>
    <row r="16" customFormat="false" ht="12.75" hidden="false" customHeight="false" outlineLevel="0" collapsed="false">
      <c r="A16" s="58" t="s">
        <v>44</v>
      </c>
      <c r="B16" s="59"/>
      <c r="C16" s="67" t="n">
        <f aca="false">'[2]CA$'!C16/'[2]US$'!C$5</f>
        <v>118328.227045075</v>
      </c>
      <c r="D16" s="67" t="n">
        <f aca="false">'[2]CA$'!D16/'[2]US$'!D$5</f>
        <v>-12520.6878582595</v>
      </c>
      <c r="E16" s="70" t="n">
        <f aca="false">'[2]CA$'!E16/'[2]US$'!E$5</f>
        <v>-137222.156638741</v>
      </c>
      <c r="F16" s="68" t="n">
        <f aca="false">SUM(C16:E16)</f>
        <v>-31414.6174519252</v>
      </c>
      <c r="H16" s="69" t="n">
        <f aca="false">'[2]CA$'!H16/'[2]US$'!H$5</f>
        <v>-99194.0525767829</v>
      </c>
      <c r="I16" s="67" t="n">
        <f aca="false">'[2]CA$'!I16/'[2]US$'!I$5</f>
        <v>0</v>
      </c>
      <c r="J16" s="70" t="n">
        <f aca="false">'[2]CA$'!J16/'[2]US$'!J$5</f>
        <v>56898.565763384</v>
      </c>
      <c r="K16" s="68" t="n">
        <f aca="false">SUM(H16:J16)</f>
        <v>-42295.4868133989</v>
      </c>
      <c r="M16" s="69" t="n">
        <f aca="false">'[2]CA$'!M16/'[2]US$'!M$5</f>
        <v>-46085.5316373125</v>
      </c>
      <c r="N16" s="67" t="n">
        <f aca="false">'[2]CA$'!N16/'[2]US$'!N$5</f>
        <v>-64675.5111254434</v>
      </c>
      <c r="O16" s="70" t="n">
        <f aca="false">'[2]CA$'!O16/'[2]US$'!O$5</f>
        <v>-223893.618504436</v>
      </c>
      <c r="P16" s="68" t="n">
        <f aca="false">SUM(M16:O16)</f>
        <v>-334654.661267192</v>
      </c>
      <c r="R16" s="64" t="n">
        <f aca="false">'[2]CA$'!R16/'[2]US$'!R$5</f>
        <v>0</v>
      </c>
      <c r="S16" s="62" t="n">
        <f aca="false">'[2]CA$'!S16/'[2]US$'!S$5</f>
        <v>0</v>
      </c>
      <c r="T16" s="62" t="n">
        <f aca="false">'[2]CA$'!T16/'[2]US$'!T$5</f>
        <v>0</v>
      </c>
      <c r="U16" s="65" t="n">
        <f aca="false">SUM(R16:T16)</f>
        <v>0</v>
      </c>
      <c r="W16" s="75" t="n">
        <f aca="false">F16+K16+P16+U16</f>
        <v>-408364.765532516</v>
      </c>
    </row>
    <row r="17" customFormat="false" ht="15.75" hidden="false" customHeight="false" outlineLevel="0" collapsed="false">
      <c r="A17" s="58" t="s">
        <v>45</v>
      </c>
      <c r="B17" s="59"/>
      <c r="C17" s="62" t="n">
        <f aca="false">SUM(C15:C16)</f>
        <v>335.95993322201</v>
      </c>
      <c r="D17" s="62" t="n">
        <f aca="false">SUM(D15:D16)</f>
        <v>571.74309536217</v>
      </c>
      <c r="E17" s="62" t="n">
        <f aca="false">SUM(E15:E16)</f>
        <v>1104.51256664126</v>
      </c>
      <c r="F17" s="63" t="n">
        <f aca="false">SUM(C17:E17)</f>
        <v>2012.21559522544</v>
      </c>
      <c r="H17" s="76" t="n">
        <f aca="false">SUM(H15:H16)</f>
        <v>-185.873243102571</v>
      </c>
      <c r="I17" s="62" t="n">
        <f aca="false">SUM(I15:I16)</f>
        <v>0</v>
      </c>
      <c r="J17" s="62" t="n">
        <f aca="false">SUM(J15:J16)</f>
        <v>362.458691341701</v>
      </c>
      <c r="K17" s="63" t="n">
        <f aca="false">SUM(H17:J17)</f>
        <v>176.58544823913</v>
      </c>
      <c r="M17" s="76" t="n">
        <f aca="false">SUM(M15:M16)</f>
        <v>1078.2257012394</v>
      </c>
      <c r="N17" s="76" t="n">
        <f aca="false">SUM(N15:N16)</f>
        <v>1371.97033215091</v>
      </c>
      <c r="O17" s="76" t="n">
        <f aca="false">SUM(O15:O16)</f>
        <v>630.589353612158</v>
      </c>
      <c r="P17" s="63" t="n">
        <f aca="false">SUM(P15:P16)</f>
        <v>3080.78538700246</v>
      </c>
      <c r="R17" s="77"/>
      <c r="S17" s="78"/>
      <c r="T17" s="79"/>
      <c r="U17" s="65"/>
      <c r="W17" s="66" t="n">
        <f aca="false">F17+K17+P17+U17</f>
        <v>5269.58643046703</v>
      </c>
    </row>
    <row r="18" customFormat="false" ht="15.75" hidden="false" customHeight="false" outlineLevel="0" collapsed="false">
      <c r="A18" s="80" t="s">
        <v>46</v>
      </c>
      <c r="B18" s="81"/>
      <c r="C18" s="82" t="n">
        <f aca="false">SUM(C11:C16)</f>
        <v>-204048.52754591</v>
      </c>
      <c r="D18" s="82" t="n">
        <f aca="false">SUM(D11:D16)</f>
        <v>-171057.46482543</v>
      </c>
      <c r="E18" s="82" t="n">
        <f aca="false">SUM(E11:E16)</f>
        <v>-514147.423203859</v>
      </c>
      <c r="F18" s="83" t="n">
        <f aca="false">SUM(F11:F16)</f>
        <v>-889253.415575199</v>
      </c>
      <c r="H18" s="84" t="n">
        <f aca="false">SUM(H11:H16)</f>
        <v>987394.807391984</v>
      </c>
      <c r="I18" s="82" t="n">
        <f aca="false">SUM(I11:I16)</f>
        <v>-302237.763466042</v>
      </c>
      <c r="J18" s="82" t="n">
        <f aca="false">SUM(J11:J16)</f>
        <v>-91408.9028420357</v>
      </c>
      <c r="K18" s="83" t="n">
        <f aca="false">SUM(K11:K16)</f>
        <v>593748.141083906</v>
      </c>
      <c r="M18" s="84" t="n">
        <f aca="false">M13+M17</f>
        <v>-162179.419439009</v>
      </c>
      <c r="N18" s="84" t="n">
        <f aca="false">N13+N17</f>
        <v>-165423.540793293</v>
      </c>
      <c r="O18" s="84" t="n">
        <f aca="false">O13+O17</f>
        <v>-163258.155893536</v>
      </c>
      <c r="P18" s="83" t="n">
        <f aca="false">P13+P17</f>
        <v>-490861.116125837</v>
      </c>
      <c r="R18" s="84" t="n">
        <f aca="false">SUBTOTAL(9,R7:R17)</f>
        <v>0</v>
      </c>
      <c r="S18" s="82" t="n">
        <f aca="false">SUBTOTAL(9,S7:S17)</f>
        <v>0</v>
      </c>
      <c r="T18" s="82" t="n">
        <f aca="false">SUBTOTAL(9,T7:T17)</f>
        <v>0</v>
      </c>
      <c r="U18" s="85" t="n">
        <f aca="false">SUBTOTAL(9,U7:U17)</f>
        <v>0</v>
      </c>
      <c r="W18" s="83" t="n">
        <f aca="false">SUM(W11:W16)</f>
        <v>-786366.39061713</v>
      </c>
    </row>
    <row r="19" customFormat="false" ht="12.75" hidden="false" customHeight="false" outlineLevel="0" collapsed="false">
      <c r="A19" s="58"/>
      <c r="B19" s="59"/>
      <c r="C19" s="62"/>
      <c r="D19" s="62"/>
      <c r="E19" s="62"/>
      <c r="F19" s="63"/>
      <c r="H19" s="64"/>
      <c r="I19" s="62"/>
      <c r="J19" s="62"/>
      <c r="K19" s="63"/>
      <c r="M19" s="64"/>
      <c r="N19" s="62"/>
      <c r="O19" s="62"/>
      <c r="P19" s="63"/>
      <c r="R19" s="64"/>
      <c r="S19" s="62"/>
      <c r="T19" s="62"/>
      <c r="U19" s="65"/>
      <c r="W19" s="60"/>
    </row>
    <row r="20" customFormat="false" ht="15.75" hidden="false" customHeight="false" outlineLevel="0" collapsed="false">
      <c r="A20" s="58" t="s">
        <v>47</v>
      </c>
      <c r="B20" s="59"/>
      <c r="C20" s="78" t="n">
        <v>0</v>
      </c>
      <c r="D20" s="78" t="n">
        <v>0</v>
      </c>
      <c r="E20" s="78"/>
      <c r="F20" s="86" t="n">
        <f aca="false">SUM(C20:E20)</f>
        <v>0</v>
      </c>
      <c r="H20" s="87"/>
      <c r="I20" s="78"/>
      <c r="J20" s="78"/>
      <c r="K20" s="86" t="n">
        <f aca="false">SUM(H20:J20)</f>
        <v>0</v>
      </c>
      <c r="M20" s="87"/>
      <c r="N20" s="78"/>
      <c r="O20" s="88"/>
      <c r="P20" s="86" t="n">
        <f aca="false">SUM(M20:O20)</f>
        <v>0</v>
      </c>
      <c r="R20" s="87"/>
      <c r="S20" s="78"/>
      <c r="T20" s="88"/>
      <c r="U20" s="89" t="n">
        <f aca="false">SUM(R20:T20)</f>
        <v>0</v>
      </c>
      <c r="W20" s="66" t="n">
        <f aca="false">F20+K20+P20+U20</f>
        <v>0</v>
      </c>
    </row>
    <row r="21" customFormat="false" ht="12.75" hidden="false" customHeight="false" outlineLevel="0" collapsed="false">
      <c r="A21" s="58"/>
      <c r="B21" s="59"/>
      <c r="C21" s="62"/>
      <c r="D21" s="62"/>
      <c r="E21" s="62"/>
      <c r="F21" s="63"/>
      <c r="H21" s="64"/>
      <c r="I21" s="62"/>
      <c r="J21" s="62"/>
      <c r="K21" s="63"/>
      <c r="M21" s="64"/>
      <c r="N21" s="62"/>
      <c r="O21" s="62"/>
      <c r="P21" s="63"/>
      <c r="R21" s="64"/>
      <c r="S21" s="62"/>
      <c r="T21" s="62"/>
      <c r="U21" s="65"/>
      <c r="W21" s="60"/>
    </row>
    <row r="22" customFormat="false" ht="16.5" hidden="false" customHeight="false" outlineLevel="0" collapsed="false">
      <c r="A22" s="80" t="s">
        <v>48</v>
      </c>
      <c r="B22" s="81"/>
      <c r="C22" s="90" t="n">
        <v>-204048.52754591</v>
      </c>
      <c r="D22" s="90" t="n">
        <v>315756.455184992</v>
      </c>
      <c r="E22" s="90" t="n">
        <v>-514147.423203859</v>
      </c>
      <c r="F22" s="91" t="n">
        <v>-889253.415575199</v>
      </c>
      <c r="H22" s="92" t="n">
        <v>987394.807391983</v>
      </c>
      <c r="I22" s="90" t="n">
        <v>-302237.763466042</v>
      </c>
      <c r="J22" s="90" t="n">
        <v>-91408.9028420357</v>
      </c>
      <c r="K22" s="91" t="n">
        <v>593748.141083905</v>
      </c>
      <c r="M22" s="92" t="n">
        <f aca="false">M18</f>
        <v>-162179.419439009</v>
      </c>
      <c r="N22" s="90" t="n">
        <f aca="false">N18</f>
        <v>-165423.540793293</v>
      </c>
      <c r="O22" s="90" t="n">
        <f aca="false">O18</f>
        <v>-163258.155893536</v>
      </c>
      <c r="P22" s="91" t="n">
        <f aca="false">P18</f>
        <v>-490861.116125837</v>
      </c>
      <c r="R22" s="92" t="n">
        <f aca="false">SUBTOTAL(9,R8:R21)</f>
        <v>0</v>
      </c>
      <c r="S22" s="90" t="n">
        <f aca="false">SUBTOTAL(9,S8:S21)</f>
        <v>0</v>
      </c>
      <c r="T22" s="90" t="n">
        <f aca="false">SUBTOTAL(9,T8:T21)</f>
        <v>0</v>
      </c>
      <c r="U22" s="93" t="n">
        <f aca="false">SUBTOTAL(9,U8:U21)</f>
        <v>0</v>
      </c>
      <c r="W22" s="91" t="n">
        <f aca="false">SUM(W18:W21)</f>
        <v>-786366.39061713</v>
      </c>
    </row>
    <row r="23" customFormat="false" ht="12.75" hidden="false" customHeight="false" outlineLevel="0" collapsed="false">
      <c r="A23" s="94"/>
      <c r="B23" s="95"/>
      <c r="C23" s="67"/>
      <c r="D23" s="67"/>
      <c r="E23" s="67"/>
      <c r="F23" s="68"/>
      <c r="H23" s="69"/>
      <c r="I23" s="67"/>
      <c r="J23" s="67"/>
      <c r="K23" s="68"/>
      <c r="M23" s="69"/>
      <c r="N23" s="67"/>
      <c r="O23" s="67"/>
      <c r="P23" s="68"/>
      <c r="R23" s="69"/>
      <c r="S23" s="67"/>
      <c r="T23" s="67"/>
      <c r="U23" s="70"/>
      <c r="W23" s="96"/>
    </row>
    <row r="24" customFormat="false" ht="12.75" hidden="false" customHeight="false" outlineLevel="0" collapsed="false">
      <c r="C24" s="62"/>
      <c r="D24" s="62"/>
      <c r="E24" s="62"/>
      <c r="F24" s="63"/>
      <c r="H24" s="62"/>
      <c r="I24" s="62"/>
      <c r="J24" s="62"/>
      <c r="K24" s="63"/>
      <c r="M24" s="62"/>
      <c r="N24" s="62"/>
      <c r="O24" s="62"/>
      <c r="P24" s="63"/>
      <c r="R24" s="62"/>
      <c r="S24" s="62"/>
      <c r="T24" s="62"/>
      <c r="U24" s="62"/>
      <c r="W24" s="62"/>
    </row>
    <row r="25" customFormat="false" ht="16.5" hidden="false" customHeight="false" outlineLevel="0" collapsed="false">
      <c r="A25" s="48" t="s">
        <v>49</v>
      </c>
      <c r="B25" s="48"/>
      <c r="C25" s="97" t="n">
        <v>-204048.52754591</v>
      </c>
      <c r="D25" s="97" t="n">
        <v>315756.455184992</v>
      </c>
      <c r="E25" s="97" t="n">
        <v>-514147.423203859</v>
      </c>
      <c r="F25" s="98" t="n">
        <v>-889253.415575199</v>
      </c>
      <c r="H25" s="97" t="n">
        <v>987394.807391983</v>
      </c>
      <c r="I25" s="97" t="n">
        <v>-302237.763466042</v>
      </c>
      <c r="J25" s="97" t="n">
        <v>-91408.9028420357</v>
      </c>
      <c r="K25" s="98" t="n">
        <v>593748.141083905</v>
      </c>
      <c r="M25" s="97" t="n">
        <f aca="false">M22</f>
        <v>-162179.419439009</v>
      </c>
      <c r="N25" s="97" t="n">
        <f aca="false">N22</f>
        <v>-165423.540793293</v>
      </c>
      <c r="O25" s="97" t="n">
        <f aca="false">O22</f>
        <v>-163258.155893536</v>
      </c>
      <c r="P25" s="98" t="n">
        <f aca="false">P22</f>
        <v>-490861.116125837</v>
      </c>
      <c r="R25" s="97" t="n">
        <f aca="false">SUBTOTAL(9,R8:R23)</f>
        <v>0</v>
      </c>
      <c r="S25" s="97" t="n">
        <f aca="false">SUBTOTAL(9,S8:S23)</f>
        <v>0</v>
      </c>
      <c r="T25" s="97" t="n">
        <f aca="false">SUBTOTAL(9,T8:T23)</f>
        <v>0</v>
      </c>
      <c r="U25" s="97" t="n">
        <f aca="false">SUBTOTAL(9,U8:U23)</f>
        <v>0</v>
      </c>
      <c r="W25" s="98" t="n">
        <f aca="false">SUM(W22)</f>
        <v>-786366.39061713</v>
      </c>
    </row>
    <row r="26" customFormat="false" ht="13.5" hidden="false" customHeight="false" outlineLevel="0" collapsed="false">
      <c r="C26" s="62"/>
      <c r="D26" s="62"/>
      <c r="E26" s="62"/>
      <c r="F26" s="62"/>
    </row>
    <row r="27" customFormat="false" ht="12.75" hidden="false" customHeight="false" outlineLevel="0" collapsed="false">
      <c r="C27" s="99"/>
      <c r="D27" s="99"/>
      <c r="E27" s="99"/>
      <c r="F27" s="99"/>
      <c r="G27" s="99"/>
      <c r="H27" s="99"/>
      <c r="I27" s="99"/>
      <c r="J27" s="99"/>
      <c r="L27" s="99"/>
      <c r="M27" s="99"/>
      <c r="N27" s="99"/>
      <c r="O27" s="99"/>
      <c r="Q27" s="99"/>
      <c r="R27" s="99"/>
      <c r="S27" s="99"/>
      <c r="T27" s="99"/>
    </row>
    <row r="28" customFormat="false" ht="12.75" hidden="false" customHeight="false" outlineLevel="0" collapsed="false">
      <c r="A28" s="100" t="str">
        <f aca="true">CELL("filename",A28)</f>
        <v>'file:///mnt/12tb/@roms/datasets/enron/EDRM Enron Email Data Set v2 XML/filtered-attachments/xls/Canada_reconciliation.xls'#$Devries</v>
      </c>
      <c r="C28" s="62"/>
      <c r="D28" s="62"/>
      <c r="E28" s="62"/>
      <c r="F28" s="62"/>
      <c r="O28" s="18" t="s">
        <v>50</v>
      </c>
      <c r="P28" s="18"/>
      <c r="Q28" s="18"/>
      <c r="W28" s="101" t="n">
        <f aca="false">-(SUM(W13:W16)+W11)</f>
        <v>1580882.28164082</v>
      </c>
    </row>
    <row r="29" customFormat="false" ht="12.75" hidden="false" customHeight="false" outlineLevel="0" collapsed="false">
      <c r="O29" s="18" t="s">
        <v>51</v>
      </c>
      <c r="P29" s="18"/>
      <c r="Q29" s="18"/>
      <c r="W29" s="102" t="n">
        <v>500000</v>
      </c>
    </row>
    <row r="30" customFormat="false" ht="12.75" hidden="false" customHeight="false" outlineLevel="0" collapsed="false">
      <c r="C30" s="46" t="s">
        <v>52</v>
      </c>
      <c r="O30" s="18" t="s">
        <v>53</v>
      </c>
      <c r="P30" s="18"/>
      <c r="Q30" s="18"/>
      <c r="W30" s="101" t="n">
        <f aca="false">+W28-W29</f>
        <v>1080882.28164082</v>
      </c>
    </row>
    <row r="31" customFormat="false" ht="12.75" hidden="false" customHeight="false" outlineLevel="0" collapsed="false">
      <c r="C31" s="46" t="s">
        <v>52</v>
      </c>
      <c r="W31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2.56"/>
    <col collapsed="false" customWidth="true" hidden="false" outlineLevel="0" max="3" min="3" style="0" width="21.13"/>
    <col collapsed="false" customWidth="true" hidden="false" outlineLevel="0" max="4" min="4" style="0" width="1.7"/>
    <col collapsed="false" customWidth="true" hidden="false" outlineLevel="0" max="5" min="5" style="0" width="21.42"/>
    <col collapsed="false" customWidth="true" hidden="false" outlineLevel="0" max="6" min="6" style="0" width="2.13"/>
    <col collapsed="false" customWidth="true" hidden="false" outlineLevel="0" max="7" min="7" style="0" width="19.85"/>
    <col collapsed="false" customWidth="true" hidden="false" outlineLevel="0" max="8" min="8" style="0" width="2.42"/>
    <col collapsed="false" customWidth="true" hidden="false" outlineLevel="0" max="9" min="9" style="0" width="12.14"/>
  </cols>
  <sheetData>
    <row r="1" customFormat="false" ht="18" hidden="false" customHeight="false" outlineLevel="0" collapsed="false">
      <c r="A1" s="104" t="s">
        <v>54</v>
      </c>
      <c r="B1" s="105"/>
      <c r="C1" s="106"/>
    </row>
    <row r="2" customFormat="false" ht="18.75" hidden="false" customHeight="false" outlineLevel="0" collapsed="false">
      <c r="A2" s="107" t="s">
        <v>55</v>
      </c>
      <c r="B2" s="108"/>
      <c r="C2" s="109"/>
    </row>
    <row r="4" customFormat="false" ht="15.75" hidden="false" customHeight="false" outlineLevel="0" collapsed="false">
      <c r="A4" s="110" t="s">
        <v>56</v>
      </c>
      <c r="B4" s="111"/>
      <c r="C4" s="110" t="s">
        <v>57</v>
      </c>
      <c r="D4" s="110"/>
      <c r="E4" s="110" t="s">
        <v>58</v>
      </c>
      <c r="F4" s="110"/>
      <c r="G4" s="110" t="s">
        <v>59</v>
      </c>
      <c r="H4" s="112"/>
      <c r="I4" s="112"/>
      <c r="J4" s="2"/>
    </row>
    <row r="5" customFormat="false" ht="12.75" hidden="false" customHeight="false" outlineLevel="0" collapsed="false">
      <c r="A5" s="2"/>
      <c r="B5" s="2"/>
      <c r="C5" s="2"/>
      <c r="D5" s="2"/>
      <c r="E5" s="10"/>
      <c r="F5" s="2"/>
      <c r="G5" s="2"/>
      <c r="H5" s="2"/>
      <c r="I5" s="2"/>
      <c r="J5" s="2"/>
    </row>
    <row r="6" customFormat="false" ht="12.75" hidden="false" customHeight="false" outlineLevel="0" collapsed="false">
      <c r="A6" s="2" t="s">
        <v>60</v>
      </c>
      <c r="B6" s="2"/>
      <c r="C6" s="113" t="n">
        <v>1798731.64</v>
      </c>
      <c r="D6" s="113"/>
      <c r="E6" s="114" t="n">
        <v>1182513</v>
      </c>
      <c r="F6" s="2"/>
      <c r="G6" s="2" t="s">
        <v>61</v>
      </c>
      <c r="H6" s="2"/>
      <c r="I6" s="2"/>
      <c r="J6" s="2"/>
    </row>
    <row r="7" customFormat="false" ht="12.75" hidden="false" customHeight="false" outlineLevel="0" collapsed="false">
      <c r="A7" s="2"/>
      <c r="B7" s="2"/>
      <c r="C7" s="113"/>
      <c r="D7" s="113"/>
      <c r="E7" s="114"/>
      <c r="F7" s="2"/>
      <c r="G7" s="2"/>
      <c r="H7" s="2"/>
      <c r="I7" s="2"/>
      <c r="J7" s="2"/>
    </row>
    <row r="8" customFormat="false" ht="12.75" hidden="false" customHeight="false" outlineLevel="0" collapsed="false">
      <c r="A8" s="2" t="s">
        <v>62</v>
      </c>
      <c r="B8" s="2"/>
      <c r="C8" s="113" t="n">
        <v>1688716</v>
      </c>
      <c r="D8" s="113"/>
      <c r="E8" s="114" t="n">
        <v>1095255</v>
      </c>
      <c r="F8" s="2"/>
      <c r="G8" s="2" t="s">
        <v>63</v>
      </c>
      <c r="H8" s="2"/>
      <c r="I8" s="2"/>
      <c r="J8" s="2"/>
    </row>
    <row r="9" customFormat="false" ht="12.75" hidden="false" customHeight="false" outlineLevel="0" collapsed="false">
      <c r="A9" s="2"/>
      <c r="B9" s="2"/>
      <c r="C9" s="113"/>
      <c r="D9" s="113"/>
      <c r="E9" s="114"/>
      <c r="F9" s="2"/>
      <c r="G9" s="2"/>
      <c r="H9" s="2"/>
      <c r="I9" s="2"/>
      <c r="J9" s="2"/>
    </row>
    <row r="10" customFormat="false" ht="12.75" hidden="false" customHeight="false" outlineLevel="0" collapsed="false">
      <c r="A10" s="2" t="s">
        <v>64</v>
      </c>
      <c r="B10" s="2"/>
      <c r="C10" s="113" t="n">
        <v>20550</v>
      </c>
      <c r="D10" s="113"/>
      <c r="E10" s="114" t="n">
        <v>13112</v>
      </c>
      <c r="F10" s="2"/>
      <c r="G10" s="2" t="s">
        <v>65</v>
      </c>
      <c r="H10" s="2"/>
      <c r="I10" s="2"/>
      <c r="J10" s="2"/>
    </row>
    <row r="11" customFormat="false" ht="12.75" hidden="false" customHeight="false" outlineLevel="0" collapsed="false">
      <c r="A11" s="2"/>
      <c r="B11" s="2"/>
      <c r="C11" s="113"/>
      <c r="D11" s="113"/>
      <c r="E11" s="114"/>
      <c r="F11" s="2"/>
      <c r="G11" s="2"/>
      <c r="H11" s="2"/>
      <c r="I11" s="2"/>
      <c r="J11" s="2"/>
    </row>
    <row r="12" customFormat="false" ht="12.75" hidden="false" customHeight="false" outlineLevel="0" collapsed="false">
      <c r="A12" s="2" t="s">
        <v>66</v>
      </c>
      <c r="B12" s="2"/>
      <c r="C12" s="113" t="n">
        <v>32249</v>
      </c>
      <c r="D12" s="113"/>
      <c r="E12" s="114" t="n">
        <v>20576</v>
      </c>
      <c r="F12" s="2"/>
      <c r="G12" s="2" t="s">
        <v>67</v>
      </c>
      <c r="H12" s="2"/>
      <c r="I12" s="2"/>
      <c r="J12" s="2"/>
    </row>
    <row r="13" customFormat="false" ht="12.75" hidden="false" customHeight="false" outlineLevel="0" collapsed="false">
      <c r="A13" s="2"/>
      <c r="B13" s="2"/>
      <c r="C13" s="113"/>
      <c r="D13" s="113"/>
      <c r="E13" s="114"/>
      <c r="F13" s="2"/>
      <c r="G13" s="2"/>
      <c r="H13" s="2"/>
      <c r="I13" s="2"/>
      <c r="J13" s="2"/>
    </row>
    <row r="14" customFormat="false" ht="12.75" hidden="false" customHeight="false" outlineLevel="0" collapsed="false">
      <c r="A14" s="2" t="s">
        <v>68</v>
      </c>
      <c r="B14" s="2"/>
      <c r="C14" s="115" t="n">
        <v>488595</v>
      </c>
      <c r="D14" s="115"/>
      <c r="E14" s="115" t="n">
        <v>316869</v>
      </c>
      <c r="F14" s="2"/>
      <c r="G14" s="2" t="s">
        <v>69</v>
      </c>
      <c r="H14" s="2"/>
      <c r="I14" s="2"/>
      <c r="J14" s="2"/>
    </row>
    <row r="15" customFormat="false" ht="12.75" hidden="false" customHeight="false" outlineLevel="0" collapsed="false">
      <c r="C15" s="116"/>
      <c r="D15" s="116"/>
      <c r="E15" s="116"/>
    </row>
    <row r="16" customFormat="false" ht="18.75" hidden="false" customHeight="false" outlineLevel="0" collapsed="false">
      <c r="A16" s="117" t="s">
        <v>6</v>
      </c>
      <c r="B16" s="117"/>
      <c r="C16" s="118" t="n">
        <f aca="false">SUM(C6:C14)</f>
        <v>4028841.64</v>
      </c>
      <c r="D16" s="118"/>
      <c r="E16" s="119" t="n">
        <f aca="false">SUM(E6:E14)</f>
        <v>2628325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2001-10-30T15:29:04Z</dcterms:created>
  <dc:creator>Derek C. Lynn</dc:creator>
  <dc:description/>
  <dc:language>en-US</dc:language>
  <cp:lastModifiedBy>ccarter</cp:lastModifiedBy>
  <dcterms:modified xsi:type="dcterms:W3CDTF">2001-11-02T14:42:00Z</dcterms:modified>
  <cp:revision>0</cp:revision>
  <dc:subject/>
  <dc:title/>
</cp:coreProperties>
</file>